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APF\25-26\July 2025\Godrej\NEW\Gaurav\Maruti Homes\"/>
    </mc:Choice>
  </mc:AlternateContent>
  <bookViews>
    <workbookView xWindow="-120" yWindow="-120" windowWidth="20730" windowHeight="11160"/>
  </bookViews>
  <sheets>
    <sheet name="Report" sheetId="3" r:id="rId1"/>
    <sheet name="Construction table" sheetId="4" r:id="rId2"/>
    <sheet name="Remarks" sheetId="5" r:id="rId3"/>
    <sheet name="Area Calculation" sheetId="6" r:id="rId4"/>
  </sheets>
  <definedNames>
    <definedName name="_xlnm.Print_Area" localSheetId="0">Report!$A$1:$H$353</definedName>
  </definedNames>
  <calcPr calcId="162913"/>
</workbook>
</file>

<file path=xl/calcChain.xml><?xml version="1.0" encoding="utf-8"?>
<calcChain xmlns="http://schemas.openxmlformats.org/spreadsheetml/2006/main">
  <c r="I144" i="3" l="1"/>
  <c r="I146" i="3"/>
  <c r="N145" i="3" l="1"/>
  <c r="N144" i="3"/>
  <c r="N143" i="3"/>
  <c r="H155" i="3" l="1"/>
  <c r="E167" i="3"/>
  <c r="E166" i="3"/>
  <c r="H166" i="3" s="1"/>
  <c r="E165" i="3"/>
  <c r="H165" i="3" s="1"/>
  <c r="E164" i="3"/>
  <c r="H164" i="3" s="1"/>
  <c r="E163" i="3"/>
  <c r="H163" i="3" s="1"/>
  <c r="E162" i="3"/>
  <c r="E161" i="3"/>
  <c r="E124" i="3" s="1"/>
  <c r="I167" i="3"/>
  <c r="I161" i="3"/>
  <c r="H162" i="3"/>
  <c r="A162" i="3"/>
  <c r="A163" i="3" s="1"/>
  <c r="A164" i="3" s="1"/>
  <c r="A165" i="3" s="1"/>
  <c r="A166" i="3" s="1"/>
  <c r="A167" i="3" s="1"/>
  <c r="H161" i="3"/>
  <c r="E157" i="3"/>
  <c r="H157" i="3" s="1"/>
  <c r="E156" i="3"/>
  <c r="H156" i="3" s="1"/>
  <c r="E155" i="3"/>
  <c r="E154" i="3"/>
  <c r="H154" i="3" s="1"/>
  <c r="A154" i="3"/>
  <c r="A155" i="3" s="1"/>
  <c r="A156" i="3" s="1"/>
  <c r="A157" i="3" s="1"/>
  <c r="E151" i="3"/>
  <c r="H151" i="3" s="1"/>
  <c r="E150" i="3"/>
  <c r="H150" i="3" s="1"/>
  <c r="J150" i="3" s="1"/>
  <c r="E149" i="3"/>
  <c r="H149" i="3" s="1"/>
  <c r="E148" i="3"/>
  <c r="E147" i="3"/>
  <c r="H147" i="3" s="1"/>
  <c r="E145" i="3"/>
  <c r="E144" i="3"/>
  <c r="E143" i="3"/>
  <c r="H143" i="3" s="1"/>
  <c r="A148" i="3"/>
  <c r="A149" i="3" s="1"/>
  <c r="A150" i="3" s="1"/>
  <c r="A151" i="3" s="1"/>
  <c r="I145" i="3"/>
  <c r="I143" i="3"/>
  <c r="A142" i="3"/>
  <c r="A143" i="3" s="1"/>
  <c r="A144" i="3" s="1"/>
  <c r="A145" i="3" s="1"/>
  <c r="E139" i="3"/>
  <c r="H139" i="3" s="1"/>
  <c r="E138" i="3"/>
  <c r="E137" i="3"/>
  <c r="E136" i="3"/>
  <c r="E135" i="3"/>
  <c r="H135" i="3" s="1"/>
  <c r="E134" i="3"/>
  <c r="H134" i="3" s="1"/>
  <c r="E133" i="3"/>
  <c r="E132" i="3"/>
  <c r="E119" i="3" s="1"/>
  <c r="E120" i="3" s="1"/>
  <c r="I136" i="3"/>
  <c r="I134" i="3"/>
  <c r="I132" i="3"/>
  <c r="H132" i="3"/>
  <c r="G119" i="3" s="1"/>
  <c r="G120" i="3" s="1"/>
  <c r="H138" i="3"/>
  <c r="H137" i="3"/>
  <c r="H136" i="3"/>
  <c r="H133" i="3"/>
  <c r="A133" i="3"/>
  <c r="A134" i="3" s="1"/>
  <c r="A135" i="3" s="1"/>
  <c r="A136" i="3" s="1"/>
  <c r="A137" i="3" s="1"/>
  <c r="A138" i="3" s="1"/>
  <c r="A139" i="3" s="1"/>
  <c r="G115" i="3"/>
  <c r="G114" i="3"/>
  <c r="E126" i="3" l="1"/>
  <c r="E123" i="3"/>
  <c r="E125" i="3" s="1"/>
  <c r="I147" i="3"/>
  <c r="J147" i="3"/>
  <c r="I148" i="3"/>
  <c r="J149" i="3"/>
  <c r="J151" i="3"/>
  <c r="I151" i="3"/>
  <c r="H145" i="3"/>
  <c r="H167" i="3"/>
  <c r="G124" i="3" s="1"/>
  <c r="H148" i="3"/>
  <c r="H144" i="3"/>
  <c r="J148" i="3" l="1"/>
  <c r="K148" i="3"/>
  <c r="G123" i="3"/>
  <c r="G125" i="3" s="1"/>
  <c r="G126" i="3" s="1"/>
  <c r="D217" i="3"/>
  <c r="D215" i="3"/>
  <c r="H53" i="3"/>
  <c r="C53" i="3"/>
  <c r="C17" i="3"/>
  <c r="H169"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l="1"/>
  <c r="C26" i="3"/>
  <c r="C18" i="3"/>
  <c r="H203" i="3"/>
  <c r="H202" i="3"/>
  <c r="H201" i="3"/>
  <c r="H200" i="3"/>
  <c r="H199" i="3"/>
  <c r="H198" i="3"/>
  <c r="H197" i="3"/>
  <c r="H196" i="3"/>
  <c r="H194" i="3"/>
  <c r="H193" i="3"/>
  <c r="H192" i="3"/>
  <c r="H191" i="3"/>
  <c r="H190" i="3"/>
  <c r="H189" i="3"/>
  <c r="H188" i="3"/>
  <c r="H187" i="3"/>
  <c r="H185" i="3"/>
  <c r="H184" i="3"/>
  <c r="H183" i="3"/>
  <c r="H182" i="3"/>
  <c r="H181" i="3"/>
  <c r="H180" i="3"/>
  <c r="H179" i="3"/>
  <c r="H178" i="3"/>
  <c r="H170" i="3"/>
  <c r="H171" i="3"/>
  <c r="H172" i="3"/>
  <c r="H173" i="3"/>
  <c r="H174" i="3"/>
  <c r="H175" i="3"/>
  <c r="H176" i="3"/>
  <c r="A93" i="3" l="1"/>
  <c r="D94" i="3" s="1"/>
  <c r="J103" i="3" s="1"/>
  <c r="A77" i="3"/>
  <c r="D78" i="3" s="1"/>
  <c r="A61" i="3"/>
  <c r="D62" i="3" s="1"/>
  <c r="J102" i="3" l="1"/>
  <c r="C38" i="4"/>
  <c r="G37" i="4"/>
  <c r="F37" i="4"/>
  <c r="G36" i="4"/>
  <c r="F36" i="4"/>
  <c r="G35" i="4"/>
  <c r="F35" i="4"/>
  <c r="G34" i="4"/>
  <c r="F34" i="4"/>
  <c r="G33" i="4"/>
  <c r="F33" i="4"/>
  <c r="G32" i="4"/>
  <c r="F32" i="4"/>
  <c r="G31" i="4"/>
  <c r="F31" i="4"/>
  <c r="G30" i="4"/>
  <c r="F30" i="4"/>
  <c r="G29" i="4"/>
  <c r="F29" i="4"/>
  <c r="G28" i="4"/>
  <c r="F28" i="4"/>
  <c r="G27" i="4"/>
  <c r="F27" i="4"/>
  <c r="G26" i="4"/>
  <c r="F26" i="4"/>
  <c r="F38" i="4" s="1"/>
  <c r="K15" i="4"/>
  <c r="K14" i="4"/>
  <c r="K13" i="4"/>
  <c r="H78" i="3"/>
  <c r="I5" i="4"/>
  <c r="G38" i="4" l="1"/>
  <c r="E18" i="4"/>
  <c r="E15" i="4"/>
  <c r="E17" i="4"/>
  <c r="E11" i="4"/>
  <c r="K6" i="4"/>
  <c r="E9" i="4"/>
  <c r="K8" i="4"/>
  <c r="C7" i="4" s="1"/>
  <c r="E14" i="4"/>
  <c r="E12" i="4"/>
  <c r="E16" i="4"/>
  <c r="E10" i="4"/>
  <c r="K9" i="4"/>
  <c r="K10" i="4" s="1"/>
  <c r="K11" i="4" s="1"/>
  <c r="E13" i="4"/>
  <c r="K7" i="4"/>
  <c r="J87" i="3"/>
  <c r="J86" i="3"/>
  <c r="K12" i="4" l="1"/>
  <c r="K16" i="4" s="1"/>
  <c r="C8" i="4" s="1"/>
  <c r="E8" i="4" s="1"/>
  <c r="E7" i="4"/>
  <c r="A170" i="3"/>
  <c r="A171" i="3" s="1"/>
  <c r="A172" i="3" s="1"/>
  <c r="A173" i="3" s="1"/>
  <c r="A174" i="3" s="1"/>
  <c r="A175" i="3" s="1"/>
  <c r="A176" i="3" s="1"/>
  <c r="F7" i="4" l="1"/>
  <c r="J4" i="4" s="1"/>
  <c r="H7" i="4" s="1"/>
  <c r="G4" i="3" l="1"/>
  <c r="D216" i="3" l="1"/>
  <c r="G116" i="3"/>
  <c r="J71" i="3"/>
  <c r="J70" i="3"/>
  <c r="H62" i="3"/>
  <c r="J66" i="3" l="1"/>
  <c r="D71" i="3"/>
  <c r="D68" i="3"/>
  <c r="D66" i="3"/>
  <c r="J64" i="3"/>
  <c r="D75" i="3"/>
  <c r="D73" i="3"/>
  <c r="D70" i="3"/>
  <c r="D67" i="3"/>
  <c r="J65" i="3"/>
  <c r="J63" i="3"/>
  <c r="D74" i="3"/>
  <c r="D72" i="3"/>
  <c r="D69" i="3"/>
  <c r="D91" i="3" l="1"/>
  <c r="D83" i="3"/>
  <c r="D86" i="3"/>
  <c r="J80" i="3"/>
  <c r="D90" i="3"/>
  <c r="D84" i="3"/>
  <c r="J79" i="3"/>
  <c r="D89" i="3"/>
  <c r="J82" i="3"/>
  <c r="J83" i="3" s="1"/>
  <c r="D88" i="3"/>
  <c r="D82" i="3"/>
  <c r="J81" i="3"/>
  <c r="C80" i="3" s="1"/>
  <c r="D87" i="3"/>
  <c r="D85" i="3"/>
  <c r="J67" i="3"/>
  <c r="J72" i="3" s="1"/>
  <c r="C64" i="3"/>
  <c r="D80" i="3" l="1"/>
  <c r="J84" i="3"/>
  <c r="J88" i="3"/>
  <c r="J85" i="3"/>
  <c r="D64" i="3"/>
  <c r="J68" i="3"/>
  <c r="H94" i="3"/>
  <c r="J89" i="3" l="1"/>
  <c r="C81" i="3" s="1"/>
  <c r="D107" i="3"/>
  <c r="D106" i="3"/>
  <c r="D100" i="3"/>
  <c r="J97" i="3"/>
  <c r="C96" i="3" s="1"/>
  <c r="D102" i="3"/>
  <c r="D101" i="3"/>
  <c r="J95" i="3"/>
  <c r="D105" i="3"/>
  <c r="D99" i="3"/>
  <c r="J98" i="3"/>
  <c r="J99" i="3" s="1"/>
  <c r="J100" i="3" s="1"/>
  <c r="J101" i="3" s="1"/>
  <c r="D104" i="3"/>
  <c r="D98" i="3"/>
  <c r="J96" i="3"/>
  <c r="D103" i="3"/>
  <c r="J69" i="3"/>
  <c r="D81" i="3" l="1"/>
  <c r="E80" i="3"/>
  <c r="I77" i="3" s="1"/>
  <c r="G80" i="3" s="1"/>
  <c r="J104" i="3"/>
  <c r="J105" i="3" s="1"/>
  <c r="C97" i="3" s="1"/>
  <c r="D97" i="3" s="1"/>
  <c r="D96" i="3"/>
  <c r="J73" i="3"/>
  <c r="V196" i="3"/>
  <c r="U178" i="3"/>
  <c r="V187" i="3"/>
  <c r="U187" i="3"/>
  <c r="V178" i="3"/>
  <c r="U196" i="3"/>
  <c r="E96" i="3" l="1"/>
  <c r="I93" i="3" s="1"/>
  <c r="G96" i="3" s="1"/>
  <c r="C65" i="3"/>
  <c r="E64" i="3" s="1"/>
  <c r="G108" i="3" s="1"/>
  <c r="T196" i="3"/>
  <c r="U197" i="3"/>
  <c r="V197" i="3"/>
  <c r="V198" i="3" s="1"/>
  <c r="V199" i="3" s="1"/>
  <c r="V200" i="3" s="1"/>
  <c r="V201" i="3" s="1"/>
  <c r="V202" i="3" s="1"/>
  <c r="V203" i="3" s="1"/>
  <c r="T187" i="3"/>
  <c r="U188" i="3"/>
  <c r="V188" i="3"/>
  <c r="V189" i="3" s="1"/>
  <c r="V190" i="3" s="1"/>
  <c r="V191" i="3" s="1"/>
  <c r="V192" i="3" s="1"/>
  <c r="V193" i="3" s="1"/>
  <c r="V194" i="3" s="1"/>
  <c r="V179" i="3"/>
  <c r="V180" i="3" s="1"/>
  <c r="V181" i="3" s="1"/>
  <c r="V182" i="3" s="1"/>
  <c r="V183" i="3" s="1"/>
  <c r="V184" i="3" s="1"/>
  <c r="V185" i="3" s="1"/>
  <c r="U179" i="3"/>
  <c r="T178" i="3"/>
  <c r="D65" i="3" l="1"/>
  <c r="I61" i="3"/>
  <c r="G64" i="3" s="1"/>
  <c r="A196" i="3"/>
  <c r="A187" i="3"/>
  <c r="A178" i="3"/>
  <c r="T197" i="3"/>
  <c r="A197" i="3" s="1"/>
  <c r="U198" i="3"/>
  <c r="T198" i="3" s="1"/>
  <c r="T188" i="3"/>
  <c r="A188" i="3" s="1"/>
  <c r="U189" i="3"/>
  <c r="T189" i="3" s="1"/>
  <c r="U180" i="3"/>
  <c r="T179" i="3"/>
  <c r="A179" i="3" s="1"/>
  <c r="A198" i="3" l="1"/>
  <c r="A189" i="3"/>
  <c r="U199" i="3"/>
  <c r="T199" i="3" s="1"/>
  <c r="U190" i="3"/>
  <c r="T190" i="3" s="1"/>
  <c r="U181" i="3"/>
  <c r="T180" i="3"/>
  <c r="A180" i="3" s="1"/>
  <c r="A199" i="3" l="1"/>
  <c r="A190" i="3"/>
  <c r="U200" i="3"/>
  <c r="T200" i="3" s="1"/>
  <c r="U191" i="3"/>
  <c r="T191" i="3" s="1"/>
  <c r="U182" i="3"/>
  <c r="T181" i="3"/>
  <c r="A181" i="3" s="1"/>
  <c r="A200" i="3" l="1"/>
  <c r="A191" i="3"/>
  <c r="U201" i="3"/>
  <c r="T201" i="3" s="1"/>
  <c r="U192" i="3"/>
  <c r="T192" i="3" s="1"/>
  <c r="U183" i="3"/>
  <c r="T182" i="3"/>
  <c r="A182" i="3" s="1"/>
  <c r="A201" i="3" l="1"/>
  <c r="A192" i="3"/>
  <c r="U202" i="3"/>
  <c r="T202" i="3" s="1"/>
  <c r="U193" i="3"/>
  <c r="T193" i="3" s="1"/>
  <c r="U184" i="3"/>
  <c r="T183" i="3"/>
  <c r="A183" i="3" s="1"/>
  <c r="A202" i="3" l="1"/>
  <c r="A193" i="3"/>
  <c r="U203" i="3"/>
  <c r="T203" i="3" s="1"/>
  <c r="U194" i="3"/>
  <c r="T194" i="3" s="1"/>
  <c r="U185" i="3"/>
  <c r="T184" i="3"/>
  <c r="A184" i="3" s="1"/>
  <c r="A203" i="3" l="1"/>
  <c r="A194" i="3"/>
  <c r="T185" i="3"/>
  <c r="A185"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4"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<sst xmlns="http://schemas.openxmlformats.org/spreadsheetml/2006/main" count="655" uniqueCount="381">
  <si>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</si>
  <si>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</si>
  <si>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</si>
  <si>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</si>
  <si>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</si>
  <si>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</si>
  <si>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</si>
  <si>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</si>
  <si>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</si>
  <si>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</si>
  <si>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</si>
  <si>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</si>
  <si>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</si>
  <si>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</si>
  <si>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</si>
  <si>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</si>
  <si>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</si>
  <si>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</si>
  <si>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</si>
  <si>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</si>
  <si>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</si>
  <si>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</si>
  <si>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</si>
  <si>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</si>
  <si>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</si>
  <si>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</si>
  <si>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</si>
  <si>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</si>
  <si>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</si>
  <si>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</si>
  <si>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</si>
  <si>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</si>
  <si>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</si>
  <si>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</si>
  <si>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</si>
  <si>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</si>
  <si>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</si>
  <si>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</si>
  <si>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</si>
  <si>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</si>
  <si>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</si>
  <si>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</si>
  <si>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</si>
  <si>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</si>
  <si>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</si>
  <si>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</si>
  <si>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</si>
  <si>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</si>
  <si>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</si>
  <si>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</si>
  <si>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</si>
  <si>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</si>
  <si>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</si>
  <si>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</si>
  <si>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</si>
  <si>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</si>
  <si>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</si>
  <si>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</si>
  <si>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</si>
  <si>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</si>
  <si>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</si>
  <si>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</si>
  <si>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</si>
  <si>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</si>
  <si>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</si>
  <si>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</si>
  <si>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</si>
  <si>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</si>
  <si>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</si>
  <si>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</si>
  <si>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</si>
  <si>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</si>
  <si>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</si>
  <si>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</si>
  <si>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</si>
  <si>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</si>
  <si>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</si>
  <si>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</si>
  <si>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</si>
  <si>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</si>
  <si>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</si>
  <si>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</si>
  <si>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</si>
  <si>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</si>
  <si>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</si>
  <si>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</si>
  <si>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</si>
  <si>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</si>
  <si>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</si>
  <si>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</si>
  <si>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</si>
  <si>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</si>
  <si>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</si>
  <si>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</si>
  <si>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</si>
  <si>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</si>
  <si>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</si>
  <si>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</si>
  <si>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</si>
  <si>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</si>
  <si>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</si>
  <si>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</si>
  <si>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</si>
  <si>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</si>
  <si>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</si>
  <si>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</si>
  <si>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</si>
  <si>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</si>
  <si>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</si>
  <si>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</si>
  <si>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</si>
  <si>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</si>
  <si>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</si>
  <si>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</si>
  <si>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</si>
  <si>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</si>
  <si>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</si>
  <si>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</si>
  <si>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</si>
  <si>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</si>
  <si>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</si>
  <si>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</si>
  <si>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</si>
  <si>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</si>
  <si>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</si>
  <si>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</si>
  <si>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</si>
  <si>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</si>
  <si>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</si>
  <si>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</si>
  <si>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</si>
  <si>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</si>
  <si>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</si>
  <si>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</si>
  <si>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</si>
  <si>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</si>
  <si>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</si>
  <si>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</si>
  <si>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</si>
  <si>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</si>
  <si>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</si>
  <si>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</si>
  <si>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</si>
  <si>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</si>
  <si>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</si>
  <si>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</si>
  <si>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</si>
  <si>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</si>
  <si>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</si>
  <si>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</si>
  <si>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</si>
  <si>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</si>
  <si>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</si>
  <si>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</si>
  <si>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</si>
  <si>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</si>
  <si>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</si>
  <si>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</si>
  <si>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</si>
  <si>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</si>
  <si>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</si>
  <si>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</si>
  <si>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</si>
  <si>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</si>
  <si>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</si>
  <si>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</si>
  <si>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</si>
  <si>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</si>
  <si>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</si>
  <si>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</si>
  <si>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</si>
  <si>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</si>
  <si>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</si>
  <si>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</si>
  <si>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</si>
  <si>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</si>
  <si>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</si>
  <si>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</si>
  <si>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</si>
  <si>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</si>
  <si>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</si>
  <si>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</si>
  <si>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</si>
  <si>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</si>
  <si>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</si>
  <si>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</si>
  <si>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</si>
  <si>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</si>
  <si>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</si>
  <si>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</si>
  <si>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</si>
  <si>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</si>
  <si>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</si>
  <si>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</si>
  <si>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</si>
  <si>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</si>
  <si>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</si>
  <si>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</si>
  <si>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</si>
  <si>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</si>
  <si>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</si>
  <si>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</si>
  <si>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</si>
  <si>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</si>
  <si>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</si>
  <si>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</si>
  <si>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</si>
  <si>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</si>
  <si>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</si>
  <si>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</si>
  <si>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</si>
  <si>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</si>
  <si>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</si>
  <si>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</si>
  <si>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</si>
  <si>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</si>
  <si>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</si>
  <si>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</si>
  <si>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</si>
  <si>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</si>
  <si>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</si>
  <si>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</si>
  <si>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</si>
  <si>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</si>
  <si>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</si>
  <si>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</si>
  <si>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</si>
  <si>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</si>
  <si>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</si>
  <si>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</si>
  <si>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</si>
  <si>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</si>
  <si>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</si>
  <si>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</si>
  <si>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</si>
  <si>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</si>
  <si>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</si>
  <si>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</si>
  <si>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</si>
  <si>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</si>
  <si>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</si>
  <si>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</si>
  <si>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</si>
  <si>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</si>
  <si>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</si>
  <si>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</si>
  <si>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</si>
  <si>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</si>
  <si>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</si>
  <si>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</si>
  <si>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</si>
  <si>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</si>
  <si>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</si>
  <si>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</si>
  <si>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</si>
  <si>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</si>
  <si>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</si>
  <si>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</si>
  <si>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</si>
  <si>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</si>
  <si>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</si>
  <si>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</si>
  <si>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</si>
  <si>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</si>
  <si>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</si>
  <si>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</si>
  <si>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</si>
  <si>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</si>
  <si>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</si>
  <si>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</si>
  <si>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</si>
  <si>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</si>
  <si>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</si>
  <si>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</si>
  <si>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</si>
  <si>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</si>
  <si>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</si>
  <si>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</si>
  <si>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</si>
  <si>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</si>
  <si>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</si>
  <si>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</si>
  <si>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</si>
  <si>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</si>
  <si>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</si>
  <si>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</si>
  <si>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</si>
  <si>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</si>
  <si>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</si>
  <si>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</si>
  <si>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</si>
  <si>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</si>
  <si>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</si>
  <si>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</si>
  <si>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</si>
  <si>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</si>
  <si>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</si>
  <si>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</si>
  <si>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</si>
  <si>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</si>
  <si>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</si>
  <si>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</si>
  <si>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</si>
  <si>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</si>
  <si>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</si>
  <si>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3 </t>
  </si>
  <si>
    <t xml:space="preserve">Tower 4 </t>
  </si>
  <si>
    <t>16/07/2025 at 04:09PM</t>
  </si>
  <si>
    <t>Miss Rupali</t>
  </si>
  <si>
    <t>Maruti Homes</t>
  </si>
  <si>
    <t>Mr. Ajay 9892465691</t>
  </si>
  <si>
    <t>Jay Shree Krishna Enterprises</t>
  </si>
  <si>
    <t>Office No. B-105, Shree Suryadarshan CHS, Parsik Nagar, Kalwa West, Thane 400605</t>
  </si>
  <si>
    <t>Maruti Homes, C.T.S.No.278, Village Parsik, Tal. &amp; Dist Thane</t>
  </si>
  <si>
    <t>Thane Municipal Corporation (TMC)</t>
  </si>
  <si>
    <t>P51700056264</t>
  </si>
  <si>
    <t>HDFC BANK
IFSC Code- HDFC0008177</t>
  </si>
  <si>
    <t>https://maps.app.goo.gl/bxh5d3t4jViMoHCC8</t>
  </si>
  <si>
    <t>Shree Rameshwar CHS</t>
  </si>
  <si>
    <t>Vitrified tiles flooring, Granite Kitchen Platform, Decorative Entrance &amp; Gymnasium, etc.</t>
  </si>
  <si>
    <t>https://www.99acres.com/jay-maruti-homes-kalwa-west-thane-npxid-r434864#showModal</t>
  </si>
  <si>
    <t>S08/0111/21/TMC/TD-DP/TPS/4316/23</t>
  </si>
  <si>
    <t>S08/0111/21/TMC/TDD/36</t>
  </si>
  <si>
    <t>Sub Plot B :
Building No. 1 = G/St + 1st to 22nd Floor
Building No. 2 = G/St + 1st to 7th Floor</t>
  </si>
  <si>
    <t>Building No. 2</t>
  </si>
  <si>
    <t>G/St + 1st to 22nd Floor</t>
  </si>
  <si>
    <t>G/St + 1st to 7th Floor</t>
  </si>
  <si>
    <t>0.8 KM from Parsik Nagar Bus Stop</t>
  </si>
  <si>
    <t>About 2KM from Arogya Multispeciality Hospital</t>
  </si>
  <si>
    <t>About 2.2KM from Milagris English School</t>
  </si>
  <si>
    <t>1. Approx. 1.1KM from Reliance SMART Bazaar.
2. Approx. 6KM from Thane Market.</t>
  </si>
  <si>
    <t>20m</t>
  </si>
  <si>
    <t>Other Plot</t>
  </si>
  <si>
    <t>20.00 Meter Wide DP Road</t>
  </si>
  <si>
    <t>Sub Plot A</t>
  </si>
  <si>
    <t>Sub Plot B</t>
  </si>
  <si>
    <t>Building No. 1</t>
  </si>
  <si>
    <t>Ground Floor For Commercial, Entrance Lobby, Meter Room &amp; Parking</t>
  </si>
  <si>
    <t>Shop</t>
  </si>
  <si>
    <t>1st Floor For Residential, Society Office &amp; Fitness Center</t>
  </si>
  <si>
    <t>Society Office</t>
  </si>
  <si>
    <t>Fitness Center</t>
  </si>
  <si>
    <t xml:space="preserve">1st Floor For Residential, Fitness Center &amp; Society Office </t>
  </si>
  <si>
    <t>1BHK</t>
  </si>
  <si>
    <t>1.5BHK</t>
  </si>
  <si>
    <t>2nd to 6th, 8th to 12th, 14th to 17th &amp; 19th to 22nd Floor</t>
  </si>
  <si>
    <t>7th, 13th &amp; 18th Floor (Part Refuge Area)</t>
  </si>
  <si>
    <t>Refuge Area</t>
  </si>
  <si>
    <t>Ground Floor For Entrance Lobby, Drivers Room, Fitness Center/ Creche, Meter Room, Society Office &amp; Parking</t>
  </si>
  <si>
    <t>1st to 7th Floor For Residential</t>
  </si>
  <si>
    <t>Chajja Area</t>
  </si>
  <si>
    <t>1.5KM from Kalwa East Railway Station
5.6KM from Thane (W) Railway Station</t>
  </si>
  <si>
    <t>Open Plot / Bharti Apartment</t>
  </si>
  <si>
    <t>Gholai Mandir Marg</t>
  </si>
  <si>
    <t>Rameshwar Complex</t>
  </si>
  <si>
    <t>U/C Building</t>
  </si>
  <si>
    <t>Mr.Krishna Kambli</t>
  </si>
  <si>
    <t>Proposed Building on Plot bearing CTS No. 278/A/2/A &amp; 278/A/2/B Gut No. 171 at Village - Parsik, Sector - 8, Thane</t>
  </si>
  <si>
    <t>As per CC</t>
  </si>
  <si>
    <t>Please Check Address</t>
  </si>
  <si>
    <t>As per 1st Architect letter (dtd. 26/02/2024) on RERA site</t>
  </si>
  <si>
    <t>AHFL - Mumbai</t>
  </si>
  <si>
    <t>Approved Layout, Floor Plans, CC, RERA certificate, Title Report</t>
  </si>
  <si>
    <t>Flats = 154    
Shop = 08</t>
  </si>
  <si>
    <t>19.204425,73.009229</t>
  </si>
  <si>
    <t xml:space="preserve">Building No.1 </t>
  </si>
  <si>
    <t>Building No.2</t>
  </si>
  <si>
    <t>Building No.1</t>
  </si>
  <si>
    <t>We have referred approved floor plan (i.e Sheet No. 5) for Building No.2 from RERA site.</t>
  </si>
  <si>
    <t>Chajja not conformed by shruti maam</t>
  </si>
  <si>
    <t xml:space="preserve">We did not consider the terrace area attached to the 1st floor flats in building no.1 (i.e flat no.3 &amp; 4) because it was not shown in the approved plans. </t>
  </si>
  <si>
    <t>Construction work is in process at the time of Visit (labour found).</t>
  </si>
  <si>
    <t>We considered Gross carpet area = Net carpet Area.</t>
  </si>
  <si>
    <t>vist</t>
  </si>
  <si>
    <t>13000 to 14000</t>
  </si>
  <si>
    <t>Maruti Homes, CTS No. 278/A/2/A &amp; 278/A/2/B Gut No.171, near Shree Rameshwar CHS, Gholai Nagar, Gholai Mandir Road, Parsik, Kalwa, Kalwa East, Thane, Thane - 400605</t>
  </si>
  <si>
    <t>As per approved plan address of project consists of single CTS No. 278A and village name is Kalwa But as per CC Village name is Parsik and consists of CTS No. 278/A/2/A &amp; 278/A/2/B Gut No.171.</t>
  </si>
  <si>
    <t>The Project Maruti homes is located near railway track. Please check for Railway Noc.</t>
  </si>
  <si>
    <t>As per RERA Site 
Flats = 154 &amp; Shop = 08</t>
  </si>
  <si>
    <t>Please check for Fire Noc.</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</si>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</sst>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31"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6"/>
      <color rgb="FFFF0000"/>
      <name val="Times New Roman"/>
      <family val="1"/>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Times New Roman"/>
      <family val="1"/>
    </font>
    <font>
      <sz val="8"/>
      <name val="Calibri"/>
      <family val="2"/>
    </font>
    <font>
      <sz val="16"/>
      <color rgb="FFFFFF00"/>
      <name val="Times New Roman"/>
      <family val="1"/>
    </font>
    <font>
      <b/>
      <sz val="20"/>
      <color rgb="FFFF000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218">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26" fillId="0" borderId="0" xfId="2" applyAlignment="1">
      <alignment vertical="top"/>
    </xf>
    <xf numFmtId="0" fontId="3" fillId="4" borderId="1" xfId="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3" fillId="0" borderId="0" xfId="0" applyNumberFormat="1" applyFont="1" applyAlignment="1">
      <alignment horizontal="left" vertical="top"/>
    </xf>
    <xf numFmtId="0" fontId="3" fillId="0" borderId="0" xfId="0" applyFont="1" applyAlignment="1">
      <alignment horizontal="left" vertical="top"/>
    </xf>
    <xf numFmtId="164" fontId="3" fillId="0" borderId="0" xfId="0" applyNumberFormat="1" applyFont="1" applyAlignment="1">
      <alignment horizontal="left" vertical="top"/>
    </xf>
    <xf numFmtId="0" fontId="29" fillId="0" borderId="0" xfId="0" applyFont="1" applyAlignment="1">
      <alignment horizontal="center" vertical="top"/>
    </xf>
    <xf numFmtId="0" fontId="29" fillId="0" borderId="0" xfId="0" applyFont="1" applyAlignment="1">
      <alignment horizontal="left" vertical="top"/>
    </xf>
    <xf numFmtId="1" fontId="8" fillId="0" borderId="1" xfId="1" applyNumberFormat="1" applyFont="1" applyBorder="1" applyAlignment="1">
      <alignment horizontal="center" vertical="top" wrapText="1"/>
    </xf>
    <xf numFmtId="0" fontId="22" fillId="0" borderId="0" xfId="0" applyFont="1" applyAlignment="1">
      <alignment vertical="top"/>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30" fillId="0" borderId="10" xfId="0" applyFont="1" applyBorder="1" applyAlignment="1">
      <alignment horizontal="center" vertical="top"/>
    </xf>
    <xf numFmtId="0" fontId="30" fillId="0" borderId="0" xfId="0" applyFont="1" applyAlignment="1">
      <alignment horizontal="center" vertical="top"/>
    </xf>
    <xf numFmtId="0" fontId="30" fillId="0" borderId="11" xfId="0" applyFont="1" applyBorder="1" applyAlignment="1">
      <alignment horizontal="center" vertical="top"/>
    </xf>
    <xf numFmtId="1" fontId="6" fillId="4" borderId="3"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0" applyFont="1" applyFill="1" applyBorder="1" applyAlignment="1">
      <alignment horizontal="left" vertical="top" wrapText="1"/>
    </xf>
    <xf numFmtId="0" fontId="3" fillId="4" borderId="1" xfId="0" applyFont="1" applyFill="1" applyBorder="1" applyAlignment="1">
      <alignment horizontal="left" vertical="top" wrapText="1"/>
    </xf>
    <xf numFmtId="0" fontId="27" fillId="4" borderId="1" xfId="2"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0" fontId="2" fillId="4"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3" xfId="0" applyFont="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1" fontId="5" fillId="4" borderId="1" xfId="1"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4" fillId="4" borderId="2" xfId="0" applyFont="1" applyFill="1" applyBorder="1" applyAlignment="1">
      <alignment horizontal="left" vertical="center" wrapText="1"/>
    </xf>
    <xf numFmtId="0" fontId="4" fillId="4" borderId="3" xfId="0" applyFont="1" applyFill="1" applyBorder="1" applyAlignment="1">
      <alignment horizontal="left" vertical="center" wrapText="1"/>
    </xf>
    <xf numFmtId="0" fontId="4" fillId="4" borderId="5" xfId="0" applyFont="1" applyFill="1" applyBorder="1" applyAlignment="1">
      <alignment horizontal="left" vertical="center" wrapText="1"/>
    </xf>
    <xf numFmtId="0" fontId="8" fillId="0" borderId="0" xfId="0" applyFont="1" applyAlignment="1">
      <alignment vertical="top"/>
    </xf>
    <xf numFmtId="0" fontId="3" fillId="0" borderId="0" xfId="0" applyFont="1" applyAlignment="1">
      <alignment horizontal="right" vertical="top"/>
    </xf>
    <xf numFmtId="0" fontId="4" fillId="0" borderId="0" xfId="0" applyFont="1" applyAlignment="1">
      <alignment horizontal="center" vertical="top"/>
    </xf>
    <xf numFmtId="1" fontId="3" fillId="0" borderId="0" xfId="0" applyNumberFormat="1" applyFont="1" applyAlignment="1">
      <alignment vertical="top"/>
    </xf>
    <xf numFmtId="1" fontId="8" fillId="0" borderId="0" xfId="0" applyNumberFormat="1" applyFont="1" applyAlignment="1">
      <alignment vertical="top"/>
    </xf>
    <xf numFmtId="0" fontId="2" fillId="0" borderId="0" xfId="0" applyFont="1" applyAlignment="1">
      <alignment horizontal="center" vertical="top"/>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8</xdr:col>
      <xdr:colOff>582706</xdr:colOff>
      <xdr:row>29</xdr:row>
      <xdr:rowOff>134471</xdr:rowOff>
    </xdr:from>
    <xdr:to>
      <xdr:col>11</xdr:col>
      <xdr:colOff>203956</xdr:colOff>
      <xdr:row>42</xdr:row>
      <xdr:rowOff>516189</xdr:rowOff>
    </xdr:to>
    <xdr:pic>
      <xdr:nvPicPr>
        <xdr:cNvPr id="2" name="Picture 1">
          <a:extLst>
            <a:ext uri="{FF2B5EF4-FFF2-40B4-BE49-F238E27FC236}">
              <a16:creationId xmlns:a16="http://schemas.microsoft.com/office/drawing/2014/main" id="{68561297-49EE-4C3C-860D-417E02228454}"/>
            </a:ext>
          </a:extLst>
        </xdr:cNvPr>
        <xdr:cNvPicPr>
          <a:picLocks noChangeAspect="1"/>
        </xdr:cNvPicPr>
      </xdr:nvPicPr>
      <xdr:blipFill>
        <a:blip xmlns:r="http://schemas.openxmlformats.org/officeDocument/2006/relationships" r:embed="rId1"/>
        <a:stretch>
          <a:fillRect/>
        </a:stretch>
      </xdr:blipFill>
      <xdr:spPr>
        <a:xfrm>
          <a:off x="9995647" y="14388353"/>
          <a:ext cx="3505689" cy="5144218"/>
        </a:xfrm>
        <a:prstGeom prst="rect">
          <a:avLst/>
        </a:prstGeom>
      </xdr:spPr>
    </xdr:pic>
    <xdr:clientData/>
  </xdr:twoCellAnchor>
  <xdr:twoCellAnchor editAs="oneCell">
    <xdr:from>
      <xdr:col>8</xdr:col>
      <xdr:colOff>302560</xdr:colOff>
      <xdr:row>109</xdr:row>
      <xdr:rowOff>347383</xdr:rowOff>
    </xdr:from>
    <xdr:to>
      <xdr:col>22</xdr:col>
      <xdr:colOff>331876</xdr:colOff>
      <xdr:row>120</xdr:row>
      <xdr:rowOff>183132</xdr:rowOff>
    </xdr:to>
    <xdr:pic>
      <xdr:nvPicPr>
        <xdr:cNvPr id="3" name="Picture 2">
          <a:extLst>
            <a:ext uri="{FF2B5EF4-FFF2-40B4-BE49-F238E27FC236}">
              <a16:creationId xmlns:a16="http://schemas.microsoft.com/office/drawing/2014/main" id="{36D8C1D1-D6F8-4452-88CC-983A95D86034}"/>
            </a:ext>
          </a:extLst>
        </xdr:cNvPr>
        <xdr:cNvPicPr>
          <a:picLocks noChangeAspect="1"/>
        </xdr:cNvPicPr>
      </xdr:nvPicPr>
      <xdr:blipFill>
        <a:blip xmlns:r="http://schemas.openxmlformats.org/officeDocument/2006/relationships" r:embed="rId2"/>
        <a:stretch>
          <a:fillRect/>
        </a:stretch>
      </xdr:blipFill>
      <xdr:spPr>
        <a:xfrm>
          <a:off x="9715501" y="33953824"/>
          <a:ext cx="8754697" cy="3410426"/>
        </a:xfrm>
        <a:prstGeom prst="rect">
          <a:avLst/>
        </a:prstGeom>
      </xdr:spPr>
    </xdr:pic>
    <xdr:clientData/>
  </xdr:twoCellAnchor>
  <xdr:twoCellAnchor editAs="oneCell">
    <xdr:from>
      <xdr:col>8</xdr:col>
      <xdr:colOff>806823</xdr:colOff>
      <xdr:row>128</xdr:row>
      <xdr:rowOff>100852</xdr:rowOff>
    </xdr:from>
    <xdr:to>
      <xdr:col>16</xdr:col>
      <xdr:colOff>355647</xdr:colOff>
      <xdr:row>138</xdr:row>
      <xdr:rowOff>143239</xdr:rowOff>
    </xdr:to>
    <xdr:pic>
      <xdr:nvPicPr>
        <xdr:cNvPr id="4" name="Picture 3">
          <a:extLst>
            <a:ext uri="{FF2B5EF4-FFF2-40B4-BE49-F238E27FC236}">
              <a16:creationId xmlns:a16="http://schemas.microsoft.com/office/drawing/2014/main" id="{CB9C4050-1C58-464F-89F8-5663C9A9861A}"/>
            </a:ext>
          </a:extLst>
        </xdr:cNvPr>
        <xdr:cNvPicPr>
          <a:picLocks noChangeAspect="1"/>
        </xdr:cNvPicPr>
      </xdr:nvPicPr>
      <xdr:blipFill>
        <a:blip xmlns:r="http://schemas.openxmlformats.org/officeDocument/2006/relationships" r:embed="rId3"/>
        <a:stretch>
          <a:fillRect/>
        </a:stretch>
      </xdr:blipFill>
      <xdr:spPr>
        <a:xfrm>
          <a:off x="10219764" y="40184293"/>
          <a:ext cx="6458851" cy="2619741"/>
        </a:xfrm>
        <a:prstGeom prst="rect">
          <a:avLst/>
        </a:prstGeom>
      </xdr:spPr>
    </xdr:pic>
    <xdr:clientData/>
  </xdr:twoCellAnchor>
  <xdr:twoCellAnchor editAs="oneCell">
    <xdr:from>
      <xdr:col>13</xdr:col>
      <xdr:colOff>19356</xdr:colOff>
      <xdr:row>146</xdr:row>
      <xdr:rowOff>94378</xdr:rowOff>
    </xdr:from>
    <xdr:to>
      <xdr:col>25</xdr:col>
      <xdr:colOff>311993</xdr:colOff>
      <xdr:row>148</xdr:row>
      <xdr:rowOff>236223</xdr:rowOff>
    </xdr:to>
    <xdr:pic>
      <xdr:nvPicPr>
        <xdr:cNvPr id="5" name="Picture 4">
          <a:extLst>
            <a:ext uri="{FF2B5EF4-FFF2-40B4-BE49-F238E27FC236}">
              <a16:creationId xmlns:a16="http://schemas.microsoft.com/office/drawing/2014/main" id="{193BA863-BDB9-480E-A152-264AC62F7DA6}"/>
            </a:ext>
          </a:extLst>
        </xdr:cNvPr>
        <xdr:cNvPicPr>
          <a:picLocks noChangeAspect="1"/>
        </xdr:cNvPicPr>
      </xdr:nvPicPr>
      <xdr:blipFill>
        <a:blip xmlns:r="http://schemas.openxmlformats.org/officeDocument/2006/relationships" r:embed="rId4"/>
        <a:stretch>
          <a:fillRect/>
        </a:stretch>
      </xdr:blipFill>
      <xdr:spPr>
        <a:xfrm>
          <a:off x="14306856" y="42523923"/>
          <a:ext cx="5747864" cy="661391"/>
        </a:xfrm>
        <a:prstGeom prst="rect">
          <a:avLst/>
        </a:prstGeom>
      </xdr:spPr>
    </xdr:pic>
    <xdr:clientData/>
  </xdr:twoCellAnchor>
  <xdr:twoCellAnchor editAs="oneCell">
    <xdr:from>
      <xdr:col>12</xdr:col>
      <xdr:colOff>7003</xdr:colOff>
      <xdr:row>145</xdr:row>
      <xdr:rowOff>59031</xdr:rowOff>
    </xdr:from>
    <xdr:to>
      <xdr:col>25</xdr:col>
      <xdr:colOff>487252</xdr:colOff>
      <xdr:row>150</xdr:row>
      <xdr:rowOff>65933</xdr:rowOff>
    </xdr:to>
    <xdr:pic>
      <xdr:nvPicPr>
        <xdr:cNvPr id="6" name="Picture 5">
          <a:extLst>
            <a:ext uri="{FF2B5EF4-FFF2-40B4-BE49-F238E27FC236}">
              <a16:creationId xmlns:a16="http://schemas.microsoft.com/office/drawing/2014/main" id="{F0EE5FDB-616C-4682-A506-FDDACFB10324}"/>
            </a:ext>
          </a:extLst>
        </xdr:cNvPr>
        <xdr:cNvPicPr>
          <a:picLocks noChangeAspect="1"/>
        </xdr:cNvPicPr>
      </xdr:nvPicPr>
      <xdr:blipFill>
        <a:blip xmlns:r="http://schemas.openxmlformats.org/officeDocument/2006/relationships" r:embed="rId5"/>
        <a:stretch>
          <a:fillRect/>
        </a:stretch>
      </xdr:blipFill>
      <xdr:spPr>
        <a:xfrm>
          <a:off x="13886289" y="42445281"/>
          <a:ext cx="6603463" cy="1299580"/>
        </a:xfrm>
        <a:prstGeom prst="rect">
          <a:avLst/>
        </a:prstGeom>
      </xdr:spPr>
    </xdr:pic>
    <xdr:clientData/>
  </xdr:twoCellAnchor>
  <xdr:twoCellAnchor editAs="oneCell">
    <xdr:from>
      <xdr:col>12</xdr:col>
      <xdr:colOff>130268</xdr:colOff>
      <xdr:row>151</xdr:row>
      <xdr:rowOff>235324</xdr:rowOff>
    </xdr:from>
    <xdr:to>
      <xdr:col>24</xdr:col>
      <xdr:colOff>353783</xdr:colOff>
      <xdr:row>155</xdr:row>
      <xdr:rowOff>90332</xdr:rowOff>
    </xdr:to>
    <xdr:pic>
      <xdr:nvPicPr>
        <xdr:cNvPr id="7" name="Picture 6">
          <a:extLst>
            <a:ext uri="{FF2B5EF4-FFF2-40B4-BE49-F238E27FC236}">
              <a16:creationId xmlns:a16="http://schemas.microsoft.com/office/drawing/2014/main" id="{1CF60C1D-4235-4BAE-AE66-CBBFE9347DE4}"/>
            </a:ext>
          </a:extLst>
        </xdr:cNvPr>
        <xdr:cNvPicPr>
          <a:picLocks noChangeAspect="1"/>
        </xdr:cNvPicPr>
      </xdr:nvPicPr>
      <xdr:blipFill>
        <a:blip xmlns:r="http://schemas.openxmlformats.org/officeDocument/2006/relationships" r:embed="rId6"/>
        <a:stretch>
          <a:fillRect/>
        </a:stretch>
      </xdr:blipFill>
      <xdr:spPr>
        <a:xfrm>
          <a:off x="13774831" y="44240824"/>
          <a:ext cx="5795640" cy="902758"/>
        </a:xfrm>
        <a:prstGeom prst="rect">
          <a:avLst/>
        </a:prstGeom>
      </xdr:spPr>
    </xdr:pic>
    <xdr:clientData/>
  </xdr:twoCellAnchor>
  <xdr:twoCellAnchor editAs="oneCell">
    <xdr:from>
      <xdr:col>13</xdr:col>
      <xdr:colOff>462243</xdr:colOff>
      <xdr:row>156</xdr:row>
      <xdr:rowOff>131667</xdr:rowOff>
    </xdr:from>
    <xdr:to>
      <xdr:col>31</xdr:col>
      <xdr:colOff>351147</xdr:colOff>
      <xdr:row>204</xdr:row>
      <xdr:rowOff>163477</xdr:rowOff>
    </xdr:to>
    <xdr:pic>
      <xdr:nvPicPr>
        <xdr:cNvPr id="8" name="Picture 7">
          <a:extLst>
            <a:ext uri="{FF2B5EF4-FFF2-40B4-BE49-F238E27FC236}">
              <a16:creationId xmlns:a16="http://schemas.microsoft.com/office/drawing/2014/main" id="{84DC94D4-2963-4412-B2CB-58E9CC39F5C9}"/>
            </a:ext>
          </a:extLst>
        </xdr:cNvPr>
        <xdr:cNvPicPr>
          <a:picLocks noChangeAspect="1"/>
        </xdr:cNvPicPr>
      </xdr:nvPicPr>
      <xdr:blipFill>
        <a:blip xmlns:r="http://schemas.openxmlformats.org/officeDocument/2006/relationships" r:embed="rId7"/>
        <a:stretch>
          <a:fillRect/>
        </a:stretch>
      </xdr:blipFill>
      <xdr:spPr>
        <a:xfrm>
          <a:off x="14725931" y="45446855"/>
          <a:ext cx="9080530" cy="3175060"/>
        </a:xfrm>
        <a:prstGeom prst="rect">
          <a:avLst/>
        </a:prstGeom>
      </xdr:spPr>
    </xdr:pic>
    <xdr:clientData/>
  </xdr:twoCellAnchor>
  <xdr:twoCellAnchor>
    <xdr:from>
      <xdr:col>0</xdr:col>
      <xdr:colOff>627529</xdr:colOff>
      <xdr:row>217</xdr:row>
      <xdr:rowOff>212911</xdr:rowOff>
    </xdr:from>
    <xdr:to>
      <xdr:col>7</xdr:col>
      <xdr:colOff>705970</xdr:colOff>
      <xdr:row>253</xdr:row>
      <xdr:rowOff>89647</xdr:rowOff>
    </xdr:to>
    <xdr:grpSp>
      <xdr:nvGrpSpPr>
        <xdr:cNvPr id="9" name="Group 8">
          <a:extLst>
            <a:ext uri="{FF2B5EF4-FFF2-40B4-BE49-F238E27FC236}">
              <a16:creationId xmlns:a16="http://schemas.microsoft.com/office/drawing/2014/main" id="{411FAF96-A804-4D5A-B1A7-B120895C6052}"/>
            </a:ext>
          </a:extLst>
        </xdr:cNvPr>
        <xdr:cNvGrpSpPr/>
      </xdr:nvGrpSpPr>
      <xdr:grpSpPr>
        <a:xfrm>
          <a:off x="627529" y="52083340"/>
          <a:ext cx="8269941" cy="9184021"/>
          <a:chOff x="-1" y="473866"/>
          <a:chExt cx="6947852" cy="7353180"/>
        </a:xfrm>
      </xdr:grpSpPr>
      <xdr:grpSp>
        <xdr:nvGrpSpPr>
          <xdr:cNvPr id="10" name="Group 9">
            <a:extLst>
              <a:ext uri="{FF2B5EF4-FFF2-40B4-BE49-F238E27FC236}">
                <a16:creationId xmlns:a16="http://schemas.microsoft.com/office/drawing/2014/main" id="{CE135AC9-67EF-48B0-8318-7441931A2CDA}"/>
              </a:ext>
            </a:extLst>
          </xdr:cNvPr>
          <xdr:cNvGrpSpPr/>
        </xdr:nvGrpSpPr>
        <xdr:grpSpPr>
          <a:xfrm>
            <a:off x="-1" y="473866"/>
            <a:ext cx="6947852" cy="7353180"/>
            <a:chOff x="-1" y="473866"/>
            <a:chExt cx="6947852" cy="7353180"/>
          </a:xfrm>
        </xdr:grpSpPr>
        <xdr:pic>
          <xdr:nvPicPr>
            <xdr:cNvPr id="15" name="Picture 14">
              <a:extLst>
                <a:ext uri="{FF2B5EF4-FFF2-40B4-BE49-F238E27FC236}">
                  <a16:creationId xmlns:a16="http://schemas.microsoft.com/office/drawing/2014/main" id="{39505044-EEDE-4B56-A52F-F1D740D2643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 y="473866"/>
              <a:ext cx="4316000" cy="3240000"/>
            </a:xfrm>
            <a:prstGeom prst="rect">
              <a:avLst/>
            </a:prstGeom>
            <a:ln>
              <a:solidFill>
                <a:schemeClr val="tx1"/>
              </a:solidFill>
            </a:ln>
          </xdr:spPr>
        </xdr:pic>
        <xdr:pic>
          <xdr:nvPicPr>
            <xdr:cNvPr id="16" name="Picture 15">
              <a:extLst>
                <a:ext uri="{FF2B5EF4-FFF2-40B4-BE49-F238E27FC236}">
                  <a16:creationId xmlns:a16="http://schemas.microsoft.com/office/drawing/2014/main" id="{7E70C73F-6384-4653-8BA9-EB618DBEDED9}"/>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430531" y="473866"/>
              <a:ext cx="2427469" cy="3240000"/>
            </a:xfrm>
            <a:prstGeom prst="rect">
              <a:avLst/>
            </a:prstGeom>
            <a:ln>
              <a:solidFill>
                <a:schemeClr val="tx1"/>
              </a:solidFill>
            </a:ln>
          </xdr:spPr>
        </xdr:pic>
        <xdr:pic>
          <xdr:nvPicPr>
            <xdr:cNvPr id="17" name="Picture 16">
              <a:extLst>
                <a:ext uri="{FF2B5EF4-FFF2-40B4-BE49-F238E27FC236}">
                  <a16:creationId xmlns:a16="http://schemas.microsoft.com/office/drawing/2014/main" id="{3301ACC2-7B64-462A-A863-FAA9019D75F7}"/>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51012" y="3880456"/>
              <a:ext cx="2877333" cy="2160000"/>
            </a:xfrm>
            <a:prstGeom prst="rect">
              <a:avLst/>
            </a:prstGeom>
            <a:ln>
              <a:solidFill>
                <a:schemeClr val="tx1"/>
              </a:solidFill>
            </a:ln>
          </xdr:spPr>
        </xdr:pic>
        <xdr:pic>
          <xdr:nvPicPr>
            <xdr:cNvPr id="18" name="Picture 17">
              <a:extLst>
                <a:ext uri="{FF2B5EF4-FFF2-40B4-BE49-F238E27FC236}">
                  <a16:creationId xmlns:a16="http://schemas.microsoft.com/office/drawing/2014/main" id="{56FA8BE3-601D-4D2C-9A4C-393D30AA1205}"/>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249707" y="3880456"/>
              <a:ext cx="1618312" cy="2160000"/>
            </a:xfrm>
            <a:prstGeom prst="rect">
              <a:avLst/>
            </a:prstGeom>
            <a:ln>
              <a:solidFill>
                <a:schemeClr val="tx1"/>
              </a:solidFill>
            </a:ln>
          </xdr:spPr>
        </xdr:pic>
        <xdr:pic>
          <xdr:nvPicPr>
            <xdr:cNvPr id="19" name="Picture 18">
              <a:extLst>
                <a:ext uri="{FF2B5EF4-FFF2-40B4-BE49-F238E27FC236}">
                  <a16:creationId xmlns:a16="http://schemas.microsoft.com/office/drawing/2014/main" id="{769AC0EB-25EA-4034-A103-61643EAF66AF}"/>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989381" y="3880456"/>
              <a:ext cx="1618312" cy="2160000"/>
            </a:xfrm>
            <a:prstGeom prst="rect">
              <a:avLst/>
            </a:prstGeom>
            <a:ln>
              <a:solidFill>
                <a:schemeClr val="tx1"/>
              </a:solidFill>
            </a:ln>
          </xdr:spPr>
        </xdr:pic>
        <xdr:pic>
          <xdr:nvPicPr>
            <xdr:cNvPr id="20" name="Picture 19">
              <a:extLst>
                <a:ext uri="{FF2B5EF4-FFF2-40B4-BE49-F238E27FC236}">
                  <a16:creationId xmlns:a16="http://schemas.microsoft.com/office/drawing/2014/main" id="{0B84C7AC-F275-4180-8240-D83BF51A6104}"/>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8051" y="6207046"/>
              <a:ext cx="2158000" cy="1620000"/>
            </a:xfrm>
            <a:prstGeom prst="rect">
              <a:avLst/>
            </a:prstGeom>
            <a:ln>
              <a:solidFill>
                <a:schemeClr val="tx1"/>
              </a:solidFill>
            </a:ln>
          </xdr:spPr>
        </xdr:pic>
        <xdr:pic>
          <xdr:nvPicPr>
            <xdr:cNvPr id="21" name="Picture 20">
              <a:extLst>
                <a:ext uri="{FF2B5EF4-FFF2-40B4-BE49-F238E27FC236}">
                  <a16:creationId xmlns:a16="http://schemas.microsoft.com/office/drawing/2014/main" id="{3CB4CA58-EB9D-4B9E-AE59-60E3CCD901BC}"/>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443951" y="6207046"/>
              <a:ext cx="2158000" cy="1620000"/>
            </a:xfrm>
            <a:prstGeom prst="rect">
              <a:avLst/>
            </a:prstGeom>
            <a:ln>
              <a:solidFill>
                <a:schemeClr val="tx1"/>
              </a:solidFill>
            </a:ln>
          </xdr:spPr>
        </xdr:pic>
        <xdr:pic>
          <xdr:nvPicPr>
            <xdr:cNvPr id="22" name="Picture 21">
              <a:extLst>
                <a:ext uri="{FF2B5EF4-FFF2-40B4-BE49-F238E27FC236}">
                  <a16:creationId xmlns:a16="http://schemas.microsoft.com/office/drawing/2014/main" id="{4487FB4C-498E-41D8-9892-36B9FED69D69}"/>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789851" y="6207046"/>
              <a:ext cx="2158000" cy="1620000"/>
            </a:xfrm>
            <a:prstGeom prst="rect">
              <a:avLst/>
            </a:prstGeom>
            <a:ln>
              <a:solidFill>
                <a:schemeClr val="tx1"/>
              </a:solidFill>
            </a:ln>
          </xdr:spPr>
        </xdr:pic>
      </xdr:grpSp>
      <xdr:sp macro="" textlink="">
        <xdr:nvSpPr>
          <xdr:cNvPr id="11" name="TextBox 21">
            <a:extLst>
              <a:ext uri="{FF2B5EF4-FFF2-40B4-BE49-F238E27FC236}">
                <a16:creationId xmlns:a16="http://schemas.microsoft.com/office/drawing/2014/main" id="{7C4E40E8-450D-4533-9BE1-8E028ABEF9CA}"/>
              </a:ext>
            </a:extLst>
          </xdr:cNvPr>
          <xdr:cNvSpPr txBox="1"/>
        </xdr:nvSpPr>
        <xdr:spPr>
          <a:xfrm>
            <a:off x="1391083" y="2850776"/>
            <a:ext cx="1967205"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Building No. 1</a:t>
            </a:r>
            <a:endParaRPr lang="en-IN" sz="2400" b="1">
              <a:solidFill>
                <a:srgbClr val="FF0000"/>
              </a:solidFill>
            </a:endParaRPr>
          </a:p>
        </xdr:txBody>
      </xdr:sp>
      <xdr:sp macro="" textlink="">
        <xdr:nvSpPr>
          <xdr:cNvPr id="12" name="TextBox 22">
            <a:extLst>
              <a:ext uri="{FF2B5EF4-FFF2-40B4-BE49-F238E27FC236}">
                <a16:creationId xmlns:a16="http://schemas.microsoft.com/office/drawing/2014/main" id="{D5ACC2D5-91A4-4CD6-B9F0-E9D9A8F8B336}"/>
              </a:ext>
            </a:extLst>
          </xdr:cNvPr>
          <xdr:cNvSpPr txBox="1"/>
        </xdr:nvSpPr>
        <xdr:spPr>
          <a:xfrm>
            <a:off x="4469154" y="473866"/>
            <a:ext cx="1967205"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Building No. 2</a:t>
            </a:r>
            <a:endParaRPr lang="en-IN" sz="2400" b="1">
              <a:solidFill>
                <a:srgbClr val="FF0000"/>
              </a:solidFill>
            </a:endParaRPr>
          </a:p>
        </xdr:txBody>
      </xdr:sp>
      <xdr:sp macro="" textlink="">
        <xdr:nvSpPr>
          <xdr:cNvPr id="13" name="TextBox 23">
            <a:extLst>
              <a:ext uri="{FF2B5EF4-FFF2-40B4-BE49-F238E27FC236}">
                <a16:creationId xmlns:a16="http://schemas.microsoft.com/office/drawing/2014/main" id="{A3BE0BB4-C668-4F48-A88C-E276740706B4}"/>
              </a:ext>
            </a:extLst>
          </xdr:cNvPr>
          <xdr:cNvSpPr txBox="1"/>
        </xdr:nvSpPr>
        <xdr:spPr>
          <a:xfrm>
            <a:off x="3275097" y="5569753"/>
            <a:ext cx="152157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No. 2</a:t>
            </a:r>
            <a:endParaRPr lang="en-IN" b="1">
              <a:solidFill>
                <a:srgbClr val="FF0000"/>
              </a:solidFill>
            </a:endParaRPr>
          </a:p>
        </xdr:txBody>
      </xdr:sp>
      <xdr:sp macro="" textlink="">
        <xdr:nvSpPr>
          <xdr:cNvPr id="14" name="TextBox 24">
            <a:extLst>
              <a:ext uri="{FF2B5EF4-FFF2-40B4-BE49-F238E27FC236}">
                <a16:creationId xmlns:a16="http://schemas.microsoft.com/office/drawing/2014/main" id="{3AB713B7-A28B-4DAD-BAC9-27F5D58A34AF}"/>
              </a:ext>
            </a:extLst>
          </xdr:cNvPr>
          <xdr:cNvSpPr txBox="1"/>
        </xdr:nvSpPr>
        <xdr:spPr>
          <a:xfrm>
            <a:off x="620466" y="3880456"/>
            <a:ext cx="152157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No. 1</a:t>
            </a:r>
            <a:endParaRPr lang="en-IN" b="1">
              <a:solidFill>
                <a:srgbClr val="FF0000"/>
              </a:solidFill>
            </a:endParaRPr>
          </a:p>
        </xdr:txBody>
      </xdr:sp>
    </xdr:grpSp>
    <xdr:clientData/>
  </xdr:twoCellAnchor>
  <xdr:twoCellAnchor>
    <xdr:from>
      <xdr:col>0</xdr:col>
      <xdr:colOff>403412</xdr:colOff>
      <xdr:row>263</xdr:row>
      <xdr:rowOff>257734</xdr:rowOff>
    </xdr:from>
    <xdr:to>
      <xdr:col>7</xdr:col>
      <xdr:colOff>829235</xdr:colOff>
      <xdr:row>292</xdr:row>
      <xdr:rowOff>89647</xdr:rowOff>
    </xdr:to>
    <xdr:grpSp>
      <xdr:nvGrpSpPr>
        <xdr:cNvPr id="23" name="Group 22">
          <a:extLst>
            <a:ext uri="{FF2B5EF4-FFF2-40B4-BE49-F238E27FC236}">
              <a16:creationId xmlns:a16="http://schemas.microsoft.com/office/drawing/2014/main" id="{AE55E5AA-907D-4DFB-B279-7D46DF207E66}"/>
            </a:ext>
          </a:extLst>
        </xdr:cNvPr>
        <xdr:cNvGrpSpPr/>
      </xdr:nvGrpSpPr>
      <xdr:grpSpPr>
        <a:xfrm>
          <a:off x="403412" y="64020805"/>
          <a:ext cx="8617323" cy="7329449"/>
          <a:chOff x="580627" y="2118970"/>
          <a:chExt cx="5696745" cy="4906060"/>
        </a:xfrm>
      </xdr:grpSpPr>
      <xdr:pic>
        <xdr:nvPicPr>
          <xdr:cNvPr id="24" name="Picture 23">
            <a:extLst>
              <a:ext uri="{FF2B5EF4-FFF2-40B4-BE49-F238E27FC236}">
                <a16:creationId xmlns:a16="http://schemas.microsoft.com/office/drawing/2014/main" id="{A5151029-15B7-47FD-A669-966A016E20FF}"/>
              </a:ext>
            </a:extLst>
          </xdr:cNvPr>
          <xdr:cNvPicPr>
            <a:picLocks noChangeAspect="1"/>
          </xdr:cNvPicPr>
        </xdr:nvPicPr>
        <xdr:blipFill>
          <a:blip xmlns:r="http://schemas.openxmlformats.org/officeDocument/2006/relationships" r:embed="rId16"/>
          <a:stretch>
            <a:fillRect/>
          </a:stretch>
        </xdr:blipFill>
        <xdr:spPr>
          <a:xfrm>
            <a:off x="580627" y="2118970"/>
            <a:ext cx="5696745" cy="4906060"/>
          </a:xfrm>
          <a:prstGeom prst="rect">
            <a:avLst/>
          </a:prstGeom>
          <a:ln>
            <a:solidFill>
              <a:schemeClr val="tx1"/>
            </a:solidFill>
          </a:ln>
        </xdr:spPr>
      </xdr:pic>
      <xdr:sp macro="" textlink="">
        <xdr:nvSpPr>
          <xdr:cNvPr id="25" name="Rectangle 24">
            <a:extLst>
              <a:ext uri="{FF2B5EF4-FFF2-40B4-BE49-F238E27FC236}">
                <a16:creationId xmlns:a16="http://schemas.microsoft.com/office/drawing/2014/main" id="{23084089-DC8F-4B6A-BB9A-450AAA046EA6}"/>
              </a:ext>
            </a:extLst>
          </xdr:cNvPr>
          <xdr:cNvSpPr/>
        </xdr:nvSpPr>
        <xdr:spPr>
          <a:xfrm rot="1666841">
            <a:off x="2011916" y="2889897"/>
            <a:ext cx="2288718" cy="1219200"/>
          </a:xfrm>
          <a:prstGeom prst="rect">
            <a:avLst/>
          </a:prstGeom>
          <a:noFill/>
          <a:ln w="28575">
            <a:solidFill>
              <a:srgbClr val="20242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6" name="Rectangle 25">
            <a:extLst>
              <a:ext uri="{FF2B5EF4-FFF2-40B4-BE49-F238E27FC236}">
                <a16:creationId xmlns:a16="http://schemas.microsoft.com/office/drawing/2014/main" id="{57084763-459F-4ED3-A434-3B6C1265C5E1}"/>
              </a:ext>
            </a:extLst>
          </xdr:cNvPr>
          <xdr:cNvSpPr/>
        </xdr:nvSpPr>
        <xdr:spPr>
          <a:xfrm>
            <a:off x="3796749" y="4572000"/>
            <a:ext cx="1797227" cy="1201271"/>
          </a:xfrm>
          <a:prstGeom prst="rect">
            <a:avLst/>
          </a:prstGeom>
          <a:noFill/>
          <a:ln w="28575">
            <a:solidFill>
              <a:srgbClr val="20242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7" name="TextBox 29">
            <a:extLst>
              <a:ext uri="{FF2B5EF4-FFF2-40B4-BE49-F238E27FC236}">
                <a16:creationId xmlns:a16="http://schemas.microsoft.com/office/drawing/2014/main" id="{F7253562-328D-4862-B68D-AB7B11C31C87}"/>
              </a:ext>
            </a:extLst>
          </xdr:cNvPr>
          <xdr:cNvSpPr txBox="1"/>
        </xdr:nvSpPr>
        <xdr:spPr>
          <a:xfrm rot="1557215">
            <a:off x="2828612" y="2833777"/>
            <a:ext cx="1967205"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Building No. 2</a:t>
            </a:r>
            <a:endParaRPr lang="en-IN" sz="2400" b="1"/>
          </a:p>
        </xdr:txBody>
      </xdr:sp>
      <xdr:sp macro="" textlink="">
        <xdr:nvSpPr>
          <xdr:cNvPr id="28" name="TextBox 30">
            <a:extLst>
              <a:ext uri="{FF2B5EF4-FFF2-40B4-BE49-F238E27FC236}">
                <a16:creationId xmlns:a16="http://schemas.microsoft.com/office/drawing/2014/main" id="{6B4BFB6B-5ABC-4C20-A22C-0291E63D9C2F}"/>
              </a:ext>
            </a:extLst>
          </xdr:cNvPr>
          <xdr:cNvSpPr txBox="1"/>
        </xdr:nvSpPr>
        <xdr:spPr>
          <a:xfrm>
            <a:off x="4130856" y="4294906"/>
            <a:ext cx="1967205"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Building No. 1</a:t>
            </a:r>
            <a:endParaRPr lang="en-IN" sz="2400" b="1"/>
          </a:p>
        </xdr:txBody>
      </xdr:sp>
      <xdr:sp macro="" textlink="">
        <xdr:nvSpPr>
          <xdr:cNvPr id="29" name="Arrow: Right 28">
            <a:extLst>
              <a:ext uri="{FF2B5EF4-FFF2-40B4-BE49-F238E27FC236}">
                <a16:creationId xmlns:a16="http://schemas.microsoft.com/office/drawing/2014/main" id="{F4A74422-2612-4E59-AC44-5BF368A8F864}"/>
              </a:ext>
            </a:extLst>
          </xdr:cNvPr>
          <xdr:cNvSpPr/>
        </xdr:nvSpPr>
        <xdr:spPr>
          <a:xfrm rot="16487631">
            <a:off x="1348747" y="5576047"/>
            <a:ext cx="633893" cy="394447"/>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0" name="TextBox 32">
            <a:extLst>
              <a:ext uri="{FF2B5EF4-FFF2-40B4-BE49-F238E27FC236}">
                <a16:creationId xmlns:a16="http://schemas.microsoft.com/office/drawing/2014/main" id="{E42C1782-E568-4060-8A84-946413A6E6B8}"/>
              </a:ext>
            </a:extLst>
          </xdr:cNvPr>
          <xdr:cNvSpPr txBox="1"/>
        </xdr:nvSpPr>
        <xdr:spPr>
          <a:xfrm>
            <a:off x="1488690" y="6105591"/>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N</a:t>
            </a:r>
            <a:endParaRPr lang="en-IN"/>
          </a:p>
        </xdr:txBody>
      </xdr:sp>
    </xdr:grpSp>
    <xdr:clientData/>
  </xdr:twoCellAnchor>
  <xdr:twoCellAnchor>
    <xdr:from>
      <xdr:col>0</xdr:col>
      <xdr:colOff>930088</xdr:colOff>
      <xdr:row>312</xdr:row>
      <xdr:rowOff>257734</xdr:rowOff>
    </xdr:from>
    <xdr:to>
      <xdr:col>6</xdr:col>
      <xdr:colOff>1131794</xdr:colOff>
      <xdr:row>340</xdr:row>
      <xdr:rowOff>212912</xdr:rowOff>
    </xdr:to>
    <xdr:grpSp>
      <xdr:nvGrpSpPr>
        <xdr:cNvPr id="31" name="Group 30">
          <a:extLst>
            <a:ext uri="{FF2B5EF4-FFF2-40B4-BE49-F238E27FC236}">
              <a16:creationId xmlns:a16="http://schemas.microsoft.com/office/drawing/2014/main" id="{243B24A3-485F-40E8-954F-C2376893FED9}"/>
            </a:ext>
          </a:extLst>
        </xdr:cNvPr>
        <xdr:cNvGrpSpPr/>
      </xdr:nvGrpSpPr>
      <xdr:grpSpPr>
        <a:xfrm>
          <a:off x="930088" y="76689055"/>
          <a:ext cx="7222992" cy="7194178"/>
          <a:chOff x="927099" y="1047737"/>
          <a:chExt cx="4949266" cy="5196130"/>
        </a:xfrm>
      </xdr:grpSpPr>
      <xdr:pic>
        <xdr:nvPicPr>
          <xdr:cNvPr id="32" name="Picture 31">
            <a:extLst>
              <a:ext uri="{FF2B5EF4-FFF2-40B4-BE49-F238E27FC236}">
                <a16:creationId xmlns:a16="http://schemas.microsoft.com/office/drawing/2014/main" id="{9185E838-5755-4E48-87EF-F95C9D6DC230}"/>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981635" y="1075765"/>
            <a:ext cx="4894730" cy="2850776"/>
          </a:xfrm>
          <a:prstGeom prst="rect">
            <a:avLst/>
          </a:prstGeom>
          <a:ln>
            <a:solidFill>
              <a:schemeClr val="tx1"/>
            </a:solidFill>
          </a:ln>
        </xdr:spPr>
      </xdr:pic>
      <xdr:sp macro="" textlink="">
        <xdr:nvSpPr>
          <xdr:cNvPr id="33" name="Freeform: Shape 32">
            <a:extLst>
              <a:ext uri="{FF2B5EF4-FFF2-40B4-BE49-F238E27FC236}">
                <a16:creationId xmlns:a16="http://schemas.microsoft.com/office/drawing/2014/main" id="{EF537FCD-53E6-4CD8-9E32-1BBFE0A98865}"/>
              </a:ext>
            </a:extLst>
          </xdr:cNvPr>
          <xdr:cNvSpPr/>
        </xdr:nvSpPr>
        <xdr:spPr>
          <a:xfrm>
            <a:off x="2762250" y="2343150"/>
            <a:ext cx="1362075" cy="942975"/>
          </a:xfrm>
          <a:custGeom>
            <a:avLst/>
            <a:gdLst>
              <a:gd name="connsiteX0" fmla="*/ 0 w 1362075"/>
              <a:gd name="connsiteY0" fmla="*/ 190500 h 919162"/>
              <a:gd name="connsiteX1" fmla="*/ 295275 w 1362075"/>
              <a:gd name="connsiteY1" fmla="*/ 4762 h 919162"/>
              <a:gd name="connsiteX2" fmla="*/ 447675 w 1362075"/>
              <a:gd name="connsiteY2" fmla="*/ 0 h 919162"/>
              <a:gd name="connsiteX3" fmla="*/ 1281113 w 1362075"/>
              <a:gd name="connsiteY3" fmla="*/ 242887 h 919162"/>
              <a:gd name="connsiteX4" fmla="*/ 1362075 w 1362075"/>
              <a:gd name="connsiteY4" fmla="*/ 823912 h 919162"/>
              <a:gd name="connsiteX5" fmla="*/ 790575 w 1362075"/>
              <a:gd name="connsiteY5" fmla="*/ 919162 h 919162"/>
              <a:gd name="connsiteX6" fmla="*/ 652463 w 1362075"/>
              <a:gd name="connsiteY6" fmla="*/ 428625 h 919162"/>
              <a:gd name="connsiteX7" fmla="*/ 0 w 1362075"/>
              <a:gd name="connsiteY7" fmla="*/ 190500 h 9191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362075" h="919162">
                <a:moveTo>
                  <a:pt x="0" y="190500"/>
                </a:moveTo>
                <a:lnTo>
                  <a:pt x="295275" y="4762"/>
                </a:lnTo>
                <a:lnTo>
                  <a:pt x="447675" y="0"/>
                </a:lnTo>
                <a:lnTo>
                  <a:pt x="1281113" y="242887"/>
                </a:lnTo>
                <a:lnTo>
                  <a:pt x="1362075" y="823912"/>
                </a:lnTo>
                <a:lnTo>
                  <a:pt x="790575" y="919162"/>
                </a:lnTo>
                <a:lnTo>
                  <a:pt x="652463" y="428625"/>
                </a:lnTo>
                <a:lnTo>
                  <a:pt x="0" y="190500"/>
                </a:lnTo>
                <a:close/>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TextBox 38">
            <a:extLst>
              <a:ext uri="{FF2B5EF4-FFF2-40B4-BE49-F238E27FC236}">
                <a16:creationId xmlns:a16="http://schemas.microsoft.com/office/drawing/2014/main" id="{3A5018C7-60EE-4D0D-B061-BCEB8CC05351}"/>
              </a:ext>
            </a:extLst>
          </xdr:cNvPr>
          <xdr:cNvSpPr txBox="1"/>
        </xdr:nvSpPr>
        <xdr:spPr>
          <a:xfrm rot="986567">
            <a:off x="3538535" y="2539828"/>
            <a:ext cx="615874" cy="19168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rgbClr val="FFFF00"/>
                </a:solidFill>
              </a:rPr>
              <a:t>Bldg No. 2</a:t>
            </a:r>
            <a:endParaRPr lang="en-IN" sz="1100" b="1">
              <a:solidFill>
                <a:srgbClr val="FFFF00"/>
              </a:solidFill>
            </a:endParaRPr>
          </a:p>
        </xdr:txBody>
      </xdr:sp>
      <xdr:sp macro="" textlink="">
        <xdr:nvSpPr>
          <xdr:cNvPr id="35" name="TextBox 39">
            <a:extLst>
              <a:ext uri="{FF2B5EF4-FFF2-40B4-BE49-F238E27FC236}">
                <a16:creationId xmlns:a16="http://schemas.microsoft.com/office/drawing/2014/main" id="{E9D84E10-F7B7-467D-A096-707136996E91}"/>
              </a:ext>
            </a:extLst>
          </xdr:cNvPr>
          <xdr:cNvSpPr txBox="1"/>
        </xdr:nvSpPr>
        <xdr:spPr>
          <a:xfrm rot="21012239">
            <a:off x="3494613" y="2984101"/>
            <a:ext cx="615874" cy="19168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rgbClr val="FFFF00"/>
                </a:solidFill>
              </a:rPr>
              <a:t>Bldg No. 1</a:t>
            </a:r>
            <a:endParaRPr lang="en-IN" sz="1100" b="1">
              <a:solidFill>
                <a:srgbClr val="FFFF00"/>
              </a:solidFill>
            </a:endParaRPr>
          </a:p>
        </xdr:txBody>
      </xdr:sp>
      <xdr:sp macro="" textlink="">
        <xdr:nvSpPr>
          <xdr:cNvPr id="36" name="TextBox 40">
            <a:extLst>
              <a:ext uri="{FF2B5EF4-FFF2-40B4-BE49-F238E27FC236}">
                <a16:creationId xmlns:a16="http://schemas.microsoft.com/office/drawing/2014/main" id="{0D85F3C7-7B92-4607-B3BE-D4C70594C015}"/>
              </a:ext>
            </a:extLst>
          </xdr:cNvPr>
          <xdr:cNvSpPr txBox="1"/>
        </xdr:nvSpPr>
        <xdr:spPr>
          <a:xfrm>
            <a:off x="3393087" y="2165273"/>
            <a:ext cx="155844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Maruti Homes</a:t>
            </a:r>
            <a:endParaRPr lang="en-IN" b="1">
              <a:solidFill>
                <a:srgbClr val="FFFF00"/>
              </a:solidFill>
            </a:endParaRPr>
          </a:p>
        </xdr:txBody>
      </xdr:sp>
      <xdr:sp macro="" textlink="">
        <xdr:nvSpPr>
          <xdr:cNvPr id="37" name="Freeform: Shape 36">
            <a:extLst>
              <a:ext uri="{FF2B5EF4-FFF2-40B4-BE49-F238E27FC236}">
                <a16:creationId xmlns:a16="http://schemas.microsoft.com/office/drawing/2014/main" id="{974D9E57-DD99-452F-917D-32381552DEAA}"/>
              </a:ext>
            </a:extLst>
          </xdr:cNvPr>
          <xdr:cNvSpPr/>
        </xdr:nvSpPr>
        <xdr:spPr>
          <a:xfrm>
            <a:off x="927100" y="1047737"/>
            <a:ext cx="3039754" cy="2190750"/>
          </a:xfrm>
          <a:custGeom>
            <a:avLst/>
            <a:gdLst>
              <a:gd name="connsiteX0" fmla="*/ 0 w 3124200"/>
              <a:gd name="connsiteY0" fmla="*/ 2190750 h 2190750"/>
              <a:gd name="connsiteX1" fmla="*/ 3124200 w 3124200"/>
              <a:gd name="connsiteY1" fmla="*/ 0 h 2190750"/>
            </a:gdLst>
            <a:ahLst/>
            <a:cxnLst>
              <a:cxn ang="0">
                <a:pos x="connsiteX0" y="connsiteY0"/>
              </a:cxn>
              <a:cxn ang="0">
                <a:pos x="connsiteX1" y="connsiteY1"/>
              </a:cxn>
            </a:cxnLst>
            <a:rect l="l" t="t" r="r" b="b"/>
            <a:pathLst>
              <a:path w="3124200" h="2190750">
                <a:moveTo>
                  <a:pt x="0" y="2190750"/>
                </a:moveTo>
                <a:lnTo>
                  <a:pt x="312420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8" name="Freeform: Shape 37">
            <a:extLst>
              <a:ext uri="{FF2B5EF4-FFF2-40B4-BE49-F238E27FC236}">
                <a16:creationId xmlns:a16="http://schemas.microsoft.com/office/drawing/2014/main" id="{7678C780-0C90-4172-980A-D24885AAB079}"/>
              </a:ext>
            </a:extLst>
          </xdr:cNvPr>
          <xdr:cNvSpPr/>
        </xdr:nvSpPr>
        <xdr:spPr>
          <a:xfrm>
            <a:off x="927099" y="1047737"/>
            <a:ext cx="2465988" cy="1708163"/>
          </a:xfrm>
          <a:custGeom>
            <a:avLst/>
            <a:gdLst>
              <a:gd name="connsiteX0" fmla="*/ 0 w 3124200"/>
              <a:gd name="connsiteY0" fmla="*/ 2190750 h 2190750"/>
              <a:gd name="connsiteX1" fmla="*/ 3124200 w 3124200"/>
              <a:gd name="connsiteY1" fmla="*/ 0 h 2190750"/>
            </a:gdLst>
            <a:ahLst/>
            <a:cxnLst>
              <a:cxn ang="0">
                <a:pos x="connsiteX0" y="connsiteY0"/>
              </a:cxn>
              <a:cxn ang="0">
                <a:pos x="connsiteX1" y="connsiteY1"/>
              </a:cxn>
            </a:cxnLst>
            <a:rect l="l" t="t" r="r" b="b"/>
            <a:pathLst>
              <a:path w="3124200" h="2190750">
                <a:moveTo>
                  <a:pt x="0" y="2190750"/>
                </a:moveTo>
                <a:lnTo>
                  <a:pt x="312420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9" name="TextBox 51">
            <a:extLst>
              <a:ext uri="{FF2B5EF4-FFF2-40B4-BE49-F238E27FC236}">
                <a16:creationId xmlns:a16="http://schemas.microsoft.com/office/drawing/2014/main" id="{D8B2434C-610B-4AC5-A626-1576CFE2F07A}"/>
              </a:ext>
            </a:extLst>
          </xdr:cNvPr>
          <xdr:cNvSpPr txBox="1"/>
        </xdr:nvSpPr>
        <xdr:spPr>
          <a:xfrm rot="19504852">
            <a:off x="1587000" y="2049504"/>
            <a:ext cx="955711" cy="2256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Railway Track</a:t>
            </a:r>
            <a:endParaRPr lang="en-IN" sz="1400" b="1">
              <a:solidFill>
                <a:srgbClr val="FF0000"/>
              </a:solidFill>
            </a:endParaRPr>
          </a:p>
        </xdr:txBody>
      </xdr:sp>
      <xdr:pic>
        <xdr:nvPicPr>
          <xdr:cNvPr id="40" name="Picture 39">
            <a:extLst>
              <a:ext uri="{FF2B5EF4-FFF2-40B4-BE49-F238E27FC236}">
                <a16:creationId xmlns:a16="http://schemas.microsoft.com/office/drawing/2014/main" id="{F8926F7B-191F-4576-8197-54EBB51D0B82}"/>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798327" y="4104418"/>
            <a:ext cx="3289919" cy="2139449"/>
          </a:xfrm>
          <a:prstGeom prst="rect">
            <a:avLst/>
          </a:prstGeom>
          <a:ln>
            <a:solidFill>
              <a:schemeClr val="tx1"/>
            </a:solidFill>
          </a:ln>
        </xdr:spPr>
      </xdr:pic>
    </xdr:grpSp>
    <xdr:clientData/>
  </xdr:twoCellAnchor>
  <xdr:twoCellAnchor editAs="oneCell">
    <xdr:from>
      <xdr:col>8</xdr:col>
      <xdr:colOff>336177</xdr:colOff>
      <xdr:row>16</xdr:row>
      <xdr:rowOff>56029</xdr:rowOff>
    </xdr:from>
    <xdr:to>
      <xdr:col>13</xdr:col>
      <xdr:colOff>507240</xdr:colOff>
      <xdr:row>20</xdr:row>
      <xdr:rowOff>64168</xdr:rowOff>
    </xdr:to>
    <xdr:pic>
      <xdr:nvPicPr>
        <xdr:cNvPr id="41" name="Picture 40">
          <a:extLst>
            <a:ext uri="{FF2B5EF4-FFF2-40B4-BE49-F238E27FC236}">
              <a16:creationId xmlns:a16="http://schemas.microsoft.com/office/drawing/2014/main" id="{B89393C4-9B77-4CC2-B7FF-4FB7898B1EBE}"/>
            </a:ext>
          </a:extLst>
        </xdr:cNvPr>
        <xdr:cNvPicPr>
          <a:picLocks noChangeAspect="1"/>
        </xdr:cNvPicPr>
      </xdr:nvPicPr>
      <xdr:blipFill>
        <a:blip xmlns:r="http://schemas.openxmlformats.org/officeDocument/2006/relationships" r:embed="rId19"/>
        <a:stretch>
          <a:fillRect/>
        </a:stretch>
      </xdr:blipFill>
      <xdr:spPr>
        <a:xfrm>
          <a:off x="9749118" y="7620000"/>
          <a:ext cx="5258534" cy="2114845"/>
        </a:xfrm>
        <a:prstGeom prst="rect">
          <a:avLst/>
        </a:prstGeom>
      </xdr:spPr>
    </xdr:pic>
    <xdr:clientData/>
  </xdr:twoCellAnchor>
  <xdr:twoCellAnchor editAs="oneCell">
    <xdr:from>
      <xdr:col>8</xdr:col>
      <xdr:colOff>212912</xdr:colOff>
      <xdr:row>44</xdr:row>
      <xdr:rowOff>201705</xdr:rowOff>
    </xdr:from>
    <xdr:to>
      <xdr:col>12</xdr:col>
      <xdr:colOff>334098</xdr:colOff>
      <xdr:row>54</xdr:row>
      <xdr:rowOff>208302</xdr:rowOff>
    </xdr:to>
    <xdr:pic>
      <xdr:nvPicPr>
        <xdr:cNvPr id="43" name="Picture 42">
          <a:extLst>
            <a:ext uri="{FF2B5EF4-FFF2-40B4-BE49-F238E27FC236}">
              <a16:creationId xmlns:a16="http://schemas.microsoft.com/office/drawing/2014/main" id="{D2B0E805-02DA-42EF-BFE3-F471D0879880}"/>
            </a:ext>
          </a:extLst>
        </xdr:cNvPr>
        <xdr:cNvPicPr>
          <a:picLocks noChangeAspect="1"/>
        </xdr:cNvPicPr>
      </xdr:nvPicPr>
      <xdr:blipFill>
        <a:blip xmlns:r="http://schemas.openxmlformats.org/officeDocument/2006/relationships" r:embed="rId20"/>
        <a:stretch>
          <a:fillRect/>
        </a:stretch>
      </xdr:blipFill>
      <xdr:spPr>
        <a:xfrm>
          <a:off x="9625853" y="20125764"/>
          <a:ext cx="4610743" cy="2372056"/>
        </a:xfrm>
        <a:prstGeom prst="rect">
          <a:avLst/>
        </a:prstGeom>
      </xdr:spPr>
    </xdr:pic>
    <xdr:clientData/>
  </xdr:twoCellAnchor>
  <xdr:twoCellAnchor editAs="oneCell">
    <xdr:from>
      <xdr:col>8</xdr:col>
      <xdr:colOff>347381</xdr:colOff>
      <xdr:row>52</xdr:row>
      <xdr:rowOff>537882</xdr:rowOff>
    </xdr:from>
    <xdr:to>
      <xdr:col>12</xdr:col>
      <xdr:colOff>177824</xdr:colOff>
      <xdr:row>64</xdr:row>
      <xdr:rowOff>218413</xdr:rowOff>
    </xdr:to>
    <xdr:pic>
      <xdr:nvPicPr>
        <xdr:cNvPr id="44" name="Picture 43">
          <a:extLst>
            <a:ext uri="{FF2B5EF4-FFF2-40B4-BE49-F238E27FC236}">
              <a16:creationId xmlns:a16="http://schemas.microsoft.com/office/drawing/2014/main" id="{06F9574B-046C-48A4-9C85-40705F53B3F4}"/>
            </a:ext>
          </a:extLst>
        </xdr:cNvPr>
        <xdr:cNvPicPr>
          <a:picLocks noChangeAspect="1"/>
        </xdr:cNvPicPr>
      </xdr:nvPicPr>
      <xdr:blipFill>
        <a:blip xmlns:r="http://schemas.openxmlformats.org/officeDocument/2006/relationships" r:embed="rId21"/>
        <a:stretch>
          <a:fillRect/>
        </a:stretch>
      </xdr:blipFill>
      <xdr:spPr>
        <a:xfrm>
          <a:off x="9760322" y="22602264"/>
          <a:ext cx="4320000" cy="2552446"/>
        </a:xfrm>
        <a:prstGeom prst="rect">
          <a:avLst/>
        </a:prstGeom>
      </xdr:spPr>
    </xdr:pic>
    <xdr:clientData/>
  </xdr:twoCellAnchor>
  <xdr:twoCellAnchor editAs="oneCell">
    <xdr:from>
      <xdr:col>8</xdr:col>
      <xdr:colOff>924485</xdr:colOff>
      <xdr:row>3</xdr:row>
      <xdr:rowOff>287350</xdr:rowOff>
    </xdr:from>
    <xdr:to>
      <xdr:col>18</xdr:col>
      <xdr:colOff>370450</xdr:colOff>
      <xdr:row>7</xdr:row>
      <xdr:rowOff>153289</xdr:rowOff>
    </xdr:to>
    <xdr:pic>
      <xdr:nvPicPr>
        <xdr:cNvPr id="45" name="Picture 44">
          <a:extLst>
            <a:ext uri="{FF2B5EF4-FFF2-40B4-BE49-F238E27FC236}">
              <a16:creationId xmlns:a16="http://schemas.microsoft.com/office/drawing/2014/main" id="{BB5D266F-5499-4BE4-85D1-A3EF9F3DF3B4}"/>
            </a:ext>
          </a:extLst>
        </xdr:cNvPr>
        <xdr:cNvPicPr>
          <a:picLocks noChangeAspect="1"/>
        </xdr:cNvPicPr>
      </xdr:nvPicPr>
      <xdr:blipFill>
        <a:blip xmlns:r="http://schemas.openxmlformats.org/officeDocument/2006/relationships" r:embed="rId22"/>
        <a:stretch>
          <a:fillRect/>
        </a:stretch>
      </xdr:blipFill>
      <xdr:spPr>
        <a:xfrm>
          <a:off x="10286199" y="1335100"/>
          <a:ext cx="7637465" cy="1798153"/>
        </a:xfrm>
        <a:prstGeom prst="rect">
          <a:avLst/>
        </a:prstGeom>
      </xdr:spPr>
    </xdr:pic>
    <xdr:clientData/>
  </xdr:twoCellAnchor>
  <xdr:twoCellAnchor>
    <xdr:from>
      <xdr:col>8</xdr:col>
      <xdr:colOff>1221439</xdr:colOff>
      <xdr:row>6</xdr:row>
      <xdr:rowOff>401013</xdr:rowOff>
    </xdr:from>
    <xdr:to>
      <xdr:col>16</xdr:col>
      <xdr:colOff>353785</xdr:colOff>
      <xdr:row>14</xdr:row>
      <xdr:rowOff>244929</xdr:rowOff>
    </xdr:to>
    <xdr:grpSp>
      <xdr:nvGrpSpPr>
        <xdr:cNvPr id="50" name="Group 49">
          <a:extLst>
            <a:ext uri="{FF2B5EF4-FFF2-40B4-BE49-F238E27FC236}">
              <a16:creationId xmlns:a16="http://schemas.microsoft.com/office/drawing/2014/main" id="{EBFDFF49-3A80-4C9B-B436-3C82EE8A69F6}"/>
            </a:ext>
          </a:extLst>
        </xdr:cNvPr>
        <xdr:cNvGrpSpPr/>
      </xdr:nvGrpSpPr>
      <xdr:grpSpPr>
        <a:xfrm>
          <a:off x="10583153" y="2823084"/>
          <a:ext cx="6099203" cy="3885238"/>
          <a:chOff x="10634383" y="4090148"/>
          <a:chExt cx="4342411" cy="2461736"/>
        </a:xfrm>
      </xdr:grpSpPr>
      <xdr:grpSp>
        <xdr:nvGrpSpPr>
          <xdr:cNvPr id="48" name="Group 47">
            <a:extLst>
              <a:ext uri="{FF2B5EF4-FFF2-40B4-BE49-F238E27FC236}">
                <a16:creationId xmlns:a16="http://schemas.microsoft.com/office/drawing/2014/main" id="{56748F27-393E-4910-A7CD-BD31F9A12D50}"/>
              </a:ext>
            </a:extLst>
          </xdr:cNvPr>
          <xdr:cNvGrpSpPr/>
        </xdr:nvGrpSpPr>
        <xdr:grpSpPr>
          <a:xfrm>
            <a:off x="10634383" y="4090148"/>
            <a:ext cx="4342411" cy="2461736"/>
            <a:chOff x="10634383" y="4090148"/>
            <a:chExt cx="4342411" cy="2461736"/>
          </a:xfrm>
        </xdr:grpSpPr>
        <xdr:pic>
          <xdr:nvPicPr>
            <xdr:cNvPr id="46" name="Picture 45">
              <a:extLst>
                <a:ext uri="{FF2B5EF4-FFF2-40B4-BE49-F238E27FC236}">
                  <a16:creationId xmlns:a16="http://schemas.microsoft.com/office/drawing/2014/main" id="{AC36BF81-1E02-4C43-8D91-A9252AB87F60}"/>
                </a:ext>
              </a:extLst>
            </xdr:cNvPr>
            <xdr:cNvPicPr>
              <a:picLocks noChangeAspect="1"/>
            </xdr:cNvPicPr>
          </xdr:nvPicPr>
          <xdr:blipFill>
            <a:blip xmlns:r="http://schemas.openxmlformats.org/officeDocument/2006/relationships" r:embed="rId23"/>
            <a:stretch>
              <a:fillRect/>
            </a:stretch>
          </xdr:blipFill>
          <xdr:spPr>
            <a:xfrm>
              <a:off x="10656794" y="4090148"/>
              <a:ext cx="4320000" cy="1186965"/>
            </a:xfrm>
            <a:prstGeom prst="rect">
              <a:avLst/>
            </a:prstGeom>
          </xdr:spPr>
        </xdr:pic>
        <xdr:pic>
          <xdr:nvPicPr>
            <xdr:cNvPr id="47" name="Picture 46">
              <a:extLst>
                <a:ext uri="{FF2B5EF4-FFF2-40B4-BE49-F238E27FC236}">
                  <a16:creationId xmlns:a16="http://schemas.microsoft.com/office/drawing/2014/main" id="{5B8EA364-71BF-4AC4-972B-62C80809D80F}"/>
                </a:ext>
              </a:extLst>
            </xdr:cNvPr>
            <xdr:cNvPicPr>
              <a:picLocks noChangeAspect="1"/>
            </xdr:cNvPicPr>
          </xdr:nvPicPr>
          <xdr:blipFill>
            <a:blip xmlns:r="http://schemas.openxmlformats.org/officeDocument/2006/relationships" r:embed="rId24"/>
            <a:stretch>
              <a:fillRect/>
            </a:stretch>
          </xdr:blipFill>
          <xdr:spPr>
            <a:xfrm>
              <a:off x="10634383" y="5356412"/>
              <a:ext cx="4320000" cy="1195472"/>
            </a:xfrm>
            <a:prstGeom prst="rect">
              <a:avLst/>
            </a:prstGeom>
          </xdr:spPr>
        </xdr:pic>
      </xdr:grpSp>
      <xdr:sp macro="" textlink="">
        <xdr:nvSpPr>
          <xdr:cNvPr id="49" name="TextBox 48">
            <a:extLst>
              <a:ext uri="{FF2B5EF4-FFF2-40B4-BE49-F238E27FC236}">
                <a16:creationId xmlns:a16="http://schemas.microsoft.com/office/drawing/2014/main" id="{730D2A7C-442B-41AB-9F90-F427A5CDE6F6}"/>
              </a:ext>
            </a:extLst>
          </xdr:cNvPr>
          <xdr:cNvSpPr txBox="1"/>
        </xdr:nvSpPr>
        <xdr:spPr>
          <a:xfrm>
            <a:off x="10668000" y="4953000"/>
            <a:ext cx="9535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solidFill>
                  <a:srgbClr val="FF0000"/>
                </a:solidFill>
              </a:rPr>
              <a:t>Title</a:t>
            </a:r>
            <a:r>
              <a:rPr lang="en-IN" sz="1400" b="1" baseline="0">
                <a:solidFill>
                  <a:srgbClr val="FF0000"/>
                </a:solidFill>
              </a:rPr>
              <a:t> RERA</a:t>
            </a:r>
            <a:endParaRPr lang="en-IN" sz="1400" b="1">
              <a:solidFill>
                <a:srgbClr val="FF0000"/>
              </a:solidFill>
            </a:endParaRPr>
          </a:p>
        </xdr:txBody>
      </xdr:sp>
    </xdr:grpSp>
    <xdr:clientData/>
  </xdr:twoCellAnchor>
  <xdr:twoCellAnchor editAs="oneCell">
    <xdr:from>
      <xdr:col>8</xdr:col>
      <xdr:colOff>1643743</xdr:colOff>
      <xdr:row>212</xdr:row>
      <xdr:rowOff>220435</xdr:rowOff>
    </xdr:from>
    <xdr:to>
      <xdr:col>18</xdr:col>
      <xdr:colOff>345622</xdr:colOff>
      <xdr:row>231</xdr:row>
      <xdr:rowOff>13201</xdr:rowOff>
    </xdr:to>
    <xdr:pic>
      <xdr:nvPicPr>
        <xdr:cNvPr id="51" name="Picture 50">
          <a:extLst>
            <a:ext uri="{FF2B5EF4-FFF2-40B4-BE49-F238E27FC236}">
              <a16:creationId xmlns:a16="http://schemas.microsoft.com/office/drawing/2014/main" id="{A30FA846-B243-4B3B-8808-0B3E9C3B289D}"/>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1005457" y="51328864"/>
          <a:ext cx="6893379" cy="4704945"/>
        </a:xfrm>
        <a:prstGeom prst="rect">
          <a:avLst/>
        </a:prstGeom>
        <a:ln>
          <a:solidFill>
            <a:schemeClr val="tx1"/>
          </a:solidFill>
        </a:ln>
      </xdr:spPr>
    </xdr:pic>
    <xdr:clientData/>
  </xdr:twoCellAnchor>
  <xdr:twoCellAnchor editAs="oneCell">
    <xdr:from>
      <xdr:col>8</xdr:col>
      <xdr:colOff>1181100</xdr:colOff>
      <xdr:row>225</xdr:row>
      <xdr:rowOff>83712</xdr:rowOff>
    </xdr:from>
    <xdr:to>
      <xdr:col>17</xdr:col>
      <xdr:colOff>495300</xdr:colOff>
      <xdr:row>243</xdr:row>
      <xdr:rowOff>129323</xdr:rowOff>
    </xdr:to>
    <xdr:pic>
      <xdr:nvPicPr>
        <xdr:cNvPr id="52" name="Picture 51">
          <a:extLst>
            <a:ext uri="{FF2B5EF4-FFF2-40B4-BE49-F238E27FC236}">
              <a16:creationId xmlns:a16="http://schemas.microsoft.com/office/drawing/2014/main" id="{431BD959-0CF8-4716-B00A-4078E0948B4C}"/>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10629900" y="57233712"/>
          <a:ext cx="6858000" cy="4846212"/>
        </a:xfrm>
        <a:prstGeom prst="rect">
          <a:avLst/>
        </a:prstGeom>
      </xdr:spPr>
    </xdr:pic>
    <xdr:clientData/>
  </xdr:twoCellAnchor>
  <xdr:twoCellAnchor editAs="oneCell">
    <xdr:from>
      <xdr:col>8</xdr:col>
      <xdr:colOff>1333500</xdr:colOff>
      <xdr:row>16</xdr:row>
      <xdr:rowOff>1</xdr:rowOff>
    </xdr:from>
    <xdr:to>
      <xdr:col>22</xdr:col>
      <xdr:colOff>108858</xdr:colOff>
      <xdr:row>20</xdr:row>
      <xdr:rowOff>87394</xdr:rowOff>
    </xdr:to>
    <xdr:pic>
      <xdr:nvPicPr>
        <xdr:cNvPr id="42" name="Picture 41"/>
        <xdr:cNvPicPr>
          <a:picLocks noChangeAspect="1"/>
        </xdr:cNvPicPr>
      </xdr:nvPicPr>
      <xdr:blipFill>
        <a:blip xmlns:r="http://schemas.openxmlformats.org/officeDocument/2006/relationships" r:embed="rId27"/>
        <a:stretch>
          <a:fillRect/>
        </a:stretch>
      </xdr:blipFill>
      <xdr:spPr>
        <a:xfrm>
          <a:off x="10695214" y="6980465"/>
          <a:ext cx="7579180" cy="2210108"/>
        </a:xfrm>
        <a:prstGeom prst="rect">
          <a:avLst/>
        </a:prstGeom>
      </xdr:spPr>
    </xdr:pic>
    <xdr:clientData/>
  </xdr:twoCellAnchor>
  <xdr:twoCellAnchor editAs="oneCell">
    <xdr:from>
      <xdr:col>8</xdr:col>
      <xdr:colOff>557888</xdr:colOff>
      <xdr:row>16</xdr:row>
      <xdr:rowOff>258535</xdr:rowOff>
    </xdr:from>
    <xdr:to>
      <xdr:col>18</xdr:col>
      <xdr:colOff>388803</xdr:colOff>
      <xdr:row>20</xdr:row>
      <xdr:rowOff>340177</xdr:rowOff>
    </xdr:to>
    <xdr:pic>
      <xdr:nvPicPr>
        <xdr:cNvPr id="53" name="Picture 52"/>
        <xdr:cNvPicPr>
          <a:picLocks noChangeAspect="1"/>
        </xdr:cNvPicPr>
      </xdr:nvPicPr>
      <xdr:blipFill>
        <a:blip xmlns:r="http://schemas.openxmlformats.org/officeDocument/2006/relationships" r:embed="rId28"/>
        <a:stretch>
          <a:fillRect/>
        </a:stretch>
      </xdr:blipFill>
      <xdr:spPr>
        <a:xfrm>
          <a:off x="9919602" y="7238999"/>
          <a:ext cx="8022415" cy="2204357"/>
        </a:xfrm>
        <a:prstGeom prst="rect">
          <a:avLst/>
        </a:prstGeom>
      </xdr:spPr>
    </xdr:pic>
    <xdr:clientData/>
  </xdr:twoCellAnchor>
  <xdr:twoCellAnchor editAs="oneCell">
    <xdr:from>
      <xdr:col>14</xdr:col>
      <xdr:colOff>48243</xdr:colOff>
      <xdr:row>133</xdr:row>
      <xdr:rowOff>235034</xdr:rowOff>
    </xdr:from>
    <xdr:to>
      <xdr:col>27</xdr:col>
      <xdr:colOff>428231</xdr:colOff>
      <xdr:row>150</xdr:row>
      <xdr:rowOff>196311</xdr:rowOff>
    </xdr:to>
    <xdr:pic>
      <xdr:nvPicPr>
        <xdr:cNvPr id="54" name="Picture 53"/>
        <xdr:cNvPicPr>
          <a:picLocks noChangeAspect="1"/>
        </xdr:cNvPicPr>
      </xdr:nvPicPr>
      <xdr:blipFill>
        <a:blip xmlns:r="http://schemas.openxmlformats.org/officeDocument/2006/relationships" r:embed="rId29"/>
        <a:stretch>
          <a:fillRect/>
        </a:stretch>
      </xdr:blipFill>
      <xdr:spPr>
        <a:xfrm>
          <a:off x="14941879" y="39287534"/>
          <a:ext cx="6354760" cy="4377412"/>
        </a:xfrm>
        <a:prstGeom prst="rect">
          <a:avLst/>
        </a:prstGeom>
      </xdr:spPr>
    </xdr:pic>
    <xdr:clientData/>
  </xdr:twoCellAnchor>
  <xdr:twoCellAnchor editAs="oneCell">
    <xdr:from>
      <xdr:col>8</xdr:col>
      <xdr:colOff>326571</xdr:colOff>
      <xdr:row>120</xdr:row>
      <xdr:rowOff>149679</xdr:rowOff>
    </xdr:from>
    <xdr:to>
      <xdr:col>11</xdr:col>
      <xdr:colOff>470011</xdr:colOff>
      <xdr:row>127</xdr:row>
      <xdr:rowOff>45142</xdr:rowOff>
    </xdr:to>
    <xdr:pic>
      <xdr:nvPicPr>
        <xdr:cNvPr id="55" name="Picture 54"/>
        <xdr:cNvPicPr>
          <a:picLocks noChangeAspect="1"/>
        </xdr:cNvPicPr>
      </xdr:nvPicPr>
      <xdr:blipFill>
        <a:blip xmlns:r="http://schemas.openxmlformats.org/officeDocument/2006/relationships" r:embed="rId30"/>
        <a:stretch>
          <a:fillRect/>
        </a:stretch>
      </xdr:blipFill>
      <xdr:spPr>
        <a:xfrm>
          <a:off x="9688285" y="35487429"/>
          <a:ext cx="4048690" cy="1705213"/>
        </a:xfrm>
        <a:prstGeom prst="rect">
          <a:avLst/>
        </a:prstGeom>
      </xdr:spPr>
    </xdr:pic>
    <xdr:clientData/>
  </xdr:twoCellAnchor>
  <xdr:twoCellAnchor editAs="oneCell">
    <xdr:from>
      <xdr:col>14</xdr:col>
      <xdr:colOff>227613</xdr:colOff>
      <xdr:row>144</xdr:row>
      <xdr:rowOff>116279</xdr:rowOff>
    </xdr:from>
    <xdr:to>
      <xdr:col>27</xdr:col>
      <xdr:colOff>132075</xdr:colOff>
      <xdr:row>160</xdr:row>
      <xdr:rowOff>218925</xdr:rowOff>
    </xdr:to>
    <xdr:pic>
      <xdr:nvPicPr>
        <xdr:cNvPr id="56" name="Picture 55"/>
        <xdr:cNvPicPr>
          <a:picLocks noChangeAspect="1"/>
        </xdr:cNvPicPr>
      </xdr:nvPicPr>
      <xdr:blipFill>
        <a:blip xmlns:r="http://schemas.openxmlformats.org/officeDocument/2006/relationships" r:embed="rId31"/>
        <a:stretch>
          <a:fillRect/>
        </a:stretch>
      </xdr:blipFill>
      <xdr:spPr>
        <a:xfrm>
          <a:off x="15363704" y="42026279"/>
          <a:ext cx="5879235" cy="4259010"/>
        </a:xfrm>
        <a:prstGeom prst="rect">
          <a:avLst/>
        </a:prstGeom>
      </xdr:spPr>
    </xdr:pic>
    <xdr:clientData/>
  </xdr:twoCellAnchor>
  <xdr:twoCellAnchor editAs="oneCell">
    <xdr:from>
      <xdr:col>24</xdr:col>
      <xdr:colOff>502228</xdr:colOff>
      <xdr:row>139</xdr:row>
      <xdr:rowOff>190499</xdr:rowOff>
    </xdr:from>
    <xdr:to>
      <xdr:col>31</xdr:col>
      <xdr:colOff>518522</xdr:colOff>
      <xdr:row>154</xdr:row>
      <xdr:rowOff>74127</xdr:rowOff>
    </xdr:to>
    <xdr:pic>
      <xdr:nvPicPr>
        <xdr:cNvPr id="57" name="Picture 56"/>
        <xdr:cNvPicPr>
          <a:picLocks noChangeAspect="1"/>
        </xdr:cNvPicPr>
      </xdr:nvPicPr>
      <xdr:blipFill>
        <a:blip xmlns:r="http://schemas.openxmlformats.org/officeDocument/2006/relationships" r:embed="rId32"/>
        <a:stretch>
          <a:fillRect/>
        </a:stretch>
      </xdr:blipFill>
      <xdr:spPr>
        <a:xfrm>
          <a:off x="19881273" y="40801635"/>
          <a:ext cx="4172658" cy="3780219"/>
        </a:xfrm>
        <a:prstGeom prst="rect">
          <a:avLst/>
        </a:prstGeom>
      </xdr:spPr>
    </xdr:pic>
    <xdr:clientData/>
  </xdr:twoCellAnchor>
  <xdr:twoCellAnchor editAs="oneCell">
    <xdr:from>
      <xdr:col>8</xdr:col>
      <xdr:colOff>843642</xdr:colOff>
      <xdr:row>154</xdr:row>
      <xdr:rowOff>142258</xdr:rowOff>
    </xdr:from>
    <xdr:to>
      <xdr:col>18</xdr:col>
      <xdr:colOff>180531</xdr:colOff>
      <xdr:row>204</xdr:row>
      <xdr:rowOff>182603</xdr:rowOff>
    </xdr:to>
    <xdr:pic>
      <xdr:nvPicPr>
        <xdr:cNvPr id="59" name="Picture 58"/>
        <xdr:cNvPicPr>
          <a:picLocks noChangeAspect="1"/>
        </xdr:cNvPicPr>
      </xdr:nvPicPr>
      <xdr:blipFill>
        <a:blip xmlns:r="http://schemas.openxmlformats.org/officeDocument/2006/relationships" r:embed="rId33"/>
        <a:stretch>
          <a:fillRect/>
        </a:stretch>
      </xdr:blipFill>
      <xdr:spPr>
        <a:xfrm>
          <a:off x="10264733" y="44649985"/>
          <a:ext cx="7476434" cy="3677163"/>
        </a:xfrm>
        <a:prstGeom prst="rect">
          <a:avLst/>
        </a:prstGeom>
      </xdr:spPr>
    </xdr:pic>
    <xdr:clientData/>
  </xdr:twoCellAnchor>
  <xdr:twoCellAnchor editAs="oneCell">
    <xdr:from>
      <xdr:col>16</xdr:col>
      <xdr:colOff>180057</xdr:colOff>
      <xdr:row>161</xdr:row>
      <xdr:rowOff>252643</xdr:rowOff>
    </xdr:from>
    <xdr:to>
      <xdr:col>30</xdr:col>
      <xdr:colOff>562895</xdr:colOff>
      <xdr:row>210</xdr:row>
      <xdr:rowOff>200285</xdr:rowOff>
    </xdr:to>
    <xdr:pic>
      <xdr:nvPicPr>
        <xdr:cNvPr id="61" name="Picture 60"/>
        <xdr:cNvPicPr>
          <a:picLocks noChangeAspect="1"/>
        </xdr:cNvPicPr>
      </xdr:nvPicPr>
      <xdr:blipFill>
        <a:blip xmlns:r="http://schemas.openxmlformats.org/officeDocument/2006/relationships" r:embed="rId34"/>
        <a:stretch>
          <a:fillRect/>
        </a:stretch>
      </xdr:blipFill>
      <xdr:spPr>
        <a:xfrm>
          <a:off x="16528421" y="46838552"/>
          <a:ext cx="6963747" cy="3324689"/>
        </a:xfrm>
        <a:prstGeom prst="rect">
          <a:avLst/>
        </a:prstGeom>
      </xdr:spPr>
    </xdr:pic>
    <xdr:clientData/>
  </xdr:twoCellAnchor>
  <xdr:twoCellAnchor editAs="oneCell">
    <xdr:from>
      <xdr:col>10</xdr:col>
      <xdr:colOff>332757</xdr:colOff>
      <xdr:row>138</xdr:row>
      <xdr:rowOff>84116</xdr:rowOff>
    </xdr:from>
    <xdr:to>
      <xdr:col>17</xdr:col>
      <xdr:colOff>333362</xdr:colOff>
      <xdr:row>151</xdr:row>
      <xdr:rowOff>214434</xdr:rowOff>
    </xdr:to>
    <xdr:pic>
      <xdr:nvPicPr>
        <xdr:cNvPr id="62" name="Picture 61"/>
        <xdr:cNvPicPr>
          <a:picLocks noChangeAspect="1"/>
        </xdr:cNvPicPr>
      </xdr:nvPicPr>
      <xdr:blipFill>
        <a:blip xmlns:r="http://schemas.openxmlformats.org/officeDocument/2006/relationships" r:embed="rId35"/>
        <a:stretch>
          <a:fillRect/>
        </a:stretch>
      </xdr:blipFill>
      <xdr:spPr>
        <a:xfrm>
          <a:off x="13044302" y="40435480"/>
          <a:ext cx="4243560" cy="35073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99acres.com/jay-maruti-homes-kalwa-west-thane-npxid-r434864" TargetMode="External"/><Relationship Id="rId1" Type="http://schemas.openxmlformats.org/officeDocument/2006/relationships/hyperlink" Target="https://maps.app.goo.gl/bxh5d3t4jViMoHCC8"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53"/>
  <sheetViews>
    <sheetView tabSelected="1" view="pageBreakPreview" topLeftCell="A161" zoomScale="70" zoomScaleNormal="85" zoomScaleSheetLayoutView="70" zoomScalePageLayoutView="70" workbookViewId="0">
      <selection activeCell="I206" sqref="I206"/>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5.5703125"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49" t="s">
        <v>38</v>
      </c>
      <c r="B1" s="150"/>
      <c r="C1" s="150"/>
      <c r="D1" s="150"/>
      <c r="E1" s="150"/>
      <c r="F1" s="150"/>
      <c r="G1" s="150"/>
      <c r="H1" s="151"/>
    </row>
    <row r="2" spans="1:11" ht="42" customHeight="1" x14ac:dyDescent="0.25">
      <c r="A2" s="136" t="s">
        <v>10</v>
      </c>
      <c r="B2" s="136"/>
      <c r="C2" s="126" t="s">
        <v>87</v>
      </c>
      <c r="D2" s="126"/>
      <c r="E2" s="136" t="s">
        <v>12</v>
      </c>
      <c r="F2" s="136"/>
      <c r="G2" s="176">
        <v>45852</v>
      </c>
      <c r="H2" s="126"/>
      <c r="I2" s="107" t="s">
        <v>359</v>
      </c>
      <c r="J2" s="108"/>
      <c r="K2" s="109"/>
    </row>
    <row r="3" spans="1:11" ht="20.25" x14ac:dyDescent="0.25">
      <c r="A3" s="136" t="s">
        <v>39</v>
      </c>
      <c r="B3" s="136"/>
      <c r="C3" s="187" t="s">
        <v>309</v>
      </c>
      <c r="D3" s="126"/>
      <c r="E3" s="136" t="s">
        <v>160</v>
      </c>
      <c r="F3" s="136"/>
      <c r="G3" s="126" t="s">
        <v>307</v>
      </c>
      <c r="H3" s="126"/>
    </row>
    <row r="4" spans="1:11" ht="43.5" customHeight="1" x14ac:dyDescent="0.25">
      <c r="A4" s="136" t="s">
        <v>36</v>
      </c>
      <c r="B4" s="136"/>
      <c r="C4" s="126" t="s">
        <v>310</v>
      </c>
      <c r="D4" s="126"/>
      <c r="E4" s="136" t="s">
        <v>33</v>
      </c>
      <c r="F4" s="136"/>
      <c r="G4" s="126" t="str">
        <f ca="1">TEXT(TODAY(),"DD/MM/YYYY")</f>
        <v>24/07/2025</v>
      </c>
      <c r="H4" s="126"/>
    </row>
    <row r="5" spans="1:11" ht="20.25" x14ac:dyDescent="0.25">
      <c r="A5" s="124" t="s">
        <v>40</v>
      </c>
      <c r="B5" s="124"/>
      <c r="C5" s="124"/>
      <c r="D5" s="124"/>
      <c r="E5" s="124"/>
      <c r="F5" s="124"/>
      <c r="G5" s="124"/>
      <c r="H5" s="124"/>
    </row>
    <row r="6" spans="1:11" ht="43.5" customHeight="1" x14ac:dyDescent="0.25">
      <c r="A6" s="136" t="s">
        <v>29</v>
      </c>
      <c r="B6" s="136"/>
      <c r="C6" s="126" t="s">
        <v>361</v>
      </c>
      <c r="D6" s="126"/>
      <c r="E6" s="136" t="s">
        <v>35</v>
      </c>
      <c r="F6" s="136"/>
      <c r="G6" s="127" t="s">
        <v>308</v>
      </c>
      <c r="H6" s="127"/>
    </row>
    <row r="7" spans="1:11" ht="44.25" customHeight="1" x14ac:dyDescent="0.25">
      <c r="A7" s="136" t="s">
        <v>42</v>
      </c>
      <c r="B7" s="136"/>
      <c r="C7" s="126" t="s">
        <v>311</v>
      </c>
      <c r="D7" s="126"/>
      <c r="E7" s="136" t="s">
        <v>43</v>
      </c>
      <c r="F7" s="136"/>
      <c r="G7" s="126" t="s">
        <v>311</v>
      </c>
      <c r="H7" s="126"/>
    </row>
    <row r="8" spans="1:11" ht="48.75" customHeight="1" x14ac:dyDescent="0.25">
      <c r="A8" s="136" t="s">
        <v>44</v>
      </c>
      <c r="B8" s="136"/>
      <c r="C8" s="126" t="s">
        <v>312</v>
      </c>
      <c r="D8" s="126"/>
      <c r="E8" s="126"/>
      <c r="F8" s="126"/>
      <c r="G8" s="126"/>
      <c r="H8" s="126"/>
    </row>
    <row r="9" spans="1:11" ht="20.25" x14ac:dyDescent="0.25">
      <c r="A9" s="154" t="s">
        <v>151</v>
      </c>
      <c r="B9" s="47" t="s">
        <v>41</v>
      </c>
      <c r="C9" s="126" t="s">
        <v>313</v>
      </c>
      <c r="D9" s="126"/>
      <c r="E9" s="126"/>
      <c r="F9" s="126"/>
      <c r="G9" s="126"/>
      <c r="H9" s="126"/>
    </row>
    <row r="10" spans="1:11" ht="44.25" customHeight="1" x14ac:dyDescent="0.25">
      <c r="A10" s="154"/>
      <c r="B10" s="47" t="s">
        <v>11</v>
      </c>
      <c r="C10" s="126" t="s">
        <v>357</v>
      </c>
      <c r="D10" s="126"/>
      <c r="E10" s="126"/>
      <c r="F10" s="126"/>
      <c r="G10" s="126"/>
      <c r="H10" s="126"/>
      <c r="I10" s="104" t="s">
        <v>358</v>
      </c>
    </row>
    <row r="11" spans="1:11" ht="59.25" customHeight="1" x14ac:dyDescent="0.25">
      <c r="A11" s="154"/>
      <c r="B11" s="47" t="s">
        <v>5</v>
      </c>
      <c r="C11" s="126" t="s">
        <v>375</v>
      </c>
      <c r="D11" s="126"/>
      <c r="E11" s="126"/>
      <c r="F11" s="126"/>
      <c r="G11" s="126"/>
      <c r="H11" s="126"/>
    </row>
    <row r="12" spans="1:11" ht="40.5" customHeight="1" x14ac:dyDescent="0.25">
      <c r="A12" s="136" t="s">
        <v>34</v>
      </c>
      <c r="B12" s="136"/>
      <c r="C12" s="127" t="s">
        <v>362</v>
      </c>
      <c r="D12" s="127"/>
      <c r="E12" s="127"/>
      <c r="F12" s="127"/>
      <c r="G12" s="127"/>
      <c r="H12" s="127"/>
    </row>
    <row r="13" spans="1:11" ht="20.100000000000001" customHeight="1" x14ac:dyDescent="0.25">
      <c r="A13" s="124" t="s">
        <v>45</v>
      </c>
      <c r="B13" s="124"/>
      <c r="C13" s="124"/>
      <c r="D13" s="124"/>
      <c r="E13" s="124"/>
      <c r="F13" s="124"/>
      <c r="G13" s="124"/>
      <c r="H13" s="124"/>
    </row>
    <row r="14" spans="1:11" ht="41.25" customHeight="1" x14ac:dyDescent="0.25">
      <c r="A14" s="136" t="s">
        <v>27</v>
      </c>
      <c r="B14" s="136" t="s">
        <v>4</v>
      </c>
      <c r="C14" s="126" t="s">
        <v>88</v>
      </c>
      <c r="D14" s="126"/>
      <c r="E14" s="136" t="s">
        <v>46</v>
      </c>
      <c r="F14" s="136" t="s">
        <v>4</v>
      </c>
      <c r="G14" s="126" t="s">
        <v>314</v>
      </c>
      <c r="H14" s="126"/>
    </row>
    <row r="15" spans="1:11" ht="20.25" x14ac:dyDescent="0.25">
      <c r="A15" s="136" t="s">
        <v>47</v>
      </c>
      <c r="B15" s="136" t="s">
        <v>4</v>
      </c>
      <c r="C15" s="126" t="s">
        <v>315</v>
      </c>
      <c r="D15" s="126"/>
      <c r="E15" s="136" t="s">
        <v>48</v>
      </c>
      <c r="F15" s="136" t="s">
        <v>4</v>
      </c>
      <c r="G15" s="176">
        <v>46477</v>
      </c>
      <c r="H15" s="126"/>
    </row>
    <row r="16" spans="1:11" ht="20.25" x14ac:dyDescent="0.25">
      <c r="A16" s="136" t="s">
        <v>49</v>
      </c>
      <c r="B16" s="136" t="s">
        <v>4</v>
      </c>
      <c r="C16" s="176">
        <v>45434</v>
      </c>
      <c r="D16" s="126"/>
      <c r="E16" s="136" t="s">
        <v>50</v>
      </c>
      <c r="F16" s="136" t="s">
        <v>4</v>
      </c>
      <c r="G16" s="175">
        <v>45323</v>
      </c>
      <c r="H16" s="126"/>
      <c r="I16" s="1" t="s">
        <v>360</v>
      </c>
    </row>
    <row r="17" spans="1:9" ht="41.25" customHeight="1" x14ac:dyDescent="0.25">
      <c r="A17" s="136" t="s">
        <v>51</v>
      </c>
      <c r="B17" s="136" t="s">
        <v>4</v>
      </c>
      <c r="C17" s="176">
        <f>G15</f>
        <v>46477</v>
      </c>
      <c r="D17" s="126"/>
      <c r="E17" s="136" t="s">
        <v>52</v>
      </c>
      <c r="F17" s="136" t="s">
        <v>4</v>
      </c>
      <c r="G17" s="126" t="s">
        <v>316</v>
      </c>
      <c r="H17" s="126"/>
    </row>
    <row r="18" spans="1:9" ht="41.25" customHeight="1" x14ac:dyDescent="0.25">
      <c r="A18" s="136" t="s">
        <v>53</v>
      </c>
      <c r="B18" s="136" t="s">
        <v>4</v>
      </c>
      <c r="C18" s="126"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26"/>
      <c r="E18" s="136" t="s">
        <v>95</v>
      </c>
      <c r="F18" s="136" t="s">
        <v>4</v>
      </c>
      <c r="G18" s="126">
        <v>1950</v>
      </c>
      <c r="H18" s="126"/>
    </row>
    <row r="19" spans="1:9" ht="41.25" customHeight="1" x14ac:dyDescent="0.25">
      <c r="A19" s="136" t="s">
        <v>54</v>
      </c>
      <c r="B19" s="136" t="s">
        <v>4</v>
      </c>
      <c r="C19" s="126">
        <v>1.1000000000000001</v>
      </c>
      <c r="D19" s="126"/>
      <c r="E19" s="136" t="s">
        <v>244</v>
      </c>
      <c r="F19" s="136" t="s">
        <v>4</v>
      </c>
      <c r="G19" s="126">
        <v>1800</v>
      </c>
      <c r="H19" s="126"/>
    </row>
    <row r="20" spans="1:9" ht="41.25" customHeight="1" x14ac:dyDescent="0.25">
      <c r="A20" s="136" t="s">
        <v>93</v>
      </c>
      <c r="B20" s="136" t="s">
        <v>4</v>
      </c>
      <c r="C20" s="126">
        <v>7416.47</v>
      </c>
      <c r="D20" s="126"/>
      <c r="E20" s="136" t="s">
        <v>94</v>
      </c>
      <c r="F20" s="136" t="s">
        <v>4</v>
      </c>
      <c r="G20" s="126">
        <v>7191.13</v>
      </c>
      <c r="H20" s="126"/>
    </row>
    <row r="21" spans="1:9" ht="41.25" customHeight="1" x14ac:dyDescent="0.25">
      <c r="A21" s="136" t="s">
        <v>56</v>
      </c>
      <c r="B21" s="136" t="s">
        <v>4</v>
      </c>
      <c r="C21" s="126" t="s">
        <v>363</v>
      </c>
      <c r="D21" s="126"/>
      <c r="E21" s="136" t="s">
        <v>55</v>
      </c>
      <c r="F21" s="136" t="s">
        <v>4</v>
      </c>
      <c r="G21" s="126" t="s">
        <v>378</v>
      </c>
      <c r="H21" s="126"/>
    </row>
    <row r="22" spans="1:9" ht="20.25" x14ac:dyDescent="0.25">
      <c r="A22" s="136" t="s">
        <v>164</v>
      </c>
      <c r="B22" s="136" t="s">
        <v>4</v>
      </c>
      <c r="C22" s="126" t="s">
        <v>364</v>
      </c>
      <c r="D22" s="126"/>
      <c r="E22" s="136" t="s">
        <v>165</v>
      </c>
      <c r="F22" s="136" t="s">
        <v>4</v>
      </c>
      <c r="G22" s="126" t="s">
        <v>318</v>
      </c>
      <c r="H22" s="126"/>
    </row>
    <row r="23" spans="1:9" ht="20.25" x14ac:dyDescent="0.25">
      <c r="A23" s="136" t="s">
        <v>162</v>
      </c>
      <c r="B23" s="136" t="s">
        <v>4</v>
      </c>
      <c r="C23" s="128" t="s">
        <v>317</v>
      </c>
      <c r="D23" s="126"/>
      <c r="E23" s="126"/>
      <c r="F23" s="126"/>
      <c r="G23" s="126"/>
      <c r="H23" s="126"/>
    </row>
    <row r="24" spans="1:9" ht="43.5" customHeight="1" x14ac:dyDescent="0.25">
      <c r="A24" s="136" t="s">
        <v>25</v>
      </c>
      <c r="B24" s="136" t="s">
        <v>4</v>
      </c>
      <c r="C24" s="127" t="s">
        <v>319</v>
      </c>
      <c r="D24" s="127"/>
      <c r="E24" s="127"/>
      <c r="F24" s="127"/>
      <c r="G24" s="127"/>
      <c r="H24" s="127"/>
      <c r="I24" s="93" t="s">
        <v>320</v>
      </c>
    </row>
    <row r="25" spans="1:9" ht="24" customHeight="1" x14ac:dyDescent="0.25">
      <c r="A25" s="124" t="s">
        <v>20</v>
      </c>
      <c r="B25" s="124"/>
      <c r="C25" s="124"/>
      <c r="D25" s="124"/>
      <c r="E25" s="124"/>
      <c r="F25" s="124"/>
      <c r="G25" s="124"/>
      <c r="H25" s="124"/>
    </row>
    <row r="26" spans="1:9" ht="43.5" customHeight="1" x14ac:dyDescent="0.25">
      <c r="A26" s="136" t="s">
        <v>26</v>
      </c>
      <c r="B26" s="136" t="s">
        <v>4</v>
      </c>
      <c r="C26" s="126" t="str">
        <f>IF(AND(G26="Upper"),"Developed","Developing")</f>
        <v>Developing</v>
      </c>
      <c r="D26" s="126"/>
      <c r="E26" s="136" t="s">
        <v>13</v>
      </c>
      <c r="F26" s="136" t="s">
        <v>4</v>
      </c>
      <c r="G26" s="127" t="s">
        <v>166</v>
      </c>
      <c r="H26" s="127"/>
    </row>
    <row r="27" spans="1:9" ht="43.5" customHeight="1" x14ac:dyDescent="0.25">
      <c r="A27" s="136" t="s">
        <v>14</v>
      </c>
      <c r="B27" s="136" t="s">
        <v>4</v>
      </c>
      <c r="C27" s="127" t="s">
        <v>98</v>
      </c>
      <c r="D27" s="127"/>
      <c r="E27" s="136" t="s">
        <v>152</v>
      </c>
      <c r="F27" s="136" t="s">
        <v>4</v>
      </c>
      <c r="G27" s="127" t="s">
        <v>331</v>
      </c>
      <c r="H27" s="127"/>
    </row>
    <row r="28" spans="1:9" ht="43.5" customHeight="1" x14ac:dyDescent="0.25">
      <c r="A28" s="136" t="s">
        <v>23</v>
      </c>
      <c r="B28" s="136" t="s">
        <v>4</v>
      </c>
      <c r="C28" s="126" t="s">
        <v>97</v>
      </c>
      <c r="D28" s="126"/>
      <c r="E28" s="136" t="s">
        <v>16</v>
      </c>
      <c r="F28" s="136" t="s">
        <v>4</v>
      </c>
      <c r="G28" s="127" t="s">
        <v>327</v>
      </c>
      <c r="H28" s="127"/>
    </row>
    <row r="29" spans="1:9" ht="43.5" customHeight="1" x14ac:dyDescent="0.25">
      <c r="A29" s="136" t="s">
        <v>107</v>
      </c>
      <c r="B29" s="136" t="s">
        <v>4</v>
      </c>
      <c r="C29" s="127" t="s">
        <v>329</v>
      </c>
      <c r="D29" s="127"/>
      <c r="E29" s="136" t="s">
        <v>108</v>
      </c>
      <c r="F29" s="136" t="s">
        <v>4</v>
      </c>
      <c r="G29" s="127" t="s">
        <v>328</v>
      </c>
      <c r="H29" s="127"/>
    </row>
    <row r="30" spans="1:9" ht="84" customHeight="1" x14ac:dyDescent="0.25">
      <c r="A30" s="136" t="s">
        <v>17</v>
      </c>
      <c r="B30" s="136" t="s">
        <v>4</v>
      </c>
      <c r="C30" s="127" t="s">
        <v>330</v>
      </c>
      <c r="D30" s="127"/>
      <c r="E30" s="136" t="s">
        <v>15</v>
      </c>
      <c r="F30" s="136" t="s">
        <v>4</v>
      </c>
      <c r="G30" s="127" t="s">
        <v>351</v>
      </c>
      <c r="H30" s="127"/>
    </row>
    <row r="31" spans="1:9" ht="20.25" x14ac:dyDescent="0.25">
      <c r="A31" s="136" t="s">
        <v>113</v>
      </c>
      <c r="B31" s="136" t="s">
        <v>4</v>
      </c>
      <c r="C31" s="126" t="s">
        <v>114</v>
      </c>
      <c r="D31" s="126"/>
      <c r="E31" s="136" t="s">
        <v>115</v>
      </c>
      <c r="F31" s="136" t="s">
        <v>4</v>
      </c>
      <c r="G31" s="126" t="s">
        <v>114</v>
      </c>
      <c r="H31" s="126"/>
    </row>
    <row r="32" spans="1:9" ht="21.75" customHeight="1" x14ac:dyDescent="0.25">
      <c r="A32" s="136" t="s">
        <v>116</v>
      </c>
      <c r="B32" s="136" t="s">
        <v>4</v>
      </c>
      <c r="C32" s="126" t="s">
        <v>114</v>
      </c>
      <c r="D32" s="126"/>
      <c r="E32" s="126"/>
      <c r="F32" s="126"/>
      <c r="G32" s="126"/>
      <c r="H32" s="126"/>
    </row>
    <row r="33" spans="1:15" ht="20.25" x14ac:dyDescent="0.25">
      <c r="A33" s="155" t="s">
        <v>37</v>
      </c>
      <c r="B33" s="155"/>
      <c r="C33" s="155"/>
      <c r="D33" s="155"/>
      <c r="E33" s="155"/>
      <c r="F33" s="155"/>
      <c r="G33" s="155"/>
      <c r="H33" s="155"/>
    </row>
    <row r="34" spans="1:15" ht="43.5" customHeight="1" x14ac:dyDescent="0.25">
      <c r="A34" s="136" t="s">
        <v>18</v>
      </c>
      <c r="B34" s="136"/>
      <c r="C34" s="126" t="s">
        <v>99</v>
      </c>
      <c r="D34" s="126"/>
      <c r="E34" s="136" t="s">
        <v>19</v>
      </c>
      <c r="F34" s="136" t="s">
        <v>4</v>
      </c>
      <c r="G34" s="126" t="s">
        <v>100</v>
      </c>
      <c r="H34" s="126"/>
    </row>
    <row r="35" spans="1:15" ht="43.5" customHeight="1" x14ac:dyDescent="0.25">
      <c r="A35" s="136" t="s">
        <v>22</v>
      </c>
      <c r="B35" s="136"/>
      <c r="C35" s="126" t="s">
        <v>100</v>
      </c>
      <c r="D35" s="126"/>
      <c r="E35" s="136" t="s">
        <v>32</v>
      </c>
      <c r="F35" s="136" t="s">
        <v>4</v>
      </c>
      <c r="G35" s="127" t="s">
        <v>100</v>
      </c>
      <c r="H35" s="127"/>
    </row>
    <row r="36" spans="1:15" ht="20.25" x14ac:dyDescent="0.25">
      <c r="A36" s="136" t="s">
        <v>31</v>
      </c>
      <c r="B36" s="136"/>
      <c r="C36" s="126" t="s">
        <v>101</v>
      </c>
      <c r="D36" s="126"/>
      <c r="E36" s="136" t="s">
        <v>21</v>
      </c>
      <c r="F36" s="136" t="s">
        <v>4</v>
      </c>
      <c r="G36" s="126" t="s">
        <v>102</v>
      </c>
      <c r="H36" s="126"/>
    </row>
    <row r="37" spans="1:15" ht="20.25" x14ac:dyDescent="0.25">
      <c r="A37" s="124" t="s">
        <v>0</v>
      </c>
      <c r="B37" s="124"/>
      <c r="C37" s="124"/>
      <c r="D37" s="124"/>
      <c r="E37" s="124"/>
      <c r="F37" s="124"/>
      <c r="G37" s="124"/>
      <c r="H37" s="124"/>
    </row>
    <row r="38" spans="1:15" ht="20.25" x14ac:dyDescent="0.25">
      <c r="A38" s="134" t="s">
        <v>0</v>
      </c>
      <c r="B38" s="134"/>
      <c r="C38" s="134" t="s">
        <v>231</v>
      </c>
      <c r="D38" s="134"/>
      <c r="E38" s="134"/>
      <c r="F38" s="134" t="s">
        <v>7</v>
      </c>
      <c r="G38" s="134"/>
      <c r="H38" s="134"/>
      <c r="J38" s="189" t="s">
        <v>1</v>
      </c>
      <c r="K38" s="190"/>
      <c r="L38" s="49" t="s">
        <v>6</v>
      </c>
      <c r="M38" s="189" t="s">
        <v>2</v>
      </c>
      <c r="N38" s="190"/>
      <c r="O38" s="49" t="s">
        <v>3</v>
      </c>
    </row>
    <row r="39" spans="1:15" ht="20.25" x14ac:dyDescent="0.25">
      <c r="A39" s="154" t="s">
        <v>2</v>
      </c>
      <c r="B39" s="154"/>
      <c r="C39" s="188" t="s">
        <v>332</v>
      </c>
      <c r="D39" s="188"/>
      <c r="E39" s="188"/>
      <c r="F39" s="188" t="s">
        <v>354</v>
      </c>
      <c r="G39" s="188"/>
      <c r="H39" s="188"/>
    </row>
    <row r="40" spans="1:15" ht="20.25" x14ac:dyDescent="0.25">
      <c r="A40" s="154" t="s">
        <v>3</v>
      </c>
      <c r="B40" s="154"/>
      <c r="C40" s="188" t="s">
        <v>334</v>
      </c>
      <c r="D40" s="188"/>
      <c r="E40" s="188"/>
      <c r="F40" s="188" t="s">
        <v>355</v>
      </c>
      <c r="G40" s="188"/>
      <c r="H40" s="188"/>
    </row>
    <row r="41" spans="1:15" ht="20.25" x14ac:dyDescent="0.25">
      <c r="A41" s="154" t="s">
        <v>1</v>
      </c>
      <c r="B41" s="154"/>
      <c r="C41" s="188" t="s">
        <v>332</v>
      </c>
      <c r="D41" s="188"/>
      <c r="E41" s="188"/>
      <c r="F41" s="188" t="s">
        <v>352</v>
      </c>
      <c r="G41" s="188"/>
      <c r="H41" s="188"/>
    </row>
    <row r="42" spans="1:15" ht="20.25" x14ac:dyDescent="0.25">
      <c r="A42" s="154" t="s">
        <v>6</v>
      </c>
      <c r="B42" s="154"/>
      <c r="C42" s="188" t="s">
        <v>333</v>
      </c>
      <c r="D42" s="188"/>
      <c r="E42" s="188"/>
      <c r="F42" s="188" t="s">
        <v>353</v>
      </c>
      <c r="G42" s="188"/>
      <c r="H42" s="188"/>
    </row>
    <row r="43" spans="1:15" ht="51" customHeight="1" x14ac:dyDescent="0.25">
      <c r="A43" s="136" t="s">
        <v>232</v>
      </c>
      <c r="B43" s="136"/>
      <c r="C43" s="126" t="s">
        <v>97</v>
      </c>
      <c r="D43" s="126"/>
      <c r="E43" s="126"/>
      <c r="F43" s="126"/>
      <c r="G43" s="126"/>
      <c r="H43" s="126"/>
    </row>
    <row r="44" spans="1:15" ht="20.25" x14ac:dyDescent="0.25">
      <c r="A44" s="124" t="s">
        <v>57</v>
      </c>
      <c r="B44" s="124"/>
      <c r="C44" s="124"/>
      <c r="D44" s="124"/>
      <c r="E44" s="124"/>
      <c r="F44" s="124"/>
      <c r="G44" s="124"/>
      <c r="H44" s="124"/>
    </row>
    <row r="45" spans="1:15" ht="21" customHeight="1" x14ac:dyDescent="0.25">
      <c r="A45" s="134" t="s">
        <v>58</v>
      </c>
      <c r="B45" s="134"/>
      <c r="C45" s="49" t="s">
        <v>59</v>
      </c>
      <c r="D45" s="134" t="s">
        <v>150</v>
      </c>
      <c r="E45" s="134"/>
      <c r="F45" s="134"/>
      <c r="G45" s="134" t="s">
        <v>60</v>
      </c>
      <c r="H45" s="134"/>
    </row>
    <row r="46" spans="1:15" ht="20.25" x14ac:dyDescent="0.25">
      <c r="A46" s="135" t="s">
        <v>365</v>
      </c>
      <c r="B46" s="135"/>
      <c r="C46" s="46" t="s">
        <v>89</v>
      </c>
      <c r="D46" s="126" t="s">
        <v>325</v>
      </c>
      <c r="E46" s="126"/>
      <c r="F46" s="126"/>
      <c r="G46" s="126" t="s">
        <v>325</v>
      </c>
      <c r="H46" s="126"/>
    </row>
    <row r="47" spans="1:15" ht="20.25" x14ac:dyDescent="0.25">
      <c r="A47" s="135" t="s">
        <v>366</v>
      </c>
      <c r="B47" s="135"/>
      <c r="C47" s="46" t="s">
        <v>89</v>
      </c>
      <c r="D47" s="126" t="s">
        <v>326</v>
      </c>
      <c r="E47" s="126"/>
      <c r="F47" s="126"/>
      <c r="G47" s="126" t="s">
        <v>326</v>
      </c>
      <c r="H47" s="126"/>
    </row>
    <row r="48" spans="1:15" ht="20.25" hidden="1" x14ac:dyDescent="0.25">
      <c r="A48" s="135" t="s">
        <v>305</v>
      </c>
      <c r="B48" s="135"/>
      <c r="C48" s="46" t="s">
        <v>89</v>
      </c>
      <c r="D48" s="126"/>
      <c r="E48" s="126"/>
      <c r="F48" s="126"/>
      <c r="G48" s="126"/>
      <c r="H48" s="126"/>
    </row>
    <row r="49" spans="1:10" ht="20.25" hidden="1" x14ac:dyDescent="0.25">
      <c r="A49" s="135" t="s">
        <v>306</v>
      </c>
      <c r="B49" s="135"/>
      <c r="C49" s="46" t="s">
        <v>89</v>
      </c>
      <c r="D49" s="126"/>
      <c r="E49" s="126"/>
      <c r="F49" s="126"/>
      <c r="G49" s="126"/>
      <c r="H49" s="126"/>
    </row>
    <row r="50" spans="1:10" ht="20.25" x14ac:dyDescent="0.25">
      <c r="A50" s="124" t="s">
        <v>61</v>
      </c>
      <c r="B50" s="124"/>
      <c r="C50" s="124"/>
      <c r="D50" s="124"/>
      <c r="E50" s="124"/>
      <c r="F50" s="124"/>
      <c r="G50" s="124"/>
      <c r="H50" s="124"/>
    </row>
    <row r="51" spans="1:10" ht="42.75" customHeight="1" x14ac:dyDescent="0.25">
      <c r="A51" s="136" t="s">
        <v>62</v>
      </c>
      <c r="B51" s="136" t="s">
        <v>4</v>
      </c>
      <c r="C51" s="127" t="s">
        <v>97</v>
      </c>
      <c r="D51" s="127"/>
      <c r="E51" s="127"/>
      <c r="F51" s="127"/>
      <c r="G51" s="127"/>
      <c r="H51" s="127"/>
    </row>
    <row r="52" spans="1:10" ht="20.25" x14ac:dyDescent="0.25">
      <c r="A52" s="136" t="s">
        <v>63</v>
      </c>
      <c r="B52" s="136" t="s">
        <v>4</v>
      </c>
      <c r="C52" s="126" t="s">
        <v>321</v>
      </c>
      <c r="D52" s="126"/>
      <c r="E52" s="126"/>
      <c r="F52" s="126"/>
      <c r="G52" s="64" t="s">
        <v>233</v>
      </c>
      <c r="H52" s="95">
        <v>44991</v>
      </c>
    </row>
    <row r="53" spans="1:10" ht="20.25" x14ac:dyDescent="0.25">
      <c r="A53" s="136" t="s">
        <v>64</v>
      </c>
      <c r="B53" s="136" t="s">
        <v>4</v>
      </c>
      <c r="C53" s="126" t="str">
        <f>C52</f>
        <v>S08/0111/21/TMC/TD-DP/TPS/4316/23</v>
      </c>
      <c r="D53" s="126"/>
      <c r="E53" s="126"/>
      <c r="F53" s="126"/>
      <c r="G53" s="64" t="s">
        <v>233</v>
      </c>
      <c r="H53" s="95">
        <f>H52</f>
        <v>44991</v>
      </c>
    </row>
    <row r="54" spans="1:10" ht="20.25" x14ac:dyDescent="0.25">
      <c r="A54" s="136" t="s">
        <v>245</v>
      </c>
      <c r="B54" s="136"/>
      <c r="C54" s="126" t="s">
        <v>322</v>
      </c>
      <c r="D54" s="126"/>
      <c r="E54" s="126"/>
      <c r="F54" s="126"/>
      <c r="G54" s="64" t="s">
        <v>233</v>
      </c>
      <c r="H54" s="95">
        <v>45345</v>
      </c>
    </row>
    <row r="55" spans="1:10" ht="60" customHeight="1" x14ac:dyDescent="0.25">
      <c r="A55" s="136"/>
      <c r="B55" s="136"/>
      <c r="C55" s="158" t="s">
        <v>323</v>
      </c>
      <c r="D55" s="159"/>
      <c r="E55" s="159"/>
      <c r="F55" s="159"/>
      <c r="G55" s="159"/>
      <c r="H55" s="160"/>
    </row>
    <row r="56" spans="1:10" ht="46.5" hidden="1" customHeight="1" x14ac:dyDescent="0.25">
      <c r="A56" s="136" t="s">
        <v>65</v>
      </c>
      <c r="B56" s="136" t="s">
        <v>4</v>
      </c>
      <c r="C56" s="126"/>
      <c r="D56" s="126"/>
      <c r="E56" s="126"/>
      <c r="F56" s="126"/>
      <c r="G56" s="64" t="s">
        <v>234</v>
      </c>
      <c r="H56" s="48"/>
    </row>
    <row r="57" spans="1:10" ht="45" hidden="1" customHeight="1" x14ac:dyDescent="0.25">
      <c r="A57" s="136" t="s">
        <v>67</v>
      </c>
      <c r="B57" s="136" t="s">
        <v>4</v>
      </c>
      <c r="C57" s="126"/>
      <c r="D57" s="126"/>
      <c r="E57" s="126"/>
      <c r="F57" s="126"/>
      <c r="G57" s="64" t="s">
        <v>234</v>
      </c>
      <c r="H57" s="48"/>
    </row>
    <row r="58" spans="1:10" ht="46.5" hidden="1" customHeight="1" x14ac:dyDescent="0.25">
      <c r="A58" s="136" t="s">
        <v>66</v>
      </c>
      <c r="B58" s="136" t="s">
        <v>4</v>
      </c>
      <c r="C58" s="126"/>
      <c r="D58" s="126"/>
      <c r="E58" s="126"/>
      <c r="F58" s="126"/>
      <c r="G58" s="64" t="s">
        <v>234</v>
      </c>
      <c r="H58" s="48"/>
    </row>
    <row r="59" spans="1:10" ht="45" hidden="1" customHeight="1" x14ac:dyDescent="0.25">
      <c r="A59" s="136" t="s">
        <v>68</v>
      </c>
      <c r="B59" s="136" t="s">
        <v>4</v>
      </c>
      <c r="C59" s="126"/>
      <c r="D59" s="126"/>
      <c r="E59" s="126"/>
      <c r="F59" s="126"/>
      <c r="G59" s="64" t="s">
        <v>234</v>
      </c>
      <c r="H59" s="48"/>
    </row>
    <row r="60" spans="1:10" ht="21" thickBot="1" x14ac:dyDescent="0.3">
      <c r="A60" s="124" t="s">
        <v>69</v>
      </c>
      <c r="B60" s="124"/>
      <c r="C60" s="124"/>
      <c r="D60" s="124"/>
      <c r="E60" s="124"/>
      <c r="F60" s="124"/>
      <c r="G60" s="124"/>
      <c r="H60" s="124"/>
    </row>
    <row r="61" spans="1:10" ht="20.25" customHeight="1" x14ac:dyDescent="0.3">
      <c r="A61" s="125" t="str">
        <f>CONCATENATE((IF(OR(A46="",A46="NA"),"",A46)),"= ",(IF(OR(D46="",D46="NA"),"",D46)),".")</f>
        <v>Building No.1 = G/St + 1st to 22nd Floor.</v>
      </c>
      <c r="B61" s="125"/>
      <c r="C61" s="125"/>
      <c r="D61" s="30" t="s">
        <v>117</v>
      </c>
      <c r="E61" s="132" t="s">
        <v>104</v>
      </c>
      <c r="F61" s="132"/>
      <c r="G61" s="30" t="s">
        <v>118</v>
      </c>
      <c r="H61" s="30" t="s">
        <v>119</v>
      </c>
      <c r="I61" s="16"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v>
      </c>
      <c r="J61" s="18"/>
    </row>
    <row r="62" spans="1:10" ht="20.25" x14ac:dyDescent="0.3">
      <c r="A62" s="125"/>
      <c r="B62" s="125"/>
      <c r="C62" s="125"/>
      <c r="D62" s="94">
        <f>IF(AND(ISNUMBER(SEARCH("1B",A61))),1,IF(AND(ISNUMBER(SEARCH("2B",A61))),2,IF(AND(ISNUMBER(SEARCH("3B",A61))),3,IF(AND(ISNUMBER(SEARCH("4B",A61))),4,IF(ISNUMBER(SEARCH("5B",A61)),5,0)))))</f>
        <v>0</v>
      </c>
      <c r="E62" s="132">
        <v>1</v>
      </c>
      <c r="F62" s="132"/>
      <c r="G62" s="94">
        <v>0</v>
      </c>
      <c r="H62" s="30">
        <f ca="1">--TRIM(RIGHT(SUBSTITUTE(LEFT(A61,_xlfn.AGGREGATE(16,6,FIND({0,1,2,3,4,5,6,7,8,9},A61,ROW(INDIRECT("1:"&amp;LEN(A61)))),1))," ",REPT(" ",LEN(A61))),LEN(A61)))</f>
        <v>22</v>
      </c>
      <c r="I62" s="17" t="s">
        <v>123</v>
      </c>
      <c r="J62" s="18"/>
    </row>
    <row r="63" spans="1:10" ht="20.25" customHeight="1" x14ac:dyDescent="0.3">
      <c r="A63" s="133" t="s">
        <v>121</v>
      </c>
      <c r="B63" s="133"/>
      <c r="C63" s="45" t="s">
        <v>134</v>
      </c>
      <c r="D63" s="28" t="s">
        <v>135</v>
      </c>
      <c r="E63" s="133" t="s">
        <v>122</v>
      </c>
      <c r="F63" s="133"/>
      <c r="G63" s="29" t="s">
        <v>120</v>
      </c>
      <c r="H63" s="29"/>
      <c r="I63" s="20" t="s">
        <v>136</v>
      </c>
      <c r="J63" s="19">
        <f ca="1">H62*25%</f>
        <v>5.5</v>
      </c>
    </row>
    <row r="64" spans="1:10" ht="20.25" customHeight="1" x14ac:dyDescent="0.3">
      <c r="A64" s="131" t="s">
        <v>137</v>
      </c>
      <c r="B64" s="131"/>
      <c r="C64" s="38">
        <f ca="1">J65</f>
        <v>22</v>
      </c>
      <c r="D64" s="5">
        <f ca="1">((100/H62)*C64)/100</f>
        <v>1.0000000000000002</v>
      </c>
      <c r="E64" s="177">
        <f ca="1">(((C64/H62*10)+(C65/H62*15)+(25/(E62+G62+H62)*C66)+(5/(H62)*C67)+(2.5/(H62)*C68)+(2.5/(H62)*C69)+(5/H62*C70)+(10/H62*C71)+(2.5/H62*C72)+(2.5/H62*C73)+(10/H62*C74)+(10/H62*C75))/100)</f>
        <v>0.25</v>
      </c>
      <c r="F64" s="178"/>
      <c r="G64" s="131" t="str">
        <f ca="1">I61</f>
        <v>Excavation work Completed. Plinth work completed</v>
      </c>
      <c r="H64" s="131"/>
      <c r="I64" s="20" t="s">
        <v>124</v>
      </c>
      <c r="J64" s="24">
        <f ca="1">H62*50%</f>
        <v>11</v>
      </c>
    </row>
    <row r="65" spans="1:10" ht="20.25" x14ac:dyDescent="0.3">
      <c r="A65" s="131" t="s">
        <v>105</v>
      </c>
      <c r="B65" s="131"/>
      <c r="C65" s="40">
        <f ca="1">J73</f>
        <v>22</v>
      </c>
      <c r="D65" s="5">
        <f ca="1">((100/H62)*C65)/100</f>
        <v>1.0000000000000002</v>
      </c>
      <c r="E65" s="179"/>
      <c r="F65" s="180"/>
      <c r="G65" s="131"/>
      <c r="H65" s="131"/>
      <c r="I65" s="20" t="s">
        <v>125</v>
      </c>
      <c r="J65" s="24">
        <f ca="1">H62</f>
        <v>22</v>
      </c>
    </row>
    <row r="66" spans="1:10" ht="21" customHeight="1" x14ac:dyDescent="0.35">
      <c r="A66" s="131" t="s">
        <v>138</v>
      </c>
      <c r="B66" s="131"/>
      <c r="C66" s="38">
        <v>0</v>
      </c>
      <c r="D66" s="5">
        <f ca="1">((100/(E62+G62+H62))*C66)/100</f>
        <v>0</v>
      </c>
      <c r="E66" s="179"/>
      <c r="F66" s="180"/>
      <c r="G66" s="131"/>
      <c r="H66" s="131"/>
      <c r="I66" s="20" t="s">
        <v>126</v>
      </c>
      <c r="J66" s="25">
        <f ca="1">(IF(D62&gt;1,(H62/(D62+2)),H62*0.2))</f>
        <v>4.4000000000000004</v>
      </c>
    </row>
    <row r="67" spans="1:10" ht="21" customHeight="1" x14ac:dyDescent="0.35">
      <c r="A67" s="131" t="s">
        <v>139</v>
      </c>
      <c r="B67" s="131"/>
      <c r="C67" s="38">
        <v>0</v>
      </c>
      <c r="D67" s="5">
        <f ca="1">((100/H62)*C67)/100</f>
        <v>0</v>
      </c>
      <c r="E67" s="179"/>
      <c r="F67" s="180"/>
      <c r="G67" s="131"/>
      <c r="H67" s="131"/>
      <c r="I67" s="20" t="s">
        <v>127</v>
      </c>
      <c r="J67" s="25">
        <f ca="1">(IF(D62&gt;1,(H62/(D62+2)+J66),H62*0.2+J66))</f>
        <v>8.8000000000000007</v>
      </c>
    </row>
    <row r="68" spans="1:10" ht="21" customHeight="1" x14ac:dyDescent="0.35">
      <c r="A68" s="129" t="s">
        <v>140</v>
      </c>
      <c r="B68" s="130"/>
      <c r="C68" s="38">
        <v>0</v>
      </c>
      <c r="D68" s="5">
        <f ca="1">((100/H62)*C68)/100</f>
        <v>0</v>
      </c>
      <c r="E68" s="179"/>
      <c r="F68" s="180"/>
      <c r="G68" s="131"/>
      <c r="H68" s="131"/>
      <c r="I68" s="20" t="s">
        <v>141</v>
      </c>
      <c r="J68" s="25">
        <f>(IF(D62&gt;1,(H62/(D62+2)+J67),0))</f>
        <v>0</v>
      </c>
    </row>
    <row r="69" spans="1:10" ht="21" customHeight="1" x14ac:dyDescent="0.35">
      <c r="A69" s="129" t="s">
        <v>172</v>
      </c>
      <c r="B69" s="130"/>
      <c r="C69" s="38">
        <v>0</v>
      </c>
      <c r="D69" s="5">
        <f ca="1">((100/H62)*C69)/100</f>
        <v>0</v>
      </c>
      <c r="E69" s="179"/>
      <c r="F69" s="180"/>
      <c r="G69" s="131"/>
      <c r="H69" s="131"/>
      <c r="I69" s="20" t="s">
        <v>142</v>
      </c>
      <c r="J69" s="25">
        <f>(IF(D62&gt;2,(H62/(D62+2)+J68),0))</f>
        <v>0</v>
      </c>
    </row>
    <row r="70" spans="1:10" ht="21" x14ac:dyDescent="0.35">
      <c r="A70" s="129" t="s">
        <v>169</v>
      </c>
      <c r="B70" s="130"/>
      <c r="C70" s="38">
        <v>0</v>
      </c>
      <c r="D70" s="5">
        <f ca="1">((100/(H62))*C70)/100</f>
        <v>0</v>
      </c>
      <c r="E70" s="179"/>
      <c r="F70" s="180"/>
      <c r="G70" s="131"/>
      <c r="H70" s="131"/>
      <c r="I70" s="20" t="s">
        <v>144</v>
      </c>
      <c r="J70" s="26">
        <f>(IF(D62&gt;3,(H62/(D62+2)+J69),0))</f>
        <v>0</v>
      </c>
    </row>
    <row r="71" spans="1:10" ht="21" x14ac:dyDescent="0.35">
      <c r="A71" s="131" t="s">
        <v>143</v>
      </c>
      <c r="B71" s="131"/>
      <c r="C71" s="38">
        <v>0</v>
      </c>
      <c r="D71" s="5">
        <f ca="1">((100/(H62))*C71)/100</f>
        <v>0</v>
      </c>
      <c r="E71" s="179"/>
      <c r="F71" s="180"/>
      <c r="G71" s="131"/>
      <c r="H71" s="131"/>
      <c r="I71" s="20" t="s">
        <v>145</v>
      </c>
      <c r="J71" s="25">
        <f>(IF(D62&gt;4,(H62/(D62+2)+J70),0))</f>
        <v>0</v>
      </c>
    </row>
    <row r="72" spans="1:10" ht="21" customHeight="1" x14ac:dyDescent="0.35">
      <c r="A72" s="131" t="s">
        <v>171</v>
      </c>
      <c r="B72" s="131"/>
      <c r="C72" s="38">
        <v>0</v>
      </c>
      <c r="D72" s="5">
        <f ca="1">((100/H62)*C72)/100</f>
        <v>0</v>
      </c>
      <c r="E72" s="179"/>
      <c r="F72" s="180"/>
      <c r="G72" s="131"/>
      <c r="H72" s="131"/>
      <c r="I72" s="20" t="s">
        <v>128</v>
      </c>
      <c r="J72" s="25">
        <f ca="1">(IF(D62=1,(H62/(D62+3)+J67),IF(D62=0,(H62*0.3+J67),IF(D62&gt;1,0))))</f>
        <v>15.4</v>
      </c>
    </row>
    <row r="73" spans="1:10" ht="21.75" thickBot="1" x14ac:dyDescent="0.4">
      <c r="A73" s="131" t="s">
        <v>170</v>
      </c>
      <c r="B73" s="131"/>
      <c r="C73" s="38">
        <v>0</v>
      </c>
      <c r="D73" s="5">
        <f ca="1">((100/H62)*C73)/100</f>
        <v>0</v>
      </c>
      <c r="E73" s="179"/>
      <c r="F73" s="180"/>
      <c r="G73" s="131"/>
      <c r="H73" s="131"/>
      <c r="I73" s="22" t="s">
        <v>129</v>
      </c>
      <c r="J73" s="27">
        <f ca="1">(IF(D62&gt;1.5,(H62/(D62+2)+J67+MAX(0,J68-J67)+MAX(0,J69-J68)+MAX(0,J70-J69)+MAX(0,J71-J70)+MAX(0,J72-J71)),IF(D62=1,(H62/(D62+3)+J72),IF(D62=0,H62*0.3+J72))))</f>
        <v>22</v>
      </c>
    </row>
    <row r="74" spans="1:10" ht="20.25" x14ac:dyDescent="0.25">
      <c r="A74" s="131" t="s">
        <v>146</v>
      </c>
      <c r="B74" s="131"/>
      <c r="C74" s="38">
        <v>0</v>
      </c>
      <c r="D74" s="5">
        <f ca="1">((100/(H62))*C74)/100</f>
        <v>0</v>
      </c>
      <c r="E74" s="179"/>
      <c r="F74" s="180"/>
      <c r="G74" s="131"/>
      <c r="H74" s="131"/>
    </row>
    <row r="75" spans="1:10" ht="20.25" x14ac:dyDescent="0.25">
      <c r="A75" s="131" t="s">
        <v>147</v>
      </c>
      <c r="B75" s="131"/>
      <c r="C75" s="38">
        <v>0</v>
      </c>
      <c r="D75" s="5">
        <f ca="1">((100/(H62))*C75)/100</f>
        <v>0</v>
      </c>
      <c r="E75" s="181"/>
      <c r="F75" s="182"/>
      <c r="G75" s="131"/>
      <c r="H75" s="131"/>
    </row>
    <row r="76" spans="1:10" ht="21" thickBot="1" x14ac:dyDescent="0.3">
      <c r="A76" s="124" t="s">
        <v>69</v>
      </c>
      <c r="B76" s="124"/>
      <c r="C76" s="124"/>
      <c r="D76" s="124"/>
      <c r="E76" s="124"/>
      <c r="F76" s="124"/>
      <c r="G76" s="124"/>
      <c r="H76" s="124"/>
    </row>
    <row r="77" spans="1:10" ht="20.25" customHeight="1" x14ac:dyDescent="0.3">
      <c r="A77" s="125" t="str">
        <f>CONCATENATE((IF(OR(A47="",A47="NA"),"",A47)),"= ",(IF(OR(D47="",D47="NA"),"",D47)),".")</f>
        <v>Building No.2= G/St + 1st to 7th Floor.</v>
      </c>
      <c r="B77" s="125"/>
      <c r="C77" s="125"/>
      <c r="D77" s="32" t="s">
        <v>117</v>
      </c>
      <c r="E77" s="132" t="s">
        <v>104</v>
      </c>
      <c r="F77" s="132"/>
      <c r="G77" s="32" t="s">
        <v>118</v>
      </c>
      <c r="H77" s="32" t="s">
        <v>119</v>
      </c>
      <c r="I77" s="16"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 RCC upto 7 Slab Completed</v>
      </c>
      <c r="J77" s="18"/>
    </row>
    <row r="78" spans="1:10" ht="20.25" x14ac:dyDescent="0.3">
      <c r="A78" s="125"/>
      <c r="B78" s="125"/>
      <c r="C78" s="125"/>
      <c r="D78" s="94">
        <f>IF(AND(ISNUMBER(SEARCH("1B",A77))),1,IF(AND(ISNUMBER(SEARCH("2B",A77))),2,IF(AND(ISNUMBER(SEARCH("3B",A77))),3,IF(AND(ISNUMBER(SEARCH("4B",A77))),4,IF(ISNUMBER(SEARCH("5B",A77)),5,0)))))</f>
        <v>0</v>
      </c>
      <c r="E78" s="132">
        <v>1</v>
      </c>
      <c r="F78" s="132"/>
      <c r="G78" s="94">
        <v>0</v>
      </c>
      <c r="H78" s="32">
        <f ca="1">--TRIM(RIGHT(SUBSTITUTE(LEFT(A77,_xlfn.AGGREGATE(16,6,FIND({0,1,2,3,4,5,6,7,8,9},A77,ROW(INDIRECT("1:"&amp;LEN(A77)))),1))," ",REPT(" ",LEN(A77))),LEN(A77)))</f>
        <v>7</v>
      </c>
      <c r="I78" s="17" t="s">
        <v>123</v>
      </c>
      <c r="J78" s="18"/>
    </row>
    <row r="79" spans="1:10" ht="20.25" customHeight="1" x14ac:dyDescent="0.3">
      <c r="A79" s="133" t="s">
        <v>121</v>
      </c>
      <c r="B79" s="133"/>
      <c r="C79" s="45" t="s">
        <v>134</v>
      </c>
      <c r="D79" s="33" t="s">
        <v>135</v>
      </c>
      <c r="E79" s="133" t="s">
        <v>122</v>
      </c>
      <c r="F79" s="133"/>
      <c r="G79" s="29" t="s">
        <v>120</v>
      </c>
      <c r="H79" s="29"/>
      <c r="I79" s="20" t="s">
        <v>136</v>
      </c>
      <c r="J79" s="19">
        <f ca="1">H78*25%</f>
        <v>1.75</v>
      </c>
    </row>
    <row r="80" spans="1:10" ht="20.25" customHeight="1" x14ac:dyDescent="0.3">
      <c r="A80" s="131" t="s">
        <v>137</v>
      </c>
      <c r="B80" s="131"/>
      <c r="C80" s="38">
        <f ca="1">J81</f>
        <v>7</v>
      </c>
      <c r="D80" s="34">
        <f ca="1">((100/H78)*C80)/100</f>
        <v>1</v>
      </c>
      <c r="E80" s="177">
        <f ca="1">(((C80/H78*10)+(C81/H78*15)+(25/(E78+G78+H78)*C82)+(5/(H78)*C83)+(2.5/(H78)*C84)+(2.5/(H78)*C85)+(5/H78*C86)+(10/H78*C87)+(2.5/H78*C88)+(2.5/H78*C89)+(10/H78*C90)+(10/H78*C91))/100)</f>
        <v>0.46875</v>
      </c>
      <c r="F80" s="178"/>
      <c r="G80" s="131" t="str">
        <f ca="1">I77</f>
        <v>Excavation work Completed. Plinth work completed, RCC upto 7 Slab Completed</v>
      </c>
      <c r="H80" s="131"/>
      <c r="I80" s="20" t="s">
        <v>124</v>
      </c>
      <c r="J80" s="24">
        <f ca="1">H78*50%</f>
        <v>3.5</v>
      </c>
    </row>
    <row r="81" spans="1:10" ht="20.25" x14ac:dyDescent="0.3">
      <c r="A81" s="131" t="s">
        <v>105</v>
      </c>
      <c r="B81" s="131"/>
      <c r="C81" s="40">
        <f ca="1">J89</f>
        <v>7</v>
      </c>
      <c r="D81" s="34">
        <f ca="1">((100/H78)*C81)/100</f>
        <v>1</v>
      </c>
      <c r="E81" s="179"/>
      <c r="F81" s="180"/>
      <c r="G81" s="131"/>
      <c r="H81" s="131"/>
      <c r="I81" s="20" t="s">
        <v>125</v>
      </c>
      <c r="J81" s="24">
        <f ca="1">H78</f>
        <v>7</v>
      </c>
    </row>
    <row r="82" spans="1:10" ht="21" customHeight="1" x14ac:dyDescent="0.35">
      <c r="A82" s="131" t="s">
        <v>138</v>
      </c>
      <c r="B82" s="131"/>
      <c r="C82" s="38">
        <v>7</v>
      </c>
      <c r="D82" s="34">
        <f ca="1">((100/(E78+G78+H78))*C82)/100</f>
        <v>0.875</v>
      </c>
      <c r="E82" s="179"/>
      <c r="F82" s="180"/>
      <c r="G82" s="131"/>
      <c r="H82" s="131"/>
      <c r="I82" s="20" t="s">
        <v>126</v>
      </c>
      <c r="J82" s="25">
        <f ca="1">(IF(D78&gt;1,(H78/(D78+2)),H78*0.2))</f>
        <v>1.4000000000000001</v>
      </c>
    </row>
    <row r="83" spans="1:10" ht="21" customHeight="1" x14ac:dyDescent="0.35">
      <c r="A83" s="131" t="s">
        <v>139</v>
      </c>
      <c r="B83" s="131"/>
      <c r="C83" s="38">
        <v>0</v>
      </c>
      <c r="D83" s="34">
        <f ca="1">((100/H78)*C83)/100</f>
        <v>0</v>
      </c>
      <c r="E83" s="179"/>
      <c r="F83" s="180"/>
      <c r="G83" s="131"/>
      <c r="H83" s="131"/>
      <c r="I83" s="20" t="s">
        <v>127</v>
      </c>
      <c r="J83" s="25">
        <f ca="1">(IF(D78&gt;1,(H78/(D78+2)+J82),H78*0.2+J82))</f>
        <v>2.8000000000000003</v>
      </c>
    </row>
    <row r="84" spans="1:10" ht="21" customHeight="1" x14ac:dyDescent="0.35">
      <c r="A84" s="129" t="s">
        <v>140</v>
      </c>
      <c r="B84" s="130"/>
      <c r="C84" s="38">
        <v>0</v>
      </c>
      <c r="D84" s="34">
        <f ca="1">((100/H78)*C84)/100</f>
        <v>0</v>
      </c>
      <c r="E84" s="179"/>
      <c r="F84" s="180"/>
      <c r="G84" s="131"/>
      <c r="H84" s="131"/>
      <c r="I84" s="20" t="s">
        <v>141</v>
      </c>
      <c r="J84" s="25">
        <f>(IF(D78&gt;1,(H78/(D78+2)+J83),0))</f>
        <v>0</v>
      </c>
    </row>
    <row r="85" spans="1:10" ht="21" customHeight="1" x14ac:dyDescent="0.35">
      <c r="A85" s="129" t="s">
        <v>172</v>
      </c>
      <c r="B85" s="130"/>
      <c r="C85" s="38">
        <v>0</v>
      </c>
      <c r="D85" s="34">
        <f ca="1">((100/H78)*C85)/100</f>
        <v>0</v>
      </c>
      <c r="E85" s="179"/>
      <c r="F85" s="180"/>
      <c r="G85" s="131"/>
      <c r="H85" s="131"/>
      <c r="I85" s="20" t="s">
        <v>142</v>
      </c>
      <c r="J85" s="25">
        <f>(IF(D78&gt;2,(H78/(D78+2)+J84),0))</f>
        <v>0</v>
      </c>
    </row>
    <row r="86" spans="1:10" ht="57.75" customHeight="1" x14ac:dyDescent="0.35">
      <c r="A86" s="129" t="s">
        <v>169</v>
      </c>
      <c r="B86" s="130"/>
      <c r="C86" s="38">
        <v>0</v>
      </c>
      <c r="D86" s="34">
        <f ca="1">((100/(H78))*C86)/100</f>
        <v>0</v>
      </c>
      <c r="E86" s="179"/>
      <c r="F86" s="180"/>
      <c r="G86" s="131"/>
      <c r="H86" s="131"/>
      <c r="I86" s="20" t="s">
        <v>144</v>
      </c>
      <c r="J86" s="26">
        <f>(IF(D78&gt;3,(H78/(D78+2)+J85),0))</f>
        <v>0</v>
      </c>
    </row>
    <row r="87" spans="1:10" ht="21" x14ac:dyDescent="0.35">
      <c r="A87" s="131" t="s">
        <v>143</v>
      </c>
      <c r="B87" s="131"/>
      <c r="C87" s="38">
        <v>0</v>
      </c>
      <c r="D87" s="34">
        <f ca="1">((100/(H78))*C87)/100</f>
        <v>0</v>
      </c>
      <c r="E87" s="179"/>
      <c r="F87" s="180"/>
      <c r="G87" s="131"/>
      <c r="H87" s="131"/>
      <c r="I87" s="20" t="s">
        <v>145</v>
      </c>
      <c r="J87" s="25">
        <f>(IF(D78&gt;4,(H78/(D78+2)+J86),0))</f>
        <v>0</v>
      </c>
    </row>
    <row r="88" spans="1:10" ht="21" customHeight="1" x14ac:dyDescent="0.35">
      <c r="A88" s="131" t="s">
        <v>171</v>
      </c>
      <c r="B88" s="131"/>
      <c r="C88" s="38">
        <v>0</v>
      </c>
      <c r="D88" s="34">
        <f ca="1">((100/H78)*C88)/100</f>
        <v>0</v>
      </c>
      <c r="E88" s="179"/>
      <c r="F88" s="180"/>
      <c r="G88" s="131"/>
      <c r="H88" s="131"/>
      <c r="I88" s="20" t="s">
        <v>128</v>
      </c>
      <c r="J88" s="25">
        <f ca="1">(IF(D78=1,(H78/(D78+3)+J83),IF(D78=0,(H78*0.3+J83),IF(D78&gt;1,0))))</f>
        <v>4.9000000000000004</v>
      </c>
    </row>
    <row r="89" spans="1:10" ht="21.75" thickBot="1" x14ac:dyDescent="0.4">
      <c r="A89" s="131" t="s">
        <v>170</v>
      </c>
      <c r="B89" s="131"/>
      <c r="C89" s="38">
        <v>0</v>
      </c>
      <c r="D89" s="34">
        <f ca="1">((100/H78)*C89)/100</f>
        <v>0</v>
      </c>
      <c r="E89" s="179"/>
      <c r="F89" s="180"/>
      <c r="G89" s="131"/>
      <c r="H89" s="131"/>
      <c r="I89" s="22" t="s">
        <v>129</v>
      </c>
      <c r="J89" s="27">
        <f ca="1">(IF(D78&gt;1.5,(H78/(D78+2)+J83+MAX(0,J84-J83)+MAX(0,J85-J84)+MAX(0,J86-J85)+MAX(0,J87-J86)+MAX(0,J88-J87)),IF(D78=1,(H78/(D78+3)+J88),IF(D78=0,H78*0.3+J88))))</f>
        <v>7</v>
      </c>
    </row>
    <row r="90" spans="1:10" ht="20.25" x14ac:dyDescent="0.25">
      <c r="A90" s="131" t="s">
        <v>146</v>
      </c>
      <c r="B90" s="131"/>
      <c r="C90" s="38">
        <v>0</v>
      </c>
      <c r="D90" s="34">
        <f ca="1">((100/(H78))*C90)/100</f>
        <v>0</v>
      </c>
      <c r="E90" s="179"/>
      <c r="F90" s="180"/>
      <c r="G90" s="131"/>
      <c r="H90" s="131"/>
    </row>
    <row r="91" spans="1:10" ht="20.25" x14ac:dyDescent="0.25">
      <c r="A91" s="131" t="s">
        <v>147</v>
      </c>
      <c r="B91" s="131"/>
      <c r="C91" s="38">
        <v>0</v>
      </c>
      <c r="D91" s="34">
        <f ca="1">((100/(H78))*C91)/100</f>
        <v>0</v>
      </c>
      <c r="E91" s="181"/>
      <c r="F91" s="182"/>
      <c r="G91" s="131"/>
      <c r="H91" s="131"/>
    </row>
    <row r="92" spans="1:10" ht="21" hidden="1" thickBot="1" x14ac:dyDescent="0.3">
      <c r="A92" s="124" t="s">
        <v>69</v>
      </c>
      <c r="B92" s="124"/>
      <c r="C92" s="124"/>
      <c r="D92" s="124"/>
      <c r="E92" s="124"/>
      <c r="F92" s="124"/>
      <c r="G92" s="124"/>
      <c r="H92" s="124"/>
    </row>
    <row r="93" spans="1:10" ht="20.25" hidden="1" customHeight="1" x14ac:dyDescent="0.3">
      <c r="A93" s="125" t="str">
        <f>CONCATENATE((IF(OR(A48="",A48="NA"),"",A48)),"= ",(IF(OR(D48="",D48="NA"),"",D48)),".")</f>
        <v>Tower 3 = .</v>
      </c>
      <c r="B93" s="125"/>
      <c r="C93" s="125"/>
      <c r="D93" s="38" t="s">
        <v>117</v>
      </c>
      <c r="E93" s="132" t="s">
        <v>104</v>
      </c>
      <c r="F93" s="132"/>
      <c r="G93" s="38" t="s">
        <v>118</v>
      </c>
      <c r="H93" s="38" t="s">
        <v>119</v>
      </c>
      <c r="I93" s="16"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v>
      </c>
      <c r="J93" s="18"/>
    </row>
    <row r="94" spans="1:10" ht="20.25" hidden="1" x14ac:dyDescent="0.3">
      <c r="A94" s="125"/>
      <c r="B94" s="125"/>
      <c r="C94" s="125"/>
      <c r="D94" s="65">
        <f>IF(AND(ISNUMBER(SEARCH("1B",A93))),1,IF(AND(ISNUMBER(SEARCH("2B",A93))),2,IF(AND(ISNUMBER(SEARCH("3B",A93))),3,IF(AND(ISNUMBER(SEARCH("4B",A93))),4,IF(ISNUMBER(SEARCH("5B",A93)),5,0)))))</f>
        <v>0</v>
      </c>
      <c r="E94" s="132">
        <v>1</v>
      </c>
      <c r="F94" s="132"/>
      <c r="G94" s="65">
        <v>0</v>
      </c>
      <c r="H94" s="38">
        <f ca="1">--TRIM(RIGHT(SUBSTITUTE(LEFT(A93,_xlfn.AGGREGATE(16,6,FIND({0,1,2,3,4,5,6,7,8,9},A93,ROW(INDIRECT("1:"&amp;LEN(A93)))),1))," ",REPT(" ",LEN(A93))),LEN(A93)))</f>
        <v>3</v>
      </c>
      <c r="I94" s="17" t="s">
        <v>123</v>
      </c>
      <c r="J94" s="18"/>
    </row>
    <row r="95" spans="1:10" ht="20.25" hidden="1" customHeight="1" x14ac:dyDescent="0.3">
      <c r="A95" s="133" t="s">
        <v>121</v>
      </c>
      <c r="B95" s="133"/>
      <c r="C95" s="45" t="s">
        <v>134</v>
      </c>
      <c r="D95" s="45" t="s">
        <v>135</v>
      </c>
      <c r="E95" s="133" t="s">
        <v>122</v>
      </c>
      <c r="F95" s="133"/>
      <c r="G95" s="29" t="s">
        <v>120</v>
      </c>
      <c r="H95" s="29"/>
      <c r="I95" s="20" t="s">
        <v>136</v>
      </c>
      <c r="J95" s="19">
        <f ca="1">H94*25%</f>
        <v>0.75</v>
      </c>
    </row>
    <row r="96" spans="1:10" ht="20.25" hidden="1" customHeight="1" x14ac:dyDescent="0.3">
      <c r="A96" s="131" t="s">
        <v>137</v>
      </c>
      <c r="B96" s="131"/>
      <c r="C96" s="38">
        <f ca="1">J97</f>
        <v>3</v>
      </c>
      <c r="D96" s="39">
        <f ca="1">((100/H94)*C96)/100</f>
        <v>1</v>
      </c>
      <c r="E96" s="177">
        <f ca="1">(((C96/H94*10)+(C97/H94*15)+(25/(E94+G94+H94)*C98)+(5/(H94)*C99)+(2.5/(H94)*C100)+(2.5/(H94)*C101)+(5/H94*C102)+(10/H94*C103)+(2.5/H94*C104)+(2.5/H94*C105)+(10/H94*C106)+(10/H94*C107))/100)</f>
        <v>0.25</v>
      </c>
      <c r="F96" s="178"/>
      <c r="G96" s="131" t="str">
        <f ca="1">I93</f>
        <v>Excavation work Completed. Plinth work completed</v>
      </c>
      <c r="H96" s="131"/>
      <c r="I96" s="20" t="s">
        <v>124</v>
      </c>
      <c r="J96" s="24">
        <f ca="1">H94*50%</f>
        <v>1.5</v>
      </c>
    </row>
    <row r="97" spans="1:11" ht="20.25" hidden="1" x14ac:dyDescent="0.3">
      <c r="A97" s="131" t="s">
        <v>105</v>
      </c>
      <c r="B97" s="131"/>
      <c r="C97" s="40">
        <f ca="1">J105</f>
        <v>3</v>
      </c>
      <c r="D97" s="39">
        <f ca="1">((100/H94)*C97)/100</f>
        <v>1</v>
      </c>
      <c r="E97" s="179"/>
      <c r="F97" s="180"/>
      <c r="G97" s="131"/>
      <c r="H97" s="131"/>
      <c r="I97" s="20" t="s">
        <v>125</v>
      </c>
      <c r="J97" s="24">
        <f ca="1">H94</f>
        <v>3</v>
      </c>
    </row>
    <row r="98" spans="1:11" ht="21" hidden="1" customHeight="1" x14ac:dyDescent="0.35">
      <c r="A98" s="131" t="s">
        <v>138</v>
      </c>
      <c r="B98" s="131"/>
      <c r="C98" s="38">
        <v>0</v>
      </c>
      <c r="D98" s="39">
        <f ca="1">((100/(E94+G94+H94))*C98)/100</f>
        <v>0</v>
      </c>
      <c r="E98" s="179"/>
      <c r="F98" s="180"/>
      <c r="G98" s="131"/>
      <c r="H98" s="131"/>
      <c r="I98" s="20" t="s">
        <v>126</v>
      </c>
      <c r="J98" s="25">
        <f ca="1">(IF(D94&gt;1,(H94/(D94+2)),H94*0.2))</f>
        <v>0.60000000000000009</v>
      </c>
    </row>
    <row r="99" spans="1:11" ht="21" hidden="1" customHeight="1" x14ac:dyDescent="0.35">
      <c r="A99" s="131" t="s">
        <v>139</v>
      </c>
      <c r="B99" s="131"/>
      <c r="C99" s="38">
        <v>0</v>
      </c>
      <c r="D99" s="39">
        <f ca="1">((100/H94)*C99)/100</f>
        <v>0</v>
      </c>
      <c r="E99" s="179"/>
      <c r="F99" s="180"/>
      <c r="G99" s="131"/>
      <c r="H99" s="131"/>
      <c r="I99" s="20" t="s">
        <v>127</v>
      </c>
      <c r="J99" s="25">
        <f ca="1">(IF(D94&gt;1,(H94/(D94+2)+J98),H94*0.2+J98))</f>
        <v>1.2000000000000002</v>
      </c>
    </row>
    <row r="100" spans="1:11" ht="21" hidden="1" customHeight="1" x14ac:dyDescent="0.35">
      <c r="A100" s="129" t="s">
        <v>140</v>
      </c>
      <c r="B100" s="130"/>
      <c r="C100" s="38">
        <v>0</v>
      </c>
      <c r="D100" s="39">
        <f ca="1">((100/H94)*C100)/100</f>
        <v>0</v>
      </c>
      <c r="E100" s="179"/>
      <c r="F100" s="180"/>
      <c r="G100" s="131"/>
      <c r="H100" s="131"/>
      <c r="I100" s="20" t="s">
        <v>141</v>
      </c>
      <c r="J100" s="25">
        <f>(IF(D94&gt;1,(H94/(D94+2)+J99),0))</f>
        <v>0</v>
      </c>
    </row>
    <row r="101" spans="1:11" ht="21" hidden="1" customHeight="1" x14ac:dyDescent="0.35">
      <c r="A101" s="129" t="s">
        <v>172</v>
      </c>
      <c r="B101" s="130"/>
      <c r="C101" s="38">
        <v>0</v>
      </c>
      <c r="D101" s="39">
        <f ca="1">((100/H94)*C101)/100</f>
        <v>0</v>
      </c>
      <c r="E101" s="179"/>
      <c r="F101" s="180"/>
      <c r="G101" s="131"/>
      <c r="H101" s="131"/>
      <c r="I101" s="20" t="s">
        <v>142</v>
      </c>
      <c r="J101" s="25">
        <f>(IF(D94&gt;2,(H94/(D94+2)+J100),0))</f>
        <v>0</v>
      </c>
    </row>
    <row r="102" spans="1:11" ht="57.75" hidden="1" customHeight="1" x14ac:dyDescent="0.35">
      <c r="A102" s="129" t="s">
        <v>169</v>
      </c>
      <c r="B102" s="130"/>
      <c r="C102" s="38">
        <v>0</v>
      </c>
      <c r="D102" s="39">
        <f ca="1">((100/(H94))*C102)/100</f>
        <v>0</v>
      </c>
      <c r="E102" s="179"/>
      <c r="F102" s="180"/>
      <c r="G102" s="131"/>
      <c r="H102" s="131"/>
      <c r="I102" s="20" t="s">
        <v>144</v>
      </c>
      <c r="J102" s="26">
        <f>(IF(D94&gt;3,(H94/(D94+2)+J101),0))</f>
        <v>0</v>
      </c>
    </row>
    <row r="103" spans="1:11" ht="21" hidden="1" x14ac:dyDescent="0.35">
      <c r="A103" s="131" t="s">
        <v>143</v>
      </c>
      <c r="B103" s="131"/>
      <c r="C103" s="38">
        <v>0</v>
      </c>
      <c r="D103" s="39">
        <f ca="1">((100/(H94))*C103)/100</f>
        <v>0</v>
      </c>
      <c r="E103" s="179"/>
      <c r="F103" s="180"/>
      <c r="G103" s="131"/>
      <c r="H103" s="131"/>
      <c r="I103" s="20" t="s">
        <v>145</v>
      </c>
      <c r="J103" s="25">
        <f>(IF(D94&gt;4,(H94/(D94+2)+J102),0))</f>
        <v>0</v>
      </c>
    </row>
    <row r="104" spans="1:11" ht="21" hidden="1" customHeight="1" x14ac:dyDescent="0.35">
      <c r="A104" s="131" t="s">
        <v>171</v>
      </c>
      <c r="B104" s="131"/>
      <c r="C104" s="38">
        <v>0</v>
      </c>
      <c r="D104" s="39">
        <f ca="1">((100/H94)*C104)/100</f>
        <v>0</v>
      </c>
      <c r="E104" s="179"/>
      <c r="F104" s="180"/>
      <c r="G104" s="131"/>
      <c r="H104" s="131"/>
      <c r="I104" s="20" t="s">
        <v>128</v>
      </c>
      <c r="J104" s="25">
        <f ca="1">(IF(D94=1,(H94/(D94+3)+J99),IF(D94=0,(H94*0.3+J99),IF(D94&gt;1,0))))</f>
        <v>2.1</v>
      </c>
    </row>
    <row r="105" spans="1:11" ht="21.75" hidden="1" thickBot="1" x14ac:dyDescent="0.4">
      <c r="A105" s="131" t="s">
        <v>170</v>
      </c>
      <c r="B105" s="131"/>
      <c r="C105" s="38">
        <v>0</v>
      </c>
      <c r="D105" s="39">
        <f ca="1">((100/H94)*C105)/100</f>
        <v>0</v>
      </c>
      <c r="E105" s="179"/>
      <c r="F105" s="180"/>
      <c r="G105" s="131"/>
      <c r="H105" s="131"/>
      <c r="I105" s="22" t="s">
        <v>129</v>
      </c>
      <c r="J105" s="27">
        <f ca="1">(IF(D94&gt;1.5,(H94/(D94+2)+J99+MAX(0,J100-J99)+MAX(0,J101-J100)+MAX(0,J102-J101)+MAX(0,J103-J102)+MAX(0,J104-J103)),IF(D94=1,(H94/(D94+3)+J104),IF(D94=0,H94*0.3+J104))))</f>
        <v>3</v>
      </c>
    </row>
    <row r="106" spans="1:11" ht="20.25" hidden="1" x14ac:dyDescent="0.25">
      <c r="A106" s="131" t="s">
        <v>146</v>
      </c>
      <c r="B106" s="131"/>
      <c r="C106" s="38">
        <v>0</v>
      </c>
      <c r="D106" s="39">
        <f ca="1">((100/(H94))*C106)/100</f>
        <v>0</v>
      </c>
      <c r="E106" s="179"/>
      <c r="F106" s="180"/>
      <c r="G106" s="131"/>
      <c r="H106" s="131"/>
    </row>
    <row r="107" spans="1:11" ht="20.25" hidden="1" x14ac:dyDescent="0.25">
      <c r="A107" s="131" t="s">
        <v>147</v>
      </c>
      <c r="B107" s="131"/>
      <c r="C107" s="38">
        <v>0</v>
      </c>
      <c r="D107" s="39">
        <f ca="1">((100/(H94))*C107)/100</f>
        <v>0</v>
      </c>
      <c r="E107" s="181"/>
      <c r="F107" s="182"/>
      <c r="G107" s="131"/>
      <c r="H107" s="131"/>
    </row>
    <row r="108" spans="1:11" ht="20.25" x14ac:dyDescent="0.3">
      <c r="A108" s="118" t="s">
        <v>130</v>
      </c>
      <c r="B108" s="119"/>
      <c r="C108" s="119"/>
      <c r="D108" s="119"/>
      <c r="E108" s="119"/>
      <c r="F108" s="119"/>
      <c r="G108" s="137">
        <f ca="1">AVERAGE(E64,E80)</f>
        <v>0.359375</v>
      </c>
      <c r="H108" s="138"/>
      <c r="I108" s="20"/>
      <c r="J108" s="21"/>
      <c r="K108" s="21"/>
    </row>
    <row r="109" spans="1:11" ht="20.25" x14ac:dyDescent="0.25">
      <c r="A109" s="149" t="s">
        <v>73</v>
      </c>
      <c r="B109" s="150"/>
      <c r="C109" s="150"/>
      <c r="D109" s="150"/>
      <c r="E109" s="150"/>
      <c r="F109" s="150"/>
      <c r="G109" s="150"/>
      <c r="H109" s="151"/>
    </row>
    <row r="110" spans="1:11" ht="54.75" customHeight="1" x14ac:dyDescent="0.25">
      <c r="A110" s="152" t="s">
        <v>74</v>
      </c>
      <c r="B110" s="153"/>
      <c r="C110" s="146" t="s">
        <v>109</v>
      </c>
      <c r="D110" s="147"/>
      <c r="E110" s="152" t="s">
        <v>148</v>
      </c>
      <c r="F110" s="153" t="s">
        <v>4</v>
      </c>
      <c r="G110" s="183" t="s">
        <v>161</v>
      </c>
      <c r="H110" s="183"/>
    </row>
    <row r="111" spans="1:11" ht="44.25" customHeight="1" x14ac:dyDescent="0.25">
      <c r="A111" s="152" t="s">
        <v>158</v>
      </c>
      <c r="B111" s="153"/>
      <c r="C111" s="146" t="s">
        <v>374</v>
      </c>
      <c r="D111" s="147"/>
      <c r="E111" s="152" t="s">
        <v>159</v>
      </c>
      <c r="F111" s="153" t="s">
        <v>4</v>
      </c>
      <c r="G111" s="126" t="s">
        <v>149</v>
      </c>
      <c r="H111" s="126"/>
    </row>
    <row r="112" spans="1:11" ht="20.25" x14ac:dyDescent="0.25">
      <c r="A112" s="152" t="s">
        <v>75</v>
      </c>
      <c r="B112" s="153"/>
      <c r="C112" s="158">
        <v>700000</v>
      </c>
      <c r="D112" s="160"/>
      <c r="E112" s="152" t="s">
        <v>103</v>
      </c>
      <c r="F112" s="153" t="s">
        <v>4</v>
      </c>
      <c r="G112" s="146" t="s">
        <v>110</v>
      </c>
      <c r="H112" s="147"/>
    </row>
    <row r="113" spans="1:150 16226:16383" ht="20.25" x14ac:dyDescent="0.25">
      <c r="A113" s="149" t="s">
        <v>72</v>
      </c>
      <c r="B113" s="150"/>
      <c r="C113" s="150"/>
      <c r="D113" s="150"/>
      <c r="E113" s="150"/>
      <c r="F113" s="150"/>
      <c r="G113" s="150"/>
      <c r="H113" s="151"/>
    </row>
    <row r="114" spans="1:150 16226:16383" ht="20.25" customHeight="1" x14ac:dyDescent="0.25">
      <c r="A114" s="152" t="s">
        <v>8</v>
      </c>
      <c r="B114" s="191"/>
      <c r="C114" s="191"/>
      <c r="D114" s="191"/>
      <c r="E114" s="191"/>
      <c r="F114" s="153"/>
      <c r="G114" s="139">
        <f>12200/10.764</f>
        <v>1133.4076551467856</v>
      </c>
      <c r="H114" s="140"/>
    </row>
    <row r="115" spans="1:150 16226:16383" ht="20.25" customHeight="1" x14ac:dyDescent="0.25">
      <c r="A115" s="152" t="s">
        <v>28</v>
      </c>
      <c r="B115" s="191"/>
      <c r="C115" s="191"/>
      <c r="D115" s="191"/>
      <c r="E115" s="191"/>
      <c r="F115" s="153" t="s">
        <v>4</v>
      </c>
      <c r="G115" s="148">
        <f>48900/10.764</f>
        <v>4542.9208472686732</v>
      </c>
      <c r="H115" s="148"/>
    </row>
    <row r="116" spans="1:150 16226:16383" ht="20.25" customHeight="1" x14ac:dyDescent="0.25">
      <c r="A116" s="152" t="s">
        <v>111</v>
      </c>
      <c r="B116" s="191"/>
      <c r="C116" s="191"/>
      <c r="D116" s="191"/>
      <c r="E116" s="191"/>
      <c r="F116" s="153" t="s">
        <v>4</v>
      </c>
      <c r="G116" s="148">
        <f>G114*0.8</f>
        <v>906.72612411742853</v>
      </c>
      <c r="H116" s="148"/>
    </row>
    <row r="117" spans="1:150 16226:16383" ht="20.25" x14ac:dyDescent="0.25">
      <c r="A117" s="141" t="s">
        <v>246</v>
      </c>
      <c r="B117" s="142"/>
      <c r="C117" s="142"/>
      <c r="D117" s="142"/>
      <c r="E117" s="142"/>
      <c r="F117" s="142"/>
      <c r="G117" s="142"/>
      <c r="H117" s="113"/>
    </row>
    <row r="118" spans="1:150 16226:16383" s="3" customFormat="1" ht="20.25" x14ac:dyDescent="0.25">
      <c r="A118" s="120" t="s">
        <v>155</v>
      </c>
      <c r="B118" s="121"/>
      <c r="C118" s="120" t="s">
        <v>156</v>
      </c>
      <c r="D118" s="121"/>
      <c r="E118" s="120" t="s">
        <v>154</v>
      </c>
      <c r="F118" s="121"/>
      <c r="G118" s="120" t="s">
        <v>167</v>
      </c>
      <c r="H118" s="12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x14ac:dyDescent="0.25">
      <c r="A119" s="122" t="s">
        <v>367</v>
      </c>
      <c r="B119" s="123"/>
      <c r="C119" s="122" t="s">
        <v>96</v>
      </c>
      <c r="D119" s="123"/>
      <c r="E119" s="122">
        <f>COUNT(E132:E139)</f>
        <v>8</v>
      </c>
      <c r="F119" s="123"/>
      <c r="G119" s="122">
        <f>SUM(H132:H139)</f>
        <v>1389.7400399999999</v>
      </c>
      <c r="H119" s="123"/>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x14ac:dyDescent="0.25">
      <c r="A120" s="120" t="s">
        <v>157</v>
      </c>
      <c r="B120" s="121"/>
      <c r="C120" s="120" t="s">
        <v>96</v>
      </c>
      <c r="D120" s="121"/>
      <c r="E120" s="120">
        <f>SUM(E119)</f>
        <v>8</v>
      </c>
      <c r="F120" s="121"/>
      <c r="G120" s="120">
        <f>SUM(G119)</f>
        <v>1389.7400399999999</v>
      </c>
      <c r="H120" s="12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ht="20.25" x14ac:dyDescent="0.25">
      <c r="A121" s="141" t="s">
        <v>235</v>
      </c>
      <c r="B121" s="142"/>
      <c r="C121" s="142"/>
      <c r="D121" s="142"/>
      <c r="E121" s="142"/>
      <c r="F121" s="142"/>
      <c r="G121" s="142"/>
      <c r="H121" s="113"/>
    </row>
    <row r="122" spans="1:150 16226:16383" s="3" customFormat="1" ht="20.25" x14ac:dyDescent="0.25">
      <c r="A122" s="120" t="s">
        <v>155</v>
      </c>
      <c r="B122" s="121"/>
      <c r="C122" s="120" t="s">
        <v>156</v>
      </c>
      <c r="D122" s="121"/>
      <c r="E122" s="120" t="s">
        <v>154</v>
      </c>
      <c r="F122" s="121"/>
      <c r="G122" s="120" t="s">
        <v>167</v>
      </c>
      <c r="H122" s="12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x14ac:dyDescent="0.25">
      <c r="A123" s="122" t="s">
        <v>367</v>
      </c>
      <c r="B123" s="123"/>
      <c r="C123" s="120" t="s">
        <v>96</v>
      </c>
      <c r="D123" s="121"/>
      <c r="E123" s="122">
        <f>COUNT(E143:E145)+COUNT(E147:E151)*18+COUNT(E154:E157)*3</f>
        <v>105</v>
      </c>
      <c r="F123" s="123"/>
      <c r="G123" s="122">
        <f>SUM(H143:H145)+SUM(H147:H151)*18+SUM(H154:H157)*3</f>
        <v>34419.5046</v>
      </c>
      <c r="H123" s="123"/>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122" t="s">
        <v>366</v>
      </c>
      <c r="B124" s="123"/>
      <c r="C124" s="120" t="s">
        <v>96</v>
      </c>
      <c r="D124" s="121"/>
      <c r="E124" s="122">
        <f>COUNT(E161:E167)*7</f>
        <v>49</v>
      </c>
      <c r="F124" s="123"/>
      <c r="G124" s="122">
        <f>SUM(H161:H167)*7</f>
        <v>15364.964159999998</v>
      </c>
      <c r="H124" s="123"/>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120" t="s">
        <v>157</v>
      </c>
      <c r="B125" s="121"/>
      <c r="C125" s="120" t="s">
        <v>96</v>
      </c>
      <c r="D125" s="121"/>
      <c r="E125" s="120">
        <f>SUM(E123:F124)</f>
        <v>154</v>
      </c>
      <c r="F125" s="121"/>
      <c r="G125" s="120">
        <f>SUM(G123:H124)</f>
        <v>49784.468759999996</v>
      </c>
      <c r="H125" s="12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120" t="s">
        <v>247</v>
      </c>
      <c r="B126" s="121"/>
      <c r="C126" s="120" t="s">
        <v>96</v>
      </c>
      <c r="D126" s="121"/>
      <c r="E126" s="120">
        <f>SUM(E120,E125)</f>
        <v>162</v>
      </c>
      <c r="F126" s="121"/>
      <c r="G126" s="120">
        <f>SUM(G120,G125)</f>
        <v>51174.208799999993</v>
      </c>
      <c r="H126" s="12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ht="20.25" x14ac:dyDescent="0.25">
      <c r="A127" s="111" t="s">
        <v>153</v>
      </c>
      <c r="B127" s="112"/>
      <c r="C127" s="112"/>
      <c r="D127" s="112"/>
      <c r="E127" s="112"/>
      <c r="F127" s="112"/>
      <c r="G127" s="112"/>
      <c r="H127" s="113"/>
    </row>
    <row r="128" spans="1:150 16226:16383" ht="66" customHeight="1" x14ac:dyDescent="0.25">
      <c r="A128" s="66" t="s">
        <v>236</v>
      </c>
      <c r="B128" s="44" t="s">
        <v>237</v>
      </c>
      <c r="C128" s="103" t="s">
        <v>238</v>
      </c>
      <c r="D128" s="31" t="s">
        <v>90</v>
      </c>
      <c r="E128" s="44" t="s">
        <v>168</v>
      </c>
      <c r="F128" s="43" t="s">
        <v>350</v>
      </c>
      <c r="G128" s="31" t="s">
        <v>92</v>
      </c>
      <c r="H128" s="31" t="s">
        <v>91</v>
      </c>
      <c r="I128" s="91">
        <v>10.763999999999999</v>
      </c>
    </row>
    <row r="129" spans="1:150 16226:16383" s="3" customFormat="1" ht="20.25" x14ac:dyDescent="0.25">
      <c r="A129" s="111" t="s">
        <v>335</v>
      </c>
      <c r="B129" s="112"/>
      <c r="C129" s="112"/>
      <c r="D129" s="112"/>
      <c r="E129" s="112"/>
      <c r="F129" s="112"/>
      <c r="G129" s="112"/>
      <c r="H129" s="113"/>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25">
      <c r="A130" s="141" t="s">
        <v>336</v>
      </c>
      <c r="B130" s="142"/>
      <c r="C130" s="142"/>
      <c r="D130" s="142"/>
      <c r="E130" s="142"/>
      <c r="F130" s="142"/>
      <c r="G130" s="142"/>
      <c r="H130" s="113"/>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207" t="s">
        <v>337</v>
      </c>
      <c r="B131" s="207"/>
      <c r="C131" s="207"/>
      <c r="D131" s="207"/>
      <c r="E131" s="207"/>
      <c r="F131" s="207"/>
      <c r="G131" s="207"/>
      <c r="H131" s="207"/>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117">
        <v>1</v>
      </c>
      <c r="B132" s="117"/>
      <c r="C132" s="67" t="s">
        <v>96</v>
      </c>
      <c r="D132" s="67" t="s">
        <v>338</v>
      </c>
      <c r="E132" s="91">
        <f>(16.1)*10.764</f>
        <v>173.3004</v>
      </c>
      <c r="F132" s="92">
        <v>0</v>
      </c>
      <c r="G132" s="92">
        <v>0</v>
      </c>
      <c r="H132" s="92">
        <f>E132+F132+(IF(G132&lt;101,G132,IF(G132&lt;201,G132/2,IF(G132&lt;=301,G132/3,G132/4))))</f>
        <v>173.3004</v>
      </c>
      <c r="I132" s="98">
        <f>2.67*4.5+2.75*1.2</f>
        <v>15.315000000000001</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105">
        <f>A132+1</f>
        <v>2</v>
      </c>
      <c r="B133" s="106"/>
      <c r="C133" s="67" t="s">
        <v>96</v>
      </c>
      <c r="D133" s="67" t="s">
        <v>338</v>
      </c>
      <c r="E133" s="91">
        <f>(14.61)*10.764</f>
        <v>157.26203999999998</v>
      </c>
      <c r="F133" s="92">
        <v>0</v>
      </c>
      <c r="G133" s="92">
        <v>0</v>
      </c>
      <c r="H133" s="92">
        <f t="shared" ref="H133:H139" si="0">E133+F133+(IF(G133&lt;101,G133,IF(G133&lt;201,G133/2,IF(G133&lt;=301,G133/3,G133/4))))</f>
        <v>157.26203999999998</v>
      </c>
      <c r="I133" s="99"/>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105">
        <f t="shared" ref="A134:A139" si="1">A133+1</f>
        <v>3</v>
      </c>
      <c r="B134" s="106"/>
      <c r="C134" s="67" t="s">
        <v>96</v>
      </c>
      <c r="D134" s="67" t="s">
        <v>338</v>
      </c>
      <c r="E134" s="91">
        <f>(15.74)*10.764</f>
        <v>169.42535999999998</v>
      </c>
      <c r="F134" s="92">
        <v>0</v>
      </c>
      <c r="G134" s="92">
        <v>0</v>
      </c>
      <c r="H134" s="92">
        <f t="shared" si="0"/>
        <v>169.42535999999998</v>
      </c>
      <c r="I134" s="99">
        <f>2.85*4.5+1.35*0.9+1.45*1.2</f>
        <v>15.780000000000001</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25">
      <c r="A135" s="105">
        <f t="shared" si="1"/>
        <v>4</v>
      </c>
      <c r="B135" s="106"/>
      <c r="C135" s="67" t="s">
        <v>96</v>
      </c>
      <c r="D135" s="67" t="s">
        <v>338</v>
      </c>
      <c r="E135" s="91">
        <f>(21.33)*10.764</f>
        <v>229.59611999999996</v>
      </c>
      <c r="F135" s="92">
        <v>0</v>
      </c>
      <c r="G135" s="92">
        <v>0</v>
      </c>
      <c r="H135" s="92">
        <f t="shared" si="0"/>
        <v>229.59611999999996</v>
      </c>
      <c r="I135" s="99"/>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105">
        <f t="shared" si="1"/>
        <v>5</v>
      </c>
      <c r="B136" s="106"/>
      <c r="C136" s="67" t="s">
        <v>96</v>
      </c>
      <c r="D136" s="67" t="s">
        <v>338</v>
      </c>
      <c r="E136" s="91">
        <f>(6.43)*10.764</f>
        <v>69.212519999999998</v>
      </c>
      <c r="F136" s="92">
        <v>0</v>
      </c>
      <c r="G136" s="92">
        <v>0</v>
      </c>
      <c r="H136" s="92">
        <f t="shared" si="0"/>
        <v>69.212519999999998</v>
      </c>
      <c r="I136" s="100">
        <f>1.95*3.3</f>
        <v>6.4349999999999996</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105">
        <f t="shared" si="1"/>
        <v>6</v>
      </c>
      <c r="B137" s="106"/>
      <c r="C137" s="67" t="s">
        <v>96</v>
      </c>
      <c r="D137" s="67" t="s">
        <v>338</v>
      </c>
      <c r="E137" s="91">
        <f>(32.99)*10.764</f>
        <v>355.10435999999999</v>
      </c>
      <c r="F137" s="92">
        <v>0</v>
      </c>
      <c r="G137" s="92">
        <v>0</v>
      </c>
      <c r="H137" s="92">
        <f t="shared" si="0"/>
        <v>355.10435999999999</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105">
        <f t="shared" si="1"/>
        <v>7</v>
      </c>
      <c r="B138" s="106"/>
      <c r="C138" s="67" t="s">
        <v>96</v>
      </c>
      <c r="D138" s="67" t="s">
        <v>338</v>
      </c>
      <c r="E138" s="91">
        <f>(6.43)*10.764</f>
        <v>69.212519999999998</v>
      </c>
      <c r="F138" s="92">
        <v>0</v>
      </c>
      <c r="G138" s="92">
        <v>0</v>
      </c>
      <c r="H138" s="92">
        <f t="shared" si="0"/>
        <v>69.212519999999998</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105">
        <f t="shared" si="1"/>
        <v>8</v>
      </c>
      <c r="B139" s="106"/>
      <c r="C139" s="67" t="s">
        <v>96</v>
      </c>
      <c r="D139" s="67" t="s">
        <v>338</v>
      </c>
      <c r="E139" s="91">
        <f>(15.48)*10.764</f>
        <v>166.62672000000001</v>
      </c>
      <c r="F139" s="92">
        <v>0</v>
      </c>
      <c r="G139" s="92">
        <v>0</v>
      </c>
      <c r="H139" s="92">
        <f t="shared" si="0"/>
        <v>166.62672000000001</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114" t="s">
        <v>342</v>
      </c>
      <c r="B140" s="115"/>
      <c r="C140" s="115"/>
      <c r="D140" s="115"/>
      <c r="E140" s="115"/>
      <c r="F140" s="115"/>
      <c r="G140" s="115"/>
      <c r="H140" s="116"/>
      <c r="I140" s="101">
        <v>1</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x14ac:dyDescent="0.25">
      <c r="A141" s="117">
        <v>1</v>
      </c>
      <c r="B141" s="117"/>
      <c r="C141" s="105" t="s">
        <v>340</v>
      </c>
      <c r="D141" s="110"/>
      <c r="E141" s="110"/>
      <c r="F141" s="110"/>
      <c r="G141" s="110"/>
      <c r="H141" s="106"/>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x14ac:dyDescent="0.25">
      <c r="A142" s="105">
        <f>A141+1</f>
        <v>2</v>
      </c>
      <c r="B142" s="106"/>
      <c r="C142" s="105" t="s">
        <v>341</v>
      </c>
      <c r="D142" s="110"/>
      <c r="E142" s="110"/>
      <c r="F142" s="110"/>
      <c r="G142" s="110"/>
      <c r="H142" s="106"/>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x14ac:dyDescent="0.25">
      <c r="A143" s="105">
        <f t="shared" ref="A143:A145" si="2">A142+1</f>
        <v>3</v>
      </c>
      <c r="B143" s="106"/>
      <c r="C143" s="67" t="s">
        <v>96</v>
      </c>
      <c r="D143" s="67" t="s">
        <v>343</v>
      </c>
      <c r="E143" s="91">
        <f>(26.41)*10.764</f>
        <v>284.27724000000001</v>
      </c>
      <c r="F143" s="91">
        <v>0</v>
      </c>
      <c r="G143" s="92">
        <v>0</v>
      </c>
      <c r="H143" s="92">
        <f t="shared" ref="H143:H145" si="3">E143+F143+(IF(G143&lt;101,G143,IF(G143&lt;201,G143/2,IF(G143&lt;=301,G143/3,G143/4))))</f>
        <v>284.27724000000001</v>
      </c>
      <c r="I143" s="98">
        <f>2.9*3.15+1.9*2.1+2.45*3.15+0.75*1.7+1.05*(1.22+0.9)</f>
        <v>24.343499999999999</v>
      </c>
      <c r="J143" s="1"/>
      <c r="K143" s="1"/>
      <c r="L143" s="1"/>
      <c r="M143" s="1"/>
      <c r="N143" s="97">
        <f>(0.75*(1.7+4.85))*10.764</f>
        <v>52.878149999999991</v>
      </c>
      <c r="O143" s="1" t="s">
        <v>369</v>
      </c>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105">
        <f t="shared" si="2"/>
        <v>4</v>
      </c>
      <c r="B144" s="106"/>
      <c r="C144" s="67" t="s">
        <v>96</v>
      </c>
      <c r="D144" s="67" t="s">
        <v>343</v>
      </c>
      <c r="E144" s="91">
        <f>(26.41)*10.764</f>
        <v>284.27724000000001</v>
      </c>
      <c r="F144" s="91">
        <v>0</v>
      </c>
      <c r="G144" s="92">
        <v>0</v>
      </c>
      <c r="H144" s="92">
        <f t="shared" si="3"/>
        <v>284.27724000000001</v>
      </c>
      <c r="I144" s="217">
        <f>3900000-(3900000*0.08)</f>
        <v>3588000</v>
      </c>
      <c r="J144" s="1"/>
      <c r="K144" s="1"/>
      <c r="L144" s="1"/>
      <c r="M144" s="1"/>
      <c r="N144" s="97">
        <f>(0.75*(1.7+4.85))*10.764</f>
        <v>52.878149999999991</v>
      </c>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105">
        <f t="shared" si="2"/>
        <v>5</v>
      </c>
      <c r="B145" s="106"/>
      <c r="C145" s="67" t="s">
        <v>96</v>
      </c>
      <c r="D145" s="67" t="s">
        <v>344</v>
      </c>
      <c r="E145" s="91">
        <f>(45.71)*10.764</f>
        <v>492.02243999999996</v>
      </c>
      <c r="F145" s="91">
        <v>0</v>
      </c>
      <c r="G145" s="92">
        <v>0</v>
      </c>
      <c r="H145" s="92">
        <f t="shared" si="3"/>
        <v>492.02243999999996</v>
      </c>
      <c r="I145" s="98">
        <f>2.9*5+2.35*2.4+2.82*3.45+2.25*2.1+2.1*(1.2+1.15)+2.75*0.9+1.05</f>
        <v>43.054000000000002</v>
      </c>
      <c r="J145" s="1"/>
      <c r="K145" s="1"/>
      <c r="L145" s="1"/>
      <c r="M145" s="1"/>
      <c r="N145" s="97">
        <f>(0.75*(8.7))*10.764</f>
        <v>70.235099999999989</v>
      </c>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x14ac:dyDescent="0.25">
      <c r="A146" s="114" t="s">
        <v>345</v>
      </c>
      <c r="B146" s="115"/>
      <c r="C146" s="115"/>
      <c r="D146" s="115"/>
      <c r="E146" s="115"/>
      <c r="F146" s="115"/>
      <c r="G146" s="115"/>
      <c r="H146" s="116"/>
      <c r="I146" s="214">
        <f>4200000-(4200000*0.08)</f>
        <v>3864000</v>
      </c>
      <c r="J146" s="1">
        <v>13500</v>
      </c>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117">
        <v>1</v>
      </c>
      <c r="B147" s="117"/>
      <c r="C147" s="67" t="s">
        <v>96</v>
      </c>
      <c r="D147" s="67" t="s">
        <v>343</v>
      </c>
      <c r="E147" s="91">
        <f>(26.41)*10.764</f>
        <v>284.27724000000001</v>
      </c>
      <c r="F147" s="97">
        <v>0</v>
      </c>
      <c r="G147" s="92">
        <v>0</v>
      </c>
      <c r="H147" s="92">
        <f>E147+F147+(IF(G147&lt;101,G147,IF(G147&lt;201,G147/2,IF(G147&lt;=301,G147/3,G147/4))))</f>
        <v>284.27724000000001</v>
      </c>
      <c r="I147" s="213">
        <f>3864000/H147</f>
        <v>13592.364974417227</v>
      </c>
      <c r="J147" s="215">
        <f>H147*$J$146</f>
        <v>3837742.74</v>
      </c>
      <c r="K147" s="1" t="s">
        <v>373</v>
      </c>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105">
        <f>A147+1</f>
        <v>2</v>
      </c>
      <c r="B148" s="106"/>
      <c r="C148" s="67" t="s">
        <v>96</v>
      </c>
      <c r="D148" s="67" t="s">
        <v>343</v>
      </c>
      <c r="E148" s="91">
        <f>(26.41)*10.764</f>
        <v>284.27724000000001</v>
      </c>
      <c r="F148" s="97">
        <v>0</v>
      </c>
      <c r="G148" s="92">
        <v>0</v>
      </c>
      <c r="H148" s="92">
        <f t="shared" ref="H148:H151" si="4">E148+F148+(IF(G148&lt;101,G148,IF(G148&lt;201,G148/2,IF(G148&lt;=301,G148/3,G148/4))))</f>
        <v>284.27724000000001</v>
      </c>
      <c r="I148" s="212">
        <f>3900000/H149</f>
        <v>13719.001915172666</v>
      </c>
      <c r="J148" s="215">
        <f t="shared" ref="J148:J151" si="5">H148*$J$146</f>
        <v>3837742.74</v>
      </c>
      <c r="K148" s="1">
        <f>3900000/H148</f>
        <v>13719.001915172666</v>
      </c>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105">
        <f t="shared" ref="A149:A151" si="6">A148+1</f>
        <v>3</v>
      </c>
      <c r="B149" s="106"/>
      <c r="C149" s="67" t="s">
        <v>96</v>
      </c>
      <c r="D149" s="67" t="s">
        <v>343</v>
      </c>
      <c r="E149" s="91">
        <f>(26.41)*10.764</f>
        <v>284.27724000000001</v>
      </c>
      <c r="F149" s="97">
        <v>0</v>
      </c>
      <c r="G149" s="92">
        <v>0</v>
      </c>
      <c r="H149" s="92">
        <f t="shared" si="4"/>
        <v>284.27724000000001</v>
      </c>
      <c r="I149" s="1"/>
      <c r="J149" s="215">
        <f t="shared" si="5"/>
        <v>3837742.74</v>
      </c>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105">
        <f t="shared" si="6"/>
        <v>4</v>
      </c>
      <c r="B150" s="106"/>
      <c r="C150" s="67" t="s">
        <v>96</v>
      </c>
      <c r="D150" s="67" t="s">
        <v>343</v>
      </c>
      <c r="E150" s="91">
        <f>(26.41)*10.764</f>
        <v>284.27724000000001</v>
      </c>
      <c r="F150" s="97">
        <v>0</v>
      </c>
      <c r="G150" s="92">
        <v>0</v>
      </c>
      <c r="H150" s="92">
        <f t="shared" si="4"/>
        <v>284.27724000000001</v>
      </c>
      <c r="I150" s="1"/>
      <c r="J150" s="216">
        <f t="shared" si="5"/>
        <v>3837742.74</v>
      </c>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105">
        <f t="shared" si="6"/>
        <v>5</v>
      </c>
      <c r="B151" s="106"/>
      <c r="C151" s="67" t="s">
        <v>96</v>
      </c>
      <c r="D151" s="67" t="s">
        <v>344</v>
      </c>
      <c r="E151" s="91">
        <f>(45.71)*10.764</f>
        <v>492.02243999999996</v>
      </c>
      <c r="F151" s="97">
        <v>0</v>
      </c>
      <c r="G151" s="92">
        <v>0</v>
      </c>
      <c r="H151" s="92">
        <f t="shared" si="4"/>
        <v>492.02243999999996</v>
      </c>
      <c r="I151" s="1">
        <f>5700000/H151</f>
        <v>11584.837472047007</v>
      </c>
      <c r="J151" s="215">
        <f t="shared" si="5"/>
        <v>6642302.9399999995</v>
      </c>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x14ac:dyDescent="0.25">
      <c r="A152" s="114" t="s">
        <v>346</v>
      </c>
      <c r="B152" s="115"/>
      <c r="C152" s="115"/>
      <c r="D152" s="115"/>
      <c r="E152" s="115"/>
      <c r="F152" s="115"/>
      <c r="G152" s="115"/>
      <c r="H152" s="116"/>
      <c r="I152" s="101">
        <v>3</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x14ac:dyDescent="0.25">
      <c r="A153" s="117">
        <v>1</v>
      </c>
      <c r="B153" s="117"/>
      <c r="C153" s="105" t="s">
        <v>347</v>
      </c>
      <c r="D153" s="110"/>
      <c r="E153" s="110"/>
      <c r="F153" s="110"/>
      <c r="G153" s="110"/>
      <c r="H153" s="106"/>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105">
        <f>A153+1</f>
        <v>2</v>
      </c>
      <c r="B154" s="106"/>
      <c r="C154" s="67" t="s">
        <v>96</v>
      </c>
      <c r="D154" s="67" t="s">
        <v>343</v>
      </c>
      <c r="E154" s="91">
        <f>(26.41)*10.764</f>
        <v>284.27724000000001</v>
      </c>
      <c r="F154" s="97">
        <v>0</v>
      </c>
      <c r="G154" s="92">
        <v>0</v>
      </c>
      <c r="H154" s="92">
        <f t="shared" ref="H154:H157" si="7">E154+F154+(IF(G154&lt;101,G154,IF(G154&lt;201,G154/2,IF(G154&lt;=301,G154/3,G154/4))))</f>
        <v>284.27724000000001</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105">
        <f t="shared" ref="A155:A157" si="8">A154+1</f>
        <v>3</v>
      </c>
      <c r="B155" s="106"/>
      <c r="C155" s="67" t="s">
        <v>96</v>
      </c>
      <c r="D155" s="67" t="s">
        <v>343</v>
      </c>
      <c r="E155" s="91">
        <f>(26.41)*10.764</f>
        <v>284.27724000000001</v>
      </c>
      <c r="F155" s="97">
        <v>0</v>
      </c>
      <c r="G155" s="92">
        <v>0</v>
      </c>
      <c r="H155" s="92">
        <f t="shared" si="7"/>
        <v>284.27724000000001</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105">
        <f t="shared" si="8"/>
        <v>4</v>
      </c>
      <c r="B156" s="106"/>
      <c r="C156" s="67" t="s">
        <v>96</v>
      </c>
      <c r="D156" s="67" t="s">
        <v>343</v>
      </c>
      <c r="E156" s="91">
        <f>(26.41)*10.764</f>
        <v>284.27724000000001</v>
      </c>
      <c r="F156" s="97">
        <v>0</v>
      </c>
      <c r="G156" s="92">
        <v>0</v>
      </c>
      <c r="H156" s="92">
        <f t="shared" si="7"/>
        <v>284.27724000000001</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105">
        <f t="shared" si="8"/>
        <v>5</v>
      </c>
      <c r="B157" s="106"/>
      <c r="C157" s="67" t="s">
        <v>96</v>
      </c>
      <c r="D157" s="67" t="s">
        <v>344</v>
      </c>
      <c r="E157" s="91">
        <f>(45.71)*10.764</f>
        <v>492.02243999999996</v>
      </c>
      <c r="F157" s="97">
        <v>0</v>
      </c>
      <c r="G157" s="92">
        <v>0</v>
      </c>
      <c r="H157" s="92">
        <f t="shared" si="7"/>
        <v>492.02243999999996</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141" t="s">
        <v>324</v>
      </c>
      <c r="B158" s="142"/>
      <c r="C158" s="142"/>
      <c r="D158" s="142"/>
      <c r="E158" s="142"/>
      <c r="F158" s="142"/>
      <c r="G158" s="142"/>
      <c r="H158" s="113"/>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x14ac:dyDescent="0.25">
      <c r="A159" s="207" t="s">
        <v>348</v>
      </c>
      <c r="B159" s="207"/>
      <c r="C159" s="207"/>
      <c r="D159" s="207"/>
      <c r="E159" s="207"/>
      <c r="F159" s="207"/>
      <c r="G159" s="207"/>
      <c r="H159" s="207"/>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x14ac:dyDescent="0.25">
      <c r="A160" s="114" t="s">
        <v>349</v>
      </c>
      <c r="B160" s="115"/>
      <c r="C160" s="115"/>
      <c r="D160" s="115"/>
      <c r="E160" s="115"/>
      <c r="F160" s="115"/>
      <c r="G160" s="115"/>
      <c r="H160" s="116"/>
      <c r="I160" s="102">
        <v>7</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x14ac:dyDescent="0.25">
      <c r="A161" s="117">
        <v>1</v>
      </c>
      <c r="B161" s="117"/>
      <c r="C161" s="67" t="s">
        <v>96</v>
      </c>
      <c r="D161" s="67" t="s">
        <v>343</v>
      </c>
      <c r="E161" s="91">
        <f t="shared" ref="E161:E166" si="9">(26.53)*10.764</f>
        <v>285.56891999999999</v>
      </c>
      <c r="F161" s="96">
        <v>0</v>
      </c>
      <c r="G161" s="92">
        <v>0</v>
      </c>
      <c r="H161" s="92">
        <f>E161+F161+(IF(G161&lt;101,G161,IF(G161&lt;201,G161/2,IF(G161&lt;=301,G161/3,G161/4))))</f>
        <v>285.56891999999999</v>
      </c>
      <c r="I161" s="98">
        <f>2.9*3.15+1.95*3.15+2.45*3.15+0.75*0.75+1.05*(1.22+0.9)</f>
        <v>25.7835</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x14ac:dyDescent="0.25">
      <c r="A162" s="105">
        <f>A161+1</f>
        <v>2</v>
      </c>
      <c r="B162" s="106"/>
      <c r="C162" s="67" t="s">
        <v>96</v>
      </c>
      <c r="D162" s="67" t="s">
        <v>343</v>
      </c>
      <c r="E162" s="91">
        <f t="shared" si="9"/>
        <v>285.56891999999999</v>
      </c>
      <c r="F162" s="96">
        <v>0</v>
      </c>
      <c r="G162" s="92">
        <v>0</v>
      </c>
      <c r="H162" s="92">
        <f t="shared" ref="H162:H167" si="10">E162+F162+(IF(G162&lt;101,G162,IF(G162&lt;201,G162/2,IF(G162&lt;=301,G162/3,G162/4))))</f>
        <v>285.56891999999999</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x14ac:dyDescent="0.25">
      <c r="A163" s="105">
        <f t="shared" ref="A163:A167" si="11">A162+1</f>
        <v>3</v>
      </c>
      <c r="B163" s="106"/>
      <c r="C163" s="67" t="s">
        <v>96</v>
      </c>
      <c r="D163" s="67" t="s">
        <v>343</v>
      </c>
      <c r="E163" s="91">
        <f t="shared" si="9"/>
        <v>285.56891999999999</v>
      </c>
      <c r="F163" s="96">
        <v>0</v>
      </c>
      <c r="G163" s="92">
        <v>0</v>
      </c>
      <c r="H163" s="92">
        <f t="shared" si="10"/>
        <v>285.56891999999999</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105">
        <f t="shared" si="11"/>
        <v>4</v>
      </c>
      <c r="B164" s="106"/>
      <c r="C164" s="67" t="s">
        <v>96</v>
      </c>
      <c r="D164" s="67" t="s">
        <v>343</v>
      </c>
      <c r="E164" s="91">
        <f t="shared" si="9"/>
        <v>285.56891999999999</v>
      </c>
      <c r="F164" s="96">
        <v>0</v>
      </c>
      <c r="G164" s="92">
        <v>0</v>
      </c>
      <c r="H164" s="92">
        <f t="shared" si="10"/>
        <v>285.56891999999999</v>
      </c>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105">
        <f t="shared" si="11"/>
        <v>5</v>
      </c>
      <c r="B165" s="106"/>
      <c r="C165" s="67" t="s">
        <v>96</v>
      </c>
      <c r="D165" s="67" t="s">
        <v>343</v>
      </c>
      <c r="E165" s="91">
        <f t="shared" si="9"/>
        <v>285.56891999999999</v>
      </c>
      <c r="F165" s="96">
        <v>0</v>
      </c>
      <c r="G165" s="92">
        <v>0</v>
      </c>
      <c r="H165" s="92">
        <f t="shared" si="10"/>
        <v>285.56891999999999</v>
      </c>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105">
        <f t="shared" si="11"/>
        <v>6</v>
      </c>
      <c r="B166" s="106"/>
      <c r="C166" s="67" t="s">
        <v>96</v>
      </c>
      <c r="D166" s="67" t="s">
        <v>343</v>
      </c>
      <c r="E166" s="91">
        <f t="shared" si="9"/>
        <v>285.56891999999999</v>
      </c>
      <c r="F166" s="96">
        <v>0</v>
      </c>
      <c r="G166" s="92">
        <v>0</v>
      </c>
      <c r="H166" s="92">
        <f t="shared" si="10"/>
        <v>285.56891999999999</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105">
        <f t="shared" si="11"/>
        <v>7</v>
      </c>
      <c r="B167" s="106"/>
      <c r="C167" s="67" t="s">
        <v>96</v>
      </c>
      <c r="D167" s="67" t="s">
        <v>344</v>
      </c>
      <c r="E167" s="91">
        <f>(44.74)*10.764</f>
        <v>481.58136000000002</v>
      </c>
      <c r="F167" s="96">
        <v>0</v>
      </c>
      <c r="G167" s="92">
        <v>0</v>
      </c>
      <c r="H167" s="92">
        <f t="shared" si="10"/>
        <v>481.58136000000002</v>
      </c>
      <c r="I167" s="98">
        <f>2.9*4.74+1.95*3.5+2.45*2.45+2.9*3.15+1.2*(2.1+2.1)+1.7*0.9</f>
        <v>42.278500000000001</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hidden="1" x14ac:dyDescent="0.25">
      <c r="A168" s="114" t="s">
        <v>339</v>
      </c>
      <c r="B168" s="115"/>
      <c r="C168" s="115"/>
      <c r="D168" s="115"/>
      <c r="E168" s="115"/>
      <c r="F168" s="115"/>
      <c r="G168" s="115"/>
      <c r="H168" s="116"/>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hidden="1" x14ac:dyDescent="0.25">
      <c r="A169" s="117">
        <v>1</v>
      </c>
      <c r="B169" s="117"/>
      <c r="C169" s="67" t="s">
        <v>96</v>
      </c>
      <c r="D169" s="67"/>
      <c r="E169" s="42">
        <v>0</v>
      </c>
      <c r="F169" s="41">
        <v>0</v>
      </c>
      <c r="G169" s="41">
        <v>0</v>
      </c>
      <c r="H169" s="6">
        <f>E169+F169+(IF(G169&lt;101,G169,IF(G169&lt;201,G169/2,IF(G169&lt;=301,G169/3,G169/4))))</f>
        <v>0</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hidden="1" x14ac:dyDescent="0.25">
      <c r="A170" s="105">
        <f>A169+1</f>
        <v>2</v>
      </c>
      <c r="B170" s="106"/>
      <c r="C170" s="67" t="s">
        <v>96</v>
      </c>
      <c r="D170" s="67"/>
      <c r="E170" s="42"/>
      <c r="F170" s="41"/>
      <c r="G170" s="41"/>
      <c r="H170" s="41">
        <f t="shared" ref="H170:H176" si="12">E170+F170+(IF(G170&lt;101,G170,IF(G170&lt;201,G170/2,IF(G170&lt;=301,G170/3,G170/4))))</f>
        <v>0</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hidden="1" x14ac:dyDescent="0.25">
      <c r="A171" s="105">
        <f t="shared" ref="A171:A176" si="13">A170+1</f>
        <v>3</v>
      </c>
      <c r="B171" s="106"/>
      <c r="C171" s="67" t="s">
        <v>96</v>
      </c>
      <c r="D171" s="67"/>
      <c r="E171" s="42"/>
      <c r="F171" s="41"/>
      <c r="G171" s="41"/>
      <c r="H171" s="41">
        <f t="shared" si="12"/>
        <v>0</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hidden="1" customHeight="1" x14ac:dyDescent="0.25">
      <c r="A172" s="105">
        <f t="shared" si="13"/>
        <v>4</v>
      </c>
      <c r="B172" s="106"/>
      <c r="C172" s="67" t="s">
        <v>96</v>
      </c>
      <c r="D172" s="67"/>
      <c r="E172" s="42"/>
      <c r="F172" s="41"/>
      <c r="G172" s="41"/>
      <c r="H172" s="41">
        <f t="shared" si="12"/>
        <v>0</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hidden="1" customHeight="1" x14ac:dyDescent="0.25">
      <c r="A173" s="105">
        <f t="shared" si="13"/>
        <v>5</v>
      </c>
      <c r="B173" s="106"/>
      <c r="C173" s="67" t="s">
        <v>96</v>
      </c>
      <c r="D173" s="67"/>
      <c r="E173" s="42"/>
      <c r="F173" s="41"/>
      <c r="G173" s="41"/>
      <c r="H173" s="41">
        <f t="shared" si="12"/>
        <v>0</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hidden="1" customHeight="1" x14ac:dyDescent="0.25">
      <c r="A174" s="105">
        <f t="shared" si="13"/>
        <v>6</v>
      </c>
      <c r="B174" s="106"/>
      <c r="C174" s="67" t="s">
        <v>96</v>
      </c>
      <c r="D174" s="67"/>
      <c r="E174" s="42"/>
      <c r="F174" s="41"/>
      <c r="G174" s="41"/>
      <c r="H174" s="41">
        <f t="shared" si="12"/>
        <v>0</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hidden="1" customHeight="1" x14ac:dyDescent="0.25">
      <c r="A175" s="105">
        <f t="shared" si="13"/>
        <v>7</v>
      </c>
      <c r="B175" s="106"/>
      <c r="C175" s="67" t="s">
        <v>96</v>
      </c>
      <c r="D175" s="67"/>
      <c r="E175" s="42"/>
      <c r="F175" s="41"/>
      <c r="G175" s="41"/>
      <c r="H175" s="41">
        <f t="shared" si="12"/>
        <v>0</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hidden="1" customHeight="1" x14ac:dyDescent="0.25">
      <c r="A176" s="105">
        <f t="shared" si="13"/>
        <v>8</v>
      </c>
      <c r="B176" s="106"/>
      <c r="C176" s="67"/>
      <c r="D176" s="67"/>
      <c r="E176" s="42"/>
      <c r="F176" s="41"/>
      <c r="G176" s="41"/>
      <c r="H176" s="41">
        <f t="shared" si="12"/>
        <v>0</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hidden="1" x14ac:dyDescent="0.25">
      <c r="A177" s="143" t="s">
        <v>131</v>
      </c>
      <c r="B177" s="144"/>
      <c r="C177" s="144"/>
      <c r="D177" s="144"/>
      <c r="E177" s="144"/>
      <c r="F177" s="144"/>
      <c r="G177" s="144"/>
      <c r="H177" s="145"/>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hidden="1" customHeight="1" x14ac:dyDescent="0.25">
      <c r="A178" s="117" t="str">
        <f ca="1">T178</f>
        <v>201,..,901</v>
      </c>
      <c r="B178" s="117"/>
      <c r="C178" s="67"/>
      <c r="D178" s="67"/>
      <c r="E178" s="42">
        <v>0</v>
      </c>
      <c r="F178" s="41">
        <v>0</v>
      </c>
      <c r="G178" s="41">
        <v>0</v>
      </c>
      <c r="H178" s="41">
        <f>E178+F178+(IF(G178&lt;101,G178,IF(G178&lt;201,G178/2,IF(G178&lt;=301,G178/3,G178/4))))</f>
        <v>0</v>
      </c>
      <c r="I178" s="1"/>
      <c r="J178" s="1"/>
      <c r="K178" s="1"/>
      <c r="L178" s="1"/>
      <c r="M178" s="1"/>
      <c r="N178" s="1"/>
      <c r="O178" s="1"/>
      <c r="P178" s="1"/>
      <c r="Q178" s="1"/>
      <c r="R178" s="1"/>
      <c r="S178" s="1"/>
      <c r="T178" s="23" t="str">
        <f t="shared" ref="T178:T185" ca="1" si="14">U178&amp;""&amp;",..,"&amp;""&amp;V178</f>
        <v>201,..,901</v>
      </c>
      <c r="U178" s="23">
        <f ca="1">(SUMPRODUCT(MID(0&amp;(LEFT(A177,SUM(LEN(A177)-LEN(SUBSTITUTE(A177,{"0","1","2","3"},""))))), LARGE(INDEX(ISNUMBER(--MID((LEFT(A177,SUM(LEN(A177)-LEN(SUBSTITUTE(A177,{"0","1","2","3"},""))))), ROW(INDIRECT("1:"&amp;LEN((LEFT(A177,SUM(LEN(A177)-LEN(SUBSTITUTE(A177,{"0","1","2","3"},"")))))))), 1)) * ROW(INDIRECT("1:"&amp;LEN((LEFT(A177,SUM(LEN(A177)-LEN(SUBSTITUTE(A177,{"0","1","2","3"},"")))))))), 0), ROW(INDIRECT("1:"&amp;LEN((LEFT(A177,SUM(LEN(A177)-LEN(SUBSTITUTE(A177,{"0","1","2","3"},"")))))))))+1, 1) * 10^ROW(INDIRECT("1:"&amp;LEN((LEFT(A177,SUM(LEN(A177)-LEN(SUBSTITUTE(A177,{"0","1","2","3"},""))))))))/10))*100+1</f>
        <v>201</v>
      </c>
      <c r="V178" s="23">
        <f ca="1">(SUMPRODUCT(MID(0&amp;(--TRIM(RIGHT(SUBSTITUTE(LEFT(A177,_xlfn.AGGREGATE(16,6,FIND({0,1,2,3,4,5,6,7,8,9},A177,ROW(INDIRECT("1:"&amp;LEN(A177)))),1)),"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901</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hidden="1" customHeight="1" x14ac:dyDescent="0.25">
      <c r="A179" s="117" t="str">
        <f t="shared" ref="A179:A185" ca="1" si="15">T179</f>
        <v>202,..,902</v>
      </c>
      <c r="B179" s="117"/>
      <c r="C179" s="67"/>
      <c r="D179" s="67"/>
      <c r="E179" s="42"/>
      <c r="F179" s="41"/>
      <c r="G179" s="41"/>
      <c r="H179" s="41">
        <f t="shared" ref="H179:H185" si="16">E179+F179+(IF(G179&lt;101,G179,IF(G179&lt;201,G179/2,IF(G179&lt;=301,G179/3,G179/4))))</f>
        <v>0</v>
      </c>
      <c r="I179" s="1"/>
      <c r="J179" s="1"/>
      <c r="K179" s="1"/>
      <c r="L179" s="1"/>
      <c r="M179" s="1"/>
      <c r="N179" s="1"/>
      <c r="O179" s="1"/>
      <c r="P179" s="1"/>
      <c r="Q179" s="1"/>
      <c r="R179" s="1"/>
      <c r="S179" s="1"/>
      <c r="T179" s="23" t="str">
        <f t="shared" ca="1" si="14"/>
        <v>202,..,902</v>
      </c>
      <c r="U179" s="23">
        <f ca="1">U178+1</f>
        <v>202</v>
      </c>
      <c r="V179" s="23">
        <f ca="1">V178+1</f>
        <v>902</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hidden="1" customHeight="1" x14ac:dyDescent="0.25">
      <c r="A180" s="117" t="str">
        <f t="shared" ca="1" si="15"/>
        <v>203,..,903</v>
      </c>
      <c r="B180" s="117"/>
      <c r="C180" s="67"/>
      <c r="D180" s="67"/>
      <c r="E180" s="42"/>
      <c r="F180" s="41"/>
      <c r="G180" s="41"/>
      <c r="H180" s="41">
        <f t="shared" si="16"/>
        <v>0</v>
      </c>
      <c r="I180" s="1"/>
      <c r="J180" s="1"/>
      <c r="K180" s="1"/>
      <c r="L180" s="1"/>
      <c r="M180" s="1"/>
      <c r="N180" s="1"/>
      <c r="O180" s="1"/>
      <c r="P180" s="1"/>
      <c r="Q180" s="1"/>
      <c r="R180" s="1"/>
      <c r="S180" s="1"/>
      <c r="T180" s="23" t="str">
        <f t="shared" ca="1" si="14"/>
        <v>203,..,903</v>
      </c>
      <c r="U180" s="23">
        <f t="shared" ref="U180:U185" ca="1" si="17">U179+1</f>
        <v>203</v>
      </c>
      <c r="V180" s="23">
        <f t="shared" ref="V180:V185" ca="1" si="18">V179+1</f>
        <v>903</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hidden="1" customHeight="1" x14ac:dyDescent="0.25">
      <c r="A181" s="117" t="str">
        <f t="shared" ca="1" si="15"/>
        <v>204,..,904</v>
      </c>
      <c r="B181" s="117"/>
      <c r="C181" s="67"/>
      <c r="D181" s="67"/>
      <c r="E181" s="42"/>
      <c r="F181" s="41"/>
      <c r="G181" s="41"/>
      <c r="H181" s="41">
        <f t="shared" si="16"/>
        <v>0</v>
      </c>
      <c r="I181" s="1"/>
      <c r="J181" s="1"/>
      <c r="K181" s="1"/>
      <c r="L181" s="1"/>
      <c r="M181" s="1"/>
      <c r="N181" s="1"/>
      <c r="O181" s="1"/>
      <c r="P181" s="1"/>
      <c r="Q181" s="1"/>
      <c r="R181" s="1"/>
      <c r="S181" s="1"/>
      <c r="T181" s="23" t="str">
        <f t="shared" ca="1" si="14"/>
        <v>204,..,904</v>
      </c>
      <c r="U181" s="23">
        <f t="shared" ca="1" si="17"/>
        <v>204</v>
      </c>
      <c r="V181" s="23">
        <f t="shared" ca="1" si="18"/>
        <v>904</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hidden="1" customHeight="1" x14ac:dyDescent="0.25">
      <c r="A182" s="117" t="str">
        <f t="shared" ca="1" si="15"/>
        <v>205,..,905</v>
      </c>
      <c r="B182" s="117"/>
      <c r="C182" s="67"/>
      <c r="D182" s="67"/>
      <c r="E182" s="42"/>
      <c r="F182" s="41"/>
      <c r="G182" s="41"/>
      <c r="H182" s="41">
        <f t="shared" si="16"/>
        <v>0</v>
      </c>
      <c r="I182" s="1"/>
      <c r="J182" s="1"/>
      <c r="K182" s="1"/>
      <c r="L182" s="1"/>
      <c r="M182" s="1"/>
      <c r="N182" s="1"/>
      <c r="O182" s="1"/>
      <c r="P182" s="1"/>
      <c r="Q182" s="1"/>
      <c r="R182" s="1"/>
      <c r="S182" s="1"/>
      <c r="T182" s="23" t="str">
        <f t="shared" ca="1" si="14"/>
        <v>205,..,905</v>
      </c>
      <c r="U182" s="23">
        <f t="shared" ca="1" si="17"/>
        <v>205</v>
      </c>
      <c r="V182" s="23">
        <f t="shared" ca="1" si="18"/>
        <v>905</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hidden="1" customHeight="1" x14ac:dyDescent="0.25">
      <c r="A183" s="117" t="str">
        <f t="shared" ca="1" si="15"/>
        <v>206,..,906</v>
      </c>
      <c r="B183" s="117"/>
      <c r="C183" s="67"/>
      <c r="D183" s="67"/>
      <c r="E183" s="42"/>
      <c r="F183" s="41"/>
      <c r="G183" s="41"/>
      <c r="H183" s="41">
        <f t="shared" si="16"/>
        <v>0</v>
      </c>
      <c r="I183" s="1"/>
      <c r="J183" s="1"/>
      <c r="K183" s="1"/>
      <c r="L183" s="1"/>
      <c r="M183" s="1"/>
      <c r="N183" s="1"/>
      <c r="O183" s="1"/>
      <c r="P183" s="1"/>
      <c r="Q183" s="1"/>
      <c r="R183" s="1"/>
      <c r="S183" s="1"/>
      <c r="T183" s="23" t="str">
        <f t="shared" ca="1" si="14"/>
        <v>206,..,906</v>
      </c>
      <c r="U183" s="23">
        <f t="shared" ca="1" si="17"/>
        <v>206</v>
      </c>
      <c r="V183" s="23">
        <f t="shared" ca="1" si="18"/>
        <v>906</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hidden="1" customHeight="1" x14ac:dyDescent="0.25">
      <c r="A184" s="117" t="str">
        <f t="shared" ca="1" si="15"/>
        <v>207,..,907</v>
      </c>
      <c r="B184" s="117"/>
      <c r="C184" s="67"/>
      <c r="D184" s="67"/>
      <c r="E184" s="42"/>
      <c r="F184" s="41"/>
      <c r="G184" s="41"/>
      <c r="H184" s="41">
        <f t="shared" si="16"/>
        <v>0</v>
      </c>
      <c r="I184" s="1"/>
      <c r="J184" s="1"/>
      <c r="K184" s="1"/>
      <c r="L184" s="1"/>
      <c r="M184" s="1"/>
      <c r="N184" s="1"/>
      <c r="O184" s="1"/>
      <c r="P184" s="1"/>
      <c r="Q184" s="1"/>
      <c r="R184" s="1"/>
      <c r="S184" s="1"/>
      <c r="T184" s="23" t="str">
        <f t="shared" ca="1" si="14"/>
        <v>207,..,907</v>
      </c>
      <c r="U184" s="23">
        <f t="shared" ca="1" si="17"/>
        <v>207</v>
      </c>
      <c r="V184" s="23">
        <f t="shared" ca="1" si="18"/>
        <v>907</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hidden="1" customHeight="1" x14ac:dyDescent="0.25">
      <c r="A185" s="117" t="str">
        <f t="shared" ca="1" si="15"/>
        <v>208,..,908</v>
      </c>
      <c r="B185" s="117"/>
      <c r="C185" s="67"/>
      <c r="D185" s="67"/>
      <c r="E185" s="42"/>
      <c r="F185" s="41"/>
      <c r="G185" s="41"/>
      <c r="H185" s="41">
        <f t="shared" si="16"/>
        <v>0</v>
      </c>
      <c r="I185" s="1"/>
      <c r="J185" s="1"/>
      <c r="K185" s="1"/>
      <c r="L185" s="1"/>
      <c r="M185" s="1"/>
      <c r="N185" s="1"/>
      <c r="O185" s="1"/>
      <c r="P185" s="1"/>
      <c r="Q185" s="1"/>
      <c r="R185" s="1"/>
      <c r="S185" s="1"/>
      <c r="T185" s="23" t="str">
        <f t="shared" ca="1" si="14"/>
        <v>208,..,908</v>
      </c>
      <c r="U185" s="23">
        <f t="shared" ca="1" si="17"/>
        <v>208</v>
      </c>
      <c r="V185" s="23">
        <f t="shared" ca="1" si="18"/>
        <v>908</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hidden="1" x14ac:dyDescent="0.25">
      <c r="A186" s="143" t="s">
        <v>132</v>
      </c>
      <c r="B186" s="144"/>
      <c r="C186" s="144"/>
      <c r="D186" s="144"/>
      <c r="E186" s="144"/>
      <c r="F186" s="144"/>
      <c r="G186" s="144"/>
      <c r="H186" s="145"/>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hidden="1" customHeight="1" x14ac:dyDescent="0.25">
      <c r="A187" s="117" t="str">
        <f ca="1">T187</f>
        <v>201 to 501</v>
      </c>
      <c r="B187" s="117"/>
      <c r="C187" s="67"/>
      <c r="D187" s="67"/>
      <c r="E187" s="42">
        <v>0</v>
      </c>
      <c r="F187" s="41">
        <v>0</v>
      </c>
      <c r="G187" s="41">
        <v>0</v>
      </c>
      <c r="H187" s="41">
        <f>E187+F187+(IF(G187&lt;101,G187,IF(G187&lt;201,G187/2,IF(G187&lt;=301,G187/3,G187/4))))</f>
        <v>0</v>
      </c>
      <c r="I187" s="1"/>
      <c r="J187" s="1"/>
      <c r="K187" s="1"/>
      <c r="L187" s="1"/>
      <c r="M187" s="1"/>
      <c r="N187" s="1"/>
      <c r="O187" s="1"/>
      <c r="P187" s="1"/>
      <c r="Q187" s="1"/>
      <c r="R187" s="1"/>
      <c r="S187" s="1"/>
      <c r="T187" s="23" t="str">
        <f ca="1">U187&amp;""&amp;" to "&amp;""&amp;V187</f>
        <v>201 to 501</v>
      </c>
      <c r="U187" s="23">
        <f ca="1">(SUMPRODUCT(MID(0&amp;(LEFT(A186,SUM(LEN(A186)-LEN(SUBSTITUTE(A186,{"0","1","2","3"},""))))), LARGE(INDEX(ISNUMBER(--MID((LEFT(A186,SUM(LEN(A186)-LEN(SUBSTITUTE(A186,{"0","1","2","3"},""))))), ROW(INDIRECT("1:"&amp;LEN((LEFT(A186,SUM(LEN(A186)-LEN(SUBSTITUTE(A186,{"0","1","2","3"},"")))))))), 1)) * ROW(INDIRECT("1:"&amp;LEN((LEFT(A186,SUM(LEN(A186)-LEN(SUBSTITUTE(A186,{"0","1","2","3"},"")))))))), 0), ROW(INDIRECT("1:"&amp;LEN((LEFT(A186,SUM(LEN(A186)-LEN(SUBSTITUTE(A186,{"0","1","2","3"},"")))))))))+1, 1) * 10^ROW(INDIRECT("1:"&amp;LEN((LEFT(A186,SUM(LEN(A186)-LEN(SUBSTITUTE(A186,{"0","1","2","3"},""))))))))/10))*100+1</f>
        <v>201</v>
      </c>
      <c r="V187" s="23">
        <f ca="1">(SUMPRODUCT(MID(0&amp;(--TRIM(RIGHT(SUBSTITUTE(LEFT(A186,_xlfn.AGGREGATE(16,6,FIND({0,1,2,3,4,5,6,7,8,9},A186,ROW(INDIRECT("1:"&amp;LEN(A186)))),1)),"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",LEN(A186))),LEN(A186)))))))/10))*100+1</f>
        <v>501</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hidden="1" customHeight="1" x14ac:dyDescent="0.25">
      <c r="A188" s="117" t="str">
        <f t="shared" ref="A188:A194" ca="1" si="19">T188</f>
        <v>202 to 502</v>
      </c>
      <c r="B188" s="117"/>
      <c r="C188" s="67"/>
      <c r="D188" s="67"/>
      <c r="E188" s="42"/>
      <c r="F188" s="41"/>
      <c r="G188" s="41"/>
      <c r="H188" s="41">
        <f t="shared" ref="H188:H194" si="20">E188+F188+(IF(G188&lt;101,G188,IF(G188&lt;201,G188/2,IF(G188&lt;=301,G188/3,G188/4))))</f>
        <v>0</v>
      </c>
      <c r="I188" s="1"/>
      <c r="J188" s="1"/>
      <c r="K188" s="1"/>
      <c r="L188" s="1"/>
      <c r="M188" s="1"/>
      <c r="N188" s="1"/>
      <c r="O188" s="1"/>
      <c r="P188" s="1"/>
      <c r="Q188" s="1"/>
      <c r="R188" s="1"/>
      <c r="S188" s="1"/>
      <c r="T188" s="23" t="str">
        <f t="shared" ref="T188:T194" ca="1" si="21">U188&amp;""&amp;" to "&amp;""&amp;V188</f>
        <v>202 to 502</v>
      </c>
      <c r="U188" s="23">
        <f ca="1">U187+1</f>
        <v>202</v>
      </c>
      <c r="V188" s="23">
        <f ca="1">V187+1</f>
        <v>502</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hidden="1" customHeight="1" x14ac:dyDescent="0.25">
      <c r="A189" s="117" t="str">
        <f t="shared" ca="1" si="19"/>
        <v>203 to 503</v>
      </c>
      <c r="B189" s="117"/>
      <c r="C189" s="67"/>
      <c r="D189" s="67"/>
      <c r="E189" s="42"/>
      <c r="F189" s="41"/>
      <c r="G189" s="41"/>
      <c r="H189" s="41">
        <f t="shared" si="20"/>
        <v>0</v>
      </c>
      <c r="I189" s="1"/>
      <c r="J189" s="1"/>
      <c r="K189" s="1"/>
      <c r="L189" s="1"/>
      <c r="M189" s="1"/>
      <c r="N189" s="1"/>
      <c r="O189" s="1"/>
      <c r="P189" s="1"/>
      <c r="Q189" s="1"/>
      <c r="R189" s="1"/>
      <c r="S189" s="1"/>
      <c r="T189" s="23" t="str">
        <f t="shared" ca="1" si="21"/>
        <v>203 to 503</v>
      </c>
      <c r="U189" s="23">
        <f t="shared" ref="U189:U194" ca="1" si="22">U188+1</f>
        <v>203</v>
      </c>
      <c r="V189" s="23">
        <f t="shared" ref="V189:V194" ca="1" si="23">V188+1</f>
        <v>503</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hidden="1" customHeight="1" x14ac:dyDescent="0.25">
      <c r="A190" s="117" t="str">
        <f t="shared" ca="1" si="19"/>
        <v>204 to 504</v>
      </c>
      <c r="B190" s="117"/>
      <c r="C190" s="67"/>
      <c r="D190" s="67"/>
      <c r="E190" s="42"/>
      <c r="F190" s="41"/>
      <c r="G190" s="41"/>
      <c r="H190" s="41">
        <f t="shared" si="20"/>
        <v>0</v>
      </c>
      <c r="I190" s="1"/>
      <c r="J190" s="1"/>
      <c r="K190" s="1"/>
      <c r="L190" s="1"/>
      <c r="M190" s="1"/>
      <c r="N190" s="1"/>
      <c r="O190" s="1"/>
      <c r="P190" s="1"/>
      <c r="Q190" s="1"/>
      <c r="R190" s="1"/>
      <c r="S190" s="1"/>
      <c r="T190" s="23" t="str">
        <f t="shared" ca="1" si="21"/>
        <v>204 to 504</v>
      </c>
      <c r="U190" s="23">
        <f t="shared" ca="1" si="22"/>
        <v>204</v>
      </c>
      <c r="V190" s="23">
        <f t="shared" ca="1" si="23"/>
        <v>504</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hidden="1" customHeight="1" x14ac:dyDescent="0.25">
      <c r="A191" s="117" t="str">
        <f t="shared" ca="1" si="19"/>
        <v>205 to 505</v>
      </c>
      <c r="B191" s="117"/>
      <c r="C191" s="67"/>
      <c r="D191" s="67"/>
      <c r="E191" s="42"/>
      <c r="F191" s="41"/>
      <c r="G191" s="41"/>
      <c r="H191" s="41">
        <f t="shared" si="20"/>
        <v>0</v>
      </c>
      <c r="I191" s="1"/>
      <c r="J191" s="1"/>
      <c r="K191" s="1"/>
      <c r="L191" s="1"/>
      <c r="M191" s="1"/>
      <c r="N191" s="1"/>
      <c r="O191" s="1"/>
      <c r="P191" s="1"/>
      <c r="Q191" s="1"/>
      <c r="R191" s="1"/>
      <c r="S191" s="1"/>
      <c r="T191" s="23" t="str">
        <f t="shared" ca="1" si="21"/>
        <v>205 to 505</v>
      </c>
      <c r="U191" s="23">
        <f t="shared" ca="1" si="22"/>
        <v>205</v>
      </c>
      <c r="V191" s="23">
        <f t="shared" ca="1" si="23"/>
        <v>505</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hidden="1" customHeight="1" x14ac:dyDescent="0.25">
      <c r="A192" s="117" t="str">
        <f t="shared" ca="1" si="19"/>
        <v>206 to 506</v>
      </c>
      <c r="B192" s="117"/>
      <c r="C192" s="67"/>
      <c r="D192" s="67"/>
      <c r="E192" s="42"/>
      <c r="F192" s="41"/>
      <c r="G192" s="41"/>
      <c r="H192" s="41">
        <f t="shared" si="20"/>
        <v>0</v>
      </c>
      <c r="I192" s="1"/>
      <c r="J192" s="1"/>
      <c r="K192" s="1"/>
      <c r="L192" s="1"/>
      <c r="M192" s="1"/>
      <c r="N192" s="1"/>
      <c r="O192" s="1"/>
      <c r="P192" s="1"/>
      <c r="Q192" s="1"/>
      <c r="R192" s="1"/>
      <c r="S192" s="1"/>
      <c r="T192" s="23" t="str">
        <f t="shared" ca="1" si="21"/>
        <v>206 to 506</v>
      </c>
      <c r="U192" s="23">
        <f t="shared" ca="1" si="22"/>
        <v>206</v>
      </c>
      <c r="V192" s="23">
        <f t="shared" ca="1" si="23"/>
        <v>506</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hidden="1" customHeight="1" x14ac:dyDescent="0.25">
      <c r="A193" s="117" t="str">
        <f t="shared" ca="1" si="19"/>
        <v>207 to 507</v>
      </c>
      <c r="B193" s="117"/>
      <c r="C193" s="67"/>
      <c r="D193" s="67"/>
      <c r="E193" s="42"/>
      <c r="F193" s="41"/>
      <c r="G193" s="41"/>
      <c r="H193" s="41">
        <f t="shared" si="20"/>
        <v>0</v>
      </c>
      <c r="I193" s="1"/>
      <c r="J193" s="1"/>
      <c r="K193" s="1"/>
      <c r="L193" s="1"/>
      <c r="M193" s="1"/>
      <c r="N193" s="1"/>
      <c r="O193" s="1"/>
      <c r="P193" s="1"/>
      <c r="Q193" s="1"/>
      <c r="R193" s="1"/>
      <c r="S193" s="1"/>
      <c r="T193" s="23" t="str">
        <f t="shared" ca="1" si="21"/>
        <v>207 to 507</v>
      </c>
      <c r="U193" s="23">
        <f t="shared" ca="1" si="22"/>
        <v>207</v>
      </c>
      <c r="V193" s="23">
        <f t="shared" ca="1" si="23"/>
        <v>507</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hidden="1" customHeight="1" x14ac:dyDescent="0.25">
      <c r="A194" s="117" t="str">
        <f t="shared" ca="1" si="19"/>
        <v>208 to 508</v>
      </c>
      <c r="B194" s="117"/>
      <c r="C194" s="67"/>
      <c r="D194" s="67"/>
      <c r="E194" s="42"/>
      <c r="F194" s="41"/>
      <c r="G194" s="41"/>
      <c r="H194" s="41">
        <f t="shared" si="20"/>
        <v>0</v>
      </c>
      <c r="I194" s="1"/>
      <c r="J194" s="1"/>
      <c r="K194" s="1"/>
      <c r="L194" s="1"/>
      <c r="M194" s="1"/>
      <c r="N194" s="1"/>
      <c r="O194" s="1"/>
      <c r="P194" s="1"/>
      <c r="Q194" s="1"/>
      <c r="R194" s="1"/>
      <c r="S194" s="1"/>
      <c r="T194" s="23" t="str">
        <f t="shared" ca="1" si="21"/>
        <v>208 to 508</v>
      </c>
      <c r="U194" s="23">
        <f t="shared" ca="1" si="22"/>
        <v>208</v>
      </c>
      <c r="V194" s="23">
        <f t="shared" ca="1" si="23"/>
        <v>508</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hidden="1" x14ac:dyDescent="0.25">
      <c r="A195" s="143" t="s">
        <v>133</v>
      </c>
      <c r="B195" s="144"/>
      <c r="C195" s="144"/>
      <c r="D195" s="144"/>
      <c r="E195" s="144"/>
      <c r="F195" s="144"/>
      <c r="G195" s="144"/>
      <c r="H195" s="145"/>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hidden="1" customHeight="1" x14ac:dyDescent="0.25">
      <c r="A196" s="117" t="str">
        <f ca="1">T196</f>
        <v>201 &amp; 501</v>
      </c>
      <c r="B196" s="117"/>
      <c r="C196" s="67"/>
      <c r="D196" s="67"/>
      <c r="E196" s="42">
        <v>0</v>
      </c>
      <c r="F196" s="41">
        <v>0</v>
      </c>
      <c r="G196" s="41">
        <v>0</v>
      </c>
      <c r="H196" s="41">
        <f>E196+F196+(IF(G196&lt;101,G196,IF(G196&lt;201,G196/2,IF(G196&lt;=301,G196/3,G196/4))))</f>
        <v>0</v>
      </c>
      <c r="I196" s="1"/>
      <c r="J196" s="1"/>
      <c r="K196" s="1"/>
      <c r="L196" s="1"/>
      <c r="M196" s="1"/>
      <c r="N196" s="1"/>
      <c r="O196" s="1"/>
      <c r="P196" s="1"/>
      <c r="Q196" s="1"/>
      <c r="R196" s="1"/>
      <c r="S196" s="1"/>
      <c r="T196" s="23" t="str">
        <f ca="1">U196&amp;""&amp;" &amp; "&amp;""&amp;V196</f>
        <v>201 &amp; 501</v>
      </c>
      <c r="U196" s="23">
        <f ca="1">(SUMPRODUCT(MID(0&amp;(LEFT(A195,SUM(LEN(A195)-LEN(SUBSTITUTE(A195,{"0","1","2","3"},""))))), LARGE(INDEX(ISNUMBER(--MID((LEFT(A195,SUM(LEN(A195)-LEN(SUBSTITUTE(A195,{"0","1","2","3"},""))))), ROW(INDIRECT("1:"&amp;LEN((LEFT(A195,SUM(LEN(A195)-LEN(SUBSTITUTE(A195,{"0","1","2","3"},"")))))))), 1)) * ROW(INDIRECT("1:"&amp;LEN((LEFT(A195,SUM(LEN(A195)-LEN(SUBSTITUTE(A195,{"0","1","2","3"},"")))))))), 0), ROW(INDIRECT("1:"&amp;LEN((LEFT(A195,SUM(LEN(A195)-LEN(SUBSTITUTE(A195,{"0","1","2","3"},"")))))))))+1, 1) * 10^ROW(INDIRECT("1:"&amp;LEN((LEFT(A195,SUM(LEN(A195)-LEN(SUBSTITUTE(A195,{"0","1","2","3"},""))))))))/10))*100+1</f>
        <v>201</v>
      </c>
      <c r="V196" s="23">
        <f ca="1">(SUMPRODUCT(MID(0&amp;(--TRIM(RIGHT(SUBSTITUTE(LEFT(A195,_xlfn.AGGREGATE(16,6,FIND({0,1,2,3,4,5,6,7,8,9},A195,ROW(INDIRECT("1:"&amp;LEN(A195)))),1)),"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",LEN(A195))),LEN(A195)))))))/10))*100+1</f>
        <v>501</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hidden="1" customHeight="1" x14ac:dyDescent="0.25">
      <c r="A197" s="117" t="str">
        <f t="shared" ref="A197:A203" ca="1" si="24">T197</f>
        <v>202 &amp; 502</v>
      </c>
      <c r="B197" s="117"/>
      <c r="C197" s="67"/>
      <c r="D197" s="67"/>
      <c r="E197" s="42"/>
      <c r="F197" s="41"/>
      <c r="G197" s="41"/>
      <c r="H197" s="41">
        <f t="shared" ref="H197:H203" si="25">E197+F197+(IF(G197&lt;101,G197,IF(G197&lt;201,G197/2,IF(G197&lt;=301,G197/3,G197/4))))</f>
        <v>0</v>
      </c>
      <c r="I197" s="1"/>
      <c r="J197" s="1"/>
      <c r="K197" s="1"/>
      <c r="L197" s="1"/>
      <c r="M197" s="1"/>
      <c r="N197" s="1"/>
      <c r="O197" s="1"/>
      <c r="P197" s="1"/>
      <c r="Q197" s="1"/>
      <c r="R197" s="1"/>
      <c r="S197" s="1"/>
      <c r="T197" s="23" t="str">
        <f t="shared" ref="T197:T203" ca="1" si="26">U197&amp;""&amp;" &amp; "&amp;""&amp;V197</f>
        <v>202 &amp; 502</v>
      </c>
      <c r="U197" s="23">
        <f ca="1">U196+1</f>
        <v>202</v>
      </c>
      <c r="V197" s="23">
        <f ca="1">V196+1</f>
        <v>502</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hidden="1" customHeight="1" x14ac:dyDescent="0.25">
      <c r="A198" s="117" t="str">
        <f t="shared" ca="1" si="24"/>
        <v>203 &amp; 503</v>
      </c>
      <c r="B198" s="117"/>
      <c r="C198" s="67"/>
      <c r="D198" s="67"/>
      <c r="E198" s="42"/>
      <c r="F198" s="41"/>
      <c r="G198" s="41"/>
      <c r="H198" s="41">
        <f t="shared" si="25"/>
        <v>0</v>
      </c>
      <c r="I198" s="1"/>
      <c r="J198" s="1"/>
      <c r="K198" s="1"/>
      <c r="L198" s="1"/>
      <c r="M198" s="1"/>
      <c r="N198" s="1"/>
      <c r="O198" s="1"/>
      <c r="P198" s="1"/>
      <c r="Q198" s="1"/>
      <c r="R198" s="1"/>
      <c r="S198" s="1"/>
      <c r="T198" s="23" t="str">
        <f t="shared" ca="1" si="26"/>
        <v>203 &amp; 503</v>
      </c>
      <c r="U198" s="23">
        <f t="shared" ref="U198:U203" ca="1" si="27">U197+1</f>
        <v>203</v>
      </c>
      <c r="V198" s="23">
        <f t="shared" ref="V198:V203" ca="1" si="28">V197+1</f>
        <v>503</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hidden="1" customHeight="1" x14ac:dyDescent="0.25">
      <c r="A199" s="117" t="str">
        <f t="shared" ca="1" si="24"/>
        <v>204 &amp; 504</v>
      </c>
      <c r="B199" s="117"/>
      <c r="C199" s="67"/>
      <c r="D199" s="67"/>
      <c r="E199" s="42"/>
      <c r="F199" s="41"/>
      <c r="G199" s="41"/>
      <c r="H199" s="41">
        <f t="shared" si="25"/>
        <v>0</v>
      </c>
      <c r="I199" s="1"/>
      <c r="J199" s="1"/>
      <c r="K199" s="1"/>
      <c r="L199" s="1"/>
      <c r="M199" s="1"/>
      <c r="N199" s="1"/>
      <c r="O199" s="1"/>
      <c r="P199" s="1"/>
      <c r="Q199" s="1"/>
      <c r="R199" s="1"/>
      <c r="S199" s="1"/>
      <c r="T199" s="23" t="str">
        <f t="shared" ca="1" si="26"/>
        <v>204 &amp; 504</v>
      </c>
      <c r="U199" s="23">
        <f t="shared" ca="1" si="27"/>
        <v>204</v>
      </c>
      <c r="V199" s="23">
        <f t="shared" ca="1" si="28"/>
        <v>504</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hidden="1" customHeight="1" x14ac:dyDescent="0.25">
      <c r="A200" s="117" t="str">
        <f t="shared" ca="1" si="24"/>
        <v>205 &amp; 505</v>
      </c>
      <c r="B200" s="117"/>
      <c r="C200" s="67"/>
      <c r="D200" s="67"/>
      <c r="E200" s="42"/>
      <c r="F200" s="41"/>
      <c r="G200" s="41"/>
      <c r="H200" s="41">
        <f t="shared" si="25"/>
        <v>0</v>
      </c>
      <c r="I200" s="1"/>
      <c r="J200" s="1"/>
      <c r="K200" s="1"/>
      <c r="L200" s="1"/>
      <c r="M200" s="1"/>
      <c r="N200" s="1"/>
      <c r="O200" s="1"/>
      <c r="P200" s="1"/>
      <c r="Q200" s="1"/>
      <c r="R200" s="1"/>
      <c r="S200" s="1"/>
      <c r="T200" s="23" t="str">
        <f t="shared" ca="1" si="26"/>
        <v>205 &amp; 505</v>
      </c>
      <c r="U200" s="23">
        <f t="shared" ca="1" si="27"/>
        <v>205</v>
      </c>
      <c r="V200" s="23">
        <f t="shared" ca="1" si="28"/>
        <v>505</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hidden="1" customHeight="1" x14ac:dyDescent="0.25">
      <c r="A201" s="117" t="str">
        <f t="shared" ca="1" si="24"/>
        <v>206 &amp; 506</v>
      </c>
      <c r="B201" s="117"/>
      <c r="C201" s="67"/>
      <c r="D201" s="67"/>
      <c r="E201" s="42"/>
      <c r="F201" s="41"/>
      <c r="G201" s="41"/>
      <c r="H201" s="41">
        <f t="shared" si="25"/>
        <v>0</v>
      </c>
      <c r="I201" s="1"/>
      <c r="J201" s="1"/>
      <c r="K201" s="1"/>
      <c r="L201" s="1"/>
      <c r="M201" s="1"/>
      <c r="N201" s="1"/>
      <c r="O201" s="1"/>
      <c r="P201" s="1"/>
      <c r="Q201" s="1"/>
      <c r="R201" s="1"/>
      <c r="S201" s="1"/>
      <c r="T201" s="23" t="str">
        <f t="shared" ca="1" si="26"/>
        <v>206 &amp; 506</v>
      </c>
      <c r="U201" s="23">
        <f t="shared" ca="1" si="27"/>
        <v>206</v>
      </c>
      <c r="V201" s="23">
        <f t="shared" ca="1" si="28"/>
        <v>506</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hidden="1" customHeight="1" x14ac:dyDescent="0.25">
      <c r="A202" s="117" t="str">
        <f t="shared" ca="1" si="24"/>
        <v>207 &amp; 507</v>
      </c>
      <c r="B202" s="117"/>
      <c r="C202" s="67"/>
      <c r="D202" s="67"/>
      <c r="E202" s="42"/>
      <c r="F202" s="41"/>
      <c r="G202" s="41"/>
      <c r="H202" s="41">
        <f t="shared" si="25"/>
        <v>0</v>
      </c>
      <c r="I202" s="1"/>
      <c r="J202" s="1"/>
      <c r="K202" s="1"/>
      <c r="L202" s="1"/>
      <c r="M202" s="1"/>
      <c r="N202" s="1"/>
      <c r="O202" s="1"/>
      <c r="P202" s="1"/>
      <c r="Q202" s="1"/>
      <c r="R202" s="1"/>
      <c r="S202" s="1"/>
      <c r="T202" s="23" t="str">
        <f t="shared" ca="1" si="26"/>
        <v>207 &amp; 507</v>
      </c>
      <c r="U202" s="23">
        <f t="shared" ca="1" si="27"/>
        <v>207</v>
      </c>
      <c r="V202" s="23">
        <f t="shared" ca="1" si="28"/>
        <v>507</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hidden="1" customHeight="1" x14ac:dyDescent="0.25">
      <c r="A203" s="117" t="str">
        <f t="shared" ca="1" si="24"/>
        <v>208 &amp; 508</v>
      </c>
      <c r="B203" s="117"/>
      <c r="C203" s="67"/>
      <c r="D203" s="67"/>
      <c r="E203" s="42"/>
      <c r="F203" s="41"/>
      <c r="G203" s="41"/>
      <c r="H203" s="41">
        <f t="shared" si="25"/>
        <v>0</v>
      </c>
      <c r="I203" s="1"/>
      <c r="J203" s="1"/>
      <c r="K203" s="1"/>
      <c r="L203" s="1"/>
      <c r="M203" s="1"/>
      <c r="N203" s="1"/>
      <c r="O203" s="1"/>
      <c r="P203" s="1"/>
      <c r="Q203" s="1"/>
      <c r="R203" s="1"/>
      <c r="S203" s="1"/>
      <c r="T203" s="23" t="str">
        <f t="shared" ca="1" si="26"/>
        <v>208 &amp; 508</v>
      </c>
      <c r="U203" s="23">
        <f t="shared" ca="1" si="27"/>
        <v>208</v>
      </c>
      <c r="V203" s="23">
        <f t="shared" ca="1" si="28"/>
        <v>508</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ht="20.25" x14ac:dyDescent="0.25">
      <c r="A204" s="124" t="s">
        <v>70</v>
      </c>
      <c r="B204" s="124"/>
      <c r="C204" s="124"/>
      <c r="D204" s="124"/>
      <c r="E204" s="124"/>
      <c r="F204" s="124"/>
      <c r="G204" s="124"/>
      <c r="H204" s="124"/>
    </row>
    <row r="205" spans="1:150 16226:16383" ht="20.25" x14ac:dyDescent="0.25">
      <c r="A205" s="49" t="s">
        <v>239</v>
      </c>
      <c r="B205" s="184" t="s">
        <v>371</v>
      </c>
      <c r="C205" s="185"/>
      <c r="D205" s="185"/>
      <c r="E205" s="185"/>
      <c r="F205" s="185"/>
      <c r="G205" s="185"/>
      <c r="H205" s="186"/>
    </row>
    <row r="206" spans="1:150 16226:16383" ht="20.25" x14ac:dyDescent="0.25">
      <c r="A206" s="49" t="s">
        <v>239</v>
      </c>
      <c r="B206" s="158" t="s">
        <v>240</v>
      </c>
      <c r="C206" s="159"/>
      <c r="D206" s="159"/>
      <c r="E206" s="159"/>
      <c r="F206" s="159"/>
      <c r="G206" s="159"/>
      <c r="H206" s="160"/>
    </row>
    <row r="207" spans="1:150 16226:16383" ht="20.25" x14ac:dyDescent="0.25">
      <c r="A207" s="49" t="s">
        <v>239</v>
      </c>
      <c r="B207" s="158" t="s">
        <v>372</v>
      </c>
      <c r="C207" s="159"/>
      <c r="D207" s="159"/>
      <c r="E207" s="159"/>
      <c r="F207" s="159"/>
      <c r="G207" s="159"/>
      <c r="H207" s="160"/>
    </row>
    <row r="208" spans="1:150 16226:16383" ht="20.25" x14ac:dyDescent="0.25">
      <c r="A208" s="49" t="s">
        <v>239</v>
      </c>
      <c r="B208" s="158" t="s">
        <v>241</v>
      </c>
      <c r="C208" s="159"/>
      <c r="D208" s="159"/>
      <c r="E208" s="159"/>
      <c r="F208" s="159"/>
      <c r="G208" s="159"/>
      <c r="H208" s="160"/>
    </row>
    <row r="209" spans="1:15" ht="20.25" x14ac:dyDescent="0.25">
      <c r="A209" s="49" t="s">
        <v>239</v>
      </c>
      <c r="B209" s="158" t="s">
        <v>242</v>
      </c>
      <c r="C209" s="159"/>
      <c r="D209" s="159"/>
      <c r="E209" s="159"/>
      <c r="F209" s="159"/>
      <c r="G209" s="159"/>
      <c r="H209" s="160"/>
      <c r="I209" s="209" t="s">
        <v>370</v>
      </c>
      <c r="J209" s="210"/>
      <c r="K209" s="210"/>
      <c r="L209" s="210"/>
      <c r="M209" s="210"/>
      <c r="N209" s="210"/>
      <c r="O209" s="211"/>
    </row>
    <row r="210" spans="1:15" ht="20.25" x14ac:dyDescent="0.25">
      <c r="A210" s="49" t="s">
        <v>239</v>
      </c>
      <c r="B210" s="184" t="s">
        <v>368</v>
      </c>
      <c r="C210" s="185"/>
      <c r="D210" s="185"/>
      <c r="E210" s="185"/>
      <c r="F210" s="185"/>
      <c r="G210" s="185"/>
      <c r="H210" s="186"/>
    </row>
    <row r="211" spans="1:15" ht="45.75" customHeight="1" x14ac:dyDescent="0.25">
      <c r="A211" s="208" t="s">
        <v>239</v>
      </c>
      <c r="B211" s="209" t="s">
        <v>376</v>
      </c>
      <c r="C211" s="210"/>
      <c r="D211" s="210"/>
      <c r="E211" s="210"/>
      <c r="F211" s="210"/>
      <c r="G211" s="210"/>
      <c r="H211" s="211"/>
      <c r="I211" s="1" t="s">
        <v>380</v>
      </c>
    </row>
    <row r="212" spans="1:15" ht="24.75" customHeight="1" x14ac:dyDescent="0.25">
      <c r="A212" s="49" t="s">
        <v>239</v>
      </c>
      <c r="B212" s="184" t="s">
        <v>379</v>
      </c>
      <c r="C212" s="185"/>
      <c r="D212" s="185"/>
      <c r="E212" s="185"/>
      <c r="F212" s="185"/>
      <c r="G212" s="185"/>
      <c r="H212" s="186"/>
    </row>
    <row r="213" spans="1:15" ht="20.25" x14ac:dyDescent="0.25">
      <c r="A213" s="2" t="s">
        <v>239</v>
      </c>
      <c r="B213" s="184" t="s">
        <v>377</v>
      </c>
      <c r="C213" s="185"/>
      <c r="D213" s="185"/>
      <c r="E213" s="185"/>
      <c r="F213" s="185"/>
      <c r="G213" s="185"/>
      <c r="H213" s="186"/>
    </row>
    <row r="214" spans="1:15" ht="20.25" x14ac:dyDescent="0.25">
      <c r="A214" s="157" t="s">
        <v>76</v>
      </c>
      <c r="B214" s="157"/>
      <c r="C214" s="157"/>
      <c r="D214" s="157"/>
      <c r="E214" s="157"/>
      <c r="F214" s="157"/>
      <c r="G214" s="157"/>
      <c r="H214" s="157"/>
    </row>
    <row r="215" spans="1:15" ht="20.25" x14ac:dyDescent="0.25">
      <c r="A215" s="136" t="s">
        <v>71</v>
      </c>
      <c r="B215" s="136"/>
      <c r="C215" s="136"/>
      <c r="D215" s="158" t="str">
        <f>C3</f>
        <v>Maruti Homes</v>
      </c>
      <c r="E215" s="159"/>
      <c r="F215" s="159"/>
      <c r="G215" s="159"/>
      <c r="H215" s="160"/>
    </row>
    <row r="216" spans="1:15" ht="20.25" x14ac:dyDescent="0.25">
      <c r="A216" s="136" t="s">
        <v>106</v>
      </c>
      <c r="B216" s="136"/>
      <c r="C216" s="136"/>
      <c r="D216" s="158" t="str">
        <f>C9</f>
        <v>Maruti Homes, C.T.S.No.278, Village Parsik, Tal. &amp; Dist Thane</v>
      </c>
      <c r="E216" s="159"/>
      <c r="F216" s="159"/>
      <c r="G216" s="159"/>
      <c r="H216" s="160"/>
    </row>
    <row r="217" spans="1:15" ht="20.25" customHeight="1" x14ac:dyDescent="0.25">
      <c r="A217" s="170" t="s">
        <v>112</v>
      </c>
      <c r="B217" s="170"/>
      <c r="C217" s="170"/>
      <c r="D217" s="158" t="str">
        <f>G3</f>
        <v>16/07/2025 at 04:09PM</v>
      </c>
      <c r="E217" s="159"/>
      <c r="F217" s="159"/>
      <c r="G217" s="159"/>
      <c r="H217" s="160"/>
    </row>
    <row r="218" spans="1:15" ht="20.25" x14ac:dyDescent="0.25">
      <c r="A218" s="10"/>
      <c r="B218" s="11"/>
      <c r="C218" s="11"/>
      <c r="D218" s="11"/>
      <c r="E218" s="11"/>
      <c r="F218" s="11"/>
      <c r="G218" s="11"/>
      <c r="H218" s="7"/>
    </row>
    <row r="219" spans="1:15" ht="20.25" x14ac:dyDescent="0.25">
      <c r="A219" s="12"/>
      <c r="B219" s="13"/>
      <c r="C219" s="13"/>
      <c r="D219" s="13"/>
      <c r="E219" s="13"/>
      <c r="F219" s="13"/>
      <c r="G219" s="13"/>
      <c r="H219" s="8"/>
    </row>
    <row r="220" spans="1:15" ht="20.25" x14ac:dyDescent="0.25">
      <c r="A220" s="12"/>
      <c r="B220" s="13"/>
      <c r="C220" s="13"/>
      <c r="D220" s="13"/>
      <c r="E220" s="13"/>
      <c r="F220" s="13"/>
      <c r="G220" s="13"/>
      <c r="H220" s="8"/>
    </row>
    <row r="221" spans="1:15" ht="20.25" x14ac:dyDescent="0.25">
      <c r="A221" s="12"/>
      <c r="B221" s="13"/>
      <c r="C221" s="13"/>
      <c r="D221" s="13"/>
      <c r="E221" s="13"/>
      <c r="F221" s="13"/>
      <c r="G221" s="13"/>
      <c r="H221" s="8"/>
    </row>
    <row r="222" spans="1:15" ht="20.25" x14ac:dyDescent="0.25">
      <c r="A222" s="12"/>
      <c r="B222" s="13"/>
      <c r="C222" s="13"/>
      <c r="D222" s="13"/>
      <c r="E222" s="13"/>
      <c r="F222" s="13"/>
      <c r="G222" s="13"/>
      <c r="H222" s="8"/>
    </row>
    <row r="223" spans="1:15" ht="20.25" x14ac:dyDescent="0.25">
      <c r="A223" s="12"/>
      <c r="B223" s="13"/>
      <c r="C223" s="13"/>
      <c r="D223" s="13"/>
      <c r="E223" s="13"/>
      <c r="F223" s="13"/>
      <c r="G223" s="13"/>
      <c r="H223" s="8"/>
    </row>
    <row r="224" spans="1:15" ht="20.25" x14ac:dyDescent="0.25">
      <c r="A224" s="12"/>
      <c r="B224" s="13"/>
      <c r="C224" s="13"/>
      <c r="D224" s="13"/>
      <c r="E224" s="13"/>
      <c r="F224" s="13"/>
      <c r="G224" s="13"/>
      <c r="H224" s="8"/>
    </row>
    <row r="225" spans="1:8" ht="20.25" x14ac:dyDescent="0.25">
      <c r="A225" s="12"/>
      <c r="B225" s="13"/>
      <c r="C225" s="13"/>
      <c r="D225" s="13"/>
      <c r="E225" s="13"/>
      <c r="F225" s="13"/>
      <c r="G225" s="13"/>
      <c r="H225" s="8"/>
    </row>
    <row r="226" spans="1:8" ht="20.25" x14ac:dyDescent="0.25">
      <c r="A226" s="12"/>
      <c r="B226" s="13"/>
      <c r="C226" s="13"/>
      <c r="D226" s="13"/>
      <c r="E226" s="13"/>
      <c r="F226" s="13"/>
      <c r="G226" s="13"/>
      <c r="H226" s="8"/>
    </row>
    <row r="227" spans="1:8" ht="20.25" x14ac:dyDescent="0.25">
      <c r="A227" s="12"/>
      <c r="B227" s="13"/>
      <c r="C227" s="13"/>
      <c r="D227" s="13"/>
      <c r="E227" s="13"/>
      <c r="F227" s="13"/>
      <c r="G227" s="13"/>
      <c r="H227" s="8"/>
    </row>
    <row r="228" spans="1:8" ht="20.25" x14ac:dyDescent="0.25">
      <c r="A228" s="12"/>
      <c r="B228" s="13"/>
      <c r="C228" s="13"/>
      <c r="D228" s="13"/>
      <c r="E228" s="13"/>
      <c r="F228" s="13"/>
      <c r="G228" s="13"/>
      <c r="H228" s="8"/>
    </row>
    <row r="229" spans="1:8" ht="20.25" x14ac:dyDescent="0.25">
      <c r="A229" s="12"/>
      <c r="B229" s="13"/>
      <c r="C229" s="13"/>
      <c r="D229" s="13"/>
      <c r="E229" s="13"/>
      <c r="F229" s="13"/>
      <c r="G229" s="13"/>
      <c r="H229" s="8"/>
    </row>
    <row r="230" spans="1:8" ht="20.25" x14ac:dyDescent="0.25">
      <c r="A230" s="12"/>
      <c r="B230" s="13"/>
      <c r="C230" s="13"/>
      <c r="D230" s="13"/>
      <c r="E230" s="13"/>
      <c r="F230" s="13"/>
      <c r="G230" s="13"/>
      <c r="H230" s="8"/>
    </row>
    <row r="231" spans="1:8" ht="20.25" x14ac:dyDescent="0.25">
      <c r="A231" s="12"/>
      <c r="B231" s="13"/>
      <c r="C231" s="13"/>
      <c r="D231" s="13"/>
      <c r="E231" s="13"/>
      <c r="F231" s="13"/>
      <c r="G231" s="13"/>
      <c r="H231" s="8"/>
    </row>
    <row r="232" spans="1:8" ht="20.25" x14ac:dyDescent="0.25">
      <c r="A232" s="12"/>
      <c r="B232" s="13"/>
      <c r="C232" s="13"/>
      <c r="D232" s="13"/>
      <c r="E232" s="13"/>
      <c r="F232" s="13"/>
      <c r="G232" s="13"/>
      <c r="H232" s="8"/>
    </row>
    <row r="233" spans="1:8" ht="20.25" x14ac:dyDescent="0.25">
      <c r="A233" s="12"/>
      <c r="B233" s="13"/>
      <c r="C233" s="13"/>
      <c r="D233" s="13"/>
      <c r="E233" s="13"/>
      <c r="F233" s="13"/>
      <c r="G233" s="13"/>
      <c r="H233" s="8"/>
    </row>
    <row r="234" spans="1:8" ht="20.25" x14ac:dyDescent="0.25">
      <c r="A234" s="12"/>
      <c r="B234" s="13"/>
      <c r="C234" s="13"/>
      <c r="D234" s="13"/>
      <c r="E234" s="13"/>
      <c r="F234" s="13"/>
      <c r="G234" s="13"/>
      <c r="H234" s="8"/>
    </row>
    <row r="235" spans="1:8" ht="20.25" x14ac:dyDescent="0.25">
      <c r="A235" s="12"/>
      <c r="B235" s="13"/>
      <c r="C235" s="13"/>
      <c r="D235" s="13"/>
      <c r="E235" s="13"/>
      <c r="F235" s="13"/>
      <c r="G235" s="13"/>
      <c r="H235" s="8"/>
    </row>
    <row r="236" spans="1:8" ht="20.25" x14ac:dyDescent="0.25">
      <c r="A236" s="12"/>
      <c r="B236" s="13"/>
      <c r="C236" s="13"/>
      <c r="D236" s="13"/>
      <c r="E236" s="13"/>
      <c r="F236" s="13"/>
      <c r="G236" s="13"/>
      <c r="H236" s="8"/>
    </row>
    <row r="237" spans="1:8" ht="20.25" x14ac:dyDescent="0.25">
      <c r="A237" s="12"/>
      <c r="B237" s="13"/>
      <c r="C237" s="13"/>
      <c r="D237" s="13"/>
      <c r="E237" s="13"/>
      <c r="F237" s="13"/>
      <c r="G237" s="13"/>
      <c r="H237" s="8"/>
    </row>
    <row r="238" spans="1:8" ht="20.25" x14ac:dyDescent="0.25">
      <c r="A238" s="12"/>
      <c r="B238" s="13"/>
      <c r="C238" s="13"/>
      <c r="D238" s="13"/>
      <c r="E238" s="13"/>
      <c r="F238" s="13"/>
      <c r="G238" s="13"/>
      <c r="H238" s="8"/>
    </row>
    <row r="239" spans="1:8" ht="20.25" x14ac:dyDescent="0.25">
      <c r="A239" s="12"/>
      <c r="B239" s="13"/>
      <c r="C239" s="13"/>
      <c r="D239" s="13"/>
      <c r="E239" s="13"/>
      <c r="F239" s="13"/>
      <c r="G239" s="13"/>
      <c r="H239" s="8"/>
    </row>
    <row r="240" spans="1:8" ht="20.25" x14ac:dyDescent="0.25">
      <c r="A240" s="12"/>
      <c r="B240" s="13"/>
      <c r="C240" s="13"/>
      <c r="D240" s="13"/>
      <c r="E240" s="13"/>
      <c r="F240" s="13"/>
      <c r="G240" s="13"/>
      <c r="H240" s="8"/>
    </row>
    <row r="241" spans="1:8" ht="20.25" x14ac:dyDescent="0.25">
      <c r="A241" s="12"/>
      <c r="B241" s="13"/>
      <c r="C241" s="13"/>
      <c r="D241" s="13"/>
      <c r="E241" s="13"/>
      <c r="F241" s="13"/>
      <c r="G241" s="13"/>
      <c r="H241" s="8"/>
    </row>
    <row r="242" spans="1:8" ht="20.25" x14ac:dyDescent="0.25">
      <c r="A242" s="12"/>
      <c r="B242" s="13"/>
      <c r="C242" s="13"/>
      <c r="D242" s="13"/>
      <c r="E242" s="13"/>
      <c r="F242" s="13"/>
      <c r="G242" s="13"/>
      <c r="H242" s="8"/>
    </row>
    <row r="243" spans="1:8" ht="20.25" x14ac:dyDescent="0.25">
      <c r="A243" s="12"/>
      <c r="B243" s="13"/>
      <c r="C243" s="13"/>
      <c r="D243" s="13"/>
      <c r="E243" s="13"/>
      <c r="F243" s="13"/>
      <c r="G243" s="13"/>
      <c r="H243" s="8"/>
    </row>
    <row r="244" spans="1:8" ht="20.25" x14ac:dyDescent="0.25">
      <c r="A244" s="12"/>
      <c r="B244" s="13"/>
      <c r="C244" s="13"/>
      <c r="D244" s="13"/>
      <c r="E244" s="13"/>
      <c r="F244" s="13"/>
      <c r="G244" s="13"/>
      <c r="H244" s="8"/>
    </row>
    <row r="245" spans="1:8" ht="20.25" x14ac:dyDescent="0.25">
      <c r="A245" s="12"/>
      <c r="B245" s="13"/>
      <c r="C245" s="13"/>
      <c r="D245" s="13"/>
      <c r="E245" s="13"/>
      <c r="F245" s="13"/>
      <c r="G245" s="13"/>
      <c r="H245" s="8"/>
    </row>
    <row r="246" spans="1:8" ht="20.25" x14ac:dyDescent="0.25">
      <c r="A246" s="12"/>
      <c r="B246" s="13"/>
      <c r="C246" s="13"/>
      <c r="D246" s="13"/>
      <c r="E246" s="13"/>
      <c r="F246" s="13"/>
      <c r="G246" s="13"/>
      <c r="H246" s="8"/>
    </row>
    <row r="247" spans="1:8" ht="20.25" x14ac:dyDescent="0.25">
      <c r="A247" s="12"/>
      <c r="B247" s="13"/>
      <c r="C247" s="13"/>
      <c r="D247" s="13"/>
      <c r="E247" s="13"/>
      <c r="F247" s="13"/>
      <c r="G247" s="13"/>
      <c r="H247" s="8"/>
    </row>
    <row r="248" spans="1:8" ht="20.25" x14ac:dyDescent="0.25">
      <c r="A248" s="12"/>
      <c r="B248" s="13"/>
      <c r="C248" s="13"/>
      <c r="D248" s="13"/>
      <c r="E248" s="13"/>
      <c r="F248" s="13"/>
      <c r="G248" s="13"/>
      <c r="H248" s="8"/>
    </row>
    <row r="249" spans="1:8" ht="20.25" x14ac:dyDescent="0.25">
      <c r="A249" s="12"/>
      <c r="B249" s="13"/>
      <c r="C249" s="13"/>
      <c r="D249" s="13"/>
      <c r="E249" s="13"/>
      <c r="F249" s="13"/>
      <c r="G249" s="13"/>
      <c r="H249" s="8"/>
    </row>
    <row r="250" spans="1:8" ht="20.25" x14ac:dyDescent="0.25">
      <c r="A250" s="12"/>
      <c r="B250" s="13"/>
      <c r="C250" s="13"/>
      <c r="D250" s="13"/>
      <c r="E250" s="13"/>
      <c r="F250" s="13"/>
      <c r="G250" s="13"/>
      <c r="H250" s="8"/>
    </row>
    <row r="251" spans="1:8" ht="20.25" x14ac:dyDescent="0.25">
      <c r="A251" s="12"/>
      <c r="B251" s="13"/>
      <c r="C251" s="13"/>
      <c r="D251" s="13"/>
      <c r="E251" s="13"/>
      <c r="F251" s="13"/>
      <c r="G251" s="13"/>
      <c r="H251" s="8"/>
    </row>
    <row r="252" spans="1:8" ht="20.25" x14ac:dyDescent="0.25">
      <c r="A252" s="12"/>
      <c r="B252" s="13"/>
      <c r="C252" s="13"/>
      <c r="D252" s="13"/>
      <c r="E252" s="13"/>
      <c r="F252" s="13"/>
      <c r="G252" s="13"/>
      <c r="H252" s="8"/>
    </row>
    <row r="253" spans="1:8" ht="20.25" x14ac:dyDescent="0.25">
      <c r="A253" s="12"/>
      <c r="B253" s="13"/>
      <c r="C253" s="13"/>
      <c r="D253" s="13"/>
      <c r="E253" s="13"/>
      <c r="F253" s="13"/>
      <c r="G253" s="13"/>
      <c r="H253" s="8"/>
    </row>
    <row r="254" spans="1:8" ht="20.25" x14ac:dyDescent="0.25">
      <c r="A254" s="12"/>
      <c r="B254" s="13"/>
      <c r="C254" s="13"/>
      <c r="D254" s="13"/>
      <c r="E254" s="13"/>
      <c r="F254" s="13"/>
      <c r="G254" s="13"/>
      <c r="H254" s="8"/>
    </row>
    <row r="255" spans="1:8" ht="20.25" x14ac:dyDescent="0.25">
      <c r="A255" s="12"/>
      <c r="B255" s="13"/>
      <c r="C255" s="13"/>
      <c r="D255" s="13"/>
      <c r="E255" s="13"/>
      <c r="F255" s="13"/>
      <c r="G255" s="13"/>
      <c r="H255" s="8"/>
    </row>
    <row r="256" spans="1:8" ht="20.25" x14ac:dyDescent="0.25">
      <c r="A256" s="12"/>
      <c r="B256" s="13"/>
      <c r="C256" s="13"/>
      <c r="D256" s="13"/>
      <c r="E256" s="13"/>
      <c r="F256" s="13"/>
      <c r="G256" s="13"/>
      <c r="H256" s="8"/>
    </row>
    <row r="257" spans="1:8" ht="20.25" x14ac:dyDescent="0.25">
      <c r="A257" s="12"/>
      <c r="B257" s="13"/>
      <c r="C257" s="13"/>
      <c r="D257" s="13"/>
      <c r="E257" s="13"/>
      <c r="F257" s="13"/>
      <c r="G257" s="13"/>
      <c r="H257" s="8"/>
    </row>
    <row r="258" spans="1:8" ht="20.25" x14ac:dyDescent="0.25">
      <c r="A258" s="12"/>
      <c r="B258" s="13"/>
      <c r="C258" s="13"/>
      <c r="D258" s="13"/>
      <c r="E258" s="13"/>
      <c r="F258" s="13"/>
      <c r="G258" s="13"/>
      <c r="H258" s="8"/>
    </row>
    <row r="259" spans="1:8" ht="20.25" x14ac:dyDescent="0.25">
      <c r="A259" s="12"/>
      <c r="B259" s="13"/>
      <c r="C259" s="13"/>
      <c r="D259" s="13"/>
      <c r="E259" s="13"/>
      <c r="F259" s="13"/>
      <c r="G259" s="13"/>
      <c r="H259" s="8"/>
    </row>
    <row r="260" spans="1:8" ht="20.25" x14ac:dyDescent="0.25">
      <c r="A260" s="12"/>
      <c r="B260" s="13"/>
      <c r="C260" s="13"/>
      <c r="D260" s="13"/>
      <c r="E260" s="13"/>
      <c r="F260" s="13"/>
      <c r="G260" s="13"/>
      <c r="H260" s="8"/>
    </row>
    <row r="261" spans="1:8" ht="20.25" x14ac:dyDescent="0.25">
      <c r="A261" s="14"/>
      <c r="B261" s="15"/>
      <c r="C261" s="15"/>
      <c r="D261" s="15"/>
      <c r="E261" s="15"/>
      <c r="F261" s="15"/>
      <c r="G261" s="15"/>
      <c r="H261" s="9"/>
    </row>
    <row r="262" spans="1:8" ht="20.25" x14ac:dyDescent="0.25">
      <c r="A262" s="124" t="s">
        <v>163</v>
      </c>
      <c r="B262" s="124"/>
      <c r="C262" s="124"/>
      <c r="D262" s="124"/>
      <c r="E262" s="124"/>
      <c r="F262" s="124"/>
      <c r="G262" s="124"/>
      <c r="H262" s="124"/>
    </row>
    <row r="263" spans="1:8" ht="20.25" x14ac:dyDescent="0.25">
      <c r="A263" s="10"/>
      <c r="B263" s="11"/>
      <c r="C263" s="11"/>
      <c r="D263" s="11"/>
      <c r="E263" s="11"/>
      <c r="F263" s="11"/>
      <c r="G263" s="11"/>
      <c r="H263" s="7"/>
    </row>
    <row r="264" spans="1:8" ht="20.25" x14ac:dyDescent="0.25">
      <c r="A264" s="12"/>
      <c r="B264" s="68"/>
      <c r="C264" s="68"/>
      <c r="D264" s="68"/>
      <c r="E264" s="68"/>
      <c r="F264" s="68"/>
      <c r="G264" s="68"/>
      <c r="H264" s="8"/>
    </row>
    <row r="265" spans="1:8" ht="20.25" x14ac:dyDescent="0.25">
      <c r="A265" s="12"/>
      <c r="B265" s="68"/>
      <c r="C265" s="68"/>
      <c r="D265" s="68"/>
      <c r="E265" s="68"/>
      <c r="F265" s="68"/>
      <c r="G265" s="68"/>
      <c r="H265" s="8"/>
    </row>
    <row r="266" spans="1:8" ht="20.25" x14ac:dyDescent="0.25">
      <c r="A266" s="12"/>
      <c r="B266" s="68"/>
      <c r="C266" s="68"/>
      <c r="D266" s="68"/>
      <c r="E266" s="68"/>
      <c r="F266" s="68"/>
      <c r="G266" s="68"/>
      <c r="H266" s="8"/>
    </row>
    <row r="267" spans="1:8" ht="20.25" x14ac:dyDescent="0.25">
      <c r="A267" s="12"/>
      <c r="B267" s="68"/>
      <c r="C267" s="68"/>
      <c r="D267" s="68"/>
      <c r="E267" s="68"/>
      <c r="F267" s="68"/>
      <c r="G267" s="68"/>
      <c r="H267" s="8"/>
    </row>
    <row r="268" spans="1:8" ht="20.25" x14ac:dyDescent="0.25">
      <c r="A268" s="12"/>
      <c r="B268" s="68"/>
      <c r="C268" s="68"/>
      <c r="D268" s="68"/>
      <c r="E268" s="68"/>
      <c r="F268" s="68"/>
      <c r="G268" s="68"/>
      <c r="H268" s="8"/>
    </row>
    <row r="269" spans="1:8" ht="20.25" x14ac:dyDescent="0.25">
      <c r="A269" s="12"/>
      <c r="B269" s="68"/>
      <c r="C269" s="68"/>
      <c r="D269" s="68"/>
      <c r="E269" s="68"/>
      <c r="F269" s="68"/>
      <c r="G269" s="68"/>
      <c r="H269" s="8"/>
    </row>
    <row r="270" spans="1:8" ht="20.25" x14ac:dyDescent="0.25">
      <c r="A270" s="12"/>
      <c r="B270" s="68"/>
      <c r="C270" s="68"/>
      <c r="D270" s="68"/>
      <c r="E270" s="68"/>
      <c r="F270" s="68"/>
      <c r="G270" s="68"/>
      <c r="H270" s="8"/>
    </row>
    <row r="271" spans="1:8" ht="20.25" x14ac:dyDescent="0.25">
      <c r="A271" s="12"/>
      <c r="B271" s="68"/>
      <c r="C271" s="68"/>
      <c r="D271" s="68"/>
      <c r="E271" s="68"/>
      <c r="F271" s="68"/>
      <c r="G271" s="68"/>
      <c r="H271" s="8"/>
    </row>
    <row r="272" spans="1:8" ht="20.25" x14ac:dyDescent="0.25">
      <c r="A272" s="12"/>
      <c r="B272" s="68"/>
      <c r="C272" s="68"/>
      <c r="D272" s="68"/>
      <c r="E272" s="68"/>
      <c r="F272" s="68"/>
      <c r="G272" s="68"/>
      <c r="H272" s="8"/>
    </row>
    <row r="273" spans="1:8" ht="20.25" x14ac:dyDescent="0.25">
      <c r="A273" s="12"/>
      <c r="B273" s="68"/>
      <c r="C273" s="68"/>
      <c r="D273" s="68"/>
      <c r="E273" s="68"/>
      <c r="F273" s="68"/>
      <c r="G273" s="68"/>
      <c r="H273" s="8"/>
    </row>
    <row r="274" spans="1:8" ht="20.25" x14ac:dyDescent="0.25">
      <c r="A274" s="12"/>
      <c r="B274" s="68"/>
      <c r="C274" s="68"/>
      <c r="D274" s="68"/>
      <c r="E274" s="68"/>
      <c r="F274" s="68"/>
      <c r="G274" s="68"/>
      <c r="H274" s="8"/>
    </row>
    <row r="275" spans="1:8" ht="20.25" x14ac:dyDescent="0.25">
      <c r="A275" s="12"/>
      <c r="B275" s="68"/>
      <c r="C275" s="68"/>
      <c r="D275" s="68"/>
      <c r="E275" s="68"/>
      <c r="F275" s="68"/>
      <c r="G275" s="68"/>
      <c r="H275" s="8"/>
    </row>
    <row r="276" spans="1:8" ht="20.25" x14ac:dyDescent="0.25">
      <c r="A276" s="12"/>
      <c r="B276" s="68"/>
      <c r="C276" s="68"/>
      <c r="D276" s="68"/>
      <c r="E276" s="68"/>
      <c r="F276" s="68"/>
      <c r="G276" s="68"/>
      <c r="H276" s="8"/>
    </row>
    <row r="277" spans="1:8" ht="20.25" x14ac:dyDescent="0.25">
      <c r="A277" s="12"/>
      <c r="B277" s="68"/>
      <c r="C277" s="68"/>
      <c r="D277" s="68"/>
      <c r="E277" s="68"/>
      <c r="F277" s="68"/>
      <c r="G277" s="68"/>
      <c r="H277" s="8"/>
    </row>
    <row r="278" spans="1:8" ht="20.25" x14ac:dyDescent="0.25">
      <c r="A278" s="12"/>
      <c r="B278" s="68"/>
      <c r="C278" s="68"/>
      <c r="D278" s="68"/>
      <c r="E278" s="68"/>
      <c r="F278" s="68"/>
      <c r="G278" s="68"/>
      <c r="H278" s="8"/>
    </row>
    <row r="279" spans="1:8" ht="20.25" x14ac:dyDescent="0.25">
      <c r="A279" s="12"/>
      <c r="B279" s="68"/>
      <c r="C279" s="68"/>
      <c r="D279" s="68"/>
      <c r="E279" s="68"/>
      <c r="F279" s="68"/>
      <c r="G279" s="68"/>
      <c r="H279" s="8"/>
    </row>
    <row r="280" spans="1:8" ht="20.25" x14ac:dyDescent="0.25">
      <c r="A280" s="12"/>
      <c r="B280" s="68"/>
      <c r="C280" s="68"/>
      <c r="D280" s="68"/>
      <c r="E280" s="68"/>
      <c r="F280" s="68"/>
      <c r="G280" s="68"/>
      <c r="H280" s="8"/>
    </row>
    <row r="281" spans="1:8" ht="20.25" x14ac:dyDescent="0.25">
      <c r="A281" s="12"/>
      <c r="B281" s="68"/>
      <c r="C281" s="68"/>
      <c r="D281" s="68"/>
      <c r="E281" s="68"/>
      <c r="F281" s="68"/>
      <c r="G281" s="68"/>
      <c r="H281" s="8"/>
    </row>
    <row r="282" spans="1:8" ht="20.25" x14ac:dyDescent="0.25">
      <c r="A282" s="12"/>
      <c r="B282" s="68"/>
      <c r="C282" s="68"/>
      <c r="D282" s="68"/>
      <c r="E282" s="68"/>
      <c r="F282" s="68"/>
      <c r="G282" s="68"/>
      <c r="H282" s="8"/>
    </row>
    <row r="283" spans="1:8" ht="20.25" x14ac:dyDescent="0.25">
      <c r="A283" s="12"/>
      <c r="B283" s="68"/>
      <c r="C283" s="68"/>
      <c r="D283" s="68"/>
      <c r="E283" s="68"/>
      <c r="F283" s="68"/>
      <c r="G283" s="68"/>
      <c r="H283" s="8"/>
    </row>
    <row r="284" spans="1:8" ht="20.25" x14ac:dyDescent="0.25">
      <c r="A284" s="12"/>
      <c r="B284" s="68"/>
      <c r="C284" s="68"/>
      <c r="D284" s="68"/>
      <c r="E284" s="68"/>
      <c r="F284" s="68"/>
      <c r="G284" s="68"/>
      <c r="H284" s="8"/>
    </row>
    <row r="285" spans="1:8" ht="20.25" x14ac:dyDescent="0.25">
      <c r="A285" s="12"/>
      <c r="B285" s="68"/>
      <c r="C285" s="68"/>
      <c r="D285" s="68"/>
      <c r="E285" s="68"/>
      <c r="F285" s="68"/>
      <c r="G285" s="68"/>
      <c r="H285" s="8"/>
    </row>
    <row r="286" spans="1:8" ht="20.25" x14ac:dyDescent="0.25">
      <c r="A286" s="12"/>
      <c r="B286" s="68"/>
      <c r="C286" s="68"/>
      <c r="D286" s="68"/>
      <c r="E286" s="68"/>
      <c r="F286" s="68"/>
      <c r="G286" s="68"/>
      <c r="H286" s="8"/>
    </row>
    <row r="287" spans="1:8" ht="20.25" x14ac:dyDescent="0.25">
      <c r="A287" s="12"/>
      <c r="B287" s="68"/>
      <c r="C287" s="68"/>
      <c r="D287" s="68"/>
      <c r="E287" s="68"/>
      <c r="F287" s="68"/>
      <c r="G287" s="68"/>
      <c r="H287" s="8"/>
    </row>
    <row r="288" spans="1:8" ht="20.25" x14ac:dyDescent="0.25">
      <c r="A288" s="12"/>
      <c r="B288" s="68"/>
      <c r="C288" s="68"/>
      <c r="D288" s="68"/>
      <c r="E288" s="68"/>
      <c r="F288" s="68"/>
      <c r="G288" s="68"/>
      <c r="H288" s="8"/>
    </row>
    <row r="289" spans="1:8" ht="20.25" x14ac:dyDescent="0.25">
      <c r="A289" s="12"/>
      <c r="B289" s="68"/>
      <c r="C289" s="68"/>
      <c r="D289" s="68"/>
      <c r="E289" s="68"/>
      <c r="F289" s="68"/>
      <c r="G289" s="68"/>
      <c r="H289" s="8"/>
    </row>
    <row r="290" spans="1:8" ht="20.25" x14ac:dyDescent="0.25">
      <c r="A290" s="12"/>
      <c r="B290" s="68"/>
      <c r="C290" s="68"/>
      <c r="D290" s="68"/>
      <c r="E290" s="68"/>
      <c r="F290" s="68"/>
      <c r="G290" s="68"/>
      <c r="H290" s="8"/>
    </row>
    <row r="291" spans="1:8" ht="20.25" x14ac:dyDescent="0.25">
      <c r="A291" s="12"/>
      <c r="B291" s="68"/>
      <c r="C291" s="68"/>
      <c r="D291" s="68"/>
      <c r="E291" s="68"/>
      <c r="F291" s="68"/>
      <c r="G291" s="68"/>
      <c r="H291" s="8"/>
    </row>
    <row r="292" spans="1:8" ht="20.25" x14ac:dyDescent="0.25">
      <c r="A292" s="12"/>
      <c r="B292" s="68"/>
      <c r="C292" s="68"/>
      <c r="D292" s="68"/>
      <c r="E292" s="68"/>
      <c r="F292" s="68"/>
      <c r="G292" s="68"/>
      <c r="H292" s="8"/>
    </row>
    <row r="293" spans="1:8" ht="20.25" x14ac:dyDescent="0.25">
      <c r="A293" s="12"/>
      <c r="B293" s="68"/>
      <c r="C293" s="68"/>
      <c r="D293" s="68"/>
      <c r="E293" s="68"/>
      <c r="F293" s="68"/>
      <c r="G293" s="68"/>
      <c r="H293" s="8"/>
    </row>
    <row r="294" spans="1:8" ht="20.25" x14ac:dyDescent="0.25">
      <c r="A294" s="12"/>
      <c r="B294" s="68"/>
      <c r="C294" s="68"/>
      <c r="D294" s="68"/>
      <c r="E294" s="68"/>
      <c r="F294" s="68"/>
      <c r="G294" s="68"/>
      <c r="H294" s="8"/>
    </row>
    <row r="295" spans="1:8" ht="20.25" x14ac:dyDescent="0.25">
      <c r="A295" s="12"/>
      <c r="B295" s="68"/>
      <c r="C295" s="68"/>
      <c r="D295" s="68"/>
      <c r="E295" s="68"/>
      <c r="F295" s="68"/>
      <c r="G295" s="68"/>
      <c r="H295" s="8"/>
    </row>
    <row r="296" spans="1:8" ht="20.25" x14ac:dyDescent="0.25">
      <c r="A296" s="12"/>
      <c r="B296" s="68"/>
      <c r="C296" s="68"/>
      <c r="D296" s="68"/>
      <c r="E296" s="68"/>
      <c r="F296" s="68"/>
      <c r="G296" s="68"/>
      <c r="H296" s="8"/>
    </row>
    <row r="297" spans="1:8" ht="20.25" x14ac:dyDescent="0.25">
      <c r="A297" s="12"/>
      <c r="B297" s="68"/>
      <c r="C297" s="68"/>
      <c r="D297" s="68"/>
      <c r="E297" s="68"/>
      <c r="F297" s="68"/>
      <c r="G297" s="68"/>
      <c r="H297" s="8"/>
    </row>
    <row r="298" spans="1:8" ht="20.25" x14ac:dyDescent="0.25">
      <c r="A298" s="12"/>
      <c r="B298" s="68"/>
      <c r="C298" s="68"/>
      <c r="D298" s="68"/>
      <c r="E298" s="68"/>
      <c r="F298" s="68"/>
      <c r="G298" s="68"/>
      <c r="H298" s="8"/>
    </row>
    <row r="299" spans="1:8" ht="20.25" x14ac:dyDescent="0.25">
      <c r="A299" s="12"/>
      <c r="B299" s="68"/>
      <c r="C299" s="68"/>
      <c r="D299" s="68"/>
      <c r="E299" s="68"/>
      <c r="F299" s="68"/>
      <c r="G299" s="68"/>
      <c r="H299" s="8"/>
    </row>
    <row r="300" spans="1:8" ht="20.25" x14ac:dyDescent="0.25">
      <c r="A300" s="12"/>
      <c r="B300" s="68"/>
      <c r="C300" s="68"/>
      <c r="D300" s="68"/>
      <c r="E300" s="68"/>
      <c r="F300" s="68"/>
      <c r="G300" s="68"/>
      <c r="H300" s="8"/>
    </row>
    <row r="301" spans="1:8" ht="20.25" x14ac:dyDescent="0.25">
      <c r="A301" s="12"/>
      <c r="B301" s="68"/>
      <c r="C301" s="68"/>
      <c r="D301" s="68"/>
      <c r="E301" s="68"/>
      <c r="F301" s="68"/>
      <c r="G301" s="68"/>
      <c r="H301" s="8"/>
    </row>
    <row r="302" spans="1:8" ht="20.25" x14ac:dyDescent="0.25">
      <c r="A302" s="12"/>
      <c r="B302" s="68"/>
      <c r="C302" s="68"/>
      <c r="D302" s="68"/>
      <c r="E302" s="68"/>
      <c r="F302" s="68"/>
      <c r="G302" s="68"/>
      <c r="H302" s="8"/>
    </row>
    <row r="303" spans="1:8" ht="20.25" x14ac:dyDescent="0.25">
      <c r="A303" s="12"/>
      <c r="B303" s="68"/>
      <c r="C303" s="68"/>
      <c r="D303" s="68"/>
      <c r="E303" s="68"/>
      <c r="F303" s="68"/>
      <c r="G303" s="68"/>
      <c r="H303" s="8"/>
    </row>
    <row r="304" spans="1:8" ht="20.25" x14ac:dyDescent="0.25">
      <c r="A304" s="12"/>
      <c r="B304" s="68"/>
      <c r="C304" s="68"/>
      <c r="D304" s="68"/>
      <c r="E304" s="68"/>
      <c r="F304" s="68"/>
      <c r="G304" s="68"/>
      <c r="H304" s="8"/>
    </row>
    <row r="305" spans="1:8" ht="20.25" x14ac:dyDescent="0.25">
      <c r="A305" s="12"/>
      <c r="B305" s="68"/>
      <c r="C305" s="68"/>
      <c r="D305" s="68"/>
      <c r="E305" s="68"/>
      <c r="F305" s="68"/>
      <c r="G305" s="68"/>
      <c r="H305" s="8"/>
    </row>
    <row r="306" spans="1:8" ht="20.25" x14ac:dyDescent="0.25">
      <c r="A306" s="12"/>
      <c r="B306" s="68"/>
      <c r="C306" s="68"/>
      <c r="D306" s="68"/>
      <c r="E306" s="68"/>
      <c r="F306" s="68"/>
      <c r="G306" s="68"/>
      <c r="H306" s="8"/>
    </row>
    <row r="307" spans="1:8" ht="20.25" x14ac:dyDescent="0.25">
      <c r="A307" s="12"/>
      <c r="B307" s="68"/>
      <c r="C307" s="68"/>
      <c r="D307" s="68"/>
      <c r="E307" s="68"/>
      <c r="F307" s="68"/>
      <c r="G307" s="68"/>
      <c r="H307" s="8"/>
    </row>
    <row r="308" spans="1:8" ht="20.25" x14ac:dyDescent="0.25">
      <c r="A308" s="12"/>
      <c r="B308" s="68"/>
      <c r="C308" s="68"/>
      <c r="D308" s="68"/>
      <c r="E308" s="68"/>
      <c r="F308" s="68"/>
      <c r="G308" s="68"/>
      <c r="H308" s="8"/>
    </row>
    <row r="309" spans="1:8" ht="20.25" x14ac:dyDescent="0.25">
      <c r="A309" s="12"/>
      <c r="B309" s="68"/>
      <c r="C309" s="68"/>
      <c r="D309" s="68"/>
      <c r="E309" s="68"/>
      <c r="F309" s="68"/>
      <c r="G309" s="68"/>
      <c r="H309" s="8"/>
    </row>
    <row r="310" spans="1:8" ht="20.25" x14ac:dyDescent="0.25">
      <c r="A310" s="12"/>
      <c r="B310" s="68"/>
      <c r="C310" s="68"/>
      <c r="D310" s="68"/>
      <c r="E310" s="68"/>
      <c r="F310" s="68"/>
      <c r="G310" s="68"/>
      <c r="H310" s="8"/>
    </row>
    <row r="311" spans="1:8" ht="20.25" x14ac:dyDescent="0.25">
      <c r="A311" s="14"/>
      <c r="B311" s="15"/>
      <c r="C311" s="15"/>
      <c r="D311" s="15"/>
      <c r="E311" s="15"/>
      <c r="F311" s="15"/>
      <c r="G311" s="15"/>
      <c r="H311" s="9"/>
    </row>
    <row r="312" spans="1:8" ht="20.25" x14ac:dyDescent="0.25">
      <c r="A312" s="149" t="s">
        <v>77</v>
      </c>
      <c r="B312" s="150"/>
      <c r="C312" s="150"/>
      <c r="D312" s="150"/>
      <c r="E312" s="150"/>
      <c r="F312" s="150"/>
      <c r="G312" s="150"/>
      <c r="H312" s="151"/>
    </row>
    <row r="313" spans="1:8" ht="20.25" x14ac:dyDescent="0.25">
      <c r="A313" s="10"/>
      <c r="B313" s="11"/>
      <c r="C313" s="11"/>
      <c r="D313" s="11"/>
      <c r="E313" s="11"/>
      <c r="F313" s="11"/>
      <c r="G313" s="11"/>
      <c r="H313" s="7"/>
    </row>
    <row r="314" spans="1:8" ht="20.25" x14ac:dyDescent="0.25">
      <c r="A314" s="12"/>
      <c r="B314" s="13"/>
      <c r="C314" s="13"/>
      <c r="D314" s="13"/>
      <c r="E314" s="13"/>
      <c r="F314" s="13"/>
      <c r="G314" s="13"/>
      <c r="H314" s="8"/>
    </row>
    <row r="315" spans="1:8" ht="20.25" x14ac:dyDescent="0.25">
      <c r="A315" s="12"/>
      <c r="B315" s="13"/>
      <c r="C315" s="13"/>
      <c r="D315" s="13"/>
      <c r="E315" s="13"/>
      <c r="F315" s="13"/>
      <c r="G315" s="13"/>
      <c r="H315" s="8"/>
    </row>
    <row r="316" spans="1:8" ht="20.25" x14ac:dyDescent="0.25">
      <c r="A316" s="12"/>
      <c r="B316" s="13"/>
      <c r="C316" s="13"/>
      <c r="D316" s="13"/>
      <c r="E316" s="13"/>
      <c r="F316" s="13"/>
      <c r="G316" s="13"/>
      <c r="H316" s="8"/>
    </row>
    <row r="317" spans="1:8" ht="20.25" x14ac:dyDescent="0.25">
      <c r="A317" s="12"/>
      <c r="B317" s="13"/>
      <c r="C317" s="13"/>
      <c r="D317" s="13"/>
      <c r="E317" s="13"/>
      <c r="F317" s="13"/>
      <c r="G317" s="13"/>
      <c r="H317" s="8"/>
    </row>
    <row r="318" spans="1:8" ht="20.25" x14ac:dyDescent="0.25">
      <c r="A318" s="12"/>
      <c r="B318" s="13"/>
      <c r="C318" s="13"/>
      <c r="D318" s="13"/>
      <c r="E318" s="13"/>
      <c r="F318" s="13"/>
      <c r="G318" s="13"/>
      <c r="H318" s="8"/>
    </row>
    <row r="319" spans="1:8" ht="20.25" x14ac:dyDescent="0.25">
      <c r="A319" s="12"/>
      <c r="B319" s="13"/>
      <c r="C319" s="13"/>
      <c r="D319" s="13"/>
      <c r="E319" s="13"/>
      <c r="F319" s="13"/>
      <c r="G319" s="13"/>
      <c r="H319" s="8"/>
    </row>
    <row r="320" spans="1:8" ht="20.25" x14ac:dyDescent="0.25">
      <c r="A320" s="12"/>
      <c r="B320" s="13"/>
      <c r="C320" s="13"/>
      <c r="D320" s="13"/>
      <c r="E320" s="13"/>
      <c r="F320" s="13"/>
      <c r="G320" s="13"/>
      <c r="H320" s="8"/>
    </row>
    <row r="321" spans="1:8" ht="20.25" x14ac:dyDescent="0.25">
      <c r="A321" s="12"/>
      <c r="B321" s="13"/>
      <c r="C321" s="13"/>
      <c r="D321" s="13"/>
      <c r="E321" s="13"/>
      <c r="F321" s="13"/>
      <c r="G321" s="13"/>
      <c r="H321" s="8"/>
    </row>
    <row r="322" spans="1:8" ht="20.25" x14ac:dyDescent="0.25">
      <c r="A322" s="12"/>
      <c r="B322" s="13"/>
      <c r="C322" s="13"/>
      <c r="D322" s="13"/>
      <c r="E322" s="13"/>
      <c r="F322" s="13"/>
      <c r="G322" s="13"/>
      <c r="H322" s="8"/>
    </row>
    <row r="323" spans="1:8" ht="20.25" x14ac:dyDescent="0.25">
      <c r="A323" s="12"/>
      <c r="B323" s="13"/>
      <c r="C323" s="13"/>
      <c r="D323" s="13"/>
      <c r="E323" s="13"/>
      <c r="F323" s="13"/>
      <c r="G323" s="13"/>
      <c r="H323" s="8"/>
    </row>
    <row r="324" spans="1:8" ht="20.25" x14ac:dyDescent="0.25">
      <c r="A324" s="12"/>
      <c r="B324" s="13"/>
      <c r="C324" s="13"/>
      <c r="D324" s="13"/>
      <c r="E324" s="13"/>
      <c r="F324" s="13"/>
      <c r="G324" s="13"/>
      <c r="H324" s="8"/>
    </row>
    <row r="325" spans="1:8" ht="20.25" x14ac:dyDescent="0.25">
      <c r="A325" s="12"/>
      <c r="B325" s="13"/>
      <c r="C325" s="13"/>
      <c r="D325" s="13"/>
      <c r="E325" s="13"/>
      <c r="F325" s="13"/>
      <c r="G325" s="13"/>
      <c r="H325" s="8"/>
    </row>
    <row r="326" spans="1:8" ht="20.25" x14ac:dyDescent="0.25">
      <c r="A326" s="12"/>
      <c r="B326" s="13"/>
      <c r="C326" s="13"/>
      <c r="D326" s="13"/>
      <c r="E326" s="13"/>
      <c r="F326" s="13"/>
      <c r="G326" s="13"/>
      <c r="H326" s="8"/>
    </row>
    <row r="327" spans="1:8" ht="20.25" x14ac:dyDescent="0.25">
      <c r="A327" s="12"/>
      <c r="B327" s="13"/>
      <c r="C327" s="13"/>
      <c r="D327" s="13"/>
      <c r="E327" s="13"/>
      <c r="F327" s="13"/>
      <c r="G327" s="13"/>
      <c r="H327" s="8"/>
    </row>
    <row r="328" spans="1:8" ht="20.25" x14ac:dyDescent="0.25">
      <c r="A328" s="12"/>
      <c r="B328" s="13"/>
      <c r="C328" s="13"/>
      <c r="D328" s="13"/>
      <c r="E328" s="13"/>
      <c r="F328" s="13"/>
      <c r="G328" s="13"/>
      <c r="H328" s="8"/>
    </row>
    <row r="329" spans="1:8" ht="20.25" x14ac:dyDescent="0.25">
      <c r="A329" s="12"/>
      <c r="B329" s="13"/>
      <c r="C329" s="13"/>
      <c r="D329" s="13"/>
      <c r="E329" s="13"/>
      <c r="F329" s="13"/>
      <c r="G329" s="13"/>
      <c r="H329" s="8"/>
    </row>
    <row r="330" spans="1:8" ht="20.25" x14ac:dyDescent="0.25">
      <c r="A330" s="12"/>
      <c r="B330" s="13"/>
      <c r="C330" s="13"/>
      <c r="D330" s="13"/>
      <c r="E330" s="13"/>
      <c r="F330" s="13"/>
      <c r="G330" s="13"/>
      <c r="H330" s="8"/>
    </row>
    <row r="331" spans="1:8" ht="20.25" x14ac:dyDescent="0.25">
      <c r="A331" s="12"/>
      <c r="B331" s="13"/>
      <c r="C331" s="13"/>
      <c r="D331" s="13"/>
      <c r="E331" s="13"/>
      <c r="F331" s="13"/>
      <c r="G331" s="13"/>
      <c r="H331" s="8"/>
    </row>
    <row r="332" spans="1:8" ht="20.25" x14ac:dyDescent="0.25">
      <c r="A332" s="12"/>
      <c r="B332" s="13"/>
      <c r="C332" s="13"/>
      <c r="D332" s="13"/>
      <c r="E332" s="13"/>
      <c r="F332" s="13"/>
      <c r="G332" s="13"/>
      <c r="H332" s="8"/>
    </row>
    <row r="333" spans="1:8" ht="20.25" x14ac:dyDescent="0.25">
      <c r="A333" s="12"/>
      <c r="B333" s="13"/>
      <c r="C333" s="13"/>
      <c r="D333" s="13"/>
      <c r="E333" s="13"/>
      <c r="F333" s="13"/>
      <c r="G333" s="13"/>
      <c r="H333" s="8"/>
    </row>
    <row r="334" spans="1:8" ht="20.25" x14ac:dyDescent="0.25">
      <c r="A334" s="12"/>
      <c r="B334" s="13"/>
      <c r="C334" s="13"/>
      <c r="D334" s="13"/>
      <c r="E334" s="13"/>
      <c r="F334" s="13"/>
      <c r="G334" s="13"/>
      <c r="H334" s="8"/>
    </row>
    <row r="335" spans="1:8" ht="20.25" x14ac:dyDescent="0.25">
      <c r="A335" s="12"/>
      <c r="B335" s="13"/>
      <c r="C335" s="13"/>
      <c r="D335" s="13"/>
      <c r="E335" s="13"/>
      <c r="F335" s="13"/>
      <c r="G335" s="13"/>
      <c r="H335" s="8"/>
    </row>
    <row r="336" spans="1:8" ht="20.25" x14ac:dyDescent="0.25">
      <c r="A336" s="12"/>
      <c r="B336" s="13"/>
      <c r="C336" s="13"/>
      <c r="D336" s="13"/>
      <c r="E336" s="13"/>
      <c r="F336" s="13"/>
      <c r="G336" s="13"/>
      <c r="H336" s="8"/>
    </row>
    <row r="337" spans="1:8" ht="20.25" x14ac:dyDescent="0.25">
      <c r="A337" s="12"/>
      <c r="B337" s="13"/>
      <c r="C337" s="13"/>
      <c r="D337" s="13"/>
      <c r="E337" s="13"/>
      <c r="F337" s="13"/>
      <c r="G337" s="13"/>
      <c r="H337" s="8"/>
    </row>
    <row r="338" spans="1:8" ht="20.25" x14ac:dyDescent="0.25">
      <c r="A338" s="12"/>
      <c r="B338" s="13"/>
      <c r="C338" s="13"/>
      <c r="D338" s="13"/>
      <c r="E338" s="13"/>
      <c r="F338" s="13"/>
      <c r="G338" s="13"/>
      <c r="H338" s="8"/>
    </row>
    <row r="339" spans="1:8" ht="20.25" x14ac:dyDescent="0.25">
      <c r="A339" s="12"/>
      <c r="B339" s="13"/>
      <c r="C339" s="13"/>
      <c r="D339" s="13"/>
      <c r="E339" s="13"/>
      <c r="F339" s="13"/>
      <c r="G339" s="13"/>
      <c r="H339" s="8"/>
    </row>
    <row r="340" spans="1:8" ht="20.25" x14ac:dyDescent="0.25">
      <c r="A340" s="12"/>
      <c r="B340" s="13"/>
      <c r="C340" s="13"/>
      <c r="D340" s="13"/>
      <c r="E340" s="13"/>
      <c r="F340" s="13"/>
      <c r="G340" s="13"/>
      <c r="H340" s="8"/>
    </row>
    <row r="341" spans="1:8" ht="20.25" x14ac:dyDescent="0.25">
      <c r="A341" s="12"/>
      <c r="B341" s="13"/>
      <c r="C341" s="13"/>
      <c r="D341" s="13"/>
      <c r="E341" s="13"/>
      <c r="F341" s="13"/>
      <c r="G341" s="13"/>
      <c r="H341" s="8"/>
    </row>
    <row r="342" spans="1:8" ht="20.25" x14ac:dyDescent="0.25">
      <c r="A342" s="12"/>
      <c r="B342" s="13"/>
      <c r="C342" s="13"/>
      <c r="D342" s="13"/>
      <c r="E342" s="13"/>
      <c r="F342" s="13"/>
      <c r="G342" s="13"/>
      <c r="H342" s="8"/>
    </row>
    <row r="343" spans="1:8" ht="20.25" x14ac:dyDescent="0.25">
      <c r="A343" s="124" t="s">
        <v>24</v>
      </c>
      <c r="B343" s="124"/>
      <c r="C343" s="124"/>
      <c r="D343" s="124"/>
      <c r="E343" s="124"/>
      <c r="F343" s="124"/>
      <c r="G343" s="124"/>
      <c r="H343" s="124"/>
    </row>
    <row r="344" spans="1:8" ht="20.25" x14ac:dyDescent="0.25">
      <c r="A344" s="161" t="s">
        <v>78</v>
      </c>
      <c r="B344" s="162"/>
      <c r="C344" s="162"/>
      <c r="D344" s="162"/>
      <c r="E344" s="162"/>
      <c r="F344" s="162"/>
      <c r="G344" s="162"/>
      <c r="H344" s="163"/>
    </row>
    <row r="345" spans="1:8" ht="20.25" x14ac:dyDescent="0.25">
      <c r="A345" s="164" t="s">
        <v>79</v>
      </c>
      <c r="B345" s="165"/>
      <c r="C345" s="165"/>
      <c r="D345" s="165"/>
      <c r="E345" s="165"/>
      <c r="F345" s="165"/>
      <c r="G345" s="165"/>
      <c r="H345" s="166"/>
    </row>
    <row r="346" spans="1:8" ht="45" customHeight="1" x14ac:dyDescent="0.25">
      <c r="A346" s="164" t="s">
        <v>80</v>
      </c>
      <c r="B346" s="165"/>
      <c r="C346" s="165"/>
      <c r="D346" s="165"/>
      <c r="E346" s="165"/>
      <c r="F346" s="165"/>
      <c r="G346" s="165"/>
      <c r="H346" s="166"/>
    </row>
    <row r="347" spans="1:8" ht="42.75" customHeight="1" x14ac:dyDescent="0.25">
      <c r="A347" s="164" t="s">
        <v>81</v>
      </c>
      <c r="B347" s="165"/>
      <c r="C347" s="165"/>
      <c r="D347" s="165"/>
      <c r="E347" s="165"/>
      <c r="F347" s="165"/>
      <c r="G347" s="165"/>
      <c r="H347" s="166"/>
    </row>
    <row r="348" spans="1:8" ht="20.25" x14ac:dyDescent="0.25">
      <c r="A348" s="164" t="s">
        <v>82</v>
      </c>
      <c r="B348" s="165"/>
      <c r="C348" s="165"/>
      <c r="D348" s="165"/>
      <c r="E348" s="165"/>
      <c r="F348" s="165"/>
      <c r="G348" s="165"/>
      <c r="H348" s="166"/>
    </row>
    <row r="349" spans="1:8" ht="20.25" x14ac:dyDescent="0.25">
      <c r="A349" s="164" t="s">
        <v>83</v>
      </c>
      <c r="B349" s="165"/>
      <c r="C349" s="165"/>
      <c r="D349" s="165"/>
      <c r="E349" s="165"/>
      <c r="F349" s="165"/>
      <c r="G349" s="165"/>
      <c r="H349" s="166"/>
    </row>
    <row r="350" spans="1:8" ht="45" customHeight="1" x14ac:dyDescent="0.25">
      <c r="A350" s="164" t="s">
        <v>84</v>
      </c>
      <c r="B350" s="165"/>
      <c r="C350" s="165"/>
      <c r="D350" s="165"/>
      <c r="E350" s="165"/>
      <c r="F350" s="165"/>
      <c r="G350" s="165"/>
      <c r="H350" s="166"/>
    </row>
    <row r="351" spans="1:8" ht="45" customHeight="1" x14ac:dyDescent="0.25">
      <c r="A351" s="164" t="s">
        <v>85</v>
      </c>
      <c r="B351" s="165"/>
      <c r="C351" s="165"/>
      <c r="D351" s="165"/>
      <c r="E351" s="165"/>
      <c r="F351" s="165"/>
      <c r="G351" s="165"/>
      <c r="H351" s="166"/>
    </row>
    <row r="352" spans="1:8" ht="20.25" x14ac:dyDescent="0.25">
      <c r="A352" s="167" t="s">
        <v>86</v>
      </c>
      <c r="B352" s="168"/>
      <c r="C352" s="168"/>
      <c r="D352" s="168"/>
      <c r="E352" s="168"/>
      <c r="F352" s="168"/>
      <c r="G352" s="168"/>
      <c r="H352" s="169"/>
    </row>
    <row r="353" spans="1:8" ht="86.25" customHeight="1" x14ac:dyDescent="0.25">
      <c r="A353" s="171" t="s">
        <v>30</v>
      </c>
      <c r="B353" s="172"/>
      <c r="C353" s="173" t="s">
        <v>356</v>
      </c>
      <c r="D353" s="174"/>
      <c r="E353" s="171" t="s">
        <v>9</v>
      </c>
      <c r="F353" s="172"/>
      <c r="G353" s="156"/>
      <c r="H353" s="156"/>
    </row>
  </sheetData>
  <mergeCells count="395">
    <mergeCell ref="B211:H211"/>
    <mergeCell ref="I209:O209"/>
    <mergeCell ref="A110:B110"/>
    <mergeCell ref="C110:D110"/>
    <mergeCell ref="C111:D111"/>
    <mergeCell ref="C112:D112"/>
    <mergeCell ref="E112:F112"/>
    <mergeCell ref="A114:F114"/>
    <mergeCell ref="A115:F115"/>
    <mergeCell ref="A116:F116"/>
    <mergeCell ref="A111:B111"/>
    <mergeCell ref="A95:B95"/>
    <mergeCell ref="E95:F95"/>
    <mergeCell ref="A96:B96"/>
    <mergeCell ref="E96:F107"/>
    <mergeCell ref="G96:H107"/>
    <mergeCell ref="A97:B97"/>
    <mergeCell ref="A98:B98"/>
    <mergeCell ref="A99:B99"/>
    <mergeCell ref="A100:B100"/>
    <mergeCell ref="A101:B101"/>
    <mergeCell ref="A102:B102"/>
    <mergeCell ref="A103:B103"/>
    <mergeCell ref="A104:B104"/>
    <mergeCell ref="A105:B105"/>
    <mergeCell ref="A106:B106"/>
    <mergeCell ref="A107:B107"/>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G2:H2"/>
    <mergeCell ref="G3:H3"/>
    <mergeCell ref="G4:H4"/>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E80:F91"/>
    <mergeCell ref="G80:H91"/>
    <mergeCell ref="A81:B81"/>
    <mergeCell ref="A82:B82"/>
    <mergeCell ref="A83:B83"/>
    <mergeCell ref="A84:B84"/>
    <mergeCell ref="A85:B85"/>
    <mergeCell ref="A86:B86"/>
    <mergeCell ref="A87:B87"/>
    <mergeCell ref="A88:B88"/>
    <mergeCell ref="A89:B89"/>
    <mergeCell ref="A90:B90"/>
    <mergeCell ref="A91:B91"/>
    <mergeCell ref="A65:B65"/>
    <mergeCell ref="C27:D27"/>
    <mergeCell ref="A72:B72"/>
    <mergeCell ref="A73:B73"/>
    <mergeCell ref="A74:B74"/>
    <mergeCell ref="A75:B75"/>
    <mergeCell ref="A66:B66"/>
    <mergeCell ref="A67:B67"/>
    <mergeCell ref="A69:B69"/>
    <mergeCell ref="C125:D125"/>
    <mergeCell ref="A109:H109"/>
    <mergeCell ref="G110:H110"/>
    <mergeCell ref="B213:H213"/>
    <mergeCell ref="B206:H206"/>
    <mergeCell ref="B205:H205"/>
    <mergeCell ref="B209:H209"/>
    <mergeCell ref="B208:H208"/>
    <mergeCell ref="B207:H207"/>
    <mergeCell ref="B210:H210"/>
    <mergeCell ref="A191:B191"/>
    <mergeCell ref="A192:B192"/>
    <mergeCell ref="A193:B193"/>
    <mergeCell ref="A202:B202"/>
    <mergeCell ref="A203:B203"/>
    <mergeCell ref="A199:B199"/>
    <mergeCell ref="A200:B200"/>
    <mergeCell ref="A201:B201"/>
    <mergeCell ref="A195:H195"/>
    <mergeCell ref="A196:B196"/>
    <mergeCell ref="A197:B197"/>
    <mergeCell ref="A198:B198"/>
    <mergeCell ref="B212:H212"/>
    <mergeCell ref="A204:H204"/>
    <mergeCell ref="A353:B353"/>
    <mergeCell ref="C353:D353"/>
    <mergeCell ref="G14:H14"/>
    <mergeCell ref="G16:H16"/>
    <mergeCell ref="G17:H17"/>
    <mergeCell ref="G15:H15"/>
    <mergeCell ref="G18:H18"/>
    <mergeCell ref="G19:H19"/>
    <mergeCell ref="G46:H46"/>
    <mergeCell ref="G31:H31"/>
    <mergeCell ref="G22:H22"/>
    <mergeCell ref="G36:H36"/>
    <mergeCell ref="G35:H35"/>
    <mergeCell ref="E64:F75"/>
    <mergeCell ref="A190:B190"/>
    <mergeCell ref="A183:B183"/>
    <mergeCell ref="A181:B181"/>
    <mergeCell ref="E125:F125"/>
    <mergeCell ref="E123:F123"/>
    <mergeCell ref="C122:D122"/>
    <mergeCell ref="E124:F124"/>
    <mergeCell ref="A178:B178"/>
    <mergeCell ref="C124:D124"/>
    <mergeCell ref="E126:F126"/>
    <mergeCell ref="G30:H30"/>
    <mergeCell ref="G29:H29"/>
    <mergeCell ref="A13:H13"/>
    <mergeCell ref="C26:D26"/>
    <mergeCell ref="G353:H353"/>
    <mergeCell ref="A214:H214"/>
    <mergeCell ref="D216:H216"/>
    <mergeCell ref="A344:H344"/>
    <mergeCell ref="A350:H350"/>
    <mergeCell ref="A351:H351"/>
    <mergeCell ref="A352:H352"/>
    <mergeCell ref="A345:H345"/>
    <mergeCell ref="A346:H346"/>
    <mergeCell ref="A347:H347"/>
    <mergeCell ref="A348:H348"/>
    <mergeCell ref="A216:C216"/>
    <mergeCell ref="A343:H343"/>
    <mergeCell ref="A349:H349"/>
    <mergeCell ref="A312:H312"/>
    <mergeCell ref="D215:H215"/>
    <mergeCell ref="A217:C217"/>
    <mergeCell ref="D217:H217"/>
    <mergeCell ref="A262:H262"/>
    <mergeCell ref="E353:F353"/>
    <mergeCell ref="E110:F110"/>
    <mergeCell ref="A112:B112"/>
    <mergeCell ref="E111:F111"/>
    <mergeCell ref="G111:H111"/>
    <mergeCell ref="A1:H1"/>
    <mergeCell ref="A215:C215"/>
    <mergeCell ref="G27:H27"/>
    <mergeCell ref="G28:H28"/>
    <mergeCell ref="A37:H37"/>
    <mergeCell ref="A44:H44"/>
    <mergeCell ref="A50:H50"/>
    <mergeCell ref="A117:H117"/>
    <mergeCell ref="G115:H115"/>
    <mergeCell ref="G7:H7"/>
    <mergeCell ref="G47:H47"/>
    <mergeCell ref="G45:H45"/>
    <mergeCell ref="A25:H25"/>
    <mergeCell ref="G26:H26"/>
    <mergeCell ref="G20:H20"/>
    <mergeCell ref="G21:H21"/>
    <mergeCell ref="A9:A11"/>
    <mergeCell ref="G6:H6"/>
    <mergeCell ref="A5:H5"/>
    <mergeCell ref="A33:H33"/>
    <mergeCell ref="A188:B188"/>
    <mergeCell ref="A189:B189"/>
    <mergeCell ref="G114:H114"/>
    <mergeCell ref="A168:H168"/>
    <mergeCell ref="A126:B126"/>
    <mergeCell ref="G126:H126"/>
    <mergeCell ref="A194:B194"/>
    <mergeCell ref="A121:H121"/>
    <mergeCell ref="A122:B122"/>
    <mergeCell ref="E122:F122"/>
    <mergeCell ref="A174:B174"/>
    <mergeCell ref="A175:B175"/>
    <mergeCell ref="A176:B176"/>
    <mergeCell ref="A169:B169"/>
    <mergeCell ref="C123:D123"/>
    <mergeCell ref="C126:D126"/>
    <mergeCell ref="A182:B182"/>
    <mergeCell ref="A184:B184"/>
    <mergeCell ref="A185:B185"/>
    <mergeCell ref="A180:B180"/>
    <mergeCell ref="A186:H186"/>
    <mergeCell ref="A187:B187"/>
    <mergeCell ref="A179:B179"/>
    <mergeCell ref="A177:H177"/>
    <mergeCell ref="A59:B59"/>
    <mergeCell ref="C56:F56"/>
    <mergeCell ref="C57:F57"/>
    <mergeCell ref="C58:F58"/>
    <mergeCell ref="C59:F59"/>
    <mergeCell ref="A170:B170"/>
    <mergeCell ref="A171:B171"/>
    <mergeCell ref="A172:B172"/>
    <mergeCell ref="A173:B173"/>
    <mergeCell ref="A76:H76"/>
    <mergeCell ref="A77:C78"/>
    <mergeCell ref="E77:F77"/>
    <mergeCell ref="G108:H108"/>
    <mergeCell ref="G64:H75"/>
    <mergeCell ref="A60:H60"/>
    <mergeCell ref="A63:B63"/>
    <mergeCell ref="A64:B64"/>
    <mergeCell ref="E63:F63"/>
    <mergeCell ref="E61:F61"/>
    <mergeCell ref="E62:F62"/>
    <mergeCell ref="A61:C62"/>
    <mergeCell ref="A70:B70"/>
    <mergeCell ref="E93:F93"/>
    <mergeCell ref="E94:F94"/>
    <mergeCell ref="A92:H92"/>
    <mergeCell ref="A93:C94"/>
    <mergeCell ref="C18:D18"/>
    <mergeCell ref="C19:D19"/>
    <mergeCell ref="C20:D20"/>
    <mergeCell ref="C21:D21"/>
    <mergeCell ref="C22:D22"/>
    <mergeCell ref="C24:H24"/>
    <mergeCell ref="C23:H23"/>
    <mergeCell ref="A68:B68"/>
    <mergeCell ref="A71:B71"/>
    <mergeCell ref="E78:F78"/>
    <mergeCell ref="A79:B79"/>
    <mergeCell ref="E79:F79"/>
    <mergeCell ref="A80:B80"/>
    <mergeCell ref="A45:B45"/>
    <mergeCell ref="A46:B46"/>
    <mergeCell ref="A47:B47"/>
    <mergeCell ref="D46:F46"/>
    <mergeCell ref="D45:F45"/>
    <mergeCell ref="D47:F47"/>
    <mergeCell ref="A48:B48"/>
    <mergeCell ref="D48:F48"/>
    <mergeCell ref="A58:B58"/>
    <mergeCell ref="A108:F108"/>
    <mergeCell ref="A127:H127"/>
    <mergeCell ref="E118:F118"/>
    <mergeCell ref="E119:F119"/>
    <mergeCell ref="E120:F120"/>
    <mergeCell ref="A118:B118"/>
    <mergeCell ref="A119:B119"/>
    <mergeCell ref="C118:D118"/>
    <mergeCell ref="A120:B120"/>
    <mergeCell ref="C119:D119"/>
    <mergeCell ref="G118:H118"/>
    <mergeCell ref="G119:H119"/>
    <mergeCell ref="G120:H120"/>
    <mergeCell ref="C120:D120"/>
    <mergeCell ref="G122:H122"/>
    <mergeCell ref="A123:B123"/>
    <mergeCell ref="G123:H123"/>
    <mergeCell ref="A124:B124"/>
    <mergeCell ref="G124:H124"/>
    <mergeCell ref="A125:B125"/>
    <mergeCell ref="G125:H125"/>
    <mergeCell ref="G112:H112"/>
    <mergeCell ref="G116:H116"/>
    <mergeCell ref="A113:H113"/>
    <mergeCell ref="A129:H129"/>
    <mergeCell ref="A130:H130"/>
    <mergeCell ref="A131:H131"/>
    <mergeCell ref="A132:B132"/>
    <mergeCell ref="A133:B133"/>
    <mergeCell ref="A134:B134"/>
    <mergeCell ref="A135:B135"/>
    <mergeCell ref="A136:B136"/>
    <mergeCell ref="A137:B137"/>
    <mergeCell ref="A154:B154"/>
    <mergeCell ref="A138:B138"/>
    <mergeCell ref="A139:B139"/>
    <mergeCell ref="A140:H140"/>
    <mergeCell ref="A141:B141"/>
    <mergeCell ref="A142:B142"/>
    <mergeCell ref="A143:B143"/>
    <mergeCell ref="A144:B144"/>
    <mergeCell ref="A145:B145"/>
    <mergeCell ref="C141:H141"/>
    <mergeCell ref="C142:H142"/>
    <mergeCell ref="A163:B163"/>
    <mergeCell ref="A164:B164"/>
    <mergeCell ref="A165:B165"/>
    <mergeCell ref="A166:B166"/>
    <mergeCell ref="A167:B167"/>
    <mergeCell ref="I2:K2"/>
    <mergeCell ref="A155:B155"/>
    <mergeCell ref="A156:B156"/>
    <mergeCell ref="A157:B157"/>
    <mergeCell ref="C153:H153"/>
    <mergeCell ref="A158:H158"/>
    <mergeCell ref="A159:H159"/>
    <mergeCell ref="A160:H160"/>
    <mergeCell ref="A161:B161"/>
    <mergeCell ref="A162:B162"/>
    <mergeCell ref="A146:H146"/>
    <mergeCell ref="A147:B147"/>
    <mergeCell ref="A148:B148"/>
    <mergeCell ref="A149:B149"/>
    <mergeCell ref="A150:B150"/>
    <mergeCell ref="A151:B151"/>
    <mergeCell ref="A152:H152"/>
    <mergeCell ref="A153:B153"/>
  </mergeCells>
  <phoneticPr fontId="28" type="noConversion"/>
  <dataValidations count="7">
    <dataValidation type="list" allowBlank="1" showInputMessage="1" showErrorMessage="1" sqref="G6:H6">
      <formula1>"Miss Rupali,Mr.Vinayak,Mr. Gaurav Pawar, Mr.Manish,Mr.Vaibhav Gite,Miss Ankita Mohite"</formula1>
    </dataValidation>
    <dataValidation type="list" allowBlank="1" showInputMessage="1" showErrorMessage="1" sqref="G26:H26">
      <formula1>"Middle,Upper"</formula1>
    </dataValidation>
    <dataValidation type="list" allowBlank="1" showInputMessage="1" showErrorMessage="1" sqref="C112">
      <formula1>"300000,350000,400000,500000,600000,700000,800000,900000,1000000,1200000,1400000,1500000,1600000"</formula1>
    </dataValidation>
    <dataValidation type="list" allowBlank="1" showInputMessage="1" showErrorMessage="1" sqref="F128">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28">
      <formula1>"Sale /         Rehab /           PAP,Sale / Mhada,Sale / Landowner"</formula1>
    </dataValidation>
  </dataValidations>
  <hyperlinks>
    <hyperlink ref="C23" r:id="rId1"/>
    <hyperlink ref="I24" r:id="rId2" location="showModal"/>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7" manualBreakCount="7">
    <brk id="24" max="16383" man="1"/>
    <brk id="59" max="16383" man="1"/>
    <brk id="116" max="16383" man="1"/>
    <brk id="167" max="7" man="1"/>
    <brk id="213" max="8" man="1"/>
    <brk id="261" max="16383" man="1"/>
    <brk id="311"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24" t="s">
        <v>69</v>
      </c>
      <c r="B3" s="124"/>
      <c r="C3" s="124"/>
      <c r="D3" s="124"/>
      <c r="E3" s="124"/>
      <c r="F3" s="124"/>
      <c r="G3" s="124"/>
      <c r="H3" s="124"/>
      <c r="I3" s="124"/>
    </row>
    <row r="4" spans="1:11" s="1" customFormat="1" ht="20.25" customHeight="1" x14ac:dyDescent="0.3">
      <c r="A4" s="201">
        <v>1</v>
      </c>
      <c r="B4" s="201"/>
      <c r="C4" s="201"/>
      <c r="D4" s="202" t="s">
        <v>4</v>
      </c>
      <c r="E4" s="36" t="s">
        <v>117</v>
      </c>
      <c r="F4" s="132" t="s">
        <v>104</v>
      </c>
      <c r="G4" s="132"/>
      <c r="H4" s="36" t="s">
        <v>118</v>
      </c>
      <c r="I4" s="36" t="s">
        <v>119</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201"/>
      <c r="B5" s="201"/>
      <c r="C5" s="201"/>
      <c r="D5" s="202"/>
      <c r="E5" s="36">
        <v>3</v>
      </c>
      <c r="F5" s="132">
        <v>1</v>
      </c>
      <c r="G5" s="132"/>
      <c r="H5" s="36">
        <v>0</v>
      </c>
      <c r="I5" s="36">
        <f ca="1">--TRIM(RIGHT(SUBSTITUTE(LEFT(A4,_xlfn.AGGREGATE(16,6,FIND({0,1,2,3,4,5,6,7,8,9},A4,ROW(INDIRECT("1:"&amp;LEN(A4)))),1))," ",REPT(" ",LEN(A4))),LEN(A4)))</f>
        <v>1</v>
      </c>
      <c r="J5" s="17" t="s">
        <v>123</v>
      </c>
      <c r="K5" s="18"/>
    </row>
    <row r="6" spans="1:11" s="1" customFormat="1" ht="20.25" customHeight="1" x14ac:dyDescent="0.3">
      <c r="A6" s="133" t="s">
        <v>121</v>
      </c>
      <c r="B6" s="133"/>
      <c r="C6" s="133" t="s">
        <v>134</v>
      </c>
      <c r="D6" s="133"/>
      <c r="E6" s="37" t="s">
        <v>135</v>
      </c>
      <c r="F6" s="133" t="s">
        <v>122</v>
      </c>
      <c r="G6" s="133"/>
      <c r="H6" s="29" t="s">
        <v>120</v>
      </c>
      <c r="I6" s="29"/>
      <c r="J6" s="20" t="s">
        <v>136</v>
      </c>
      <c r="K6" s="19">
        <f ca="1">I5*25%</f>
        <v>0.25</v>
      </c>
    </row>
    <row r="7" spans="1:11" s="1" customFormat="1" ht="20.25" customHeight="1" x14ac:dyDescent="0.3">
      <c r="A7" s="131" t="s">
        <v>137</v>
      </c>
      <c r="B7" s="131"/>
      <c r="C7" s="132">
        <f ca="1">K8</f>
        <v>1</v>
      </c>
      <c r="D7" s="132"/>
      <c r="E7" s="35">
        <f ca="1">((100/I5)*C7)/100</f>
        <v>1</v>
      </c>
      <c r="F7" s="131">
        <f ca="1">(((C7/I5*5)+(C8/I5*20)+(25/(F5+H5+I5)*C9)+(5/(I5)*C10)+(2.5/(I5)*C11)+(2.5/(I5)*C12)+(5/I5*C13)+(10/I5*C14)+(2.5/I5*C15)+(2.5/I5*C16)+(10/I5*C17)+(10/I5*C18))/100)</f>
        <v>0.25</v>
      </c>
      <c r="G7" s="131"/>
      <c r="H7" s="131" t="str">
        <f ca="1">J4</f>
        <v>Excavation work Completed. Plinth work completed</v>
      </c>
      <c r="I7" s="131"/>
      <c r="J7" s="20" t="s">
        <v>124</v>
      </c>
      <c r="K7" s="24">
        <f ca="1">I5*50%</f>
        <v>0.5</v>
      </c>
    </row>
    <row r="8" spans="1:11" s="1" customFormat="1" ht="20.25" x14ac:dyDescent="0.3">
      <c r="A8" s="131" t="s">
        <v>105</v>
      </c>
      <c r="B8" s="131"/>
      <c r="C8" s="200">
        <f ca="1">K16</f>
        <v>1</v>
      </c>
      <c r="D8" s="132"/>
      <c r="E8" s="35">
        <f ca="1">((100/I5)*C8)/100</f>
        <v>1</v>
      </c>
      <c r="F8" s="131"/>
      <c r="G8" s="131"/>
      <c r="H8" s="131"/>
      <c r="I8" s="131"/>
      <c r="J8" s="20" t="s">
        <v>125</v>
      </c>
      <c r="K8" s="24">
        <f ca="1">I5</f>
        <v>1</v>
      </c>
    </row>
    <row r="9" spans="1:11" s="1" customFormat="1" ht="21" customHeight="1" x14ac:dyDescent="0.35">
      <c r="A9" s="131" t="s">
        <v>138</v>
      </c>
      <c r="B9" s="131"/>
      <c r="C9" s="132">
        <v>0</v>
      </c>
      <c r="D9" s="132"/>
      <c r="E9" s="35">
        <f ca="1">((100/(F5+H5+I5))*C9)/100</f>
        <v>0</v>
      </c>
      <c r="F9" s="131"/>
      <c r="G9" s="131"/>
      <c r="H9" s="131"/>
      <c r="I9" s="131"/>
      <c r="J9" s="20" t="s">
        <v>126</v>
      </c>
      <c r="K9" s="25">
        <f ca="1">(IF(E5&gt;1,(I5/(E5+2)),I5*0.2))</f>
        <v>0.2</v>
      </c>
    </row>
    <row r="10" spans="1:11" s="1" customFormat="1" ht="21" customHeight="1" x14ac:dyDescent="0.35">
      <c r="A10" s="131" t="s">
        <v>139</v>
      </c>
      <c r="B10" s="131"/>
      <c r="C10" s="132">
        <v>0</v>
      </c>
      <c r="D10" s="132"/>
      <c r="E10" s="35">
        <f ca="1">((100/I5)*C10)/100</f>
        <v>0</v>
      </c>
      <c r="F10" s="131"/>
      <c r="G10" s="131"/>
      <c r="H10" s="131"/>
      <c r="I10" s="131"/>
      <c r="J10" s="20" t="s">
        <v>127</v>
      </c>
      <c r="K10" s="25">
        <f ca="1">(IF(E5&gt;1,(I5/(E5+2)+K9),I5*0.2+K9))</f>
        <v>0.4</v>
      </c>
    </row>
    <row r="11" spans="1:11" s="1" customFormat="1" ht="21" customHeight="1" x14ac:dyDescent="0.35">
      <c r="A11" s="129" t="s">
        <v>140</v>
      </c>
      <c r="B11" s="130"/>
      <c r="C11" s="132">
        <v>0</v>
      </c>
      <c r="D11" s="132"/>
      <c r="E11" s="35">
        <f ca="1">((100/I5)*C11)/100</f>
        <v>0</v>
      </c>
      <c r="F11" s="131"/>
      <c r="G11" s="131"/>
      <c r="H11" s="131"/>
      <c r="I11" s="131"/>
      <c r="J11" s="20" t="s">
        <v>141</v>
      </c>
      <c r="K11" s="25">
        <f ca="1">(IF(E5&gt;1,(I5/(E5+2)+K10),0))</f>
        <v>0.60000000000000009</v>
      </c>
    </row>
    <row r="12" spans="1:11" s="1" customFormat="1" ht="21" customHeight="1" x14ac:dyDescent="0.35">
      <c r="A12" s="129" t="s">
        <v>172</v>
      </c>
      <c r="B12" s="130"/>
      <c r="C12" s="132">
        <v>0</v>
      </c>
      <c r="D12" s="132"/>
      <c r="E12" s="35">
        <f ca="1">((100/I5)*C12)/100</f>
        <v>0</v>
      </c>
      <c r="F12" s="131"/>
      <c r="G12" s="131"/>
      <c r="H12" s="131"/>
      <c r="I12" s="131"/>
      <c r="J12" s="20" t="s">
        <v>142</v>
      </c>
      <c r="K12" s="25">
        <f ca="1">(IF(E5&gt;2,(I5/(E5+2)+K11),0))</f>
        <v>0.8</v>
      </c>
    </row>
    <row r="13" spans="1:11" s="1" customFormat="1" ht="57.75" customHeight="1" x14ac:dyDescent="0.35">
      <c r="A13" s="129" t="s">
        <v>169</v>
      </c>
      <c r="B13" s="130"/>
      <c r="C13" s="132">
        <v>0</v>
      </c>
      <c r="D13" s="132"/>
      <c r="E13" s="35">
        <f ca="1">((100/(I5))*C13)/100</f>
        <v>0</v>
      </c>
      <c r="F13" s="131"/>
      <c r="G13" s="131"/>
      <c r="H13" s="131"/>
      <c r="I13" s="131"/>
      <c r="J13" s="20" t="s">
        <v>144</v>
      </c>
      <c r="K13" s="26">
        <f>(IF(E5&gt;3,(I5/(E5+2)+K12),0))</f>
        <v>0</v>
      </c>
    </row>
    <row r="14" spans="1:11" s="1" customFormat="1" ht="21" x14ac:dyDescent="0.35">
      <c r="A14" s="131" t="s">
        <v>143</v>
      </c>
      <c r="B14" s="131"/>
      <c r="C14" s="132">
        <v>0</v>
      </c>
      <c r="D14" s="132"/>
      <c r="E14" s="35">
        <f ca="1">((100/(I5))*C14)/100</f>
        <v>0</v>
      </c>
      <c r="F14" s="131"/>
      <c r="G14" s="131"/>
      <c r="H14" s="131"/>
      <c r="I14" s="131"/>
      <c r="J14" s="20" t="s">
        <v>145</v>
      </c>
      <c r="K14" s="25">
        <f>(IF(E5&gt;4,(I5/(E5+2)+K13),0))</f>
        <v>0</v>
      </c>
    </row>
    <row r="15" spans="1:11" s="1" customFormat="1" ht="21" customHeight="1" x14ac:dyDescent="0.35">
      <c r="A15" s="131" t="s">
        <v>171</v>
      </c>
      <c r="B15" s="131"/>
      <c r="C15" s="132">
        <v>0</v>
      </c>
      <c r="D15" s="132"/>
      <c r="E15" s="35">
        <f ca="1">((100/I5)*C15)/100</f>
        <v>0</v>
      </c>
      <c r="F15" s="131"/>
      <c r="G15" s="131"/>
      <c r="H15" s="131"/>
      <c r="I15" s="131"/>
      <c r="J15" s="20" t="s">
        <v>128</v>
      </c>
      <c r="K15" s="25">
        <f>(IF(E5=1,(I5/(E5+3)+K10),IF(E5=0,(I5*0.3+K10),IF(E5&gt;1,0))))</f>
        <v>0</v>
      </c>
    </row>
    <row r="16" spans="1:11" s="1" customFormat="1" ht="21.75" thickBot="1" x14ac:dyDescent="0.4">
      <c r="A16" s="131" t="s">
        <v>170</v>
      </c>
      <c r="B16" s="131"/>
      <c r="C16" s="132">
        <v>0</v>
      </c>
      <c r="D16" s="132"/>
      <c r="E16" s="35">
        <f ca="1">((100/I5)*C16)/100</f>
        <v>0</v>
      </c>
      <c r="F16" s="131"/>
      <c r="G16" s="131"/>
      <c r="H16" s="131"/>
      <c r="I16" s="131"/>
      <c r="J16" s="22" t="s">
        <v>129</v>
      </c>
      <c r="K16" s="27">
        <f ca="1">(IF(E5&gt;1.5,(I5/(E5+2)+K10+MAX(0,K11-K10)+MAX(0,K12-K11)+MAX(0,K13-K12)+MAX(0,K14-K13)+MAX(0,K15-K14)),IF(E5=1,(I5/(E5+3)+K15),IF(E5=0,I5*0.3+K15))))</f>
        <v>1</v>
      </c>
    </row>
    <row r="17" spans="1:9" s="1" customFormat="1" ht="20.25" x14ac:dyDescent="0.25">
      <c r="A17" s="131" t="s">
        <v>146</v>
      </c>
      <c r="B17" s="131"/>
      <c r="C17" s="132">
        <v>0</v>
      </c>
      <c r="D17" s="132"/>
      <c r="E17" s="35">
        <f ca="1">((100/(I5))*C17)/100</f>
        <v>0</v>
      </c>
      <c r="F17" s="131"/>
      <c r="G17" s="131"/>
      <c r="H17" s="131"/>
      <c r="I17" s="131"/>
    </row>
    <row r="18" spans="1:9" s="1" customFormat="1" ht="20.25" x14ac:dyDescent="0.25">
      <c r="A18" s="131" t="s">
        <v>147</v>
      </c>
      <c r="B18" s="131"/>
      <c r="C18" s="132">
        <v>0</v>
      </c>
      <c r="D18" s="132"/>
      <c r="E18" s="35">
        <f ca="1">((100/(I5))*C18)/100</f>
        <v>0</v>
      </c>
      <c r="F18" s="131"/>
      <c r="G18" s="131"/>
      <c r="H18" s="131"/>
      <c r="I18" s="131"/>
    </row>
    <row r="23" spans="1:9" x14ac:dyDescent="0.25">
      <c r="B23" s="199" t="s">
        <v>173</v>
      </c>
      <c r="C23" s="199"/>
      <c r="D23" s="199"/>
      <c r="E23" s="199"/>
      <c r="F23" s="199"/>
      <c r="G23" s="199"/>
    </row>
    <row r="24" spans="1:9" ht="14.45" customHeight="1" x14ac:dyDescent="0.25">
      <c r="B24" s="194" t="s">
        <v>174</v>
      </c>
      <c r="C24" s="194" t="s">
        <v>175</v>
      </c>
      <c r="D24" s="197" t="s">
        <v>176</v>
      </c>
      <c r="E24" s="198" t="s">
        <v>177</v>
      </c>
      <c r="F24" s="195" t="s">
        <v>178</v>
      </c>
      <c r="G24" s="194" t="s">
        <v>179</v>
      </c>
    </row>
    <row r="25" spans="1:9" x14ac:dyDescent="0.25">
      <c r="B25" s="194"/>
      <c r="C25" s="194"/>
      <c r="D25" s="197"/>
      <c r="E25" s="198"/>
      <c r="F25" s="195"/>
      <c r="G25" s="194"/>
    </row>
    <row r="26" spans="1:9" x14ac:dyDescent="0.25">
      <c r="B26" s="50" t="s">
        <v>180</v>
      </c>
      <c r="C26" s="51">
        <v>10</v>
      </c>
      <c r="D26" s="51">
        <v>1</v>
      </c>
      <c r="E26" s="52"/>
      <c r="F26" s="53">
        <f>((E26/D26)*0.05)*100</f>
        <v>0</v>
      </c>
      <c r="G26" s="53">
        <f t="shared" ref="G26:G37" si="0">((E26/D26)*(C26/100))*100</f>
        <v>0</v>
      </c>
    </row>
    <row r="27" spans="1:9" x14ac:dyDescent="0.25">
      <c r="B27" s="50" t="s">
        <v>181</v>
      </c>
      <c r="C27" s="52">
        <v>10</v>
      </c>
      <c r="D27" s="52">
        <v>1</v>
      </c>
      <c r="E27" s="52"/>
      <c r="F27" s="53">
        <f>((E27/D27)*0.05)*100</f>
        <v>0</v>
      </c>
      <c r="G27" s="53">
        <f t="shared" si="0"/>
        <v>0</v>
      </c>
    </row>
    <row r="28" spans="1:9" x14ac:dyDescent="0.25">
      <c r="B28" s="50" t="s">
        <v>182</v>
      </c>
      <c r="C28" s="52">
        <v>15</v>
      </c>
      <c r="D28" s="52">
        <v>1</v>
      </c>
      <c r="E28" s="52"/>
      <c r="F28" s="53">
        <f>((E28/D28)*0.15)*100</f>
        <v>0</v>
      </c>
      <c r="G28" s="53">
        <f t="shared" si="0"/>
        <v>0</v>
      </c>
    </row>
    <row r="29" spans="1:9" x14ac:dyDescent="0.25">
      <c r="B29" s="54" t="s">
        <v>183</v>
      </c>
      <c r="C29" s="52">
        <v>25</v>
      </c>
      <c r="D29" s="52">
        <v>40</v>
      </c>
      <c r="E29" s="52"/>
      <c r="F29" s="53">
        <f>((E29/D29)*0.25)*100</f>
        <v>0</v>
      </c>
      <c r="G29" s="53">
        <f t="shared" si="0"/>
        <v>0</v>
      </c>
    </row>
    <row r="30" spans="1:9" x14ac:dyDescent="0.25">
      <c r="B30" s="54" t="s">
        <v>184</v>
      </c>
      <c r="C30" s="52">
        <v>5</v>
      </c>
      <c r="D30" s="52">
        <v>39</v>
      </c>
      <c r="E30" s="52"/>
      <c r="F30" s="53">
        <f>((E30/D30)*0.05)*100</f>
        <v>0</v>
      </c>
      <c r="G30" s="53">
        <f t="shared" si="0"/>
        <v>0</v>
      </c>
    </row>
    <row r="31" spans="1:9" ht="30" x14ac:dyDescent="0.25">
      <c r="B31" s="54" t="s">
        <v>185</v>
      </c>
      <c r="C31" s="52">
        <v>2.5</v>
      </c>
      <c r="D31" s="52">
        <v>39</v>
      </c>
      <c r="E31" s="52"/>
      <c r="F31" s="53">
        <f>((E31/D31)*0.025)*100</f>
        <v>0</v>
      </c>
      <c r="G31" s="53">
        <f t="shared" si="0"/>
        <v>0</v>
      </c>
    </row>
    <row r="32" spans="1:9" ht="30" x14ac:dyDescent="0.25">
      <c r="B32" s="54" t="s">
        <v>186</v>
      </c>
      <c r="C32" s="52">
        <v>2.5</v>
      </c>
      <c r="D32" s="52">
        <v>39</v>
      </c>
      <c r="E32" s="52"/>
      <c r="F32" s="53">
        <f>((E32/D32)*0.025)*100</f>
        <v>0</v>
      </c>
      <c r="G32" s="53">
        <f t="shared" si="0"/>
        <v>0</v>
      </c>
    </row>
    <row r="33" spans="1:7" ht="45" x14ac:dyDescent="0.25">
      <c r="B33" s="55" t="s">
        <v>187</v>
      </c>
      <c r="C33" s="52">
        <v>5</v>
      </c>
      <c r="D33" s="52">
        <v>39</v>
      </c>
      <c r="E33" s="52"/>
      <c r="F33" s="53">
        <f>((E33/D33)*0.05)*100</f>
        <v>0</v>
      </c>
      <c r="G33" s="53">
        <f t="shared" si="0"/>
        <v>0</v>
      </c>
    </row>
    <row r="34" spans="1:7" ht="30" x14ac:dyDescent="0.25">
      <c r="B34" s="55" t="s">
        <v>188</v>
      </c>
      <c r="C34" s="52">
        <v>5</v>
      </c>
      <c r="D34" s="52">
        <v>39</v>
      </c>
      <c r="E34" s="52"/>
      <c r="F34" s="53">
        <f>((E34/D34)*0.1)*100</f>
        <v>0</v>
      </c>
      <c r="G34" s="53">
        <f t="shared" si="0"/>
        <v>0</v>
      </c>
    </row>
    <row r="35" spans="1:7" ht="30" x14ac:dyDescent="0.25">
      <c r="B35" s="55" t="s">
        <v>189</v>
      </c>
      <c r="C35" s="52">
        <v>5</v>
      </c>
      <c r="D35" s="52">
        <v>39</v>
      </c>
      <c r="E35" s="52"/>
      <c r="F35" s="53">
        <f>((E35/D35)*0.05)*100</f>
        <v>0</v>
      </c>
      <c r="G35" s="53">
        <f t="shared" si="0"/>
        <v>0</v>
      </c>
    </row>
    <row r="36" spans="1:7" ht="60" x14ac:dyDescent="0.25">
      <c r="B36" s="55" t="s">
        <v>190</v>
      </c>
      <c r="C36" s="52">
        <v>10</v>
      </c>
      <c r="D36" s="52">
        <v>39</v>
      </c>
      <c r="E36" s="52"/>
      <c r="F36" s="53">
        <f>((E36/D36)*0.1)*100</f>
        <v>0</v>
      </c>
      <c r="G36" s="53">
        <f t="shared" si="0"/>
        <v>0</v>
      </c>
    </row>
    <row r="37" spans="1:7" ht="45" x14ac:dyDescent="0.25">
      <c r="B37" s="55" t="s">
        <v>191</v>
      </c>
      <c r="C37" s="52">
        <v>5</v>
      </c>
      <c r="D37" s="52">
        <v>39</v>
      </c>
      <c r="E37" s="52"/>
      <c r="F37" s="53">
        <f>((E37/D37)*0.1)*100</f>
        <v>0</v>
      </c>
      <c r="G37" s="53">
        <f t="shared" si="0"/>
        <v>0</v>
      </c>
    </row>
    <row r="38" spans="1:7" ht="15.75" x14ac:dyDescent="0.25">
      <c r="B38" s="56" t="s">
        <v>192</v>
      </c>
      <c r="C38" s="57">
        <f>SUM(C26:C37)</f>
        <v>100</v>
      </c>
      <c r="D38" s="56"/>
      <c r="E38" s="56"/>
      <c r="F38" s="57">
        <f>SUM(F26:F37)</f>
        <v>0</v>
      </c>
      <c r="G38" s="57">
        <f>SUM(G26:G37)</f>
        <v>0</v>
      </c>
    </row>
    <row r="39" spans="1:7" x14ac:dyDescent="0.25">
      <c r="B39" s="195" t="s">
        <v>193</v>
      </c>
      <c r="C39" s="195"/>
      <c r="D39" s="195"/>
      <c r="E39" s="195"/>
      <c r="F39" s="195"/>
      <c r="G39" s="195"/>
    </row>
    <row r="40" spans="1:7" x14ac:dyDescent="0.25">
      <c r="B40" s="196" t="s">
        <v>194</v>
      </c>
      <c r="C40" s="196"/>
      <c r="D40" s="196"/>
      <c r="E40" s="196" t="s">
        <v>195</v>
      </c>
      <c r="F40" s="196"/>
      <c r="G40" s="196"/>
    </row>
    <row r="41" spans="1:7" x14ac:dyDescent="0.25">
      <c r="B41" s="192" t="s">
        <v>196</v>
      </c>
      <c r="C41" s="192"/>
      <c r="D41" s="192"/>
      <c r="E41" s="192" t="s">
        <v>197</v>
      </c>
      <c r="F41" s="192"/>
      <c r="G41" s="192"/>
    </row>
    <row r="42" spans="1:7" x14ac:dyDescent="0.25">
      <c r="B42" s="192" t="s">
        <v>198</v>
      </c>
      <c r="C42" s="192"/>
      <c r="D42" s="192"/>
      <c r="E42" s="192" t="s">
        <v>199</v>
      </c>
      <c r="F42" s="192"/>
      <c r="G42" s="192"/>
    </row>
    <row r="43" spans="1:7" x14ac:dyDescent="0.25">
      <c r="B43" s="193" t="s">
        <v>200</v>
      </c>
      <c r="C43" s="193"/>
      <c r="D43" s="193"/>
      <c r="E43" s="193" t="s">
        <v>201</v>
      </c>
      <c r="F43" s="193"/>
      <c r="G43" s="193"/>
    </row>
    <row r="45" spans="1:7" ht="15.75" thickBot="1" x14ac:dyDescent="0.3"/>
    <row r="46" spans="1:7" ht="17.25" thickTop="1" thickBot="1" x14ac:dyDescent="0.3">
      <c r="A46" s="58" t="s">
        <v>202</v>
      </c>
      <c r="B46" s="58" t="s">
        <v>174</v>
      </c>
      <c r="C46" s="59" t="s">
        <v>203</v>
      </c>
      <c r="D46" s="59" t="s">
        <v>204</v>
      </c>
      <c r="E46" s="59" t="s">
        <v>205</v>
      </c>
    </row>
    <row r="47" spans="1:7" ht="31.5" thickTop="1" thickBot="1" x14ac:dyDescent="0.3">
      <c r="A47" s="60">
        <v>1</v>
      </c>
      <c r="B47" s="61" t="s">
        <v>206</v>
      </c>
      <c r="C47" s="62">
        <v>0</v>
      </c>
      <c r="D47" s="63">
        <v>0.1</v>
      </c>
      <c r="E47" s="62">
        <v>0.1</v>
      </c>
    </row>
    <row r="48" spans="1:7" ht="31.5" thickTop="1" thickBot="1" x14ac:dyDescent="0.3">
      <c r="A48" s="60">
        <v>2</v>
      </c>
      <c r="B48" s="61" t="s">
        <v>207</v>
      </c>
      <c r="C48" s="62" t="s">
        <v>208</v>
      </c>
      <c r="D48" s="63" t="s">
        <v>209</v>
      </c>
      <c r="E48" s="62">
        <v>0.3</v>
      </c>
    </row>
    <row r="49" spans="1:5" ht="61.5" thickTop="1" thickBot="1" x14ac:dyDescent="0.3">
      <c r="A49" s="60">
        <v>3</v>
      </c>
      <c r="B49" s="61" t="s">
        <v>210</v>
      </c>
      <c r="C49" s="62" t="s">
        <v>211</v>
      </c>
      <c r="D49" s="63" t="s">
        <v>212</v>
      </c>
      <c r="E49" s="62">
        <v>0.45</v>
      </c>
    </row>
    <row r="50" spans="1:5" ht="76.5" thickTop="1" thickBot="1" x14ac:dyDescent="0.3">
      <c r="A50" s="60">
        <v>4</v>
      </c>
      <c r="B50" s="61" t="s">
        <v>213</v>
      </c>
      <c r="C50" s="62" t="s">
        <v>214</v>
      </c>
      <c r="D50" s="63" t="s">
        <v>215</v>
      </c>
      <c r="E50" s="62">
        <v>0.7</v>
      </c>
    </row>
    <row r="51" spans="1:5" ht="76.5" thickTop="1" thickBot="1" x14ac:dyDescent="0.3">
      <c r="A51" s="60">
        <v>5</v>
      </c>
      <c r="B51" s="61" t="s">
        <v>216</v>
      </c>
      <c r="C51" s="62" t="s">
        <v>217</v>
      </c>
      <c r="D51" s="63" t="s">
        <v>218</v>
      </c>
      <c r="E51" s="62">
        <v>0.75</v>
      </c>
    </row>
    <row r="52" spans="1:5" ht="76.5" thickTop="1" thickBot="1" x14ac:dyDescent="0.3">
      <c r="A52" s="60">
        <v>6</v>
      </c>
      <c r="B52" s="61" t="s">
        <v>219</v>
      </c>
      <c r="C52" s="62" t="s">
        <v>220</v>
      </c>
      <c r="D52" s="63" t="s">
        <v>221</v>
      </c>
      <c r="E52" s="62">
        <v>0.8</v>
      </c>
    </row>
    <row r="53" spans="1:5" ht="121.5" thickTop="1" thickBot="1" x14ac:dyDescent="0.3">
      <c r="A53" s="60">
        <v>7</v>
      </c>
      <c r="B53" s="61" t="s">
        <v>222</v>
      </c>
      <c r="C53" s="62" t="s">
        <v>223</v>
      </c>
      <c r="D53" s="63" t="s">
        <v>224</v>
      </c>
      <c r="E53" s="62">
        <v>0.85</v>
      </c>
    </row>
    <row r="54" spans="1:5" ht="211.5" thickTop="1" thickBot="1" x14ac:dyDescent="0.3">
      <c r="A54" s="60">
        <v>8</v>
      </c>
      <c r="B54" s="61" t="s">
        <v>225</v>
      </c>
      <c r="C54" s="62" t="s">
        <v>226</v>
      </c>
      <c r="D54" s="63" t="s">
        <v>227</v>
      </c>
      <c r="E54" s="62">
        <v>0.95</v>
      </c>
    </row>
    <row r="55" spans="1:5" ht="91.5" thickTop="1" thickBot="1" x14ac:dyDescent="0.3">
      <c r="A55" s="60">
        <v>9</v>
      </c>
      <c r="B55" s="61" t="s">
        <v>228</v>
      </c>
      <c r="C55" s="62" t="s">
        <v>229</v>
      </c>
      <c r="D55" s="63" t="s">
        <v>230</v>
      </c>
      <c r="E55" s="62">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52">
        <v>1</v>
      </c>
      <c r="C2" s="71" t="s">
        <v>248</v>
      </c>
    </row>
    <row r="3" spans="2:3" x14ac:dyDescent="0.25">
      <c r="B3" s="52">
        <v>2</v>
      </c>
      <c r="C3" s="72" t="s">
        <v>249</v>
      </c>
    </row>
    <row r="4" spans="2:3" x14ac:dyDescent="0.25">
      <c r="B4" s="52">
        <v>3</v>
      </c>
      <c r="C4" s="73" t="s">
        <v>250</v>
      </c>
    </row>
    <row r="5" spans="2:3" x14ac:dyDescent="0.25">
      <c r="B5" s="52">
        <v>4</v>
      </c>
      <c r="C5" s="72" t="s">
        <v>251</v>
      </c>
    </row>
    <row r="6" spans="2:3" x14ac:dyDescent="0.25">
      <c r="B6" s="52">
        <v>5</v>
      </c>
      <c r="C6" s="73" t="s">
        <v>252</v>
      </c>
    </row>
    <row r="7" spans="2:3" ht="30" x14ac:dyDescent="0.25">
      <c r="B7" s="52">
        <v>6</v>
      </c>
      <c r="C7" s="72" t="s">
        <v>253</v>
      </c>
    </row>
    <row r="8" spans="2:3" ht="75" x14ac:dyDescent="0.25">
      <c r="B8" s="52">
        <v>7</v>
      </c>
      <c r="C8" s="72" t="s">
        <v>254</v>
      </c>
    </row>
    <row r="9" spans="2:3" x14ac:dyDescent="0.25">
      <c r="B9" s="52">
        <v>8</v>
      </c>
      <c r="C9" s="73" t="s">
        <v>255</v>
      </c>
    </row>
    <row r="10" spans="2:3" x14ac:dyDescent="0.25">
      <c r="B10" s="52">
        <v>9</v>
      </c>
      <c r="C10" s="73" t="s">
        <v>256</v>
      </c>
    </row>
    <row r="11" spans="2:3" x14ac:dyDescent="0.25">
      <c r="B11" s="52">
        <v>10</v>
      </c>
      <c r="C11" s="73" t="s">
        <v>257</v>
      </c>
    </row>
    <row r="12" spans="2:3" x14ac:dyDescent="0.25">
      <c r="B12" s="52">
        <v>11</v>
      </c>
      <c r="C12" s="73" t="s">
        <v>258</v>
      </c>
    </row>
    <row r="13" spans="2:3" x14ac:dyDescent="0.25">
      <c r="B13" s="52">
        <v>12</v>
      </c>
      <c r="C13" s="73" t="s">
        <v>259</v>
      </c>
    </row>
    <row r="14" spans="2:3" x14ac:dyDescent="0.25">
      <c r="B14" s="52">
        <v>13</v>
      </c>
      <c r="C14" s="73" t="s">
        <v>260</v>
      </c>
    </row>
    <row r="15" spans="2:3" x14ac:dyDescent="0.25">
      <c r="B15" s="52">
        <v>14</v>
      </c>
      <c r="C15" s="73" t="s">
        <v>250</v>
      </c>
    </row>
    <row r="16" spans="2:3" x14ac:dyDescent="0.25">
      <c r="B16" s="52">
        <v>15</v>
      </c>
      <c r="C16" s="73" t="s">
        <v>243</v>
      </c>
    </row>
    <row r="17" spans="2:3" x14ac:dyDescent="0.25">
      <c r="B17" s="74">
        <v>16</v>
      </c>
      <c r="C17" s="75" t="s">
        <v>261</v>
      </c>
    </row>
    <row r="18" spans="2:3" x14ac:dyDescent="0.25">
      <c r="B18" s="76">
        <v>17</v>
      </c>
      <c r="C18" s="75" t="s">
        <v>262</v>
      </c>
    </row>
    <row r="19" spans="2:3" x14ac:dyDescent="0.25">
      <c r="B19" s="77">
        <v>18</v>
      </c>
      <c r="C19" s="52" t="s">
        <v>263</v>
      </c>
    </row>
    <row r="20" spans="2:3" x14ac:dyDescent="0.25">
      <c r="B20" s="76">
        <v>19</v>
      </c>
      <c r="C20" s="52" t="s">
        <v>264</v>
      </c>
    </row>
    <row r="21" spans="2:3" x14ac:dyDescent="0.25">
      <c r="B21" s="78">
        <v>20</v>
      </c>
      <c r="C21" s="52" t="s">
        <v>265</v>
      </c>
    </row>
    <row r="22" spans="2:3" x14ac:dyDescent="0.25">
      <c r="B22" s="76">
        <v>21</v>
      </c>
      <c r="C22" s="52" t="s">
        <v>263</v>
      </c>
    </row>
    <row r="23" spans="2:3" s="80" customFormat="1" ht="30" x14ac:dyDescent="0.25">
      <c r="B23" s="79">
        <v>22</v>
      </c>
      <c r="C23" s="71" t="s">
        <v>266</v>
      </c>
    </row>
    <row r="24" spans="2:3" s="80" customFormat="1" ht="30" x14ac:dyDescent="0.25">
      <c r="B24" s="81">
        <v>23</v>
      </c>
      <c r="C24" s="71" t="s">
        <v>267</v>
      </c>
    </row>
    <row r="25" spans="2:3" x14ac:dyDescent="0.25">
      <c r="B25" s="78">
        <v>24</v>
      </c>
      <c r="C25" s="52" t="s">
        <v>268</v>
      </c>
    </row>
    <row r="26" spans="2:3" x14ac:dyDescent="0.25">
      <c r="B26" s="76">
        <v>25</v>
      </c>
      <c r="C26" s="52" t="s">
        <v>269</v>
      </c>
    </row>
    <row r="27" spans="2:3" x14ac:dyDescent="0.25">
      <c r="B27" s="81">
        <v>26</v>
      </c>
      <c r="C27" s="78" t="s">
        <v>270</v>
      </c>
    </row>
    <row r="28" spans="2:3" x14ac:dyDescent="0.25">
      <c r="B28" s="82">
        <v>27</v>
      </c>
      <c r="C28" s="52" t="s">
        <v>271</v>
      </c>
    </row>
    <row r="29" spans="2:3" ht="60" x14ac:dyDescent="0.25">
      <c r="B29" s="83">
        <v>28</v>
      </c>
      <c r="C29" s="72" t="s">
        <v>272</v>
      </c>
    </row>
    <row r="30" spans="2:3" x14ac:dyDescent="0.25">
      <c r="B30" s="81">
        <v>29</v>
      </c>
      <c r="C30" s="52" t="s">
        <v>273</v>
      </c>
    </row>
    <row r="31" spans="2:3" ht="30" x14ac:dyDescent="0.25">
      <c r="B31" s="84">
        <v>30</v>
      </c>
      <c r="C31" s="72" t="s">
        <v>301</v>
      </c>
    </row>
    <row r="32" spans="2:3" x14ac:dyDescent="0.25">
      <c r="B32" s="81">
        <v>31</v>
      </c>
      <c r="C32" s="52" t="s">
        <v>302</v>
      </c>
    </row>
    <row r="33" spans="2:3" x14ac:dyDescent="0.25">
      <c r="B33" s="81">
        <v>32</v>
      </c>
      <c r="C33" s="52" t="s">
        <v>303</v>
      </c>
    </row>
    <row r="34" spans="2:3" ht="30" x14ac:dyDescent="0.25">
      <c r="B34" s="84">
        <v>33</v>
      </c>
      <c r="C34" s="75" t="s">
        <v>304</v>
      </c>
    </row>
    <row r="35" spans="2:3" x14ac:dyDescent="0.25">
      <c r="B35" s="81">
        <v>34</v>
      </c>
      <c r="C35" s="52"/>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RowHeight="15" x14ac:dyDescent="0.25"/>
  <cols>
    <col min="1" max="1" width="9.140625" style="85"/>
    <col min="2" max="2" width="12.28515625" style="85" customWidth="1"/>
    <col min="3" max="16384" width="9.140625" style="85"/>
  </cols>
  <sheetData>
    <row r="2" spans="1:12" x14ac:dyDescent="0.25">
      <c r="B2" s="86" t="s">
        <v>274</v>
      </c>
      <c r="C2" s="203"/>
      <c r="D2" s="203"/>
    </row>
    <row r="3" spans="1:12" x14ac:dyDescent="0.25">
      <c r="D3" s="87"/>
      <c r="E3" s="87"/>
      <c r="F3" s="87"/>
      <c r="G3" s="87"/>
      <c r="H3" s="87"/>
      <c r="I3" s="87"/>
    </row>
    <row r="4" spans="1:12" x14ac:dyDescent="0.25">
      <c r="A4" s="86" t="s">
        <v>275</v>
      </c>
      <c r="B4" s="70" t="s">
        <v>276</v>
      </c>
      <c r="C4" s="204" t="s">
        <v>277</v>
      </c>
      <c r="D4" s="204"/>
      <c r="E4" s="204"/>
      <c r="F4" s="70"/>
      <c r="G4" s="205" t="s">
        <v>278</v>
      </c>
      <c r="H4" s="205"/>
      <c r="I4" s="205"/>
      <c r="J4" s="206" t="s">
        <v>279</v>
      </c>
      <c r="K4" s="206"/>
      <c r="L4" s="206"/>
    </row>
    <row r="5" spans="1:12" x14ac:dyDescent="0.25">
      <c r="A5" s="86"/>
      <c r="B5" s="70"/>
      <c r="C5" s="70" t="s">
        <v>280</v>
      </c>
      <c r="D5" s="70" t="s">
        <v>281</v>
      </c>
      <c r="E5" s="70" t="s">
        <v>282</v>
      </c>
      <c r="F5" s="70"/>
      <c r="G5" s="70" t="s">
        <v>280</v>
      </c>
      <c r="H5" s="70" t="s">
        <v>281</v>
      </c>
      <c r="I5" s="70" t="s">
        <v>282</v>
      </c>
      <c r="J5" s="70" t="s">
        <v>280</v>
      </c>
      <c r="K5" s="70" t="s">
        <v>281</v>
      </c>
      <c r="L5" s="70" t="s">
        <v>282</v>
      </c>
    </row>
    <row r="6" spans="1:12" x14ac:dyDescent="0.25">
      <c r="B6" s="69" t="s">
        <v>283</v>
      </c>
      <c r="C6" s="69"/>
      <c r="D6" s="69"/>
      <c r="E6" s="69">
        <f>C6*D6</f>
        <v>0</v>
      </c>
      <c r="F6" s="69" t="s">
        <v>284</v>
      </c>
      <c r="G6" s="69"/>
      <c r="H6" s="69"/>
      <c r="I6" s="69">
        <f>G6*H6</f>
        <v>0</v>
      </c>
      <c r="J6" s="69"/>
      <c r="K6" s="69"/>
      <c r="L6" s="69">
        <f>J6*K6</f>
        <v>0</v>
      </c>
    </row>
    <row r="7" spans="1:12" x14ac:dyDescent="0.25">
      <c r="B7" s="69"/>
      <c r="C7" s="69"/>
      <c r="D7" s="69"/>
      <c r="E7" s="69">
        <f t="shared" ref="E7:E41" si="0">C7*D7</f>
        <v>0</v>
      </c>
      <c r="F7" s="69" t="s">
        <v>284</v>
      </c>
      <c r="G7" s="69"/>
      <c r="H7" s="69"/>
      <c r="I7" s="69">
        <f t="shared" ref="I7:I35" si="1">G7*H7</f>
        <v>0</v>
      </c>
      <c r="J7" s="69"/>
      <c r="K7" s="69"/>
      <c r="L7" s="69">
        <f t="shared" ref="L7:L35" si="2">J7*K7</f>
        <v>0</v>
      </c>
    </row>
    <row r="8" spans="1:12" x14ac:dyDescent="0.25">
      <c r="B8" s="69"/>
      <c r="C8" s="69"/>
      <c r="D8" s="69"/>
      <c r="E8" s="69">
        <f t="shared" si="0"/>
        <v>0</v>
      </c>
      <c r="F8" s="69"/>
      <c r="G8" s="69"/>
      <c r="H8" s="69"/>
      <c r="I8" s="69">
        <f t="shared" si="1"/>
        <v>0</v>
      </c>
      <c r="J8" s="69"/>
      <c r="K8" s="69"/>
      <c r="L8" s="69">
        <f t="shared" si="2"/>
        <v>0</v>
      </c>
    </row>
    <row r="9" spans="1:12" x14ac:dyDescent="0.25">
      <c r="B9" s="69"/>
      <c r="C9" s="69"/>
      <c r="D9" s="69"/>
      <c r="E9" s="69">
        <f t="shared" si="0"/>
        <v>0</v>
      </c>
      <c r="F9" s="69" t="s">
        <v>285</v>
      </c>
      <c r="G9" s="69"/>
      <c r="H9" s="69"/>
      <c r="I9" s="69">
        <f t="shared" si="1"/>
        <v>0</v>
      </c>
      <c r="J9" s="69"/>
      <c r="K9" s="69"/>
      <c r="L9" s="69">
        <f t="shared" si="2"/>
        <v>0</v>
      </c>
    </row>
    <row r="10" spans="1:12" x14ac:dyDescent="0.25">
      <c r="B10" s="69" t="s">
        <v>286</v>
      </c>
      <c r="C10" s="69"/>
      <c r="D10" s="69"/>
      <c r="E10" s="69">
        <f t="shared" si="0"/>
        <v>0</v>
      </c>
      <c r="F10" s="69" t="s">
        <v>285</v>
      </c>
      <c r="G10" s="69"/>
      <c r="H10" s="69"/>
      <c r="I10" s="69">
        <f t="shared" si="1"/>
        <v>0</v>
      </c>
      <c r="J10" s="69"/>
      <c r="K10" s="69"/>
      <c r="L10" s="69">
        <f t="shared" si="2"/>
        <v>0</v>
      </c>
    </row>
    <row r="11" spans="1:12" x14ac:dyDescent="0.25">
      <c r="B11" s="69"/>
      <c r="C11" s="69"/>
      <c r="D11" s="69"/>
      <c r="E11" s="69">
        <f t="shared" si="0"/>
        <v>0</v>
      </c>
      <c r="F11" s="69" t="s">
        <v>287</v>
      </c>
      <c r="G11" s="69"/>
      <c r="H11" s="69"/>
      <c r="I11" s="69">
        <f t="shared" si="1"/>
        <v>0</v>
      </c>
      <c r="J11" s="69"/>
      <c r="K11" s="69"/>
      <c r="L11" s="69">
        <f t="shared" si="2"/>
        <v>0</v>
      </c>
    </row>
    <row r="12" spans="1:12" x14ac:dyDescent="0.25">
      <c r="B12" s="69"/>
      <c r="C12" s="69"/>
      <c r="D12" s="69"/>
      <c r="E12" s="69">
        <f t="shared" si="0"/>
        <v>0</v>
      </c>
      <c r="F12" s="69"/>
      <c r="G12" s="69"/>
      <c r="H12" s="69"/>
      <c r="I12" s="69">
        <f t="shared" si="1"/>
        <v>0</v>
      </c>
      <c r="J12" s="69"/>
      <c r="K12" s="69"/>
      <c r="L12" s="69">
        <f t="shared" si="2"/>
        <v>0</v>
      </c>
    </row>
    <row r="13" spans="1:12" x14ac:dyDescent="0.25">
      <c r="B13" s="69"/>
      <c r="C13" s="69"/>
      <c r="D13" s="69"/>
      <c r="E13" s="69">
        <f t="shared" si="0"/>
        <v>0</v>
      </c>
      <c r="F13" s="69"/>
      <c r="G13" s="69"/>
      <c r="H13" s="69"/>
      <c r="I13" s="69">
        <f t="shared" si="1"/>
        <v>0</v>
      </c>
      <c r="J13" s="69"/>
      <c r="K13" s="69"/>
      <c r="L13" s="69">
        <f t="shared" si="2"/>
        <v>0</v>
      </c>
    </row>
    <row r="14" spans="1:12" x14ac:dyDescent="0.25">
      <c r="B14" s="69" t="s">
        <v>288</v>
      </c>
      <c r="C14" s="69"/>
      <c r="D14" s="69"/>
      <c r="E14" s="69">
        <f t="shared" si="0"/>
        <v>0</v>
      </c>
      <c r="F14" s="69" t="s">
        <v>285</v>
      </c>
      <c r="G14" s="69"/>
      <c r="H14" s="69"/>
      <c r="I14" s="69">
        <f t="shared" si="1"/>
        <v>0</v>
      </c>
      <c r="J14" s="69"/>
      <c r="K14" s="69"/>
      <c r="L14" s="69">
        <f t="shared" si="2"/>
        <v>0</v>
      </c>
    </row>
    <row r="15" spans="1:12" x14ac:dyDescent="0.25">
      <c r="B15" s="69"/>
      <c r="C15" s="69"/>
      <c r="D15" s="69"/>
      <c r="E15" s="69">
        <f t="shared" si="0"/>
        <v>0</v>
      </c>
      <c r="F15" s="69" t="s">
        <v>287</v>
      </c>
      <c r="G15" s="69"/>
      <c r="H15" s="69"/>
      <c r="I15" s="69">
        <f t="shared" si="1"/>
        <v>0</v>
      </c>
      <c r="J15" s="69"/>
      <c r="K15" s="69"/>
      <c r="L15" s="69">
        <f t="shared" si="2"/>
        <v>0</v>
      </c>
    </row>
    <row r="16" spans="1:12" x14ac:dyDescent="0.25">
      <c r="B16" s="69"/>
      <c r="C16" s="69"/>
      <c r="D16" s="69"/>
      <c r="E16" s="69">
        <f t="shared" si="0"/>
        <v>0</v>
      </c>
      <c r="F16" s="69"/>
      <c r="G16" s="69"/>
      <c r="H16" s="69"/>
      <c r="I16" s="69">
        <f t="shared" si="1"/>
        <v>0</v>
      </c>
      <c r="J16" s="69"/>
      <c r="K16" s="69"/>
      <c r="L16" s="69">
        <f t="shared" si="2"/>
        <v>0</v>
      </c>
    </row>
    <row r="17" spans="2:12" x14ac:dyDescent="0.25">
      <c r="B17" s="69"/>
      <c r="C17" s="69"/>
      <c r="D17" s="69"/>
      <c r="E17" s="69">
        <f t="shared" si="0"/>
        <v>0</v>
      </c>
      <c r="F17" s="69"/>
      <c r="G17" s="69"/>
      <c r="H17" s="69"/>
      <c r="I17" s="69">
        <f t="shared" si="1"/>
        <v>0</v>
      </c>
      <c r="J17" s="69"/>
      <c r="K17" s="69"/>
      <c r="L17" s="69">
        <f t="shared" si="2"/>
        <v>0</v>
      </c>
    </row>
    <row r="18" spans="2:12" x14ac:dyDescent="0.25">
      <c r="B18" s="69" t="s">
        <v>289</v>
      </c>
      <c r="C18" s="69"/>
      <c r="D18" s="69"/>
      <c r="E18" s="69">
        <f t="shared" si="0"/>
        <v>0</v>
      </c>
      <c r="F18" s="69" t="s">
        <v>285</v>
      </c>
      <c r="G18" s="69"/>
      <c r="H18" s="69"/>
      <c r="I18" s="69">
        <f t="shared" si="1"/>
        <v>0</v>
      </c>
      <c r="J18" s="69"/>
      <c r="K18" s="69"/>
      <c r="L18" s="69">
        <f t="shared" si="2"/>
        <v>0</v>
      </c>
    </row>
    <row r="19" spans="2:12" x14ac:dyDescent="0.25">
      <c r="B19" s="69"/>
      <c r="C19" s="69"/>
      <c r="D19" s="69"/>
      <c r="E19" s="69">
        <f t="shared" si="0"/>
        <v>0</v>
      </c>
      <c r="F19" s="69" t="s">
        <v>287</v>
      </c>
      <c r="G19" s="69"/>
      <c r="H19" s="69"/>
      <c r="I19" s="69">
        <f t="shared" si="1"/>
        <v>0</v>
      </c>
      <c r="J19" s="69"/>
      <c r="K19" s="69"/>
      <c r="L19" s="69">
        <f t="shared" si="2"/>
        <v>0</v>
      </c>
    </row>
    <row r="20" spans="2:12" x14ac:dyDescent="0.25">
      <c r="B20" s="69"/>
      <c r="C20" s="69"/>
      <c r="D20" s="69"/>
      <c r="E20" s="69">
        <f t="shared" si="0"/>
        <v>0</v>
      </c>
      <c r="F20" s="69"/>
      <c r="G20" s="69"/>
      <c r="H20" s="69"/>
      <c r="I20" s="69">
        <f t="shared" si="1"/>
        <v>0</v>
      </c>
      <c r="J20" s="69"/>
      <c r="K20" s="69"/>
      <c r="L20" s="69">
        <f t="shared" si="2"/>
        <v>0</v>
      </c>
    </row>
    <row r="21" spans="2:12" x14ac:dyDescent="0.25">
      <c r="B21" s="69" t="s">
        <v>290</v>
      </c>
      <c r="C21" s="69"/>
      <c r="D21" s="69"/>
      <c r="E21" s="69">
        <f t="shared" si="0"/>
        <v>0</v>
      </c>
      <c r="F21" s="69" t="s">
        <v>285</v>
      </c>
      <c r="G21" s="69"/>
      <c r="H21" s="69"/>
      <c r="I21" s="69">
        <f t="shared" si="1"/>
        <v>0</v>
      </c>
      <c r="J21" s="69"/>
      <c r="K21" s="69"/>
      <c r="L21" s="69">
        <f t="shared" si="2"/>
        <v>0</v>
      </c>
    </row>
    <row r="22" spans="2:12" x14ac:dyDescent="0.25">
      <c r="B22" s="69"/>
      <c r="C22" s="69"/>
      <c r="D22" s="69"/>
      <c r="E22" s="69">
        <f t="shared" si="0"/>
        <v>0</v>
      </c>
      <c r="F22" s="69" t="s">
        <v>287</v>
      </c>
      <c r="G22" s="69"/>
      <c r="H22" s="69"/>
      <c r="I22" s="69">
        <f t="shared" si="1"/>
        <v>0</v>
      </c>
      <c r="J22" s="69"/>
      <c r="K22" s="69"/>
      <c r="L22" s="69">
        <f t="shared" si="2"/>
        <v>0</v>
      </c>
    </row>
    <row r="23" spans="2:12" x14ac:dyDescent="0.25">
      <c r="B23" s="69"/>
      <c r="C23" s="69"/>
      <c r="D23" s="69"/>
      <c r="E23" s="69">
        <f t="shared" si="0"/>
        <v>0</v>
      </c>
      <c r="F23" s="69"/>
      <c r="G23" s="69"/>
      <c r="H23" s="69"/>
      <c r="I23" s="69">
        <f t="shared" si="1"/>
        <v>0</v>
      </c>
      <c r="J23" s="69"/>
      <c r="K23" s="69"/>
      <c r="L23" s="69">
        <f t="shared" si="2"/>
        <v>0</v>
      </c>
    </row>
    <row r="24" spans="2:12" x14ac:dyDescent="0.25">
      <c r="B24" s="69" t="s">
        <v>291</v>
      </c>
      <c r="C24" s="69"/>
      <c r="D24" s="69"/>
      <c r="E24" s="69">
        <f t="shared" si="0"/>
        <v>0</v>
      </c>
      <c r="F24" s="69" t="s">
        <v>292</v>
      </c>
      <c r="G24" s="69"/>
      <c r="H24" s="69"/>
      <c r="I24" s="69">
        <f t="shared" si="1"/>
        <v>0</v>
      </c>
      <c r="J24" s="69"/>
      <c r="K24" s="69"/>
      <c r="L24" s="69">
        <f t="shared" si="2"/>
        <v>0</v>
      </c>
    </row>
    <row r="25" spans="2:12" x14ac:dyDescent="0.25">
      <c r="B25" s="69"/>
      <c r="C25" s="69"/>
      <c r="D25" s="69"/>
      <c r="E25" s="69">
        <f t="shared" si="0"/>
        <v>0</v>
      </c>
      <c r="F25" s="69" t="s">
        <v>292</v>
      </c>
      <c r="G25" s="69"/>
      <c r="H25" s="69"/>
      <c r="I25" s="69">
        <f t="shared" si="1"/>
        <v>0</v>
      </c>
      <c r="J25" s="69"/>
      <c r="K25" s="69"/>
      <c r="L25" s="69">
        <f t="shared" si="2"/>
        <v>0</v>
      </c>
    </row>
    <row r="26" spans="2:12" x14ac:dyDescent="0.25">
      <c r="B26" s="69"/>
      <c r="C26" s="69"/>
      <c r="D26" s="69"/>
      <c r="E26" s="69">
        <f t="shared" si="0"/>
        <v>0</v>
      </c>
      <c r="F26" s="69" t="s">
        <v>292</v>
      </c>
      <c r="G26" s="69"/>
      <c r="H26" s="69"/>
      <c r="I26" s="69">
        <f t="shared" si="1"/>
        <v>0</v>
      </c>
      <c r="J26" s="69"/>
      <c r="K26" s="69"/>
      <c r="L26" s="69">
        <f t="shared" si="2"/>
        <v>0</v>
      </c>
    </row>
    <row r="27" spans="2:12" x14ac:dyDescent="0.25">
      <c r="B27" s="69"/>
      <c r="C27" s="69"/>
      <c r="D27" s="69"/>
      <c r="E27" s="69">
        <f t="shared" si="0"/>
        <v>0</v>
      </c>
      <c r="F27" s="69" t="s">
        <v>292</v>
      </c>
      <c r="G27" s="69"/>
      <c r="H27" s="69"/>
      <c r="I27" s="69">
        <f t="shared" si="1"/>
        <v>0</v>
      </c>
      <c r="J27" s="69"/>
      <c r="K27" s="69"/>
      <c r="L27" s="69">
        <f t="shared" si="2"/>
        <v>0</v>
      </c>
    </row>
    <row r="28" spans="2:12" x14ac:dyDescent="0.25">
      <c r="B28" s="69" t="s">
        <v>293</v>
      </c>
      <c r="C28" s="69"/>
      <c r="D28" s="69"/>
      <c r="E28" s="69">
        <f t="shared" si="0"/>
        <v>0</v>
      </c>
      <c r="F28" s="69" t="s">
        <v>292</v>
      </c>
      <c r="G28" s="69"/>
      <c r="H28" s="69"/>
      <c r="I28" s="69">
        <f t="shared" si="1"/>
        <v>0</v>
      </c>
      <c r="J28" s="69"/>
      <c r="K28" s="69"/>
      <c r="L28" s="69">
        <f t="shared" si="2"/>
        <v>0</v>
      </c>
    </row>
    <row r="29" spans="2:12" x14ac:dyDescent="0.25">
      <c r="B29" s="69" t="s">
        <v>294</v>
      </c>
      <c r="C29" s="69"/>
      <c r="D29" s="69"/>
      <c r="E29" s="69">
        <f t="shared" si="0"/>
        <v>0</v>
      </c>
      <c r="F29" s="69" t="s">
        <v>292</v>
      </c>
      <c r="G29" s="69"/>
      <c r="H29" s="69"/>
      <c r="I29" s="69">
        <f t="shared" si="1"/>
        <v>0</v>
      </c>
      <c r="J29" s="69"/>
      <c r="K29" s="69"/>
      <c r="L29" s="69">
        <f t="shared" si="2"/>
        <v>0</v>
      </c>
    </row>
    <row r="30" spans="2:12" x14ac:dyDescent="0.25">
      <c r="B30" s="69" t="s">
        <v>295</v>
      </c>
      <c r="C30" s="69"/>
      <c r="D30" s="69"/>
      <c r="E30" s="69">
        <f t="shared" si="0"/>
        <v>0</v>
      </c>
      <c r="F30" s="69"/>
      <c r="G30" s="69"/>
      <c r="H30" s="69"/>
      <c r="I30" s="69">
        <f t="shared" si="1"/>
        <v>0</v>
      </c>
      <c r="J30" s="69"/>
      <c r="K30" s="69"/>
      <c r="L30" s="69">
        <f t="shared" si="2"/>
        <v>0</v>
      </c>
    </row>
    <row r="31" spans="2:12" x14ac:dyDescent="0.25">
      <c r="B31" s="69"/>
      <c r="C31" s="69"/>
      <c r="D31" s="69"/>
      <c r="E31" s="69">
        <f t="shared" si="0"/>
        <v>0</v>
      </c>
      <c r="F31" s="69"/>
      <c r="G31" s="69"/>
      <c r="H31" s="69"/>
      <c r="I31" s="69">
        <f t="shared" si="1"/>
        <v>0</v>
      </c>
      <c r="J31" s="69"/>
      <c r="K31" s="69"/>
      <c r="L31" s="69">
        <f t="shared" si="2"/>
        <v>0</v>
      </c>
    </row>
    <row r="32" spans="2:12" x14ac:dyDescent="0.25">
      <c r="B32" s="69"/>
      <c r="C32" s="69"/>
      <c r="D32" s="69"/>
      <c r="E32" s="69">
        <f t="shared" si="0"/>
        <v>0</v>
      </c>
      <c r="F32" s="69"/>
      <c r="G32" s="69"/>
      <c r="H32" s="69"/>
      <c r="I32" s="69">
        <f t="shared" si="1"/>
        <v>0</v>
      </c>
      <c r="J32" s="69"/>
      <c r="K32" s="69"/>
      <c r="L32" s="69">
        <f t="shared" si="2"/>
        <v>0</v>
      </c>
    </row>
    <row r="33" spans="2:12" x14ac:dyDescent="0.25">
      <c r="B33" s="69" t="s">
        <v>296</v>
      </c>
      <c r="C33" s="69"/>
      <c r="D33" s="69"/>
      <c r="E33" s="69">
        <f t="shared" si="0"/>
        <v>0</v>
      </c>
      <c r="F33" s="69"/>
      <c r="G33" s="69"/>
      <c r="H33" s="69"/>
      <c r="I33" s="69">
        <f t="shared" si="1"/>
        <v>0</v>
      </c>
      <c r="J33" s="69"/>
      <c r="K33" s="69"/>
      <c r="L33" s="69">
        <f t="shared" si="2"/>
        <v>0</v>
      </c>
    </row>
    <row r="34" spans="2:12" x14ac:dyDescent="0.25">
      <c r="B34" s="69" t="s">
        <v>297</v>
      </c>
      <c r="C34" s="69"/>
      <c r="D34" s="69"/>
      <c r="E34" s="69">
        <f t="shared" si="0"/>
        <v>0</v>
      </c>
      <c r="F34" s="69"/>
      <c r="G34" s="69"/>
      <c r="H34" s="69"/>
      <c r="I34" s="69">
        <f t="shared" si="1"/>
        <v>0</v>
      </c>
      <c r="J34" s="69"/>
      <c r="K34" s="69"/>
      <c r="L34" s="69">
        <f t="shared" si="2"/>
        <v>0</v>
      </c>
    </row>
    <row r="35" spans="2:12" x14ac:dyDescent="0.25">
      <c r="B35" s="69" t="s">
        <v>298</v>
      </c>
      <c r="C35" s="69"/>
      <c r="D35" s="69"/>
      <c r="E35" s="69">
        <f t="shared" si="0"/>
        <v>0</v>
      </c>
      <c r="F35" s="69"/>
      <c r="G35" s="69"/>
      <c r="H35" s="69"/>
      <c r="I35" s="69">
        <f t="shared" si="1"/>
        <v>0</v>
      </c>
      <c r="J35" s="69"/>
      <c r="K35" s="69"/>
      <c r="L35" s="69">
        <f t="shared" si="2"/>
        <v>0</v>
      </c>
    </row>
    <row r="36" spans="2:12" x14ac:dyDescent="0.25">
      <c r="B36" s="69" t="s">
        <v>299</v>
      </c>
      <c r="C36" s="69"/>
      <c r="D36" s="69"/>
      <c r="E36" s="69">
        <f t="shared" si="0"/>
        <v>0</v>
      </c>
      <c r="F36" s="69"/>
      <c r="G36" s="69"/>
      <c r="H36" s="69"/>
      <c r="I36" s="69">
        <f>G36*H36</f>
        <v>0</v>
      </c>
      <c r="J36" s="69"/>
      <c r="K36" s="69"/>
      <c r="L36" s="69">
        <f>J36*K36</f>
        <v>0</v>
      </c>
    </row>
    <row r="37" spans="2:12" x14ac:dyDescent="0.25">
      <c r="B37" s="69"/>
      <c r="C37" s="69"/>
      <c r="D37" s="69"/>
      <c r="E37" s="69">
        <f t="shared" si="0"/>
        <v>0</v>
      </c>
      <c r="F37" s="69"/>
      <c r="G37" s="69"/>
      <c r="H37" s="69"/>
      <c r="I37" s="69">
        <f t="shared" ref="I37:I38" si="3">G37*H37</f>
        <v>0</v>
      </c>
      <c r="J37" s="69"/>
      <c r="K37" s="69"/>
      <c r="L37" s="69">
        <f t="shared" ref="L37:L38" si="4">J37*K37</f>
        <v>0</v>
      </c>
    </row>
    <row r="38" spans="2:12" x14ac:dyDescent="0.25">
      <c r="B38" s="69" t="s">
        <v>300</v>
      </c>
      <c r="C38" s="69"/>
      <c r="D38" s="69"/>
      <c r="E38" s="69">
        <f t="shared" si="0"/>
        <v>0</v>
      </c>
      <c r="F38" s="69"/>
      <c r="G38" s="69"/>
      <c r="H38" s="69"/>
      <c r="I38" s="69">
        <f t="shared" si="3"/>
        <v>0</v>
      </c>
      <c r="J38" s="69"/>
      <c r="K38" s="69"/>
      <c r="L38" s="69">
        <f t="shared" si="4"/>
        <v>0</v>
      </c>
    </row>
    <row r="39" spans="2:12" x14ac:dyDescent="0.25">
      <c r="B39" s="69"/>
      <c r="C39" s="69"/>
      <c r="D39" s="69"/>
      <c r="E39" s="69">
        <f t="shared" si="0"/>
        <v>0</v>
      </c>
      <c r="F39" s="69"/>
      <c r="G39" s="69"/>
      <c r="H39" s="69"/>
      <c r="I39" s="69">
        <f>G39*H39</f>
        <v>0</v>
      </c>
      <c r="J39" s="69"/>
      <c r="K39" s="69"/>
      <c r="L39" s="69">
        <f>J39*K39</f>
        <v>0</v>
      </c>
    </row>
    <row r="40" spans="2:12" x14ac:dyDescent="0.25">
      <c r="B40" s="69"/>
      <c r="C40" s="69"/>
      <c r="D40" s="69"/>
      <c r="E40" s="69">
        <f t="shared" si="0"/>
        <v>0</v>
      </c>
      <c r="F40" s="69"/>
      <c r="G40" s="69"/>
      <c r="H40" s="69"/>
      <c r="I40" s="69">
        <f>G40*H40</f>
        <v>0</v>
      </c>
      <c r="J40" s="69"/>
      <c r="K40" s="69"/>
      <c r="L40" s="69">
        <f>J40*K40</f>
        <v>0</v>
      </c>
    </row>
    <row r="41" spans="2:12" x14ac:dyDescent="0.25">
      <c r="B41" s="69"/>
      <c r="C41" s="69"/>
      <c r="D41" s="69"/>
      <c r="E41" s="69">
        <f t="shared" si="0"/>
        <v>0</v>
      </c>
      <c r="F41" s="69"/>
      <c r="G41" s="69"/>
      <c r="H41" s="69"/>
      <c r="I41" s="69">
        <f>G41*H41</f>
        <v>0</v>
      </c>
      <c r="J41" s="69"/>
      <c r="K41" s="69"/>
      <c r="L41" s="69">
        <f>J41*K41</f>
        <v>0</v>
      </c>
    </row>
    <row r="42" spans="2:12" x14ac:dyDescent="0.25">
      <c r="B42" s="69" t="s">
        <v>157</v>
      </c>
      <c r="C42" s="69"/>
      <c r="D42" s="69">
        <f>E42*10.764</f>
        <v>0</v>
      </c>
      <c r="E42" s="88">
        <f>SUM(E6:E41)</f>
        <v>0</v>
      </c>
      <c r="F42" s="69"/>
      <c r="G42" s="69"/>
      <c r="H42" s="69">
        <f>I42*10.764</f>
        <v>0</v>
      </c>
      <c r="I42" s="89">
        <f>SUM(I6:I41)</f>
        <v>0</v>
      </c>
      <c r="J42" s="69"/>
      <c r="K42" s="69">
        <f>L42*10.764</f>
        <v>0</v>
      </c>
      <c r="L42" s="90">
        <f>SUM(L6:L41)</f>
        <v>0</v>
      </c>
    </row>
    <row r="44" spans="2:12" x14ac:dyDescent="0.25">
      <c r="D44" s="85">
        <f>D42+H42</f>
        <v>0</v>
      </c>
      <c r="E44" s="8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VSJC-06</cp:lastModifiedBy>
  <cp:lastPrinted>2025-07-24T12:54:54Z</cp:lastPrinted>
  <dcterms:created xsi:type="dcterms:W3CDTF">2010-11-23T11:42:48Z</dcterms:created>
  <dcterms:modified xsi:type="dcterms:W3CDTF">2025-07-24T12:57:08Z</dcterms:modified>
</cp:coreProperties>
</file>