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5-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5" i="1" l="1"/>
  <c r="J216" i="1"/>
  <c r="J217" i="1"/>
  <c r="J218" i="1"/>
  <c r="J219" i="1"/>
  <c r="J220" i="1"/>
  <c r="J221" i="1"/>
  <c r="J223" i="1"/>
  <c r="J224" i="1"/>
  <c r="J225" i="1"/>
  <c r="J226" i="1"/>
  <c r="K226" i="1" s="1"/>
  <c r="J229" i="1"/>
  <c r="J230" i="1"/>
  <c r="J232" i="1"/>
  <c r="J233" i="1"/>
  <c r="J234" i="1"/>
  <c r="J235" i="1"/>
  <c r="J236" i="1"/>
  <c r="K236" i="1" s="1"/>
  <c r="J237" i="1"/>
  <c r="J238" i="1"/>
  <c r="J240" i="1"/>
  <c r="J241" i="1"/>
  <c r="J242" i="1"/>
  <c r="J243" i="1"/>
  <c r="K243" i="1" s="1"/>
  <c r="J244" i="1"/>
  <c r="J245" i="1"/>
  <c r="K245" i="1" s="1"/>
  <c r="J246" i="1"/>
  <c r="J247" i="1"/>
  <c r="J248" i="1"/>
  <c r="J249" i="1"/>
  <c r="K249" i="1" s="1"/>
  <c r="J250" i="1"/>
  <c r="J251" i="1"/>
  <c r="K251" i="1" s="1"/>
  <c r="J252" i="1"/>
  <c r="J253" i="1"/>
  <c r="J254" i="1"/>
  <c r="J255" i="1"/>
  <c r="J256" i="1"/>
  <c r="J257" i="1"/>
  <c r="J258" i="1"/>
  <c r="J259" i="1"/>
  <c r="K259" i="1" s="1"/>
  <c r="J213" i="1"/>
  <c r="J212" i="1"/>
  <c r="E187" i="1"/>
  <c r="E186" i="1"/>
  <c r="E185" i="1"/>
  <c r="E184" i="1"/>
  <c r="E183" i="1"/>
  <c r="E182" i="1"/>
  <c r="E181" i="1"/>
  <c r="E180" i="1"/>
  <c r="E175" i="1"/>
  <c r="E174" i="1"/>
  <c r="E173" i="1"/>
  <c r="E172" i="1"/>
  <c r="E171" i="1"/>
  <c r="E170" i="1"/>
  <c r="E169" i="1"/>
  <c r="E168" i="1"/>
  <c r="E167" i="1"/>
  <c r="E166" i="1"/>
  <c r="E165" i="1"/>
  <c r="E164" i="1"/>
  <c r="E163" i="1"/>
  <c r="E162" i="1"/>
  <c r="E161" i="1"/>
  <c r="E160" i="1"/>
  <c r="E159" i="1"/>
  <c r="E204" i="1"/>
  <c r="D204" i="1"/>
  <c r="E201" i="1"/>
  <c r="D201" i="1"/>
  <c r="E200" i="1"/>
  <c r="D200" i="1"/>
  <c r="E197" i="1"/>
  <c r="F197" i="1" s="1"/>
  <c r="H197" i="1" s="1"/>
  <c r="D197" i="1"/>
  <c r="E193" i="1"/>
  <c r="D193" i="1"/>
  <c r="F193" i="1" s="1"/>
  <c r="E259" i="1"/>
  <c r="D259" i="1"/>
  <c r="E258" i="1"/>
  <c r="D258" i="1"/>
  <c r="E257" i="1"/>
  <c r="D257" i="1"/>
  <c r="E256" i="1"/>
  <c r="D256" i="1"/>
  <c r="F256" i="1" s="1"/>
  <c r="H256" i="1" s="1"/>
  <c r="E255" i="1"/>
  <c r="D255" i="1"/>
  <c r="E254" i="1"/>
  <c r="D254" i="1"/>
  <c r="E253" i="1"/>
  <c r="D253" i="1"/>
  <c r="E252" i="1"/>
  <c r="D252" i="1"/>
  <c r="F252" i="1" s="1"/>
  <c r="H252" i="1" s="1"/>
  <c r="E251" i="1"/>
  <c r="D251" i="1"/>
  <c r="E250" i="1"/>
  <c r="D250" i="1"/>
  <c r="E248" i="1"/>
  <c r="D248" i="1"/>
  <c r="E247" i="1"/>
  <c r="D247" i="1"/>
  <c r="F247" i="1" s="1"/>
  <c r="H247" i="1" s="1"/>
  <c r="E246" i="1"/>
  <c r="D246" i="1"/>
  <c r="E245" i="1"/>
  <c r="D245" i="1"/>
  <c r="A245" i="1"/>
  <c r="A246" i="1" s="1"/>
  <c r="A247" i="1" s="1"/>
  <c r="A248" i="1" s="1"/>
  <c r="A249" i="1" s="1"/>
  <c r="A250" i="1" s="1"/>
  <c r="A251" i="1" s="1"/>
  <c r="A252" i="1" s="1"/>
  <c r="A253" i="1" s="1"/>
  <c r="A254" i="1" s="1"/>
  <c r="A255" i="1" s="1"/>
  <c r="A256" i="1" s="1"/>
  <c r="A257" i="1" s="1"/>
  <c r="A258" i="1" s="1"/>
  <c r="A259" i="1" s="1"/>
  <c r="E244" i="1"/>
  <c r="D244" i="1"/>
  <c r="E242" i="1"/>
  <c r="E240" i="1"/>
  <c r="E239" i="1"/>
  <c r="E237" i="1"/>
  <c r="E230" i="1"/>
  <c r="E229" i="1"/>
  <c r="E236" i="1"/>
  <c r="D242" i="1"/>
  <c r="E241" i="1"/>
  <c r="D241" i="1"/>
  <c r="D240" i="1"/>
  <c r="D239" i="1"/>
  <c r="K239" i="1" s="1"/>
  <c r="E238" i="1"/>
  <c r="D238" i="1"/>
  <c r="D237" i="1"/>
  <c r="K237" i="1" s="1"/>
  <c r="D236" i="1"/>
  <c r="E235" i="1"/>
  <c r="D235" i="1"/>
  <c r="E234" i="1"/>
  <c r="D234" i="1"/>
  <c r="E233" i="1"/>
  <c r="D233" i="1"/>
  <c r="E232" i="1"/>
  <c r="D232" i="1"/>
  <c r="E231" i="1"/>
  <c r="D231" i="1"/>
  <c r="K231" i="1" s="1"/>
  <c r="D230" i="1"/>
  <c r="D229" i="1"/>
  <c r="K229" i="1" s="1"/>
  <c r="E228" i="1"/>
  <c r="D228" i="1"/>
  <c r="K228" i="1" s="1"/>
  <c r="E227" i="1"/>
  <c r="D227" i="1"/>
  <c r="K227" i="1" s="1"/>
  <c r="G225" i="1"/>
  <c r="G224" i="1"/>
  <c r="G223" i="1"/>
  <c r="G222" i="1"/>
  <c r="G220" i="1"/>
  <c r="G219" i="1"/>
  <c r="G213" i="1"/>
  <c r="G212" i="1"/>
  <c r="G211" i="1"/>
  <c r="E224" i="1"/>
  <c r="E221" i="1"/>
  <c r="E218" i="1"/>
  <c r="E217" i="1"/>
  <c r="E216" i="1"/>
  <c r="E215" i="1"/>
  <c r="E214" i="1"/>
  <c r="E211" i="1"/>
  <c r="E210" i="1"/>
  <c r="I212" i="1"/>
  <c r="I210" i="1"/>
  <c r="D211" i="1"/>
  <c r="F204" i="1"/>
  <c r="H204" i="1" s="1"/>
  <c r="A194" i="1"/>
  <c r="A195" i="1" s="1"/>
  <c r="A196" i="1" s="1"/>
  <c r="A197" i="1" s="1"/>
  <c r="A198" i="1" s="1"/>
  <c r="A199" i="1" s="1"/>
  <c r="A200" i="1" s="1"/>
  <c r="A201" i="1" s="1"/>
  <c r="A202" i="1" s="1"/>
  <c r="A203" i="1" s="1"/>
  <c r="A204" i="1" s="1"/>
  <c r="A205" i="1" s="1"/>
  <c r="A206" i="1" s="1"/>
  <c r="A207" i="1" s="1"/>
  <c r="A208" i="1" s="1"/>
  <c r="D132" i="1"/>
  <c r="E132" i="1"/>
  <c r="I132" i="1"/>
  <c r="A133" i="1"/>
  <c r="A134" i="1" s="1"/>
  <c r="A135" i="1" s="1"/>
  <c r="A136" i="1" s="1"/>
  <c r="A137" i="1" s="1"/>
  <c r="A138" i="1" s="1"/>
  <c r="A139" i="1" s="1"/>
  <c r="D133" i="1"/>
  <c r="E133" i="1"/>
  <c r="I133" i="1"/>
  <c r="D134" i="1"/>
  <c r="E134" i="1"/>
  <c r="I134" i="1"/>
  <c r="D135" i="1"/>
  <c r="E135" i="1"/>
  <c r="D136" i="1"/>
  <c r="E136" i="1"/>
  <c r="D137" i="1"/>
  <c r="E137" i="1"/>
  <c r="D138" i="1"/>
  <c r="E138" i="1"/>
  <c r="D139" i="1"/>
  <c r="E139" i="1"/>
  <c r="E157" i="1"/>
  <c r="E156" i="1"/>
  <c r="E155" i="1"/>
  <c r="E154" i="1"/>
  <c r="E153" i="1"/>
  <c r="E152" i="1"/>
  <c r="E151" i="1"/>
  <c r="E150" i="1"/>
  <c r="E149" i="1"/>
  <c r="E148" i="1"/>
  <c r="E147" i="1"/>
  <c r="E146" i="1"/>
  <c r="E145" i="1"/>
  <c r="E144" i="1"/>
  <c r="E143" i="1"/>
  <c r="E142" i="1"/>
  <c r="E141" i="1"/>
  <c r="E140" i="1"/>
  <c r="D169" i="1"/>
  <c r="D157" i="1"/>
  <c r="E43" i="1"/>
  <c r="F201" i="1" l="1"/>
  <c r="H201" i="1" s="1"/>
  <c r="F250" i="1"/>
  <c r="H250" i="1" s="1"/>
  <c r="F258" i="1"/>
  <c r="H258" i="1" s="1"/>
  <c r="F200" i="1"/>
  <c r="H200" i="1" s="1"/>
  <c r="F246" i="1"/>
  <c r="H246" i="1" s="1"/>
  <c r="F137" i="1"/>
  <c r="H137" i="1" s="1"/>
  <c r="F253" i="1"/>
  <c r="H253" i="1" s="1"/>
  <c r="F257" i="1"/>
  <c r="H257" i="1" s="1"/>
  <c r="K254" i="1"/>
  <c r="K246" i="1"/>
  <c r="K253" i="1"/>
  <c r="F245" i="1"/>
  <c r="H245" i="1" s="1"/>
  <c r="K252" i="1"/>
  <c r="K244" i="1"/>
  <c r="K235" i="1"/>
  <c r="K234" i="1"/>
  <c r="F251" i="1"/>
  <c r="H251" i="1" s="1"/>
  <c r="K258" i="1"/>
  <c r="K250" i="1"/>
  <c r="K242" i="1"/>
  <c r="K233" i="1"/>
  <c r="K257" i="1"/>
  <c r="K241" i="1"/>
  <c r="K232" i="1"/>
  <c r="K256" i="1"/>
  <c r="K248" i="1"/>
  <c r="K240" i="1"/>
  <c r="K230" i="1"/>
  <c r="K255" i="1"/>
  <c r="K247" i="1"/>
  <c r="K238" i="1"/>
  <c r="H193" i="1"/>
  <c r="F248" i="1"/>
  <c r="H248" i="1" s="1"/>
  <c r="F134" i="1"/>
  <c r="H134" i="1" s="1"/>
  <c r="F254" i="1"/>
  <c r="H254" i="1" s="1"/>
  <c r="F244" i="1"/>
  <c r="H244" i="1" s="1"/>
  <c r="F255" i="1"/>
  <c r="H255" i="1" s="1"/>
  <c r="F259" i="1"/>
  <c r="H259" i="1" s="1"/>
  <c r="F138" i="1"/>
  <c r="H138" i="1" s="1"/>
  <c r="F139" i="1"/>
  <c r="F135" i="1"/>
  <c r="H135" i="1" s="1"/>
  <c r="F136" i="1"/>
  <c r="H136" i="1" s="1"/>
  <c r="F132" i="1"/>
  <c r="H132" i="1" s="1"/>
  <c r="F133" i="1"/>
  <c r="H133" i="1" s="1"/>
  <c r="F242" i="1"/>
  <c r="H242" i="1" s="1"/>
  <c r="F241" i="1"/>
  <c r="H241" i="1" s="1"/>
  <c r="I233" i="1" s="1"/>
  <c r="F240" i="1"/>
  <c r="H240" i="1" s="1"/>
  <c r="F239" i="1"/>
  <c r="H239" i="1" s="1"/>
  <c r="F238" i="1"/>
  <c r="H238" i="1" s="1"/>
  <c r="F237" i="1"/>
  <c r="H237" i="1" s="1"/>
  <c r="F236" i="1"/>
  <c r="H236" i="1" s="1"/>
  <c r="F235" i="1"/>
  <c r="H235" i="1" s="1"/>
  <c r="F234" i="1"/>
  <c r="H234" i="1" s="1"/>
  <c r="F233" i="1"/>
  <c r="H233" i="1" s="1"/>
  <c r="F232" i="1"/>
  <c r="H232" i="1" s="1"/>
  <c r="F231" i="1"/>
  <c r="H231" i="1" s="1"/>
  <c r="F230" i="1"/>
  <c r="H230" i="1" s="1"/>
  <c r="F229" i="1"/>
  <c r="H229" i="1" s="1"/>
  <c r="F228" i="1"/>
  <c r="H228" i="1" s="1"/>
  <c r="A228" i="1"/>
  <c r="A229" i="1" s="1"/>
  <c r="A230" i="1" s="1"/>
  <c r="A231" i="1" s="1"/>
  <c r="A232" i="1" s="1"/>
  <c r="A233" i="1" s="1"/>
  <c r="A234" i="1" s="1"/>
  <c r="A235" i="1" s="1"/>
  <c r="A236" i="1" s="1"/>
  <c r="A237" i="1" s="1"/>
  <c r="A238" i="1" s="1"/>
  <c r="A239" i="1" s="1"/>
  <c r="A240" i="1" s="1"/>
  <c r="A241" i="1" s="1"/>
  <c r="A242" i="1" s="1"/>
  <c r="F227" i="1"/>
  <c r="H227" i="1" s="1"/>
  <c r="I227" i="1" s="1"/>
  <c r="D225" i="1"/>
  <c r="F225" i="1" s="1"/>
  <c r="H225" i="1" s="1"/>
  <c r="D224" i="1"/>
  <c r="F224" i="1" s="1"/>
  <c r="H224" i="1" s="1"/>
  <c r="D223" i="1"/>
  <c r="F223" i="1" s="1"/>
  <c r="H223" i="1" s="1"/>
  <c r="D222" i="1"/>
  <c r="D221" i="1"/>
  <c r="F221" i="1" s="1"/>
  <c r="H221" i="1" s="1"/>
  <c r="D220" i="1"/>
  <c r="D219" i="1"/>
  <c r="F219" i="1" s="1"/>
  <c r="H219" i="1" s="1"/>
  <c r="D218" i="1"/>
  <c r="D217" i="1"/>
  <c r="D216" i="1"/>
  <c r="K216" i="1" s="1"/>
  <c r="D215" i="1"/>
  <c r="F215" i="1" s="1"/>
  <c r="H215" i="1" s="1"/>
  <c r="D214" i="1"/>
  <c r="D213" i="1"/>
  <c r="K213" i="1" s="1"/>
  <c r="D212" i="1"/>
  <c r="K212" i="1" s="1"/>
  <c r="D210" i="1"/>
  <c r="F216" i="1"/>
  <c r="H216" i="1" s="1"/>
  <c r="D187" i="1"/>
  <c r="F187" i="1" s="1"/>
  <c r="H187" i="1" s="1"/>
  <c r="D186" i="1"/>
  <c r="F186" i="1" s="1"/>
  <c r="H186" i="1" s="1"/>
  <c r="D185" i="1"/>
  <c r="F185" i="1" s="1"/>
  <c r="H185" i="1" s="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70" i="1"/>
  <c r="F170" i="1" s="1"/>
  <c r="H170" i="1" s="1"/>
  <c r="F169" i="1"/>
  <c r="H169" i="1" s="1"/>
  <c r="D168" i="1"/>
  <c r="F168" i="1" s="1"/>
  <c r="H168" i="1" s="1"/>
  <c r="D167" i="1"/>
  <c r="F167" i="1" s="1"/>
  <c r="H167" i="1" s="1"/>
  <c r="D166" i="1"/>
  <c r="F166" i="1" s="1"/>
  <c r="H166" i="1" s="1"/>
  <c r="D165" i="1"/>
  <c r="F165" i="1" s="1"/>
  <c r="H165" i="1" s="1"/>
  <c r="D164" i="1"/>
  <c r="F164" i="1" s="1"/>
  <c r="H164" i="1" s="1"/>
  <c r="D163" i="1"/>
  <c r="F163" i="1" s="1"/>
  <c r="H163" i="1" s="1"/>
  <c r="D162" i="1"/>
  <c r="F162" i="1" s="1"/>
  <c r="H162" i="1" s="1"/>
  <c r="D161" i="1"/>
  <c r="F161" i="1" s="1"/>
  <c r="H161" i="1" s="1"/>
  <c r="D160" i="1"/>
  <c r="F160" i="1" s="1"/>
  <c r="D159" i="1"/>
  <c r="A160" i="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F157" i="1"/>
  <c r="H157" i="1" s="1"/>
  <c r="D156" i="1"/>
  <c r="F156" i="1" s="1"/>
  <c r="H156" i="1" s="1"/>
  <c r="D155" i="1"/>
  <c r="F155" i="1" s="1"/>
  <c r="H155" i="1" s="1"/>
  <c r="D154" i="1"/>
  <c r="F154" i="1" s="1"/>
  <c r="H154" i="1" s="1"/>
  <c r="D153" i="1"/>
  <c r="F153" i="1" s="1"/>
  <c r="H153" i="1" s="1"/>
  <c r="D152" i="1"/>
  <c r="F152" i="1" s="1"/>
  <c r="H152" i="1" s="1"/>
  <c r="D151" i="1"/>
  <c r="F151" i="1" s="1"/>
  <c r="H151" i="1" s="1"/>
  <c r="D150" i="1"/>
  <c r="F150" i="1" s="1"/>
  <c r="H150" i="1" s="1"/>
  <c r="D149" i="1"/>
  <c r="F149" i="1" s="1"/>
  <c r="H149" i="1" s="1"/>
  <c r="D148" i="1"/>
  <c r="F148" i="1" s="1"/>
  <c r="H148" i="1" s="1"/>
  <c r="D147" i="1"/>
  <c r="F147" i="1" s="1"/>
  <c r="H147" i="1" s="1"/>
  <c r="D146" i="1"/>
  <c r="F146" i="1" s="1"/>
  <c r="H146" i="1" s="1"/>
  <c r="D145" i="1"/>
  <c r="F145" i="1" s="1"/>
  <c r="H145" i="1" s="1"/>
  <c r="D144" i="1"/>
  <c r="F144" i="1" s="1"/>
  <c r="H144" i="1" s="1"/>
  <c r="D143" i="1"/>
  <c r="F143" i="1" s="1"/>
  <c r="H143" i="1" s="1"/>
  <c r="D142" i="1"/>
  <c r="F142" i="1" s="1"/>
  <c r="H142" i="1" s="1"/>
  <c r="D141" i="1"/>
  <c r="F141" i="1" s="1"/>
  <c r="H141" i="1" s="1"/>
  <c r="D140" i="1"/>
  <c r="F140" i="1" s="1"/>
  <c r="H140" i="1" s="1"/>
  <c r="K221" i="1" l="1"/>
  <c r="K223" i="1"/>
  <c r="K224" i="1"/>
  <c r="K215" i="1"/>
  <c r="F218" i="1"/>
  <c r="H218" i="1" s="1"/>
  <c r="K218" i="1"/>
  <c r="F159" i="1"/>
  <c r="C118" i="1"/>
  <c r="F214" i="1"/>
  <c r="H214" i="1" s="1"/>
  <c r="K214" i="1"/>
  <c r="F222" i="1"/>
  <c r="H222" i="1" s="1"/>
  <c r="K222" i="1"/>
  <c r="C122" i="1"/>
  <c r="H139" i="1"/>
  <c r="E117" i="1"/>
  <c r="K219" i="1"/>
  <c r="C117" i="1"/>
  <c r="F220" i="1"/>
  <c r="H220" i="1" s="1"/>
  <c r="K220" i="1"/>
  <c r="F217" i="1"/>
  <c r="H217" i="1" s="1"/>
  <c r="K217" i="1"/>
  <c r="K225" i="1"/>
  <c r="G117" i="1"/>
  <c r="H160" i="1"/>
  <c r="B262" i="1"/>
  <c r="H159" i="1" l="1"/>
  <c r="G118" i="1" s="1"/>
  <c r="G119" i="1" s="1"/>
  <c r="E118" i="1"/>
  <c r="C119" i="1"/>
  <c r="C124" i="1" s="1"/>
  <c r="E119" i="1"/>
  <c r="G58" i="1"/>
  <c r="C58" i="1"/>
  <c r="G56" i="1"/>
  <c r="C56" i="1"/>
  <c r="C54" i="1"/>
  <c r="S33" i="1" l="1"/>
  <c r="F11" i="5" l="1"/>
  <c r="G11" i="5" s="1"/>
  <c r="G10" i="5"/>
  <c r="F10" i="5"/>
  <c r="F9" i="5"/>
  <c r="G9" i="5" s="1"/>
  <c r="G8" i="5"/>
  <c r="F8" i="5"/>
  <c r="F7" i="5"/>
  <c r="G7" i="5" s="1"/>
  <c r="F6" i="5"/>
  <c r="G6" i="5" s="1"/>
  <c r="F5" i="5"/>
  <c r="G5" i="5" s="1"/>
  <c r="G12" i="5" s="1"/>
  <c r="D284" i="1"/>
  <c r="B263" i="1"/>
  <c r="F213" i="1"/>
  <c r="H213" i="1" s="1"/>
  <c r="F212" i="1"/>
  <c r="H212" i="1" s="1"/>
  <c r="F211" i="1"/>
  <c r="A211" i="1"/>
  <c r="A212" i="1" s="1"/>
  <c r="A213" i="1" s="1"/>
  <c r="A214" i="1" s="1"/>
  <c r="A215" i="1" s="1"/>
  <c r="A216" i="1" s="1"/>
  <c r="A217" i="1" s="1"/>
  <c r="A218" i="1" s="1"/>
  <c r="A219" i="1" s="1"/>
  <c r="A220" i="1" s="1"/>
  <c r="A221" i="1" s="1"/>
  <c r="A222" i="1" s="1"/>
  <c r="A223" i="1" s="1"/>
  <c r="A224" i="1" s="1"/>
  <c r="A225" i="1" s="1"/>
  <c r="F210" i="1"/>
  <c r="A140" i="1"/>
  <c r="A141" i="1" s="1"/>
  <c r="A142" i="1" s="1"/>
  <c r="A143" i="1" s="1"/>
  <c r="A144" i="1" s="1"/>
  <c r="A145" i="1" s="1"/>
  <c r="A146" i="1" s="1"/>
  <c r="A147" i="1" s="1"/>
  <c r="A148" i="1" s="1"/>
  <c r="A149" i="1" s="1"/>
  <c r="A150" i="1" s="1"/>
  <c r="A151" i="1" s="1"/>
  <c r="A152" i="1" s="1"/>
  <c r="A153" i="1" s="1"/>
  <c r="A154" i="1" s="1"/>
  <c r="A155" i="1" s="1"/>
  <c r="A156" i="1" s="1"/>
  <c r="A157" i="1" s="1"/>
  <c r="F114" i="1"/>
  <c r="C88" i="1"/>
  <c r="C74" i="1"/>
  <c r="D68" i="1"/>
  <c r="D62" i="1"/>
  <c r="G51" i="1"/>
  <c r="G52" i="1" s="1"/>
  <c r="C51" i="1"/>
  <c r="C52" i="1" s="1"/>
  <c r="E44" i="1"/>
  <c r="E45" i="1" s="1"/>
  <c r="E31" i="1"/>
  <c r="E28" i="1"/>
  <c r="E26" i="1"/>
  <c r="C16" i="1"/>
  <c r="I15" i="1"/>
  <c r="Z13" i="1"/>
  <c r="E8" i="1"/>
  <c r="E3" i="1"/>
  <c r="H75" i="1"/>
  <c r="H89" i="1"/>
  <c r="C80" i="1" l="1"/>
  <c r="D80" i="1" s="1"/>
  <c r="K210" i="1"/>
  <c r="E122" i="1"/>
  <c r="E124" i="1" s="1"/>
  <c r="H211" i="1"/>
  <c r="K211" i="1"/>
  <c r="H210" i="1"/>
  <c r="J77" i="1"/>
  <c r="J78" i="1"/>
  <c r="J79" i="1"/>
  <c r="C78" i="1" s="1"/>
  <c r="J93" i="1"/>
  <c r="D97" i="1"/>
  <c r="D99" i="1"/>
  <c r="J92" i="1"/>
  <c r="D98" i="1"/>
  <c r="J88" i="1"/>
  <c r="J90" i="1" s="1"/>
  <c r="D96" i="1"/>
  <c r="J91" i="1"/>
  <c r="D95" i="1"/>
  <c r="D101" i="1"/>
  <c r="D100" i="1"/>
  <c r="D94" i="1"/>
  <c r="D82" i="1"/>
  <c r="D84" i="1"/>
  <c r="D83" i="1"/>
  <c r="D87" i="1"/>
  <c r="D81" i="1"/>
  <c r="D86" i="1"/>
  <c r="D85" i="1"/>
  <c r="B89" i="1"/>
  <c r="B75" i="1"/>
  <c r="J80" i="1" s="1"/>
  <c r="E123" i="1" l="1"/>
  <c r="J74" i="1"/>
  <c r="J76" i="1" s="1"/>
  <c r="G122" i="1"/>
  <c r="G124" i="1" s="1"/>
  <c r="D78" i="1"/>
  <c r="J99" i="1"/>
  <c r="J96" i="1"/>
  <c r="J98" i="1"/>
  <c r="J97" i="1"/>
  <c r="J94" i="1"/>
  <c r="J95" i="1" s="1"/>
  <c r="J84" i="1"/>
  <c r="J82" i="1"/>
  <c r="J83" i="1"/>
  <c r="J81" i="1"/>
  <c r="J86" i="1" s="1"/>
  <c r="J87" i="1" s="1"/>
  <c r="C79" i="1" s="1"/>
  <c r="J85" i="1"/>
  <c r="G123" i="1" l="1"/>
  <c r="J75" i="1"/>
  <c r="J100" i="1"/>
  <c r="J101" i="1" s="1"/>
  <c r="E78" i="1"/>
  <c r="D79" i="1"/>
  <c r="I75" i="1" s="1"/>
  <c r="G78" i="1"/>
  <c r="D72" i="1" s="1"/>
  <c r="D92" i="1" l="1"/>
  <c r="F73" i="1"/>
  <c r="D73" i="1"/>
  <c r="I76" i="1"/>
  <c r="I74" i="1" s="1"/>
  <c r="C76" i="1" s="1"/>
  <c r="J89" i="1" l="1"/>
  <c r="D93" i="1"/>
  <c r="I89" i="1" s="1"/>
  <c r="I90" i="1" s="1"/>
  <c r="E92" i="1"/>
  <c r="G92"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<sst xmlns="http://schemas.openxmlformats.org/spreadsheetml/2006/main" count="679" uniqueCount="360">
  <si>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</si>
  <si>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</si>
  <si>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</si>
  <si>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</si>
  <si>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</si>
  <si>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</si>
  <si>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</si>
  <si>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</si>
  <si>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</si>
  <si>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</si>
  <si>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</si>
  <si>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</si>
  <si>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</si>
  <si>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</si>
  <si>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</si>
  <si>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</si>
  <si>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</si>
  <si>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</si>
  <si>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</si>
  <si>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</si>
  <si>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</si>
  <si>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</si>
  <si>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</si>
  <si>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</si>
  <si>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</si>
  <si>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</si>
  <si>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</si>
  <si>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</si>
  <si>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</si>
  <si>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</si>
  <si>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</si>
  <si>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</si>
  <si>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</si>
  <si>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</si>
  <si>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</si>
  <si>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</si>
  <si>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</si>
  <si>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</si>
  <si>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</si>
  <si>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</si>
  <si>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</si>
  <si>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</si>
  <si>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</si>
  <si>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</si>
  <si>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</si>
  <si>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</si>
  <si>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</si>
  <si>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</si>
  <si>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</si>
  <si>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</si>
  <si>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</si>
  <si>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</si>
  <si>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</si>
  <si>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</si>
  <si>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</si>
  <si>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</si>
  <si>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</si>
  <si>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</si>
  <si>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</si>
  <si>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</si>
  <si>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</si>
  <si>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</si>
  <si>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</si>
  <si>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</si>
  <si>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</si>
  <si>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</si>
  <si>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</si>
  <si>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</si>
  <si>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</si>
  <si>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</si>
  <si>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</si>
  <si>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</si>
  <si>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</si>
  <si>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</si>
  <si>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</si>
  <si>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</si>
  <si>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</si>
  <si>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</si>
  <si>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</si>
  <si>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</si>
  <si>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</si>
  <si>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</si>
  <si>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</si>
  <si>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</si>
  <si>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</si>
  <si>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</si>
  <si>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</si>
  <si>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</si>
  <si>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</si>
  <si>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</si>
  <si>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</si>
  <si>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</si>
  <si>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</si>
  <si>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</si>
  <si>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</si>
  <si>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</si>
  <si>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</si>
  <si>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</si>
  <si>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</si>
  <si>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</si>
  <si>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</si>
  <si>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</si>
  <si>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</si>
  <si>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</si>
  <si>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</si>
  <si>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</si>
  <si>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</si>
  <si>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</si>
  <si>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</si>
  <si>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</si>
  <si>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</si>
  <si>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</si>
  <si>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</si>
  <si>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</si>
  <si>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</si>
  <si>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</si>
  <si>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</si>
  <si>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</si>
  <si>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</si>
  <si>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</si>
  <si>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</si>
  <si>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</si>
  <si>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</si>
  <si>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</si>
  <si>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</si>
  <si>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</si>
  <si>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</si>
  <si>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</si>
  <si>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</si>
  <si>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</si>
  <si>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</si>
  <si>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</si>
  <si>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</si>
  <si>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</si>
  <si>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</si>
  <si>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</si>
  <si>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</si>
  <si>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</si>
  <si>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</si>
  <si>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</si>
  <si>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</si>
  <si>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</si>
  <si>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</si>
  <si>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</si>
  <si>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</si>
  <si>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</si>
  <si>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</si>
  <si>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</si>
  <si>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</si>
  <si>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</si>
  <si>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</si>
  <si>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</si>
  <si>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</si>
  <si>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</si>
  <si>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</si>
  <si>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</si>
  <si>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</si>
  <si>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</si>
  <si>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</si>
  <si>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</si>
  <si>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</si>
  <si>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</si>
  <si>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</si>
  <si>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</si>
  <si>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</si>
  <si>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</si>
  <si>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</si>
  <si>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</si>
  <si>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</si>
  <si>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</si>
  <si>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</si>
  <si>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</si>
  <si>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</si>
  <si>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</si>
  <si>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</si>
  <si>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</si>
  <si>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</si>
  <si>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</si>
  <si>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</si>
  <si>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</si>
  <si>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</si>
  <si>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</si>
  <si>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</si>
  <si>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</si>
  <si>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</si>
  <si>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</si>
  <si>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</si>
  <si>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</si>
  <si>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</si>
  <si>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</si>
  <si>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</si>
  <si>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</si>
  <si>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</si>
  <si>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</si>
  <si>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</si>
  <si>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</si>
  <si>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</si>
  <si>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</si>
  <si>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</si>
  <si>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</si>
  <si>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</si>
  <si>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</si>
  <si>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</si>
  <si>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</si>
  <si>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</si>
  <si>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</si>
  <si>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</si>
  <si>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</si>
  <si>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</si>
  <si>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</si>
  <si>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</si>
  <si>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</si>
  <si>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</si>
  <si>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</si>
  <si>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</si>
  <si>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</si>
  <si>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</si>
  <si>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</si>
  <si>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</si>
  <si>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</si>
  <si>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</si>
  <si>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</si>
  <si>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</si>
  <si>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</si>
  <si>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</si>
  <si>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</si>
  <si>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</si>
  <si>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</si>
  <si>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</si>
  <si>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</si>
  <si>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</si>
  <si>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</si>
  <si>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</si>
  <si>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</si>
  <si>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</si>
  <si>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</si>
  <si>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</si>
  <si>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</si>
  <si>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</si>
  <si>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</si>
  <si>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</si>
  <si>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</si>
  <si>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</si>
  <si>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</si>
  <si>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</si>
  <si>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</si>
  <si>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</si>
  <si>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</si>
  <si>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</si>
  <si>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</si>
  <si>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</si>
  <si>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</si>
  <si>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</si>
  <si>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</si>
  <si>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</si>
  <si>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</si>
  <si>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</si>
  <si>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</si>
  <si>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</si>
  <si>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</si>
  <si>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</si>
  <si>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</si>
  <si>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</si>
  <si>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</si>
  <si>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</si>
  <si>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</si>
  <si>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</si>
  <si>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</si>
  <si>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</si>
  <si>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</si>
  <si>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</si>
  <si>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</si>
  <si>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</si>
  <si>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</si>
  <si>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</si>
  <si>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</si>
  <si>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</si>
  <si>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</si>
  <si>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</si>
  <si>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</si>
  <si>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</si>
  <si>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</si>
  <si>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</si>
  <si>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</si>
  <si>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</si>
  <si>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</si>
  <si>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</si>
  <si>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</si>
  <si>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</si>
  <si>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</si>
  <si>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</si>
  <si>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</si>
  <si>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</si>
  <si>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</si>
  <si>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</si>
  <si>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</si>
  <si>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</si>
  <si>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</si>
  <si>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P52000049036</t>
  </si>
  <si>
    <t>Plot No</t>
  </si>
  <si>
    <t>Pen-Khopoli Road</t>
  </si>
  <si>
    <t xml:space="preserve">Takai </t>
  </si>
  <si>
    <t>Bonzer Infra Private Limited</t>
  </si>
  <si>
    <t>Shop</t>
  </si>
  <si>
    <t>Office</t>
  </si>
  <si>
    <t>2nd Floor For Residential</t>
  </si>
  <si>
    <t>2BHK</t>
  </si>
  <si>
    <t>1BHK</t>
  </si>
  <si>
    <t>Refuge Area</t>
  </si>
  <si>
    <t>Internal Road</t>
  </si>
  <si>
    <t>Open Plot</t>
  </si>
  <si>
    <t>45.0 M Wide pen-khopoli road</t>
  </si>
  <si>
    <t>9.0M Wide Road</t>
  </si>
  <si>
    <t>Khopoli west</t>
  </si>
  <si>
    <t>B Wing = Ground Floor</t>
  </si>
  <si>
    <t xml:space="preserve">As per RERA - 31/12/2027
</t>
  </si>
  <si>
    <t>Silvra One</t>
  </si>
  <si>
    <t xml:space="preserve">Nitesh patil </t>
  </si>
  <si>
    <t>Mr. Arvind Patel 9869548306</t>
  </si>
  <si>
    <t>1 S No. 23/1A, 23/1B, 23/2 CTS No. 1420/A &amp; 1421</t>
  </si>
  <si>
    <t>18.800249,73.306165</t>
  </si>
  <si>
    <t>https://maps.app.goo.gl/jQcKhSFMgPXAF9sS8</t>
  </si>
  <si>
    <t>Takai</t>
  </si>
  <si>
    <t>Bonzer City</t>
  </si>
  <si>
    <t>Khopoli Muncipal Council</t>
  </si>
  <si>
    <t>CBRKC/B/2022/APL/00426</t>
  </si>
  <si>
    <t>LG + UG + 1st to 9th Floor</t>
  </si>
  <si>
    <t>Building No. 1 Wing A = LG + UG + 1st to 9th Floor</t>
  </si>
  <si>
    <t>Building No. 1 Wing A = LG + UG + 1st to 9th Floor
Building No. 2 Wing B = LG + UG + 1st Floor</t>
  </si>
  <si>
    <t>Building No. 1 Wing A</t>
  </si>
  <si>
    <t>Building No 2 Wing B Not mentioned on RERA</t>
  </si>
  <si>
    <r>
      <t xml:space="preserve">Proposed Amenities :                                                                                                                                                                                                                         </t>
    </r>
    <r>
      <rPr>
        <b/>
        <sz val="12"/>
        <rFont val="Times New Roman"/>
        <family val="1"/>
      </rPr>
      <t xml:space="preserve">                                               </t>
    </r>
  </si>
  <si>
    <t>https://bonzerinfra.com/</t>
  </si>
  <si>
    <t>Decorative Lobby, Gym, Landscaped Garden, Seating Area, Ample Parking, etc.</t>
  </si>
  <si>
    <t>Building No. 2 Wing B = LG + UG + 1st to 9th Floor</t>
  </si>
  <si>
    <t>Building No. 1 (Wing A)</t>
  </si>
  <si>
    <t>Lower Ground Floor For Parking</t>
  </si>
  <si>
    <t>Ground Floor For Commercial, Entrance Lobby &amp; Parking</t>
  </si>
  <si>
    <t>Plot No. 5 &amp; 6</t>
  </si>
  <si>
    <t>Plot No. 2</t>
  </si>
  <si>
    <t>RERA Carpet area</t>
  </si>
  <si>
    <t>Attached Otla area</t>
  </si>
  <si>
    <t xml:space="preserve">Project consist of Building No. 1 (Wing A) &amp; Building No. 2 (Wing B), But Building No. 2(Wing B) is not registered on RERA. </t>
  </si>
  <si>
    <t>1st Floor For Commercial &amp; Residential</t>
  </si>
  <si>
    <t>Building No. 1 (A Wing)</t>
  </si>
  <si>
    <t>1st Floor For Residential &amp; Commercial</t>
  </si>
  <si>
    <t>Commercial</t>
  </si>
  <si>
    <t>8th Floor (Part Refuge Area)</t>
  </si>
  <si>
    <t>3rd to 7th &amp; 9th Floor</t>
  </si>
  <si>
    <t>WS Area</t>
  </si>
  <si>
    <t xml:space="preserve">We have not considered Building No. 2. (Shop No. 1 to 9,  Office No. 13 to 19 &amp; Flat No. 21 to 32) </t>
  </si>
  <si>
    <t>We considered Gross carpet area = Net carpet + WS Area.</t>
  </si>
  <si>
    <t>Offices</t>
  </si>
  <si>
    <t>Shops</t>
  </si>
  <si>
    <t>Flats - 132, Shops - 19, Offices - 22</t>
  </si>
  <si>
    <t>5.70KM from Khopoli Railway Station</t>
  </si>
  <si>
    <t>Approved Plans, CC &amp; Cost Sheet</t>
  </si>
  <si>
    <t>Miss. Jagruti : 7821864996</t>
  </si>
  <si>
    <t>Pooja Kawale</t>
  </si>
  <si>
    <t>Building No. 1 (Wing A) = 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</si>
</sst>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25" xfId="0" applyFont="1" applyFill="1" applyBorder="1"/>
    <xf numFmtId="0" fontId="25" fillId="0" borderId="26" xfId="0" applyFont="1" applyBorder="1"/>
    <xf numFmtId="0" fontId="25" fillId="0" borderId="1" xfId="0" applyFont="1" applyBorder="1"/>
    <xf numFmtId="0" fontId="25"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0" xfId="0" applyFill="1" applyBorder="1"/>
    <xf numFmtId="0" fontId="0" fillId="0" borderId="7"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0" fontId="7" fillId="2" borderId="0" xfId="1" applyFont="1" applyFill="1"/>
    <xf numFmtId="0" fontId="26" fillId="0" borderId="0" xfId="10"/>
    <xf numFmtId="0" fontId="12" fillId="0" borderId="1" xfId="1" applyFont="1" applyBorder="1" applyAlignment="1" applyProtection="1">
      <alignment horizontal="center" vertical="top" wrapText="1"/>
      <protection locked="0"/>
    </xf>
    <xf numFmtId="0" fontId="7" fillId="0" borderId="0" xfId="1" applyFont="1" applyBorder="1" applyAlignment="1">
      <alignment horizontal="center" vertical="center"/>
    </xf>
    <xf numFmtId="1" fontId="7" fillId="0" borderId="0" xfId="1" applyNumberFormat="1" applyFont="1" applyBorder="1" applyAlignment="1">
      <alignment horizontal="center" vertical="center"/>
    </xf>
    <xf numFmtId="1" fontId="6" fillId="0" borderId="0"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0" fontId="7" fillId="0" borderId="0" xfId="1" applyFont="1" applyAlignment="1">
      <alignment vertical="center"/>
    </xf>
    <xf numFmtId="0" fontId="15"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9" fontId="13" fillId="0" borderId="13" xfId="8" applyFont="1" applyFill="1" applyBorder="1" applyAlignment="1" applyProtection="1">
      <alignment horizontal="center" vertical="top" wrapText="1"/>
      <protection locked="0"/>
    </xf>
    <xf numFmtId="0" fontId="7" fillId="0" borderId="20"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2" xfId="1" applyNumberFormat="1" applyFont="1" applyBorder="1" applyAlignment="1" applyProtection="1">
      <alignment horizontal="center" vertical="top" wrapText="1"/>
      <protection locked="0"/>
    </xf>
    <xf numFmtId="1" fontId="13" fillId="0" borderId="13"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0" fontId="8" fillId="0" borderId="13" xfId="1" applyFont="1" applyBorder="1" applyAlignment="1" applyProtection="1">
      <alignment horizontal="center"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10" fillId="0" borderId="28" xfId="0" applyNumberFormat="1"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5" fillId="0" borderId="1" xfId="1" applyFont="1" applyBorder="1" applyAlignment="1" applyProtection="1">
      <alignment horizontal="left" vertical="top"/>
      <protection locked="0"/>
    </xf>
    <xf numFmtId="1" fontId="30" fillId="0" borderId="2" xfId="1" applyNumberFormat="1" applyFont="1" applyBorder="1" applyAlignment="1" applyProtection="1">
      <alignment horizontal="center" vertical="top" wrapText="1"/>
      <protection locked="0"/>
    </xf>
    <xf numFmtId="1" fontId="30" fillId="0" borderId="13" xfId="1" applyNumberFormat="1" applyFont="1" applyBorder="1" applyAlignment="1" applyProtection="1">
      <alignment horizontal="center"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9" fontId="7" fillId="0" borderId="22"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7" fillId="0" borderId="0" xfId="1" applyFont="1" applyBorder="1" applyAlignment="1">
      <alignment horizontal="center" vertical="center"/>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4"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0" fontId="24" fillId="2" borderId="12" xfId="0" applyFont="1" applyFill="1" applyBorder="1"/>
    <xf numFmtId="0" fontId="25" fillId="0" borderId="8" xfId="0" applyFont="1" applyBorder="1"/>
    <xf numFmtId="0" fontId="8" fillId="0" borderId="3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9" xfId="1" applyFont="1" applyBorder="1" applyAlignment="1" applyProtection="1">
      <alignment horizontal="left" vertical="top" wrapText="1"/>
      <protection locked="0"/>
    </xf>
    <xf numFmtId="0" fontId="8" fillId="0" borderId="3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xdr:col>
      <xdr:colOff>276318</xdr:colOff>
      <xdr:row>348</xdr:row>
      <xdr:rowOff>71169</xdr:rowOff>
    </xdr:from>
    <xdr:to>
      <xdr:col>2</xdr:col>
      <xdr:colOff>619125</xdr:colOff>
      <xdr:row>350</xdr:row>
      <xdr:rowOff>45260</xdr:rowOff>
    </xdr:to>
    <xdr:sp macro="" textlink="">
      <xdr:nvSpPr>
        <xdr:cNvPr id="25" name="TextBox 17"/>
        <xdr:cNvSpPr txBox="1"/>
      </xdr:nvSpPr>
      <xdr:spPr>
        <a:xfrm>
          <a:off x="1038318" y="76052094"/>
          <a:ext cx="1142907"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71517</xdr:colOff>
      <xdr:row>364</xdr:row>
      <xdr:rowOff>97048</xdr:rowOff>
    </xdr:from>
    <xdr:to>
      <xdr:col>3</xdr:col>
      <xdr:colOff>256248</xdr:colOff>
      <xdr:row>366</xdr:row>
      <xdr:rowOff>66330</xdr:rowOff>
    </xdr:to>
    <xdr:sp macro="" textlink="">
      <xdr:nvSpPr>
        <xdr:cNvPr id="26" name="TextBox 18"/>
        <xdr:cNvSpPr txBox="1"/>
      </xdr:nvSpPr>
      <xdr:spPr>
        <a:xfrm>
          <a:off x="2481342" y="79278373"/>
          <a:ext cx="1847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223917</xdr:colOff>
      <xdr:row>365</xdr:row>
      <xdr:rowOff>49423</xdr:rowOff>
    </xdr:from>
    <xdr:to>
      <xdr:col>3</xdr:col>
      <xdr:colOff>408648</xdr:colOff>
      <xdr:row>367</xdr:row>
      <xdr:rowOff>18705</xdr:rowOff>
    </xdr:to>
    <xdr:sp macro="" textlink="">
      <xdr:nvSpPr>
        <xdr:cNvPr id="27" name="TextBox 19"/>
        <xdr:cNvSpPr txBox="1"/>
      </xdr:nvSpPr>
      <xdr:spPr>
        <a:xfrm>
          <a:off x="2633742" y="79430773"/>
          <a:ext cx="1847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3</xdr:col>
      <xdr:colOff>376317</xdr:colOff>
      <xdr:row>366</xdr:row>
      <xdr:rowOff>1798</xdr:rowOff>
    </xdr:from>
    <xdr:to>
      <xdr:col>3</xdr:col>
      <xdr:colOff>561048</xdr:colOff>
      <xdr:row>367</xdr:row>
      <xdr:rowOff>171105</xdr:rowOff>
    </xdr:to>
    <xdr:sp macro="" textlink="">
      <xdr:nvSpPr>
        <xdr:cNvPr id="38" name="TextBox 18"/>
        <xdr:cNvSpPr txBox="1"/>
      </xdr:nvSpPr>
      <xdr:spPr>
        <a:xfrm>
          <a:off x="2786142" y="79583173"/>
          <a:ext cx="1847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8</xdr:col>
      <xdr:colOff>514350</xdr:colOff>
      <xdr:row>13</xdr:row>
      <xdr:rowOff>238125</xdr:rowOff>
    </xdr:from>
    <xdr:to>
      <xdr:col>14</xdr:col>
      <xdr:colOff>732750</xdr:colOff>
      <xdr:row>19</xdr:row>
      <xdr:rowOff>177847</xdr:rowOff>
    </xdr:to>
    <xdr:pic>
      <xdr:nvPicPr>
        <xdr:cNvPr id="2" name="Picture 1"/>
        <xdr:cNvPicPr>
          <a:picLocks noChangeAspect="1"/>
        </xdr:cNvPicPr>
      </xdr:nvPicPr>
      <xdr:blipFill>
        <a:blip xmlns:r="http://schemas.openxmlformats.org/officeDocument/2006/relationships" r:embed="rId1"/>
        <a:stretch>
          <a:fillRect/>
        </a:stretch>
      </xdr:blipFill>
      <xdr:spPr>
        <a:xfrm>
          <a:off x="6829425" y="3219450"/>
          <a:ext cx="5400000" cy="1597072"/>
        </a:xfrm>
        <a:prstGeom prst="rect">
          <a:avLst/>
        </a:prstGeom>
        <a:ln>
          <a:solidFill>
            <a:sysClr val="windowText" lastClr="000000"/>
          </a:solidFill>
        </a:ln>
      </xdr:spPr>
    </xdr:pic>
    <xdr:clientData/>
  </xdr:twoCellAnchor>
  <xdr:twoCellAnchor editAs="oneCell">
    <xdr:from>
      <xdr:col>8</xdr:col>
      <xdr:colOff>438150</xdr:colOff>
      <xdr:row>46</xdr:row>
      <xdr:rowOff>66675</xdr:rowOff>
    </xdr:from>
    <xdr:to>
      <xdr:col>14</xdr:col>
      <xdr:colOff>296550</xdr:colOff>
      <xdr:row>51</xdr:row>
      <xdr:rowOff>18490</xdr:rowOff>
    </xdr:to>
    <xdr:pic>
      <xdr:nvPicPr>
        <xdr:cNvPr id="5" name="Picture 4"/>
        <xdr:cNvPicPr>
          <a:picLocks noChangeAspect="1"/>
        </xdr:cNvPicPr>
      </xdr:nvPicPr>
      <xdr:blipFill>
        <a:blip xmlns:r="http://schemas.openxmlformats.org/officeDocument/2006/relationships" r:embed="rId2"/>
        <a:stretch>
          <a:fillRect/>
        </a:stretch>
      </xdr:blipFill>
      <xdr:spPr>
        <a:xfrm>
          <a:off x="6753225" y="10487025"/>
          <a:ext cx="5040000" cy="1180540"/>
        </a:xfrm>
        <a:prstGeom prst="rect">
          <a:avLst/>
        </a:prstGeom>
      </xdr:spPr>
    </xdr:pic>
    <xdr:clientData/>
  </xdr:twoCellAnchor>
  <xdr:twoCellAnchor editAs="oneCell">
    <xdr:from>
      <xdr:col>8</xdr:col>
      <xdr:colOff>438150</xdr:colOff>
      <xdr:row>51</xdr:row>
      <xdr:rowOff>161925</xdr:rowOff>
    </xdr:from>
    <xdr:to>
      <xdr:col>11</xdr:col>
      <xdr:colOff>75917</xdr:colOff>
      <xdr:row>66</xdr:row>
      <xdr:rowOff>28392</xdr:rowOff>
    </xdr:to>
    <xdr:pic>
      <xdr:nvPicPr>
        <xdr:cNvPr id="7" name="Picture 6"/>
        <xdr:cNvPicPr>
          <a:picLocks noChangeAspect="1"/>
        </xdr:cNvPicPr>
      </xdr:nvPicPr>
      <xdr:blipFill>
        <a:blip xmlns:r="http://schemas.openxmlformats.org/officeDocument/2006/relationships" r:embed="rId3"/>
        <a:stretch>
          <a:fillRect/>
        </a:stretch>
      </xdr:blipFill>
      <xdr:spPr>
        <a:xfrm>
          <a:off x="6753225" y="11811000"/>
          <a:ext cx="2266667" cy="1466667"/>
        </a:xfrm>
        <a:prstGeom prst="rect">
          <a:avLst/>
        </a:prstGeom>
      </xdr:spPr>
    </xdr:pic>
    <xdr:clientData/>
  </xdr:twoCellAnchor>
  <xdr:twoCellAnchor>
    <xdr:from>
      <xdr:col>1</xdr:col>
      <xdr:colOff>133350</xdr:colOff>
      <xdr:row>328</xdr:row>
      <xdr:rowOff>38100</xdr:rowOff>
    </xdr:from>
    <xdr:to>
      <xdr:col>6</xdr:col>
      <xdr:colOff>609600</xdr:colOff>
      <xdr:row>352</xdr:row>
      <xdr:rowOff>7682</xdr:rowOff>
    </xdr:to>
    <xdr:grpSp>
      <xdr:nvGrpSpPr>
        <xdr:cNvPr id="30" name="Group 29"/>
        <xdr:cNvGrpSpPr/>
      </xdr:nvGrpSpPr>
      <xdr:grpSpPr>
        <a:xfrm>
          <a:off x="933450" y="59874150"/>
          <a:ext cx="4762500" cy="4693982"/>
          <a:chOff x="0" y="0"/>
          <a:chExt cx="3175066" cy="3600000"/>
        </a:xfrm>
      </xdr:grpSpPr>
      <xdr:pic>
        <xdr:nvPicPr>
          <xdr:cNvPr id="46" name="Picture 45"/>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rot="10800000">
            <a:off x="0" y="0"/>
            <a:ext cx="3175066" cy="3600000"/>
          </a:xfrm>
          <a:prstGeom prst="rect">
            <a:avLst/>
          </a:prstGeom>
          <a:ln>
            <a:solidFill>
              <a:schemeClr val="tx1"/>
            </a:solidFill>
          </a:ln>
        </xdr:spPr>
      </xdr:pic>
      <xdr:sp macro="" textlink="">
        <xdr:nvSpPr>
          <xdr:cNvPr id="47" name="Rectangle 46"/>
          <xdr:cNvSpPr/>
        </xdr:nvSpPr>
        <xdr:spPr>
          <a:xfrm>
            <a:off x="1587533" y="573252"/>
            <a:ext cx="1017917" cy="241539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8" name="Rectangle 47"/>
          <xdr:cNvSpPr/>
        </xdr:nvSpPr>
        <xdr:spPr>
          <a:xfrm>
            <a:off x="328077" y="573252"/>
            <a:ext cx="1121434" cy="241539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9" name="TextBox 17"/>
          <xdr:cNvSpPr txBox="1"/>
        </xdr:nvSpPr>
        <xdr:spPr>
          <a:xfrm>
            <a:off x="313100" y="236817"/>
            <a:ext cx="1452642" cy="28236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2 wing B</a:t>
            </a:r>
            <a:endParaRPr lang="en-IN" b="1">
              <a:solidFill>
                <a:srgbClr val="FF0000"/>
              </a:solidFill>
            </a:endParaRPr>
          </a:p>
        </xdr:txBody>
      </xdr:sp>
      <xdr:sp macro="" textlink="">
        <xdr:nvSpPr>
          <xdr:cNvPr id="50" name="TextBox 20"/>
          <xdr:cNvSpPr txBox="1"/>
        </xdr:nvSpPr>
        <xdr:spPr>
          <a:xfrm>
            <a:off x="1537587" y="3019738"/>
            <a:ext cx="1451038" cy="28236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800" b="1" kern="1200">
                <a:solidFill>
                  <a:srgbClr val="FF0000"/>
                </a:solidFill>
                <a:effectLst/>
                <a:latin typeface="+mn-lt"/>
                <a:ea typeface="+mn-ea"/>
                <a:cs typeface="+mn-cs"/>
              </a:rPr>
              <a:t>Building</a:t>
            </a:r>
            <a:r>
              <a:rPr lang="en-US" b="1">
                <a:solidFill>
                  <a:srgbClr val="FF0000"/>
                </a:solidFill>
              </a:rPr>
              <a:t> 1 wing A</a:t>
            </a:r>
            <a:endParaRPr lang="en-IN" b="1">
              <a:solidFill>
                <a:srgbClr val="FF0000"/>
              </a:solidFill>
            </a:endParaRPr>
          </a:p>
        </xdr:txBody>
      </xdr:sp>
    </xdr:grpSp>
    <xdr:clientData/>
  </xdr:twoCellAnchor>
  <xdr:twoCellAnchor>
    <xdr:from>
      <xdr:col>2</xdr:col>
      <xdr:colOff>211031</xdr:colOff>
      <xdr:row>352</xdr:row>
      <xdr:rowOff>198182</xdr:rowOff>
    </xdr:from>
    <xdr:to>
      <xdr:col>5</xdr:col>
      <xdr:colOff>474769</xdr:colOff>
      <xdr:row>366</xdr:row>
      <xdr:rowOff>131507</xdr:rowOff>
    </xdr:to>
    <xdr:grpSp>
      <xdr:nvGrpSpPr>
        <xdr:cNvPr id="39" name="Group 38"/>
        <xdr:cNvGrpSpPr/>
      </xdr:nvGrpSpPr>
      <xdr:grpSpPr>
        <a:xfrm>
          <a:off x="1849331" y="64758632"/>
          <a:ext cx="2930738" cy="2689225"/>
          <a:chOff x="1069763" y="4960682"/>
          <a:chExt cx="3248779" cy="3600000"/>
        </a:xfrm>
      </xdr:grpSpPr>
      <xdr:pic>
        <xdr:nvPicPr>
          <xdr:cNvPr id="42" name="Picture 41"/>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1069763" y="4960682"/>
            <a:ext cx="3248779" cy="3600000"/>
          </a:xfrm>
          <a:prstGeom prst="rect">
            <a:avLst/>
          </a:prstGeom>
          <a:ln>
            <a:solidFill>
              <a:schemeClr val="tx1"/>
            </a:solidFill>
          </a:ln>
        </xdr:spPr>
      </xdr:pic>
      <xdr:cxnSp macro="">
        <xdr:nvCxnSpPr>
          <xdr:cNvPr id="43" name="Straight Arrow Connector 42"/>
          <xdr:cNvCxnSpPr/>
        </xdr:nvCxnSpPr>
        <xdr:spPr>
          <a:xfrm flipV="1">
            <a:off x="3923316" y="7796080"/>
            <a:ext cx="17253" cy="67286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 name="TextBox 13"/>
          <xdr:cNvSpPr txBox="1"/>
        </xdr:nvSpPr>
        <xdr:spPr>
          <a:xfrm>
            <a:off x="3797694" y="7421188"/>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t>N</a:t>
            </a:r>
            <a:endParaRPr lang="en-IN"/>
          </a:p>
        </xdr:txBody>
      </xdr:sp>
      <xdr:sp macro="" textlink="">
        <xdr:nvSpPr>
          <xdr:cNvPr id="45" name="Rectangle 44"/>
          <xdr:cNvSpPr/>
        </xdr:nvSpPr>
        <xdr:spPr>
          <a:xfrm>
            <a:off x="2663859" y="6243323"/>
            <a:ext cx="1017917" cy="119044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666750</xdr:colOff>
      <xdr:row>371</xdr:row>
      <xdr:rowOff>28575</xdr:rowOff>
    </xdr:from>
    <xdr:to>
      <xdr:col>7</xdr:col>
      <xdr:colOff>114300</xdr:colOff>
      <xdr:row>409</xdr:row>
      <xdr:rowOff>190500</xdr:rowOff>
    </xdr:to>
    <xdr:grpSp>
      <xdr:nvGrpSpPr>
        <xdr:cNvPr id="51" name="Group 50"/>
        <xdr:cNvGrpSpPr/>
      </xdr:nvGrpSpPr>
      <xdr:grpSpPr>
        <a:xfrm>
          <a:off x="666750" y="68329175"/>
          <a:ext cx="5302250" cy="7642225"/>
          <a:chOff x="1098627" y="465826"/>
          <a:chExt cx="4782089" cy="7362195"/>
        </a:xfrm>
      </xdr:grpSpPr>
      <xdr:pic>
        <xdr:nvPicPr>
          <xdr:cNvPr id="52" name="Picture 51"/>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203474" y="465826"/>
            <a:ext cx="4572396" cy="3627434"/>
          </a:xfrm>
          <a:prstGeom prst="rect">
            <a:avLst/>
          </a:prstGeom>
        </xdr:spPr>
      </xdr:pic>
      <xdr:grpSp>
        <xdr:nvGrpSpPr>
          <xdr:cNvPr id="53" name="Group 52"/>
          <xdr:cNvGrpSpPr/>
        </xdr:nvGrpSpPr>
        <xdr:grpSpPr>
          <a:xfrm>
            <a:off x="1098627" y="4228021"/>
            <a:ext cx="4782089" cy="3600000"/>
            <a:chOff x="1098627" y="4228021"/>
            <a:chExt cx="4782089" cy="3600000"/>
          </a:xfrm>
        </xdr:grpSpPr>
        <xdr:pic>
          <xdr:nvPicPr>
            <xdr:cNvPr id="54" name="Picture 53"/>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1098627" y="4228021"/>
              <a:ext cx="4782089" cy="3600000"/>
            </a:xfrm>
            <a:prstGeom prst="rect">
              <a:avLst/>
            </a:prstGeom>
            <a:ln>
              <a:solidFill>
                <a:schemeClr val="tx1"/>
              </a:solidFill>
            </a:ln>
          </xdr:spPr>
        </xdr:pic>
        <xdr:sp macro="" textlink="">
          <xdr:nvSpPr>
            <xdr:cNvPr id="55" name="Rectangle 54"/>
            <xdr:cNvSpPr/>
          </xdr:nvSpPr>
          <xdr:spPr>
            <a:xfrm rot="648855">
              <a:off x="2611362" y="4799559"/>
              <a:ext cx="1568068" cy="141473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107950</xdr:colOff>
      <xdr:row>284</xdr:row>
      <xdr:rowOff>95250</xdr:rowOff>
    </xdr:from>
    <xdr:to>
      <xdr:col>7</xdr:col>
      <xdr:colOff>633594</xdr:colOff>
      <xdr:row>316</xdr:row>
      <xdr:rowOff>73700</xdr:rowOff>
    </xdr:to>
    <xdr:grpSp>
      <xdr:nvGrpSpPr>
        <xdr:cNvPr id="3" name="Group 2"/>
        <xdr:cNvGrpSpPr/>
      </xdr:nvGrpSpPr>
      <xdr:grpSpPr>
        <a:xfrm>
          <a:off x="107950" y="51276250"/>
          <a:ext cx="6380344" cy="6271300"/>
          <a:chOff x="107950" y="51485800"/>
          <a:chExt cx="6380344" cy="6271300"/>
        </a:xfrm>
      </xdr:grpSpPr>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70544" y="55597100"/>
            <a:ext cx="1617750"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65822" y="51485800"/>
            <a:ext cx="2965875" cy="39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07950" y="55597100"/>
            <a:ext cx="2876000"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118372" y="55597100"/>
            <a:ext cx="1617750"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87607" y="51485800"/>
            <a:ext cx="2965875" cy="3960000"/>
          </a:xfrm>
          <a:prstGeom prst="rect">
            <a:avLst/>
          </a:prstGeom>
          <a:ln>
            <a:solidFill>
              <a:schemeClr val="tx1"/>
            </a:solidFill>
          </a:ln>
        </xdr:spPr>
      </xdr:pic>
    </xdr:grpSp>
    <xdr:clientData/>
  </xdr:twoCellAnchor>
  <xdr:oneCellAnchor>
    <xdr:from>
      <xdr:col>9</xdr:col>
      <xdr:colOff>596900</xdr:colOff>
      <xdr:row>289</xdr:row>
      <xdr:rowOff>120650</xdr:rowOff>
    </xdr:from>
    <xdr:ext cx="1366721" cy="280205"/>
    <xdr:sp macro="" textlink="">
      <xdr:nvSpPr>
        <xdr:cNvPr id="4" name="TextBox 3"/>
        <xdr:cNvSpPr txBox="1"/>
      </xdr:nvSpPr>
      <xdr:spPr>
        <a:xfrm>
          <a:off x="8439150" y="52489100"/>
          <a:ext cx="136672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Bldg No.1 (Wing A)</a:t>
          </a:r>
        </a:p>
      </xdr:txBody>
    </xdr:sp>
    <xdr:clientData/>
  </xdr:oneCellAnchor>
  <xdr:oneCellAnchor>
    <xdr:from>
      <xdr:col>1</xdr:col>
      <xdr:colOff>273050</xdr:colOff>
      <xdr:row>284</xdr:row>
      <xdr:rowOff>101600</xdr:rowOff>
    </xdr:from>
    <xdr:ext cx="1366721" cy="280205"/>
    <xdr:sp macro="" textlink="">
      <xdr:nvSpPr>
        <xdr:cNvPr id="34" name="TextBox 33"/>
        <xdr:cNvSpPr txBox="1"/>
      </xdr:nvSpPr>
      <xdr:spPr>
        <a:xfrm>
          <a:off x="1073150" y="51492150"/>
          <a:ext cx="136672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Bldg No.1 (Wing A)</a:t>
          </a:r>
        </a:p>
      </xdr:txBody>
    </xdr:sp>
    <xdr:clientData/>
  </xdr:oneCellAnchor>
  <xdr:oneCellAnchor>
    <xdr:from>
      <xdr:col>4</xdr:col>
      <xdr:colOff>158750</xdr:colOff>
      <xdr:row>286</xdr:row>
      <xdr:rowOff>19050</xdr:rowOff>
    </xdr:from>
    <xdr:ext cx="1366721" cy="280205"/>
    <xdr:sp macro="" textlink="">
      <xdr:nvSpPr>
        <xdr:cNvPr id="35" name="TextBox 34"/>
        <xdr:cNvSpPr txBox="1"/>
      </xdr:nvSpPr>
      <xdr:spPr>
        <a:xfrm>
          <a:off x="3644900" y="51803300"/>
          <a:ext cx="136672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Bldg No.1 (Wing A)</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bonzerinfra.com/" TargetMode="External"/><Relationship Id="rId1" Type="http://schemas.openxmlformats.org/officeDocument/2006/relationships/hyperlink" Target="https://maps.app.goo.gl/jQcKhSFMgPXAF9sS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70"/>
  <sheetViews>
    <sheetView tabSelected="1" view="pageBreakPreview" topLeftCell="A250" zoomScaleNormal="100" zoomScaleSheetLayoutView="100" zoomScalePageLayoutView="85" workbookViewId="0">
      <selection activeCell="A261" sqref="A261:XFD261"/>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0.5429687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158" t="s">
        <v>162</v>
      </c>
      <c r="B1" s="158"/>
      <c r="C1" s="158"/>
      <c r="D1" s="158"/>
      <c r="E1" s="158"/>
      <c r="F1" s="158"/>
      <c r="G1" s="158"/>
      <c r="H1" s="158"/>
    </row>
    <row r="2" spans="1:26" ht="16.5" customHeight="1" x14ac:dyDescent="0.35">
      <c r="A2" s="159" t="s">
        <v>0</v>
      </c>
      <c r="B2" s="159"/>
      <c r="C2" s="159"/>
      <c r="D2" s="159"/>
      <c r="E2" s="159"/>
      <c r="F2" s="159"/>
      <c r="G2" s="159"/>
      <c r="H2" s="159"/>
    </row>
    <row r="3" spans="1:26" x14ac:dyDescent="0.35">
      <c r="A3" s="108" t="s">
        <v>1</v>
      </c>
      <c r="B3" s="108"/>
      <c r="C3" s="108"/>
      <c r="D3" s="108"/>
      <c r="E3" s="108" t="str">
        <f ca="1">TEXT(TODAY(),"DD/MM/YYYY")</f>
        <v>15/07/2025</v>
      </c>
      <c r="F3" s="108"/>
      <c r="G3" s="108"/>
      <c r="H3" s="108"/>
      <c r="K3" s="56" t="s">
        <v>232</v>
      </c>
      <c r="L3" s="54" t="s">
        <v>230</v>
      </c>
      <c r="M3" s="54" t="s">
        <v>235</v>
      </c>
      <c r="N3" s="54" t="s">
        <v>233</v>
      </c>
      <c r="O3" s="54" t="s">
        <v>234</v>
      </c>
      <c r="P3" s="54" t="s">
        <v>236</v>
      </c>
    </row>
    <row r="4" spans="1:26" ht="15" customHeight="1" x14ac:dyDescent="0.35">
      <c r="A4" s="108" t="s">
        <v>229</v>
      </c>
      <c r="B4" s="108"/>
      <c r="C4" s="108"/>
      <c r="D4" s="108"/>
      <c r="E4" s="108" t="s">
        <v>230</v>
      </c>
      <c r="F4" s="108"/>
      <c r="G4" s="108"/>
      <c r="H4" s="108"/>
      <c r="K4" s="53" t="s">
        <v>231</v>
      </c>
      <c r="L4" s="54" t="s">
        <v>168</v>
      </c>
      <c r="M4" s="54" t="s">
        <v>240</v>
      </c>
      <c r="N4" s="54" t="s">
        <v>242</v>
      </c>
      <c r="O4" s="54" t="s">
        <v>244</v>
      </c>
      <c r="P4" s="54"/>
    </row>
    <row r="5" spans="1:26" ht="15" customHeight="1" x14ac:dyDescent="0.35">
      <c r="A5" s="108" t="s">
        <v>2</v>
      </c>
      <c r="B5" s="108"/>
      <c r="C5" s="108"/>
      <c r="D5" s="108"/>
      <c r="E5" s="108" t="s">
        <v>238</v>
      </c>
      <c r="F5" s="108"/>
      <c r="G5" s="108"/>
      <c r="H5" s="108"/>
      <c r="K5" s="53"/>
      <c r="L5" s="54" t="s">
        <v>237</v>
      </c>
      <c r="M5" s="54" t="s">
        <v>241</v>
      </c>
      <c r="N5" s="54" t="s">
        <v>243</v>
      </c>
      <c r="O5" s="54" t="s">
        <v>245</v>
      </c>
      <c r="P5" s="54"/>
    </row>
    <row r="6" spans="1:26" x14ac:dyDescent="0.35">
      <c r="A6" s="108" t="s">
        <v>3</v>
      </c>
      <c r="B6" s="108"/>
      <c r="C6" s="108"/>
      <c r="D6" s="108"/>
      <c r="E6" s="161">
        <v>45853</v>
      </c>
      <c r="F6" s="108"/>
      <c r="G6" s="108"/>
      <c r="H6" s="108"/>
      <c r="K6" s="53"/>
      <c r="L6" s="54" t="s">
        <v>238</v>
      </c>
      <c r="M6" s="54"/>
      <c r="N6" s="54"/>
      <c r="O6" s="54" t="s">
        <v>246</v>
      </c>
      <c r="P6" s="54"/>
    </row>
    <row r="7" spans="1:26" ht="16.5" customHeight="1" x14ac:dyDescent="0.35">
      <c r="A7" s="108" t="s">
        <v>4</v>
      </c>
      <c r="B7" s="108"/>
      <c r="C7" s="108"/>
      <c r="D7" s="108"/>
      <c r="E7" s="108" t="s">
        <v>302</v>
      </c>
      <c r="F7" s="108"/>
      <c r="G7" s="108"/>
      <c r="H7" s="108"/>
      <c r="K7" s="53"/>
      <c r="L7" s="54" t="s">
        <v>239</v>
      </c>
      <c r="M7" s="54"/>
      <c r="N7" s="54"/>
      <c r="O7" s="54" t="s">
        <v>246</v>
      </c>
      <c r="P7" s="54"/>
    </row>
    <row r="8" spans="1:26" ht="15" customHeight="1" x14ac:dyDescent="0.35">
      <c r="A8" s="108" t="s">
        <v>5</v>
      </c>
      <c r="B8" s="108"/>
      <c r="C8" s="108"/>
      <c r="D8" s="108"/>
      <c r="E8" s="108" t="str">
        <f>E7</f>
        <v>Bonzer Infra Private Limited</v>
      </c>
      <c r="F8" s="108"/>
      <c r="G8" s="108"/>
      <c r="H8" s="108"/>
      <c r="K8" s="53"/>
      <c r="L8" s="54"/>
      <c r="M8" s="54"/>
      <c r="N8" s="54"/>
      <c r="O8" s="54" t="s">
        <v>247</v>
      </c>
      <c r="P8" s="54"/>
    </row>
    <row r="9" spans="1:26" x14ac:dyDescent="0.35">
      <c r="A9" s="108" t="s">
        <v>6</v>
      </c>
      <c r="B9" s="108"/>
      <c r="C9" s="108"/>
      <c r="D9" s="108"/>
      <c r="E9" s="160" t="s">
        <v>316</v>
      </c>
      <c r="F9" s="160"/>
      <c r="G9" s="160"/>
      <c r="H9" s="160"/>
      <c r="K9" s="53"/>
      <c r="L9" s="54"/>
      <c r="M9" s="54"/>
      <c r="N9" s="54"/>
      <c r="O9" s="54" t="s">
        <v>248</v>
      </c>
      <c r="P9" s="54"/>
    </row>
    <row r="10" spans="1:26" x14ac:dyDescent="0.35">
      <c r="A10" s="108" t="s">
        <v>165</v>
      </c>
      <c r="B10" s="108"/>
      <c r="C10" s="108"/>
      <c r="D10" s="108"/>
      <c r="E10" s="107" t="s">
        <v>318</v>
      </c>
      <c r="F10" s="108"/>
      <c r="G10" s="108"/>
      <c r="H10" s="108"/>
      <c r="K10" s="53"/>
      <c r="L10" s="54"/>
      <c r="M10" s="54"/>
      <c r="N10" s="54"/>
      <c r="O10" s="54"/>
      <c r="P10" s="54"/>
    </row>
    <row r="11" spans="1:26" ht="15.75" customHeight="1" x14ac:dyDescent="0.35">
      <c r="A11" s="108" t="s">
        <v>166</v>
      </c>
      <c r="B11" s="108"/>
      <c r="C11" s="108"/>
      <c r="D11" s="108"/>
      <c r="E11" s="107" t="s">
        <v>357</v>
      </c>
      <c r="F11" s="108"/>
      <c r="G11" s="108"/>
      <c r="H11" s="108"/>
    </row>
    <row r="12" spans="1:26" x14ac:dyDescent="0.35">
      <c r="A12" s="108" t="s">
        <v>7</v>
      </c>
      <c r="B12" s="108"/>
      <c r="C12" s="108"/>
      <c r="D12" s="108"/>
      <c r="E12" s="108" t="s">
        <v>329</v>
      </c>
      <c r="F12" s="108"/>
      <c r="G12" s="108"/>
      <c r="H12" s="108"/>
      <c r="I12" s="74" t="s">
        <v>330</v>
      </c>
      <c r="J12" s="74"/>
      <c r="K12" s="74"/>
      <c r="L12" s="75"/>
    </row>
    <row r="13" spans="1:26" x14ac:dyDescent="0.35">
      <c r="A13" s="108" t="s">
        <v>169</v>
      </c>
      <c r="B13" s="108"/>
      <c r="C13" s="108"/>
      <c r="D13" s="108"/>
      <c r="E13" s="108" t="s">
        <v>28</v>
      </c>
      <c r="F13" s="108"/>
      <c r="G13" s="108"/>
      <c r="H13" s="108"/>
      <c r="S13" s="54" t="s">
        <v>176</v>
      </c>
      <c r="T13" s="54" t="s">
        <v>186</v>
      </c>
      <c r="U13" s="54" t="s">
        <v>170</v>
      </c>
      <c r="V13" s="54" t="s">
        <v>191</v>
      </c>
      <c r="W13" s="54" t="s">
        <v>209</v>
      </c>
      <c r="X13"/>
      <c r="Y13" t="s">
        <v>191</v>
      </c>
      <c r="Z13" t="e">
        <f ca="1">OFFSET($S$13,1,MATCH($G20,$S$13:$W$13,0)-1,15,1)</f>
        <v>#VALUE!</v>
      </c>
    </row>
    <row r="14" spans="1:26" x14ac:dyDescent="0.35">
      <c r="A14" s="91" t="s">
        <v>275</v>
      </c>
      <c r="B14" s="91"/>
      <c r="C14" s="91"/>
      <c r="D14" s="91"/>
      <c r="E14" s="107" t="s">
        <v>356</v>
      </c>
      <c r="F14" s="107"/>
      <c r="G14" s="107"/>
      <c r="H14" s="107"/>
      <c r="S14" s="54" t="s">
        <v>177</v>
      </c>
      <c r="T14" s="54" t="s">
        <v>184</v>
      </c>
      <c r="U14" s="54" t="s">
        <v>206</v>
      </c>
      <c r="V14" s="54" t="s">
        <v>192</v>
      </c>
      <c r="W14" s="54" t="s">
        <v>210</v>
      </c>
      <c r="X14"/>
      <c r="Y14"/>
      <c r="Z14"/>
    </row>
    <row r="15" spans="1:26" x14ac:dyDescent="0.35">
      <c r="A15" s="91" t="s">
        <v>8</v>
      </c>
      <c r="B15" s="91"/>
      <c r="C15" s="91"/>
      <c r="D15" s="91"/>
      <c r="E15" s="107" t="s">
        <v>298</v>
      </c>
      <c r="F15" s="108"/>
      <c r="G15" s="108"/>
      <c r="H15" s="108"/>
      <c r="I15" s="86" t="e">
        <f ca="1">OFFSET($D$5,1,MATCH($J13,$D$5:$H$5,0)-1,15,1)</f>
        <v>#N/A</v>
      </c>
      <c r="J15" s="87"/>
      <c r="K15" s="87"/>
      <c r="L15" s="87"/>
      <c r="M15" s="87"/>
      <c r="N15" s="87"/>
      <c r="O15" s="87"/>
      <c r="P15" s="87"/>
      <c r="S15" s="54" t="s">
        <v>178</v>
      </c>
      <c r="T15" s="54" t="s">
        <v>185</v>
      </c>
      <c r="U15" s="54" t="s">
        <v>207</v>
      </c>
      <c r="V15" s="54" t="s">
        <v>193</v>
      </c>
      <c r="W15" s="54" t="s">
        <v>223</v>
      </c>
      <c r="X15"/>
      <c r="Y15"/>
      <c r="Z15"/>
    </row>
    <row r="16" spans="1:26" ht="48.75" customHeight="1" x14ac:dyDescent="0.35">
      <c r="A16" s="98" t="s">
        <v>9</v>
      </c>
      <c r="B16" s="98"/>
      <c r="C16" s="98" t="str">
        <f>CONCATENATE((IF(OR(E9="",E9="NA"),"",E9)),", ",(IF(OR(A17="",A17="NA"),"",A17)),".",(IF(OR(C17="",C17="NA"),"",C17)),", near ",(IF(OR(C22="",C22="NA"),"",C22)),", ",(IF(OR(C19="",C19="NA"),"",C19)),", ",(IF(OR(C18="",C18="NA"),"",C18)),", ",(IF(OR(G19="",G19="NA"),"",G19)),", ",(IF(OR(C20="",C20="NA"),"",C20)),", ",(IF(OR(C21="",C21="NA"),"",C21)),", ",(IF(OR(G20="",G20="NA"),"",G20))," - ",(IF(OR(G21="",G21="NA"),"",G21)),".")</f>
        <v>Silvra One, Plot No.1 S No. 23/1A, 23/1B, 23/2 CTS No. 1420/A &amp; 1421, near Bonzer City, Pen-Khopoli Road, Takai , Takai, Khopoli west, Khalapur, Raigad - 410203.</v>
      </c>
      <c r="D16" s="98"/>
      <c r="E16" s="98"/>
      <c r="F16" s="98"/>
      <c r="G16" s="98"/>
      <c r="H16" s="98"/>
      <c r="S16" s="54" t="s">
        <v>179</v>
      </c>
      <c r="T16" s="54" t="s">
        <v>187</v>
      </c>
      <c r="U16" s="54" t="s">
        <v>208</v>
      </c>
      <c r="V16" s="54" t="s">
        <v>194</v>
      </c>
      <c r="W16" s="54" t="s">
        <v>211</v>
      </c>
      <c r="X16"/>
      <c r="Y16"/>
      <c r="Z16"/>
    </row>
    <row r="17" spans="1:26" x14ac:dyDescent="0.35">
      <c r="A17" s="107" t="s">
        <v>299</v>
      </c>
      <c r="B17" s="107"/>
      <c r="C17" s="107" t="s">
        <v>319</v>
      </c>
      <c r="D17" s="107"/>
      <c r="E17" s="107"/>
      <c r="F17" s="107"/>
      <c r="G17" s="107"/>
      <c r="H17" s="107"/>
      <c r="S17" s="54" t="s">
        <v>180</v>
      </c>
      <c r="T17" s="54" t="s">
        <v>188</v>
      </c>
      <c r="U17" s="54" t="s">
        <v>170</v>
      </c>
      <c r="V17" s="54" t="s">
        <v>195</v>
      </c>
      <c r="W17" s="54" t="s">
        <v>212</v>
      </c>
      <c r="X17"/>
      <c r="Y17"/>
      <c r="Z17"/>
    </row>
    <row r="18" spans="1:26" ht="15.75" customHeight="1" x14ac:dyDescent="0.35">
      <c r="A18" s="107" t="s">
        <v>160</v>
      </c>
      <c r="B18" s="107"/>
      <c r="C18" s="107" t="s">
        <v>301</v>
      </c>
      <c r="D18" s="107"/>
      <c r="E18" s="107"/>
      <c r="F18" s="107"/>
      <c r="G18" s="107"/>
      <c r="H18" s="107"/>
      <c r="S18" s="54" t="s">
        <v>181</v>
      </c>
      <c r="T18" s="54" t="s">
        <v>186</v>
      </c>
      <c r="U18" s="54"/>
      <c r="V18" s="54" t="s">
        <v>196</v>
      </c>
      <c r="W18" s="54" t="s">
        <v>213</v>
      </c>
      <c r="X18"/>
      <c r="Y18"/>
      <c r="Z18"/>
    </row>
    <row r="19" spans="1:26" ht="15.75" customHeight="1" x14ac:dyDescent="0.35">
      <c r="A19" s="98" t="s">
        <v>10</v>
      </c>
      <c r="B19" s="98"/>
      <c r="C19" s="108" t="s">
        <v>300</v>
      </c>
      <c r="D19" s="108"/>
      <c r="E19" s="98" t="s">
        <v>70</v>
      </c>
      <c r="F19" s="98"/>
      <c r="G19" s="107" t="s">
        <v>322</v>
      </c>
      <c r="H19" s="107"/>
      <c r="S19" s="54" t="s">
        <v>182</v>
      </c>
      <c r="T19" s="54" t="s">
        <v>189</v>
      </c>
      <c r="U19" s="54"/>
      <c r="V19" s="54" t="s">
        <v>197</v>
      </c>
      <c r="W19" s="54" t="s">
        <v>214</v>
      </c>
      <c r="X19"/>
      <c r="Y19"/>
      <c r="Z19"/>
    </row>
    <row r="20" spans="1:26" x14ac:dyDescent="0.35">
      <c r="A20" s="91" t="s">
        <v>12</v>
      </c>
      <c r="B20" s="91"/>
      <c r="C20" s="107" t="s">
        <v>313</v>
      </c>
      <c r="D20" s="107"/>
      <c r="E20" s="107" t="s">
        <v>11</v>
      </c>
      <c r="F20" s="107"/>
      <c r="G20" s="162" t="s">
        <v>191</v>
      </c>
      <c r="H20" s="162"/>
      <c r="S20" s="54" t="s">
        <v>183</v>
      </c>
      <c r="T20" s="54" t="s">
        <v>190</v>
      </c>
      <c r="U20" s="54"/>
      <c r="V20" s="54" t="s">
        <v>198</v>
      </c>
      <c r="W20" s="54" t="s">
        <v>215</v>
      </c>
      <c r="X20"/>
      <c r="Y20"/>
      <c r="Z20"/>
    </row>
    <row r="21" spans="1:26" x14ac:dyDescent="0.35">
      <c r="A21" s="91" t="s">
        <v>71</v>
      </c>
      <c r="B21" s="91"/>
      <c r="C21" s="107" t="s">
        <v>196</v>
      </c>
      <c r="D21" s="107"/>
      <c r="E21" s="107" t="s">
        <v>13</v>
      </c>
      <c r="F21" s="107"/>
      <c r="G21" s="107">
        <v>410203</v>
      </c>
      <c r="H21" s="107"/>
      <c r="S21" s="54"/>
      <c r="T21" s="54"/>
      <c r="U21" s="54"/>
      <c r="V21" s="54" t="s">
        <v>199</v>
      </c>
      <c r="W21" s="54" t="s">
        <v>216</v>
      </c>
      <c r="X21"/>
      <c r="Y21"/>
      <c r="Z21"/>
    </row>
    <row r="22" spans="1:26" ht="32.25" customHeight="1" x14ac:dyDescent="0.35">
      <c r="A22" s="91" t="s">
        <v>120</v>
      </c>
      <c r="B22" s="91"/>
      <c r="C22" s="107" t="s">
        <v>323</v>
      </c>
      <c r="D22" s="107"/>
      <c r="E22" s="98" t="s">
        <v>14</v>
      </c>
      <c r="F22" s="98"/>
      <c r="G22" s="107" t="s">
        <v>355</v>
      </c>
      <c r="H22" s="107"/>
      <c r="S22" s="54"/>
      <c r="T22" s="54"/>
      <c r="U22" s="54"/>
      <c r="V22" s="54" t="s">
        <v>200</v>
      </c>
      <c r="W22" s="54" t="s">
        <v>217</v>
      </c>
      <c r="X22"/>
      <c r="Y22"/>
      <c r="Z22"/>
    </row>
    <row r="23" spans="1:26" ht="15" customHeight="1" x14ac:dyDescent="0.35">
      <c r="A23" s="98" t="s">
        <v>73</v>
      </c>
      <c r="B23" s="98"/>
      <c r="C23" s="98"/>
      <c r="D23" s="98"/>
      <c r="E23" s="108" t="s">
        <v>15</v>
      </c>
      <c r="F23" s="108"/>
      <c r="G23" s="108"/>
      <c r="H23" s="108"/>
      <c r="S23" s="54"/>
      <c r="T23" s="54"/>
      <c r="U23" s="54"/>
      <c r="V23" s="54" t="s">
        <v>201</v>
      </c>
      <c r="W23" s="54" t="s">
        <v>218</v>
      </c>
      <c r="X23"/>
      <c r="Y23"/>
      <c r="Z23"/>
    </row>
    <row r="24" spans="1:26" ht="18.75" customHeight="1" x14ac:dyDescent="0.35">
      <c r="A24" s="98"/>
      <c r="B24" s="98"/>
      <c r="C24" s="98"/>
      <c r="D24" s="98"/>
      <c r="E24" s="108"/>
      <c r="F24" s="108"/>
      <c r="G24" s="108"/>
      <c r="H24" s="108"/>
      <c r="S24" s="54"/>
      <c r="T24" s="54"/>
      <c r="U24" s="54"/>
      <c r="V24" s="54" t="s">
        <v>202</v>
      </c>
      <c r="W24" s="54" t="s">
        <v>219</v>
      </c>
      <c r="X24"/>
      <c r="Y24"/>
      <c r="Z24"/>
    </row>
    <row r="25" spans="1:26" ht="15" customHeight="1" x14ac:dyDescent="0.35">
      <c r="A25" s="98" t="s">
        <v>16</v>
      </c>
      <c r="B25" s="98"/>
      <c r="C25" s="98"/>
      <c r="D25" s="98"/>
      <c r="E25" s="107" t="s">
        <v>17</v>
      </c>
      <c r="F25" s="107"/>
      <c r="G25" s="107"/>
      <c r="H25" s="107"/>
      <c r="S25" s="54"/>
      <c r="T25" s="54"/>
      <c r="U25" s="54"/>
      <c r="V25" s="54" t="s">
        <v>203</v>
      </c>
      <c r="W25" s="54" t="s">
        <v>220</v>
      </c>
      <c r="X25"/>
      <c r="Y25"/>
      <c r="Z25"/>
    </row>
    <row r="26" spans="1:26" ht="15" customHeight="1" x14ac:dyDescent="0.35">
      <c r="A26" s="91" t="s">
        <v>18</v>
      </c>
      <c r="B26" s="91"/>
      <c r="C26" s="91"/>
      <c r="D26" s="91"/>
      <c r="E26" s="107" t="str">
        <f>IF(AND(G20="Mumbai"),"Upper Class","Middle Class")</f>
        <v>Middle Class</v>
      </c>
      <c r="F26" s="107"/>
      <c r="G26" s="107"/>
      <c r="H26" s="107"/>
      <c r="S26" s="54"/>
      <c r="T26" s="54"/>
      <c r="U26" s="54"/>
      <c r="V26" s="54" t="s">
        <v>204</v>
      </c>
      <c r="W26" s="54" t="s">
        <v>221</v>
      </c>
      <c r="X26"/>
      <c r="Y26"/>
      <c r="Z26"/>
    </row>
    <row r="27" spans="1:26" x14ac:dyDescent="0.35">
      <c r="A27" s="91" t="s">
        <v>19</v>
      </c>
      <c r="B27" s="91"/>
      <c r="C27" s="91"/>
      <c r="D27" s="91"/>
      <c r="E27" s="107" t="s">
        <v>20</v>
      </c>
      <c r="F27" s="107"/>
      <c r="G27" s="107"/>
      <c r="H27" s="107"/>
      <c r="S27" s="54"/>
      <c r="T27" s="54"/>
      <c r="U27" s="54"/>
      <c r="V27" s="54" t="s">
        <v>205</v>
      </c>
      <c r="W27" s="54" t="s">
        <v>222</v>
      </c>
      <c r="X27"/>
      <c r="Y27"/>
      <c r="Z27"/>
    </row>
    <row r="28" spans="1:26" ht="15.75" customHeight="1" x14ac:dyDescent="0.35">
      <c r="A28" s="91" t="s">
        <v>21</v>
      </c>
      <c r="B28" s="91"/>
      <c r="C28" s="91"/>
      <c r="D28" s="91"/>
      <c r="E28" s="107" t="str">
        <f>IF(AND(G20="Mumbai"),"Developed","Developing")</f>
        <v>Developing</v>
      </c>
      <c r="F28" s="107"/>
      <c r="G28" s="107"/>
      <c r="H28" s="107"/>
    </row>
    <row r="29" spans="1:26" x14ac:dyDescent="0.35">
      <c r="A29" s="91" t="s">
        <v>22</v>
      </c>
      <c r="B29" s="91"/>
      <c r="C29" s="91"/>
      <c r="D29" s="91"/>
      <c r="E29" s="107" t="s">
        <v>23</v>
      </c>
      <c r="F29" s="107"/>
      <c r="G29" s="107"/>
      <c r="H29" s="107"/>
    </row>
    <row r="30" spans="1:26" ht="15.75" customHeight="1" x14ac:dyDescent="0.35">
      <c r="A30" s="91" t="s">
        <v>78</v>
      </c>
      <c r="B30" s="91"/>
      <c r="C30" s="91"/>
      <c r="D30" s="91"/>
      <c r="E30" s="107" t="s">
        <v>79</v>
      </c>
      <c r="F30" s="107"/>
      <c r="G30" s="107"/>
      <c r="H30" s="107"/>
    </row>
    <row r="31" spans="1:26" ht="15" customHeight="1" x14ac:dyDescent="0.35">
      <c r="A31" s="91" t="s">
        <v>30</v>
      </c>
      <c r="B31" s="91"/>
      <c r="C31" s="91"/>
      <c r="D31" s="91"/>
      <c r="E31" s="10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7"/>
      <c r="G31" s="107"/>
      <c r="H31" s="107"/>
    </row>
    <row r="32" spans="1:26" ht="15.75" customHeight="1" x14ac:dyDescent="0.35">
      <c r="A32" s="91" t="s">
        <v>90</v>
      </c>
      <c r="B32" s="91"/>
      <c r="C32" s="91"/>
      <c r="D32" s="91"/>
      <c r="E32" s="107" t="s">
        <v>31</v>
      </c>
      <c r="F32" s="107"/>
      <c r="G32" s="107"/>
      <c r="H32" s="107"/>
    </row>
    <row r="33" spans="1:19" s="21" customFormat="1" x14ac:dyDescent="0.35">
      <c r="A33" s="164" t="s">
        <v>91</v>
      </c>
      <c r="B33" s="164"/>
      <c r="C33" s="89" t="s">
        <v>171</v>
      </c>
      <c r="D33" s="89"/>
      <c r="E33" s="89"/>
      <c r="F33" s="89" t="s">
        <v>29</v>
      </c>
      <c r="G33" s="89"/>
      <c r="H33" s="89"/>
      <c r="S33" s="21" t="e">
        <f ca="1">OFFSET($S$13,1,MATCH($G20,$S$13:$W$13,0)-1,15,1)</f>
        <v>#VALUE!</v>
      </c>
    </row>
    <row r="34" spans="1:19" s="21" customFormat="1" x14ac:dyDescent="0.35">
      <c r="A34" s="163" t="s">
        <v>24</v>
      </c>
      <c r="B34" s="163" t="s">
        <v>28</v>
      </c>
      <c r="C34" s="218" t="s">
        <v>312</v>
      </c>
      <c r="D34" s="218"/>
      <c r="E34" s="218"/>
      <c r="F34" s="218" t="s">
        <v>309</v>
      </c>
      <c r="G34" s="218"/>
      <c r="H34" s="218"/>
    </row>
    <row r="35" spans="1:19" x14ac:dyDescent="0.35">
      <c r="A35" s="163" t="s">
        <v>25</v>
      </c>
      <c r="B35" s="163" t="s">
        <v>28</v>
      </c>
      <c r="C35" s="218" t="s">
        <v>339</v>
      </c>
      <c r="D35" s="218"/>
      <c r="E35" s="218"/>
      <c r="F35" s="218" t="s">
        <v>310</v>
      </c>
      <c r="G35" s="218"/>
      <c r="H35" s="218"/>
    </row>
    <row r="36" spans="1:19" s="21" customFormat="1" x14ac:dyDescent="0.35">
      <c r="A36" s="163" t="s">
        <v>27</v>
      </c>
      <c r="B36" s="163" t="s">
        <v>28</v>
      </c>
      <c r="C36" s="218" t="s">
        <v>338</v>
      </c>
      <c r="D36" s="218"/>
      <c r="E36" s="218"/>
      <c r="F36" s="218" t="s">
        <v>310</v>
      </c>
      <c r="G36" s="218"/>
      <c r="H36" s="218"/>
    </row>
    <row r="37" spans="1:19" x14ac:dyDescent="0.35">
      <c r="A37" s="163" t="s">
        <v>26</v>
      </c>
      <c r="B37" s="163" t="s">
        <v>28</v>
      </c>
      <c r="C37" s="218" t="s">
        <v>311</v>
      </c>
      <c r="D37" s="218"/>
      <c r="E37" s="218"/>
      <c r="F37" s="218" t="s">
        <v>300</v>
      </c>
      <c r="G37" s="218"/>
      <c r="H37" s="218"/>
    </row>
    <row r="38" spans="1:19" x14ac:dyDescent="0.35">
      <c r="A38" s="91" t="s">
        <v>276</v>
      </c>
      <c r="B38" s="91"/>
      <c r="C38" s="91"/>
      <c r="D38" s="91"/>
      <c r="E38" s="91"/>
      <c r="F38" s="91"/>
      <c r="G38" s="91"/>
      <c r="H38" s="91"/>
    </row>
    <row r="39" spans="1:19" ht="15.75" customHeight="1" x14ac:dyDescent="0.35">
      <c r="A39" s="91" t="s">
        <v>163</v>
      </c>
      <c r="B39" s="91"/>
      <c r="C39" s="151" t="s">
        <v>320</v>
      </c>
      <c r="D39" s="151"/>
      <c r="E39" s="151"/>
      <c r="F39" s="151"/>
      <c r="G39" s="151"/>
      <c r="H39" s="151"/>
    </row>
    <row r="40" spans="1:19" x14ac:dyDescent="0.35">
      <c r="A40" s="91" t="s">
        <v>159</v>
      </c>
      <c r="B40" s="91"/>
      <c r="C40" s="185" t="s">
        <v>321</v>
      </c>
      <c r="D40" s="107"/>
      <c r="E40" s="107"/>
      <c r="F40" s="107"/>
      <c r="G40" s="107"/>
      <c r="H40" s="107"/>
    </row>
    <row r="41" spans="1:19" x14ac:dyDescent="0.35">
      <c r="A41" s="151" t="s">
        <v>32</v>
      </c>
      <c r="B41" s="151"/>
      <c r="C41" s="151"/>
      <c r="D41" s="151"/>
      <c r="E41" s="151"/>
      <c r="F41" s="151"/>
      <c r="G41" s="151"/>
      <c r="H41" s="151"/>
    </row>
    <row r="42" spans="1:19" x14ac:dyDescent="0.35">
      <c r="A42" s="91" t="s">
        <v>33</v>
      </c>
      <c r="B42" s="91"/>
      <c r="C42" s="91"/>
      <c r="D42" s="91"/>
      <c r="E42" s="165">
        <v>3947.74</v>
      </c>
      <c r="F42" s="165"/>
      <c r="G42" s="165"/>
      <c r="H42" s="165"/>
    </row>
    <row r="43" spans="1:19" x14ac:dyDescent="0.35">
      <c r="A43" s="91" t="s">
        <v>34</v>
      </c>
      <c r="B43" s="91"/>
      <c r="C43" s="91"/>
      <c r="D43" s="91"/>
      <c r="E43" s="100">
        <f>5237.072/E42</f>
        <v>1.3266000293839009</v>
      </c>
      <c r="F43" s="100"/>
      <c r="G43" s="100"/>
      <c r="H43" s="100"/>
    </row>
    <row r="44" spans="1:19" x14ac:dyDescent="0.35">
      <c r="A44" s="91" t="s">
        <v>35</v>
      </c>
      <c r="B44" s="91"/>
      <c r="C44" s="91"/>
      <c r="D44" s="91"/>
      <c r="E44" s="100">
        <f>E46/E42-E43</f>
        <v>1.036412732348128</v>
      </c>
      <c r="F44" s="100"/>
      <c r="G44" s="100"/>
      <c r="H44" s="100"/>
    </row>
    <row r="45" spans="1:19" x14ac:dyDescent="0.35">
      <c r="A45" s="91" t="s">
        <v>36</v>
      </c>
      <c r="B45" s="91"/>
      <c r="C45" s="91"/>
      <c r="D45" s="91"/>
      <c r="E45" s="100">
        <f>E43+E44</f>
        <v>2.3630127617320289</v>
      </c>
      <c r="F45" s="100"/>
      <c r="G45" s="100"/>
      <c r="H45" s="100"/>
    </row>
    <row r="46" spans="1:19" x14ac:dyDescent="0.35">
      <c r="A46" s="91" t="s">
        <v>89</v>
      </c>
      <c r="B46" s="91"/>
      <c r="C46" s="91"/>
      <c r="D46" s="91"/>
      <c r="E46" s="168">
        <v>9328.56</v>
      </c>
      <c r="F46" s="168"/>
      <c r="G46" s="168"/>
      <c r="H46" s="168"/>
    </row>
    <row r="47" spans="1:19" x14ac:dyDescent="0.35">
      <c r="A47" s="108" t="s">
        <v>37</v>
      </c>
      <c r="B47" s="108"/>
      <c r="C47" s="108"/>
      <c r="D47" s="108"/>
      <c r="E47" s="108" t="s">
        <v>119</v>
      </c>
      <c r="F47" s="108"/>
      <c r="G47" s="108"/>
      <c r="H47" s="108"/>
    </row>
    <row r="48" spans="1:19" x14ac:dyDescent="0.35">
      <c r="A48" s="151" t="s">
        <v>38</v>
      </c>
      <c r="B48" s="151"/>
      <c r="C48" s="151"/>
      <c r="D48" s="151"/>
      <c r="E48" s="151"/>
      <c r="F48" s="151"/>
      <c r="G48" s="151"/>
      <c r="H48" s="151"/>
    </row>
    <row r="49" spans="1:24" ht="33.75" customHeight="1" x14ac:dyDescent="0.35">
      <c r="A49" s="103" t="s">
        <v>149</v>
      </c>
      <c r="B49" s="104"/>
      <c r="C49" s="191" t="s">
        <v>324</v>
      </c>
      <c r="D49" s="192"/>
      <c r="E49" s="192"/>
      <c r="F49" s="192"/>
      <c r="G49" s="192"/>
      <c r="H49" s="193"/>
      <c r="R49" t="s">
        <v>249</v>
      </c>
      <c r="S49" t="s">
        <v>170</v>
      </c>
      <c r="T49" t="s">
        <v>176</v>
      </c>
      <c r="U49" t="s">
        <v>191</v>
      </c>
      <c r="V49" t="s">
        <v>186</v>
      </c>
    </row>
    <row r="50" spans="1:24" ht="15.75" customHeight="1" x14ac:dyDescent="0.35">
      <c r="A50" s="103" t="s">
        <v>39</v>
      </c>
      <c r="B50" s="104"/>
      <c r="C50" s="103" t="s">
        <v>325</v>
      </c>
      <c r="D50" s="105"/>
      <c r="E50" s="104"/>
      <c r="F50" s="17" t="s">
        <v>40</v>
      </c>
      <c r="G50" s="115">
        <v>44869</v>
      </c>
      <c r="H50" s="104"/>
      <c r="R50"/>
      <c r="S50" t="s">
        <v>250</v>
      </c>
      <c r="T50" t="s">
        <v>255</v>
      </c>
      <c r="U50" t="s">
        <v>266</v>
      </c>
      <c r="V50" t="s">
        <v>271</v>
      </c>
    </row>
    <row r="51" spans="1:24" x14ac:dyDescent="0.35">
      <c r="A51" s="103" t="s">
        <v>41</v>
      </c>
      <c r="B51" s="104"/>
      <c r="C51" s="103" t="str">
        <f>C50</f>
        <v>CBRKC/B/2022/APL/00426</v>
      </c>
      <c r="D51" s="105"/>
      <c r="E51" s="104"/>
      <c r="F51" s="17" t="s">
        <v>40</v>
      </c>
      <c r="G51" s="115">
        <f>G50</f>
        <v>44869</v>
      </c>
      <c r="H51" s="104"/>
      <c r="R51"/>
      <c r="S51" t="s">
        <v>251</v>
      </c>
      <c r="T51" t="s">
        <v>256</v>
      </c>
      <c r="U51" t="s">
        <v>264</v>
      </c>
      <c r="V51" t="s">
        <v>272</v>
      </c>
    </row>
    <row r="52" spans="1:24" s="22" customFormat="1" ht="15.75" customHeight="1" x14ac:dyDescent="0.35">
      <c r="A52" s="116" t="s">
        <v>153</v>
      </c>
      <c r="B52" s="117"/>
      <c r="C52" s="103" t="str">
        <f>C51</f>
        <v>CBRKC/B/2022/APL/00426</v>
      </c>
      <c r="D52" s="105"/>
      <c r="E52" s="104"/>
      <c r="F52" s="17" t="s">
        <v>40</v>
      </c>
      <c r="G52" s="115">
        <f>G51</f>
        <v>44869</v>
      </c>
      <c r="H52" s="104"/>
      <c r="R52"/>
      <c r="S52" t="s">
        <v>252</v>
      </c>
      <c r="T52" t="s">
        <v>257</v>
      </c>
      <c r="U52" t="s">
        <v>254</v>
      </c>
      <c r="V52" t="s">
        <v>273</v>
      </c>
    </row>
    <row r="53" spans="1:24" s="22" customFormat="1" x14ac:dyDescent="0.35">
      <c r="A53" s="118"/>
      <c r="B53" s="119"/>
      <c r="C53" s="103" t="s">
        <v>326</v>
      </c>
      <c r="D53" s="105"/>
      <c r="E53" s="105"/>
      <c r="F53" s="105"/>
      <c r="G53" s="105"/>
      <c r="H53" s="104"/>
      <c r="R53"/>
      <c r="S53" t="s">
        <v>253</v>
      </c>
      <c r="T53" t="s">
        <v>260</v>
      </c>
      <c r="U53" t="s">
        <v>267</v>
      </c>
    </row>
    <row r="54" spans="1:24" s="22" customFormat="1" hidden="1" x14ac:dyDescent="0.35">
      <c r="A54" s="111" t="s">
        <v>277</v>
      </c>
      <c r="B54" s="112"/>
      <c r="C54" s="103" t="str">
        <f>C53</f>
        <v>LG + UG + 1st to 9th Floor</v>
      </c>
      <c r="D54" s="105"/>
      <c r="E54" s="104"/>
      <c r="F54" s="17" t="s">
        <v>40</v>
      </c>
      <c r="G54" s="103"/>
      <c r="H54" s="104"/>
      <c r="R54"/>
      <c r="S54" t="s">
        <v>252</v>
      </c>
      <c r="T54" t="s">
        <v>257</v>
      </c>
      <c r="U54" t="s">
        <v>254</v>
      </c>
      <c r="V54" t="s">
        <v>273</v>
      </c>
    </row>
    <row r="55" spans="1:24" s="22" customFormat="1" ht="32.25" hidden="1" customHeight="1" x14ac:dyDescent="0.35">
      <c r="A55" s="113"/>
      <c r="B55" s="114"/>
      <c r="C55" s="188"/>
      <c r="D55" s="189"/>
      <c r="E55" s="189"/>
      <c r="F55" s="189"/>
      <c r="G55" s="189"/>
      <c r="H55" s="190"/>
      <c r="R55"/>
      <c r="S55" t="s">
        <v>254</v>
      </c>
      <c r="T55" t="s">
        <v>258</v>
      </c>
      <c r="U55" t="s">
        <v>268</v>
      </c>
      <c r="V55" s="20"/>
      <c r="W55" s="20"/>
      <c r="X55" s="20"/>
    </row>
    <row r="56" spans="1:24" s="22" customFormat="1" ht="34.5" hidden="1" customHeight="1" x14ac:dyDescent="0.35">
      <c r="A56" s="111" t="s">
        <v>278</v>
      </c>
      <c r="B56" s="112"/>
      <c r="C56" s="103">
        <f>C55</f>
        <v>0</v>
      </c>
      <c r="D56" s="105"/>
      <c r="E56" s="104"/>
      <c r="F56" s="17" t="s">
        <v>40</v>
      </c>
      <c r="G56" s="103">
        <f>G55</f>
        <v>0</v>
      </c>
      <c r="H56" s="104"/>
      <c r="R56"/>
      <c r="S56" s="20"/>
      <c r="T56" t="s">
        <v>259</v>
      </c>
      <c r="U56" t="s">
        <v>269</v>
      </c>
      <c r="V56" s="20"/>
      <c r="W56" s="20"/>
      <c r="X56" s="20"/>
    </row>
    <row r="57" spans="1:24" s="22" customFormat="1" ht="41.25" hidden="1" customHeight="1" x14ac:dyDescent="0.35">
      <c r="A57" s="113"/>
      <c r="B57" s="114"/>
      <c r="C57" s="103"/>
      <c r="D57" s="105"/>
      <c r="E57" s="105"/>
      <c r="F57" s="105"/>
      <c r="G57" s="105"/>
      <c r="H57" s="104"/>
      <c r="R57"/>
      <c r="S57" s="20"/>
      <c r="T57" t="s">
        <v>261</v>
      </c>
      <c r="U57" t="s">
        <v>270</v>
      </c>
      <c r="V57" s="20"/>
      <c r="W57" s="20"/>
      <c r="X57" s="20"/>
    </row>
    <row r="58" spans="1:24" s="22" customFormat="1" ht="15.75" hidden="1" customHeight="1" x14ac:dyDescent="0.35">
      <c r="A58" s="111" t="s">
        <v>279</v>
      </c>
      <c r="B58" s="112"/>
      <c r="C58" s="103">
        <f>C57</f>
        <v>0</v>
      </c>
      <c r="D58" s="105"/>
      <c r="E58" s="104"/>
      <c r="F58" s="17" t="s">
        <v>40</v>
      </c>
      <c r="G58" s="103">
        <f>G57</f>
        <v>0</v>
      </c>
      <c r="H58" s="104"/>
      <c r="R58"/>
      <c r="S58" s="20"/>
      <c r="T58" t="s">
        <v>262</v>
      </c>
      <c r="U58" s="20" t="s">
        <v>293</v>
      </c>
      <c r="V58" s="20"/>
      <c r="W58" s="20"/>
      <c r="X58" s="20"/>
    </row>
    <row r="59" spans="1:24" s="22" customFormat="1" ht="33.75" hidden="1" customHeight="1" x14ac:dyDescent="0.35">
      <c r="A59" s="113"/>
      <c r="B59" s="114"/>
      <c r="C59" s="103"/>
      <c r="D59" s="105"/>
      <c r="E59" s="105"/>
      <c r="F59" s="105"/>
      <c r="G59" s="105"/>
      <c r="H59" s="104"/>
      <c r="R59"/>
      <c r="S59" s="20"/>
      <c r="T59" t="s">
        <v>263</v>
      </c>
      <c r="U59" s="20"/>
      <c r="V59" s="20"/>
      <c r="W59" s="20"/>
      <c r="X59" s="20"/>
    </row>
    <row r="60" spans="1:24" x14ac:dyDescent="0.35">
      <c r="A60" s="92" t="s">
        <v>42</v>
      </c>
      <c r="B60" s="93"/>
      <c r="C60" s="92" t="s">
        <v>103</v>
      </c>
      <c r="D60" s="94"/>
      <c r="E60" s="93"/>
      <c r="F60" s="44" t="s">
        <v>40</v>
      </c>
      <c r="G60" s="109" t="s">
        <v>28</v>
      </c>
      <c r="H60" s="110"/>
      <c r="R60"/>
      <c r="T60" t="s">
        <v>265</v>
      </c>
    </row>
    <row r="61" spans="1:24" x14ac:dyDescent="0.35">
      <c r="A61" s="106" t="s">
        <v>44</v>
      </c>
      <c r="B61" s="106"/>
      <c r="C61" s="106"/>
      <c r="D61" s="106"/>
      <c r="E61" s="106"/>
      <c r="F61" s="106"/>
      <c r="G61" s="106"/>
      <c r="H61" s="106"/>
      <c r="T61" t="s">
        <v>274</v>
      </c>
    </row>
    <row r="62" spans="1:24" x14ac:dyDescent="0.35">
      <c r="A62" s="98" t="s">
        <v>88</v>
      </c>
      <c r="B62" s="98"/>
      <c r="C62" s="98"/>
      <c r="D62" s="91">
        <f>E46</f>
        <v>9328.56</v>
      </c>
      <c r="E62" s="91"/>
      <c r="F62" s="91"/>
      <c r="G62" s="91"/>
      <c r="H62" s="91"/>
      <c r="R62"/>
      <c r="U62" s="20" t="s">
        <v>324</v>
      </c>
    </row>
    <row r="63" spans="1:24" x14ac:dyDescent="0.35">
      <c r="A63" s="107" t="s">
        <v>45</v>
      </c>
      <c r="B63" s="108"/>
      <c r="C63" s="108"/>
      <c r="D63" s="108" t="s">
        <v>354</v>
      </c>
      <c r="E63" s="108"/>
      <c r="F63" s="108"/>
      <c r="G63" s="108"/>
      <c r="H63" s="108"/>
      <c r="I63" s="23"/>
      <c r="R63"/>
    </row>
    <row r="64" spans="1:24" x14ac:dyDescent="0.35">
      <c r="A64" s="169" t="s">
        <v>46</v>
      </c>
      <c r="B64" s="170"/>
      <c r="C64" s="178"/>
      <c r="D64" s="176" t="s">
        <v>328</v>
      </c>
      <c r="E64" s="177"/>
      <c r="F64" s="177"/>
      <c r="G64" s="177"/>
      <c r="H64" s="177"/>
      <c r="R64"/>
    </row>
    <row r="65" spans="1:19" x14ac:dyDescent="0.35">
      <c r="A65" s="169" t="s">
        <v>86</v>
      </c>
      <c r="B65" s="170"/>
      <c r="C65" s="170"/>
      <c r="D65" s="108" t="s">
        <v>327</v>
      </c>
      <c r="E65" s="108"/>
      <c r="F65" s="108"/>
      <c r="G65" s="108"/>
      <c r="H65" s="108"/>
      <c r="R65"/>
    </row>
    <row r="66" spans="1:19" hidden="1" x14ac:dyDescent="0.35">
      <c r="A66" s="171"/>
      <c r="B66" s="172"/>
      <c r="C66" s="172"/>
      <c r="D66" s="173" t="s">
        <v>334</v>
      </c>
      <c r="E66" s="173"/>
      <c r="F66" s="173"/>
      <c r="G66" s="173"/>
      <c r="H66" s="173"/>
      <c r="I66" s="20" t="s">
        <v>314</v>
      </c>
      <c r="R66"/>
    </row>
    <row r="67" spans="1:19" ht="15.75" customHeight="1" x14ac:dyDescent="0.35">
      <c r="A67" s="91" t="s">
        <v>43</v>
      </c>
      <c r="B67" s="91"/>
      <c r="C67" s="91"/>
      <c r="D67" s="166" t="s">
        <v>315</v>
      </c>
      <c r="E67" s="166"/>
      <c r="F67" s="166"/>
      <c r="G67" s="166"/>
      <c r="H67" s="166"/>
      <c r="J67" s="24"/>
      <c r="K67" s="23"/>
      <c r="N67" s="23"/>
      <c r="S67"/>
    </row>
    <row r="68" spans="1:19" ht="15.75" customHeight="1" x14ac:dyDescent="0.35">
      <c r="A68" s="91" t="s">
        <v>84</v>
      </c>
      <c r="B68" s="91"/>
      <c r="C68" s="91"/>
      <c r="D68" s="167" t="str">
        <f>(IF(G60="NA","60 Years After Completion",IF(G60&lt;&gt;"NA",""&amp;60-ROUNDDOWN((E3-G60)/360,0)&amp;" Years"," ")))</f>
        <v>60 Years After Completion</v>
      </c>
      <c r="E68" s="167"/>
      <c r="F68" s="167"/>
      <c r="G68" s="167"/>
      <c r="H68" s="167"/>
      <c r="N68" s="23"/>
      <c r="S68"/>
    </row>
    <row r="69" spans="1:19" ht="15.75" customHeight="1" x14ac:dyDescent="0.35">
      <c r="A69" s="91" t="s">
        <v>85</v>
      </c>
      <c r="B69" s="91"/>
      <c r="C69" s="91"/>
      <c r="D69" s="98" t="s">
        <v>23</v>
      </c>
      <c r="E69" s="98"/>
      <c r="F69" s="98"/>
      <c r="G69" s="98"/>
      <c r="H69" s="98"/>
      <c r="J69" s="25"/>
      <c r="K69" s="25"/>
      <c r="S69"/>
    </row>
    <row r="70" spans="1:19" ht="38.5" customHeight="1" x14ac:dyDescent="0.35">
      <c r="A70" s="108" t="s">
        <v>331</v>
      </c>
      <c r="B70" s="108"/>
      <c r="C70" s="108"/>
      <c r="D70" s="107" t="s">
        <v>333</v>
      </c>
      <c r="E70" s="98"/>
      <c r="F70" s="98"/>
      <c r="G70" s="98"/>
      <c r="H70" s="98"/>
      <c r="I70" s="76" t="s">
        <v>332</v>
      </c>
      <c r="S70"/>
    </row>
    <row r="71" spans="1:19" x14ac:dyDescent="0.35">
      <c r="A71" s="98" t="s">
        <v>146</v>
      </c>
      <c r="B71" s="98"/>
      <c r="C71" s="98"/>
      <c r="D71" s="98" t="s">
        <v>28</v>
      </c>
      <c r="E71" s="98"/>
      <c r="F71" s="98"/>
      <c r="G71" s="98"/>
      <c r="H71" s="98"/>
      <c r="I71" s="26"/>
      <c r="J71" s="26"/>
      <c r="K71" s="26"/>
      <c r="L71" s="26"/>
      <c r="M71" s="26"/>
      <c r="N71" s="26"/>
    </row>
    <row r="72" spans="1:19" ht="15.75" customHeight="1" x14ac:dyDescent="0.35">
      <c r="A72" s="99" t="s">
        <v>83</v>
      </c>
      <c r="B72" s="99"/>
      <c r="C72" s="99"/>
      <c r="D72" s="176" t="str">
        <f ca="1">(IF(G78&gt;95%,"Nothing",IF(G78&gt;0%,"Cement, Aggregate, Steel, etc",IF(G78=0%,"Work not yet Started"))))</f>
        <v>Cement, Aggregate, Steel, etc</v>
      </c>
      <c r="E72" s="176"/>
      <c r="F72" s="176"/>
      <c r="G72" s="176"/>
      <c r="H72" s="176"/>
      <c r="J72" s="25"/>
      <c r="S72"/>
    </row>
    <row r="73" spans="1:19" ht="33.75" customHeight="1" thickBot="1" x14ac:dyDescent="0.4">
      <c r="A73" s="195" t="s">
        <v>116</v>
      </c>
      <c r="B73" s="195"/>
      <c r="C73" s="195"/>
      <c r="D73" s="176" t="str">
        <f ca="1">(IF(D72="Nothing","Yes",IF(D72="Cement, Aggregate, Steel, etc","Under Construction",IF(D72="Work not yet Started","Work not yet Started"))))</f>
        <v>Under Construction</v>
      </c>
      <c r="E73" s="176"/>
      <c r="F73" s="176" t="str">
        <f ca="1">(IF(D72="Nothing","Yes",IF(D72="Cement, Aggregate, Steel, etc","Under Construction",IF(D72="Work not yet Started","Work not yet Started"))))</f>
        <v>Under Construction</v>
      </c>
      <c r="G73" s="176"/>
      <c r="H73" s="176"/>
      <c r="S73"/>
    </row>
    <row r="74" spans="1:19" ht="15.75" customHeight="1" x14ac:dyDescent="0.35">
      <c r="A74" s="226" t="s">
        <v>138</v>
      </c>
      <c r="B74" s="226"/>
      <c r="C74" s="226" t="str">
        <f>D65</f>
        <v>Building No. 1 Wing A = LG + UG + 1st to 9th Floor</v>
      </c>
      <c r="D74" s="226"/>
      <c r="E74" s="226"/>
      <c r="F74" s="226"/>
      <c r="G74" s="226"/>
      <c r="H74" s="226"/>
      <c r="I74" s="219" t="str">
        <f ca="1">IF(D87=100%,"All work Completed. Possession granted to the Building.",IF(D86=100%,"All work Completed, Waiting for OC",I75&amp;""&amp;I76&amp;""&amp;J75&amp;""&amp;J74&amp;" "&amp;J76))</f>
        <v>Excavation, Plinth, RCC Slab, Brickwork Completed, Internal Plaster upto 7 Floor, External Plaster upto 4 Floor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Internal Plaster upto 7 Floor, External Plaster upto 4 Floor</v>
      </c>
      <c r="S74"/>
    </row>
    <row r="75" spans="1:19" x14ac:dyDescent="0.35">
      <c r="A75" s="52" t="s">
        <v>140</v>
      </c>
      <c r="B75" s="52">
        <f>IF(AND(ISNUMBER(SEARCH("1B",C74))),1,IF(AND(ISNUMBER(SEARCH("2B",C74))),2,IF(AND(ISNUMBER(SEARCH("3B",C74))),3,IF(AND(ISNUMBER(SEARCH("4B",C74))),4,IF(ISNUMBER(SEARCH("5B",C74)),5,0)))))</f>
        <v>0</v>
      </c>
      <c r="C75" s="52" t="s">
        <v>69</v>
      </c>
      <c r="D75" s="52">
        <v>2</v>
      </c>
      <c r="E75" s="52" t="s">
        <v>68</v>
      </c>
      <c r="F75" s="52">
        <v>0</v>
      </c>
      <c r="G75" s="47" t="s">
        <v>77</v>
      </c>
      <c r="H75" s="52">
        <f ca="1">--TRIM(RIGHT(SUBSTITUTE(LEFT(C74,_xlfn.AGGREGATE(16,6,FIND({0,1,2,3,4,5,6,7,8,9},C74,ROW(INDIRECT("1:"&amp;LEN(C74)))),1))," ",REPT(" ",LEN(C74))),LEN(C74)))</f>
        <v>9</v>
      </c>
      <c r="I75" s="220" t="str">
        <f ca="1">IF(D78=100%,"Excavation","")&amp;IF(D79=100%,", Plinth","")&amp;IF(D80=100%,", RCC Slab","")&amp;IF(D81=100%,", Brickwork","")&amp;IF(D82=100%,", Internal Plaster","")&amp;IF(D83=100%,", External Plaster","")&amp;IF(D84=100%,", Flooring","")&amp;IF(D85=100%,", Painting","")&amp;IF(D86=100%,", Building common Amenities","")</f>
        <v>Excavation, Plinth, RCC Slab, Brickwork</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1.5" customHeight="1" x14ac:dyDescent="0.35">
      <c r="A76" s="160" t="s">
        <v>87</v>
      </c>
      <c r="B76" s="160"/>
      <c r="C76" s="179" t="str">
        <f ca="1">I74</f>
        <v>Excavation, Plinth, RCC Slab, Brickwork Completed, Internal Plaster upto 7 Floor, External Plaster upto 4 Floor Completed</v>
      </c>
      <c r="D76" s="179"/>
      <c r="E76" s="179"/>
      <c r="F76" s="179"/>
      <c r="G76" s="179"/>
      <c r="H76" s="179"/>
      <c r="I76" s="220" t="str">
        <f ca="1">IF(I75&lt;&gt;""," Completed","")</f>
        <v xml:space="preserve"> Completed</v>
      </c>
      <c r="J76" s="51" t="str">
        <f ca="1">IF(J74&lt;&gt;"","Completed","")</f>
        <v>Completed</v>
      </c>
      <c r="S76"/>
    </row>
    <row r="77" spans="1:19" ht="15.75" customHeight="1" x14ac:dyDescent="0.35">
      <c r="A77" s="102" t="s">
        <v>47</v>
      </c>
      <c r="B77" s="102"/>
      <c r="C77" s="84" t="s">
        <v>137</v>
      </c>
      <c r="D77" s="84" t="s">
        <v>80</v>
      </c>
      <c r="E77" s="102" t="s">
        <v>82</v>
      </c>
      <c r="F77" s="102"/>
      <c r="G77" s="102" t="s">
        <v>81</v>
      </c>
      <c r="H77" s="102"/>
      <c r="I77" s="13" t="s">
        <v>139</v>
      </c>
      <c r="J77" s="27">
        <f ca="1">H75*25%</f>
        <v>2.25</v>
      </c>
      <c r="S77"/>
    </row>
    <row r="78" spans="1:19" x14ac:dyDescent="0.35">
      <c r="A78" s="102" t="s">
        <v>126</v>
      </c>
      <c r="B78" s="102"/>
      <c r="C78" s="77">
        <f ca="1">J79</f>
        <v>9</v>
      </c>
      <c r="D78" s="18">
        <f ca="1">((100/H75)*C78)/100</f>
        <v>1</v>
      </c>
      <c r="E78" s="227">
        <f ca="1">(((C79/H75*10)+(40/(D75+F75+H75)*C80)+(7.5/(H75)*C81)+(7.5/(H75)*C82)+(10/H75*C83)+(10/H75*C84)+(5/H75*C85)+(5/H75*C86)+(5/H75*C87))/100)</f>
        <v>0.67777777777777781</v>
      </c>
      <c r="F78" s="227"/>
      <c r="G78" s="227">
        <f ca="1">((((C78/H75)*20)+((C79/H75)*25)+(30/(H75+F75+D75)*C80)+(5/H75*C81)+(5/H75*C82)+(5/H75*C83)+(5/H75*C84)+(0/H75*C85)+(0/H75*C86)+(5/H75*C87))/100)</f>
        <v>0.86111111111111116</v>
      </c>
      <c r="H78" s="227"/>
      <c r="I78" s="13" t="s">
        <v>98</v>
      </c>
      <c r="J78" s="28">
        <f ca="1">H75*50%</f>
        <v>4.5</v>
      </c>
    </row>
    <row r="79" spans="1:19" x14ac:dyDescent="0.35">
      <c r="A79" s="102" t="s">
        <v>48</v>
      </c>
      <c r="B79" s="102"/>
      <c r="C79" s="84">
        <f ca="1">J87</f>
        <v>9</v>
      </c>
      <c r="D79" s="18">
        <f ca="1">((100/H75)*C79)/100</f>
        <v>1</v>
      </c>
      <c r="E79" s="227"/>
      <c r="F79" s="227"/>
      <c r="G79" s="227"/>
      <c r="H79" s="227"/>
      <c r="I79" s="13" t="s">
        <v>99</v>
      </c>
      <c r="J79" s="28">
        <f ca="1">H75</f>
        <v>9</v>
      </c>
      <c r="S79"/>
    </row>
    <row r="80" spans="1:19" ht="15.75" customHeight="1" x14ac:dyDescent="0.35">
      <c r="A80" s="102" t="s">
        <v>127</v>
      </c>
      <c r="B80" s="102"/>
      <c r="C80" s="84">
        <f ca="1">D75+H75</f>
        <v>11</v>
      </c>
      <c r="D80" s="18">
        <f ca="1">((100/(D75+F75+H75))*C80)/100</f>
        <v>1.0000000000000002</v>
      </c>
      <c r="E80" s="227"/>
      <c r="F80" s="227"/>
      <c r="G80" s="227"/>
      <c r="H80" s="227"/>
      <c r="I80" s="13" t="s">
        <v>100</v>
      </c>
      <c r="J80" s="29">
        <f ca="1">(IF(B75&gt;1,(H75/(B75+2)),H75/4))</f>
        <v>2.25</v>
      </c>
      <c r="S80"/>
    </row>
    <row r="81" spans="1:10" ht="15.75" customHeight="1" x14ac:dyDescent="0.35">
      <c r="A81" s="102" t="s">
        <v>134</v>
      </c>
      <c r="B81" s="102" t="s">
        <v>128</v>
      </c>
      <c r="C81" s="84">
        <v>9</v>
      </c>
      <c r="D81" s="18">
        <f ca="1">((100/H75)*C81)/100</f>
        <v>1</v>
      </c>
      <c r="E81" s="227"/>
      <c r="F81" s="227"/>
      <c r="G81" s="227"/>
      <c r="H81" s="227"/>
      <c r="I81" s="13" t="s">
        <v>101</v>
      </c>
      <c r="J81" s="29">
        <f ca="1">(IF(B75&gt;1,(H75/(B75+2)+J80),H75/4+J80))</f>
        <v>4.5</v>
      </c>
    </row>
    <row r="82" spans="1:10" ht="15.75" customHeight="1" x14ac:dyDescent="0.35">
      <c r="A82" s="102" t="s">
        <v>135</v>
      </c>
      <c r="B82" s="102" t="s">
        <v>128</v>
      </c>
      <c r="C82" s="84">
        <v>7</v>
      </c>
      <c r="D82" s="18">
        <f ca="1">((100/H75)*C82)/100</f>
        <v>0.77777777777777768</v>
      </c>
      <c r="E82" s="227"/>
      <c r="F82" s="227"/>
      <c r="G82" s="227"/>
      <c r="H82" s="227"/>
      <c r="I82" s="13" t="s">
        <v>144</v>
      </c>
      <c r="J82" s="29">
        <f>(IF(B75&gt;1,(H75/(B75+2)+J81),0))</f>
        <v>0</v>
      </c>
    </row>
    <row r="83" spans="1:10" ht="15" customHeight="1" x14ac:dyDescent="0.35">
      <c r="A83" s="102" t="s">
        <v>133</v>
      </c>
      <c r="B83" s="102" t="s">
        <v>130</v>
      </c>
      <c r="C83" s="84">
        <v>4</v>
      </c>
      <c r="D83" s="18">
        <f ca="1">((100/(H75))*C83)/100</f>
        <v>0.44444444444444442</v>
      </c>
      <c r="E83" s="227"/>
      <c r="F83" s="227"/>
      <c r="G83" s="227"/>
      <c r="H83" s="227"/>
      <c r="I83" s="13" t="s">
        <v>141</v>
      </c>
      <c r="J83" s="29">
        <f>(IF(B75&gt;2,(H75/(B75+2)+J82),0))</f>
        <v>0</v>
      </c>
    </row>
    <row r="84" spans="1:10" ht="15.75" customHeight="1" x14ac:dyDescent="0.35">
      <c r="A84" s="102" t="s">
        <v>129</v>
      </c>
      <c r="B84" s="102" t="s">
        <v>129</v>
      </c>
      <c r="C84" s="84">
        <v>0</v>
      </c>
      <c r="D84" s="18">
        <f ca="1">((100/H75)*C84)/100</f>
        <v>0</v>
      </c>
      <c r="E84" s="227"/>
      <c r="F84" s="227"/>
      <c r="G84" s="227"/>
      <c r="H84" s="227"/>
      <c r="I84" s="13" t="s">
        <v>142</v>
      </c>
      <c r="J84" s="30">
        <f>(IF(B75&gt;3,(H75/(B75+2)+J83),0))</f>
        <v>0</v>
      </c>
    </row>
    <row r="85" spans="1:10" ht="15.75" customHeight="1" x14ac:dyDescent="0.35">
      <c r="A85" s="102" t="s">
        <v>136</v>
      </c>
      <c r="B85" s="102"/>
      <c r="C85" s="84">
        <v>0</v>
      </c>
      <c r="D85" s="18">
        <f ca="1">((100/H75)*C85)/100</f>
        <v>0</v>
      </c>
      <c r="E85" s="227"/>
      <c r="F85" s="227"/>
      <c r="G85" s="227"/>
      <c r="H85" s="227"/>
      <c r="I85" s="13" t="s">
        <v>143</v>
      </c>
      <c r="J85" s="29">
        <f>(IF(B75&gt;4,(H75/(B75+2)+J84),0))</f>
        <v>0</v>
      </c>
    </row>
    <row r="86" spans="1:10" ht="15.75" customHeight="1" x14ac:dyDescent="0.35">
      <c r="A86" s="102" t="s">
        <v>131</v>
      </c>
      <c r="B86" s="102" t="s">
        <v>131</v>
      </c>
      <c r="C86" s="84">
        <v>0</v>
      </c>
      <c r="D86" s="18">
        <f ca="1">((100/(H75))*C86)/100</f>
        <v>0</v>
      </c>
      <c r="E86" s="227"/>
      <c r="F86" s="227"/>
      <c r="G86" s="227"/>
      <c r="H86" s="227"/>
      <c r="I86" s="13" t="s">
        <v>145</v>
      </c>
      <c r="J86" s="29">
        <f ca="1">(IF(B75=1,(H75/(B75+3)+J81),IF(B75=0,(H75/4+J81),IF(B75&gt;1,0))))</f>
        <v>6.75</v>
      </c>
    </row>
    <row r="87" spans="1:10" ht="16" thickBot="1" x14ac:dyDescent="0.4">
      <c r="A87" s="102" t="s">
        <v>132</v>
      </c>
      <c r="B87" s="102"/>
      <c r="C87" s="84">
        <v>0</v>
      </c>
      <c r="D87" s="18">
        <f ca="1">((100/(H75))*C87)/100</f>
        <v>0</v>
      </c>
      <c r="E87" s="227"/>
      <c r="F87" s="227"/>
      <c r="G87" s="227"/>
      <c r="H87" s="227"/>
      <c r="I87" s="14" t="s">
        <v>102</v>
      </c>
      <c r="J87" s="31">
        <f ca="1">(IF(B75&gt;1.5,(H75/(B75+2)+J81+MAX(0,J82-J81)+MAX(0,J83-J82)+MAX(0,J84-J83)+MAX(0,J85-J84)+MAX(0,J86-J85)),IF(B75=1,(H75/(B75+3)+J86),IF(B75=0,H75/4+J86))))</f>
        <v>9</v>
      </c>
    </row>
    <row r="88" spans="1:10" ht="15.75" hidden="1" customHeight="1" x14ac:dyDescent="0.35">
      <c r="A88" s="221" t="s">
        <v>138</v>
      </c>
      <c r="B88" s="222"/>
      <c r="C88" s="223" t="str">
        <f>D66</f>
        <v>Building No. 2 Wing B = LG + UG + 1st to 9th Floor</v>
      </c>
      <c r="D88" s="224"/>
      <c r="E88" s="224"/>
      <c r="F88" s="224"/>
      <c r="G88" s="224"/>
      <c r="H88" s="225"/>
      <c r="I88" s="48" t="str">
        <f ca="1">IF(D101=100%,"All work Completed. Possession granted to the Building.",IF(D100=100%,"All work Completed, Waiting for OC",I89&amp;""&amp;I90&amp;""&amp;J89&amp;""&amp;J88&amp;" "&amp;J90))</f>
        <v xml:space="preserve">Work not yet Started. </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row>
    <row r="89" spans="1:10" hidden="1" x14ac:dyDescent="0.35">
      <c r="A89" s="15" t="s">
        <v>140</v>
      </c>
      <c r="B89" s="52">
        <f>IF(AND(ISNUMBER(SEARCH("1B",C88))),1,IF(AND(ISNUMBER(SEARCH("2B",C88))),2,IF(AND(ISNUMBER(SEARCH("3B",C88))),3,IF(AND(ISNUMBER(SEARCH("4B",C88))),4,IF(ISNUMBER(SEARCH("5B",C88)),5,0)))))</f>
        <v>0</v>
      </c>
      <c r="C89" s="46" t="s">
        <v>69</v>
      </c>
      <c r="D89" s="46">
        <v>2</v>
      </c>
      <c r="E89" s="46" t="s">
        <v>68</v>
      </c>
      <c r="F89" s="52">
        <v>0</v>
      </c>
      <c r="G89" s="47" t="s">
        <v>77</v>
      </c>
      <c r="H89" s="16">
        <f ca="1">--TRIM(RIGHT(SUBSTITUTE(LEFT(C88,_xlfn.AGGREGATE(16,6,FIND({0,1,2,3,4,5,6,7,8,9},C88,ROW(INDIRECT("1:"&amp;LEN(C88)))),1))," ",REPT(" ",LEN(C88))),LEN(C88)))</f>
        <v>9</v>
      </c>
      <c r="I89" s="50" t="str">
        <f ca="1">IF(D92=100%,"Excavation","")&amp;IF(D93=100%,", Plinth","")&amp;IF(D94=100%,", RCC Slab","")&amp;IF(D95=100%,", Brickwork","")&amp;IF(D96=100%,", Internal Plaster","")&amp;IF(D97=100%,", External Plaster","")&amp;IF(D98=100%,", Flooring","")&amp;IF(D99=100%,", Painting","")&amp;IF(D100=100%,", Building common Amenities","")</f>
        <v/>
      </c>
      <c r="J89" s="51" t="str">
        <f>(IF(C92=0,"Work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Work not yet Started.</v>
      </c>
    </row>
    <row r="90" spans="1:10" hidden="1" x14ac:dyDescent="0.35">
      <c r="A90" s="184" t="s">
        <v>87</v>
      </c>
      <c r="B90" s="160"/>
      <c r="C90" s="179" t="str">
        <f ca="1">(IF($G$60="NA",I88,"All work Completed. OC Received."))</f>
        <v xml:space="preserve">Work not yet Started. </v>
      </c>
      <c r="D90" s="179"/>
      <c r="E90" s="179"/>
      <c r="F90" s="179"/>
      <c r="G90" s="179"/>
      <c r="H90" s="180"/>
      <c r="I90" s="50" t="str">
        <f ca="1">IF(I89&lt;&gt;""," Completed","")</f>
        <v/>
      </c>
      <c r="J90" s="51" t="str">
        <f ca="1">IF(J88&lt;&gt;"","Completed","")</f>
        <v/>
      </c>
    </row>
    <row r="91" spans="1:10" ht="15.75" hidden="1" customHeight="1" x14ac:dyDescent="0.35">
      <c r="A91" s="101" t="s">
        <v>47</v>
      </c>
      <c r="B91" s="102"/>
      <c r="C91" s="42" t="s">
        <v>137</v>
      </c>
      <c r="D91" s="42" t="s">
        <v>80</v>
      </c>
      <c r="E91" s="102" t="s">
        <v>82</v>
      </c>
      <c r="F91" s="102"/>
      <c r="G91" s="102" t="s">
        <v>81</v>
      </c>
      <c r="H91" s="135"/>
      <c r="I91" s="13" t="s">
        <v>139</v>
      </c>
      <c r="J91" s="27">
        <f ca="1">H89*25%</f>
        <v>2.25</v>
      </c>
    </row>
    <row r="92" spans="1:10" hidden="1" x14ac:dyDescent="0.35">
      <c r="A92" s="101" t="s">
        <v>126</v>
      </c>
      <c r="B92" s="102"/>
      <c r="C92" s="77">
        <v>0</v>
      </c>
      <c r="D92" s="18">
        <f ca="1">((100/H89)*C92)/100</f>
        <v>0</v>
      </c>
      <c r="E92" s="136">
        <f ca="1">(((C93/H89*10)+(40/(D89+F89+H89)*C94)+(7.5/(H89)*C95)+(7.5/(H89)*C96)+(10/H89*C97)+(10/H89*C98)+(5/H89*C99)+(5/H89*C100)+(5/H89*C101))/100)</f>
        <v>0</v>
      </c>
      <c r="F92" s="137"/>
      <c r="G92" s="136">
        <f ca="1">((((C92/H89)*20)+((C93/H89)*25)+(30/(H89+F89+D89)*C94)+(5/H89*C95)+(5/H89*C96)+(5/H89*C97)+(5/H89*C98)+(0/H89*C99)+(0/H89*C100)+(5/H89*C101))/100)</f>
        <v>0</v>
      </c>
      <c r="H92" s="181"/>
      <c r="I92" s="13" t="s">
        <v>98</v>
      </c>
      <c r="J92" s="28">
        <f ca="1">H89*50%</f>
        <v>4.5</v>
      </c>
    </row>
    <row r="93" spans="1:10" hidden="1" x14ac:dyDescent="0.35">
      <c r="A93" s="101" t="s">
        <v>48</v>
      </c>
      <c r="B93" s="102"/>
      <c r="C93" s="72">
        <v>0</v>
      </c>
      <c r="D93" s="18">
        <f ca="1">((100/H89)*C93)/100</f>
        <v>0</v>
      </c>
      <c r="E93" s="138"/>
      <c r="F93" s="139"/>
      <c r="G93" s="138"/>
      <c r="H93" s="182"/>
      <c r="I93" s="13" t="s">
        <v>99</v>
      </c>
      <c r="J93" s="28">
        <f ca="1">H89</f>
        <v>9</v>
      </c>
    </row>
    <row r="94" spans="1:10" ht="15.75" hidden="1" customHeight="1" x14ac:dyDescent="0.35">
      <c r="A94" s="101" t="s">
        <v>127</v>
      </c>
      <c r="B94" s="102"/>
      <c r="C94" s="72">
        <v>0</v>
      </c>
      <c r="D94" s="18">
        <f ca="1">((100/(D89+F89+H89))*C94)/100</f>
        <v>0</v>
      </c>
      <c r="E94" s="138"/>
      <c r="F94" s="139"/>
      <c r="G94" s="138"/>
      <c r="H94" s="182"/>
      <c r="I94" s="13" t="s">
        <v>100</v>
      </c>
      <c r="J94" s="29">
        <f ca="1">(IF(B89&gt;1,(H89/(B89+2)),H89/4))</f>
        <v>2.25</v>
      </c>
    </row>
    <row r="95" spans="1:10" ht="15.75" hidden="1" customHeight="1" x14ac:dyDescent="0.35">
      <c r="A95" s="101" t="s">
        <v>134</v>
      </c>
      <c r="B95" s="102" t="s">
        <v>128</v>
      </c>
      <c r="C95" s="61">
        <v>0</v>
      </c>
      <c r="D95" s="18">
        <f ca="1">((100/H89)*C95)/100</f>
        <v>0</v>
      </c>
      <c r="E95" s="138"/>
      <c r="F95" s="139"/>
      <c r="G95" s="138"/>
      <c r="H95" s="182"/>
      <c r="I95" s="13" t="s">
        <v>101</v>
      </c>
      <c r="J95" s="29">
        <f ca="1">(IF(B89&gt;1,(H89/(B89+2)+J94),H89/4+J94))</f>
        <v>4.5</v>
      </c>
    </row>
    <row r="96" spans="1:10" ht="15.75" hidden="1" customHeight="1" x14ac:dyDescent="0.35">
      <c r="A96" s="101" t="s">
        <v>135</v>
      </c>
      <c r="B96" s="102" t="s">
        <v>128</v>
      </c>
      <c r="C96" s="61">
        <v>0</v>
      </c>
      <c r="D96" s="18">
        <f ca="1">((100/H89)*C96)/100</f>
        <v>0</v>
      </c>
      <c r="E96" s="138"/>
      <c r="F96" s="139"/>
      <c r="G96" s="138"/>
      <c r="H96" s="182"/>
      <c r="I96" s="13" t="s">
        <v>144</v>
      </c>
      <c r="J96" s="29">
        <f>(IF(B89&gt;1,(H89/(B89+2)+J95),0))</f>
        <v>0</v>
      </c>
    </row>
    <row r="97" spans="1:22" ht="15" hidden="1" customHeight="1" x14ac:dyDescent="0.35">
      <c r="A97" s="101" t="s">
        <v>133</v>
      </c>
      <c r="B97" s="102" t="s">
        <v>130</v>
      </c>
      <c r="C97" s="61">
        <v>0</v>
      </c>
      <c r="D97" s="18">
        <f ca="1">((100/(H89))*C97)/100</f>
        <v>0</v>
      </c>
      <c r="E97" s="138"/>
      <c r="F97" s="139"/>
      <c r="G97" s="138"/>
      <c r="H97" s="182"/>
      <c r="I97" s="13" t="s">
        <v>141</v>
      </c>
      <c r="J97" s="29">
        <f>(IF(B89&gt;2,(H89/(B89+2)+J96),0))</f>
        <v>0</v>
      </c>
    </row>
    <row r="98" spans="1:22" ht="15.75" hidden="1" customHeight="1" x14ac:dyDescent="0.35">
      <c r="A98" s="101" t="s">
        <v>129</v>
      </c>
      <c r="B98" s="102" t="s">
        <v>129</v>
      </c>
      <c r="C98" s="61">
        <v>0</v>
      </c>
      <c r="D98" s="18">
        <f ca="1">((100/H89)*C98)/100</f>
        <v>0</v>
      </c>
      <c r="E98" s="138"/>
      <c r="F98" s="139"/>
      <c r="G98" s="138"/>
      <c r="H98" s="182"/>
      <c r="I98" s="13" t="s">
        <v>142</v>
      </c>
      <c r="J98" s="30">
        <f>(IF(B89&gt;3,(H89/(B89+2)+J97),0))</f>
        <v>0</v>
      </c>
    </row>
    <row r="99" spans="1:22" ht="15.75" hidden="1" customHeight="1" x14ac:dyDescent="0.35">
      <c r="A99" s="101" t="s">
        <v>136</v>
      </c>
      <c r="B99" s="102"/>
      <c r="C99" s="42">
        <v>0</v>
      </c>
      <c r="D99" s="18">
        <f ca="1">((100/H89)*C99)/100</f>
        <v>0</v>
      </c>
      <c r="E99" s="138"/>
      <c r="F99" s="139"/>
      <c r="G99" s="138"/>
      <c r="H99" s="182"/>
      <c r="I99" s="13" t="s">
        <v>143</v>
      </c>
      <c r="J99" s="29">
        <f>(IF(B89&gt;4,(H89/(B89+2)+J98),0))</f>
        <v>0</v>
      </c>
    </row>
    <row r="100" spans="1:22" ht="15.75" hidden="1" customHeight="1" x14ac:dyDescent="0.35">
      <c r="A100" s="101" t="s">
        <v>131</v>
      </c>
      <c r="B100" s="102" t="s">
        <v>131</v>
      </c>
      <c r="C100" s="42">
        <v>0</v>
      </c>
      <c r="D100" s="18">
        <f ca="1">((100/(H89))*C100)/100</f>
        <v>0</v>
      </c>
      <c r="E100" s="138"/>
      <c r="F100" s="139"/>
      <c r="G100" s="138"/>
      <c r="H100" s="182"/>
      <c r="I100" s="13" t="s">
        <v>145</v>
      </c>
      <c r="J100" s="29">
        <f ca="1">(IF(B89=1,(H89/(B89+3)+J95),IF(B89=0,(H89/4+J95),IF(B89&gt;1,0))))</f>
        <v>6.75</v>
      </c>
    </row>
    <row r="101" spans="1:22" ht="16" hidden="1" thickBot="1" x14ac:dyDescent="0.4">
      <c r="A101" s="143" t="s">
        <v>132</v>
      </c>
      <c r="B101" s="144"/>
      <c r="C101" s="43">
        <v>0</v>
      </c>
      <c r="D101" s="19">
        <f ca="1">((100/(H89))*C101)/100</f>
        <v>0</v>
      </c>
      <c r="E101" s="140"/>
      <c r="F101" s="141"/>
      <c r="G101" s="140"/>
      <c r="H101" s="183"/>
      <c r="I101" s="14" t="s">
        <v>102</v>
      </c>
      <c r="J101" s="31">
        <f ca="1">(IF(B89&gt;1.5,(H89/(B89+2)+J95+MAX(0,J96-J95)+MAX(0,J97-J96)+MAX(0,J98-J97)+MAX(0,J99-J98)+MAX(0,J100-J99)),IF(B89=1,(H89/(B89+3)+J100),IF(B89=0,H89/4+J100))))</f>
        <v>9</v>
      </c>
    </row>
    <row r="102" spans="1:22" x14ac:dyDescent="0.35">
      <c r="A102" s="194" t="s">
        <v>154</v>
      </c>
      <c r="B102" s="194"/>
      <c r="C102" s="194"/>
      <c r="D102" s="194"/>
      <c r="E102" s="194"/>
      <c r="F102" s="142" t="s">
        <v>158</v>
      </c>
      <c r="G102" s="142"/>
      <c r="H102" s="142"/>
      <c r="R102" t="s">
        <v>249</v>
      </c>
      <c r="S102" t="s">
        <v>170</v>
      </c>
      <c r="T102" t="s">
        <v>176</v>
      </c>
      <c r="U102" t="s">
        <v>191</v>
      </c>
      <c r="V102" t="s">
        <v>186</v>
      </c>
    </row>
    <row r="103" spans="1:22" x14ac:dyDescent="0.35">
      <c r="A103" s="91" t="s">
        <v>156</v>
      </c>
      <c r="B103" s="91"/>
      <c r="C103" s="91"/>
      <c r="D103" s="91"/>
      <c r="E103" s="91"/>
      <c r="F103" s="88">
        <v>3500</v>
      </c>
      <c r="G103" s="88"/>
      <c r="H103" s="88"/>
      <c r="R103"/>
      <c r="S103">
        <v>800000</v>
      </c>
      <c r="T103">
        <v>150000</v>
      </c>
      <c r="U103">
        <v>100000</v>
      </c>
      <c r="V103">
        <v>100000</v>
      </c>
    </row>
    <row r="104" spans="1:22" x14ac:dyDescent="0.35">
      <c r="A104" s="91" t="s">
        <v>155</v>
      </c>
      <c r="B104" s="91"/>
      <c r="C104" s="91"/>
      <c r="D104" s="91"/>
      <c r="E104" s="91"/>
      <c r="F104" s="88">
        <v>6000</v>
      </c>
      <c r="G104" s="88"/>
      <c r="H104" s="88"/>
      <c r="R104"/>
      <c r="S104">
        <v>900000</v>
      </c>
      <c r="T104">
        <v>200000</v>
      </c>
      <c r="U104">
        <v>150000</v>
      </c>
      <c r="V104">
        <v>150000</v>
      </c>
    </row>
    <row r="105" spans="1:22" x14ac:dyDescent="0.35">
      <c r="A105" s="91" t="s">
        <v>157</v>
      </c>
      <c r="B105" s="91"/>
      <c r="C105" s="91"/>
      <c r="D105" s="91"/>
      <c r="E105" s="91"/>
      <c r="F105" s="88">
        <v>5000</v>
      </c>
      <c r="G105" s="88"/>
      <c r="H105" s="88"/>
      <c r="R105"/>
      <c r="S105">
        <v>1000000</v>
      </c>
      <c r="T105">
        <v>250000</v>
      </c>
      <c r="U105">
        <v>200000</v>
      </c>
      <c r="V105">
        <v>200000</v>
      </c>
    </row>
    <row r="106" spans="1:22" s="32" customFormat="1" hidden="1" x14ac:dyDescent="0.35">
      <c r="A106" s="91" t="s">
        <v>173</v>
      </c>
      <c r="B106" s="91"/>
      <c r="C106" s="91"/>
      <c r="D106" s="91"/>
      <c r="E106" s="91"/>
      <c r="F106" s="88"/>
      <c r="G106" s="88"/>
      <c r="H106" s="88"/>
      <c r="R106"/>
      <c r="S106">
        <v>1100000</v>
      </c>
      <c r="T106">
        <v>300000</v>
      </c>
      <c r="U106">
        <v>250000</v>
      </c>
      <c r="V106" s="22">
        <v>250000</v>
      </c>
    </row>
    <row r="107" spans="1:22" s="32" customFormat="1" hidden="1" x14ac:dyDescent="0.35">
      <c r="A107" s="91" t="s">
        <v>92</v>
      </c>
      <c r="B107" s="91"/>
      <c r="C107" s="91"/>
      <c r="D107" s="91"/>
      <c r="E107" s="91"/>
      <c r="F107" s="88"/>
      <c r="G107" s="88"/>
      <c r="H107" s="88"/>
      <c r="R107"/>
      <c r="S107">
        <v>1200000</v>
      </c>
      <c r="T107">
        <v>350000</v>
      </c>
      <c r="U107">
        <v>300000</v>
      </c>
      <c r="V107">
        <v>300000</v>
      </c>
    </row>
    <row r="108" spans="1:22" s="32" customFormat="1" hidden="1" x14ac:dyDescent="0.35">
      <c r="A108" s="91" t="s">
        <v>93</v>
      </c>
      <c r="B108" s="91"/>
      <c r="C108" s="91"/>
      <c r="D108" s="91"/>
      <c r="E108" s="91"/>
      <c r="F108" s="88"/>
      <c r="G108" s="88"/>
      <c r="H108" s="88"/>
      <c r="R108"/>
      <c r="S108">
        <v>1300000</v>
      </c>
      <c r="T108">
        <v>400000</v>
      </c>
      <c r="U108">
        <v>350000</v>
      </c>
      <c r="V108" s="22">
        <v>400000</v>
      </c>
    </row>
    <row r="109" spans="1:22" s="32" customFormat="1" hidden="1" x14ac:dyDescent="0.35">
      <c r="A109" s="91" t="s">
        <v>94</v>
      </c>
      <c r="B109" s="91"/>
      <c r="C109" s="91"/>
      <c r="D109" s="91"/>
      <c r="E109" s="91"/>
      <c r="F109" s="88"/>
      <c r="G109" s="88"/>
      <c r="H109" s="88"/>
      <c r="R109"/>
      <c r="S109">
        <v>1400000</v>
      </c>
      <c r="T109">
        <v>500000</v>
      </c>
      <c r="U109">
        <v>400000</v>
      </c>
      <c r="V109"/>
    </row>
    <row r="110" spans="1:22" s="32" customFormat="1" hidden="1" x14ac:dyDescent="0.35">
      <c r="A110" s="91" t="s">
        <v>95</v>
      </c>
      <c r="B110" s="91"/>
      <c r="C110" s="91"/>
      <c r="D110" s="91"/>
      <c r="E110" s="91"/>
      <c r="F110" s="88"/>
      <c r="G110" s="88"/>
      <c r="H110" s="88"/>
      <c r="R110"/>
      <c r="S110">
        <v>1500000</v>
      </c>
      <c r="T110">
        <v>600000</v>
      </c>
      <c r="U110">
        <v>500000</v>
      </c>
      <c r="V110" s="22"/>
    </row>
    <row r="111" spans="1:22" s="32" customFormat="1" hidden="1" x14ac:dyDescent="0.35">
      <c r="A111" s="91" t="s">
        <v>96</v>
      </c>
      <c r="B111" s="91"/>
      <c r="C111" s="91"/>
      <c r="D111" s="91"/>
      <c r="E111" s="91"/>
      <c r="F111" s="88"/>
      <c r="G111" s="88"/>
      <c r="H111" s="88"/>
      <c r="R111"/>
      <c r="S111">
        <v>1600000</v>
      </c>
      <c r="T111">
        <v>700000</v>
      </c>
      <c r="U111">
        <v>600000</v>
      </c>
      <c r="V111"/>
    </row>
    <row r="112" spans="1:22" s="32" customFormat="1" hidden="1" x14ac:dyDescent="0.35">
      <c r="A112" s="91" t="s">
        <v>97</v>
      </c>
      <c r="B112" s="91"/>
      <c r="C112" s="91"/>
      <c r="D112" s="91"/>
      <c r="E112" s="91"/>
      <c r="F112" s="88"/>
      <c r="G112" s="88"/>
      <c r="H112" s="88"/>
      <c r="R112"/>
      <c r="S112">
        <v>1700000</v>
      </c>
      <c r="T112">
        <v>800000</v>
      </c>
      <c r="U112"/>
      <c r="V112" s="22"/>
    </row>
    <row r="113" spans="1:22" x14ac:dyDescent="0.35">
      <c r="A113" s="91" t="s">
        <v>49</v>
      </c>
      <c r="B113" s="91"/>
      <c r="C113" s="91"/>
      <c r="D113" s="91"/>
      <c r="E113" s="91"/>
      <c r="F113" s="88">
        <v>200000</v>
      </c>
      <c r="G113" s="88"/>
      <c r="H113" s="88"/>
      <c r="R113"/>
      <c r="S113">
        <v>1800000</v>
      </c>
      <c r="T113">
        <v>900000</v>
      </c>
      <c r="U113"/>
    </row>
    <row r="114" spans="1:22" s="33" customFormat="1" x14ac:dyDescent="0.35">
      <c r="A114" s="151" t="s">
        <v>50</v>
      </c>
      <c r="B114" s="151"/>
      <c r="C114" s="151"/>
      <c r="D114" s="151"/>
      <c r="E114" s="151"/>
      <c r="F114" s="88">
        <f>F103*0.8</f>
        <v>2800</v>
      </c>
      <c r="G114" s="88"/>
      <c r="H114" s="88"/>
      <c r="R114" s="20"/>
      <c r="S114" s="20"/>
      <c r="T114">
        <v>1000000</v>
      </c>
      <c r="U114"/>
      <c r="V114" s="20"/>
    </row>
    <row r="115" spans="1:22" s="34" customFormat="1" ht="15.75" customHeight="1" x14ac:dyDescent="0.35">
      <c r="A115" s="150" t="s">
        <v>72</v>
      </c>
      <c r="B115" s="150"/>
      <c r="C115" s="150"/>
      <c r="D115" s="150"/>
      <c r="E115" s="150"/>
      <c r="F115" s="150"/>
      <c r="G115" s="150"/>
      <c r="H115" s="150"/>
      <c r="R115"/>
      <c r="S115" s="20"/>
      <c r="T115"/>
      <c r="U115"/>
      <c r="V115" s="20"/>
    </row>
    <row r="116" spans="1:22" s="34" customFormat="1" ht="15.75" customHeight="1" x14ac:dyDescent="0.35">
      <c r="A116" s="90" t="s">
        <v>51</v>
      </c>
      <c r="B116" s="90"/>
      <c r="C116" s="97" t="s">
        <v>75</v>
      </c>
      <c r="D116" s="97"/>
      <c r="E116" s="95" t="s">
        <v>52</v>
      </c>
      <c r="F116" s="95"/>
      <c r="G116" s="90" t="s">
        <v>53</v>
      </c>
      <c r="H116" s="90"/>
      <c r="R116"/>
      <c r="S116" s="20"/>
      <c r="T116"/>
      <c r="U116" s="20"/>
      <c r="V116" s="20"/>
    </row>
    <row r="117" spans="1:22" s="34" customFormat="1" x14ac:dyDescent="0.35">
      <c r="A117" s="96" t="s">
        <v>353</v>
      </c>
      <c r="B117" s="96"/>
      <c r="C117" s="123">
        <f>COUNT(D139:D157)</f>
        <v>19</v>
      </c>
      <c r="D117" s="124"/>
      <c r="E117" s="123">
        <f t="shared" ref="E117" si="0">SUM(F139:F157)</f>
        <v>6932.0967300000002</v>
      </c>
      <c r="F117" s="124"/>
      <c r="G117" s="123">
        <f t="shared" ref="G117" si="1">SUM(H139:H157)</f>
        <v>10744.749931499999</v>
      </c>
      <c r="H117" s="124"/>
      <c r="R117"/>
      <c r="S117" s="20"/>
      <c r="T117"/>
      <c r="U117" s="20"/>
      <c r="V117" s="20"/>
    </row>
    <row r="118" spans="1:22" s="34" customFormat="1" x14ac:dyDescent="0.35">
      <c r="A118" s="96" t="s">
        <v>352</v>
      </c>
      <c r="B118" s="96"/>
      <c r="C118" s="123">
        <f>COUNT(D159:D170,D178:D187)</f>
        <v>22</v>
      </c>
      <c r="D118" s="124"/>
      <c r="E118" s="123">
        <f t="shared" ref="E118" si="2">SUM(F159:F170,F178:F187)</f>
        <v>4944.4703099999997</v>
      </c>
      <c r="F118" s="124"/>
      <c r="G118" s="123">
        <f t="shared" ref="G118" si="3">SUM(H159:H170,H178:H187)</f>
        <v>7416.7054649999973</v>
      </c>
      <c r="H118" s="124"/>
      <c r="R118"/>
      <c r="S118" s="20"/>
      <c r="T118"/>
      <c r="U118" s="20"/>
      <c r="V118" s="20"/>
    </row>
    <row r="119" spans="1:22" s="34" customFormat="1" x14ac:dyDescent="0.35">
      <c r="A119" s="150" t="s">
        <v>148</v>
      </c>
      <c r="B119" s="150"/>
      <c r="C119" s="201">
        <f>SUM(C117:D118)</f>
        <v>41</v>
      </c>
      <c r="D119" s="97"/>
      <c r="E119" s="202">
        <f t="shared" ref="E119" si="4">SUM(E117:F118)</f>
        <v>11876.56704</v>
      </c>
      <c r="F119" s="95"/>
      <c r="G119" s="90">
        <f t="shared" ref="G119" si="5">SUM(G117:H118)</f>
        <v>18161.455396499994</v>
      </c>
      <c r="H119" s="90"/>
      <c r="R119"/>
      <c r="S119" s="20"/>
      <c r="T119"/>
      <c r="U119" s="20"/>
      <c r="V119" s="20"/>
    </row>
    <row r="120" spans="1:22" s="34" customFormat="1" x14ac:dyDescent="0.35">
      <c r="A120" s="150" t="s">
        <v>67</v>
      </c>
      <c r="B120" s="150"/>
      <c r="C120" s="150"/>
      <c r="D120" s="150"/>
      <c r="E120" s="150"/>
      <c r="F120" s="150"/>
      <c r="G120" s="150"/>
      <c r="H120" s="150"/>
      <c r="T120"/>
    </row>
    <row r="121" spans="1:22" s="34" customFormat="1" ht="15.75" customHeight="1" x14ac:dyDescent="0.35">
      <c r="A121" s="90" t="s">
        <v>51</v>
      </c>
      <c r="B121" s="90"/>
      <c r="C121" s="97" t="s">
        <v>75</v>
      </c>
      <c r="D121" s="97"/>
      <c r="E121" s="95" t="s">
        <v>52</v>
      </c>
      <c r="F121" s="95"/>
      <c r="G121" s="90" t="s">
        <v>53</v>
      </c>
      <c r="H121" s="90"/>
      <c r="T121"/>
    </row>
    <row r="122" spans="1:22" s="34" customFormat="1" ht="16" thickBot="1" x14ac:dyDescent="0.4">
      <c r="A122" s="96" t="s">
        <v>335</v>
      </c>
      <c r="B122" s="96"/>
      <c r="C122" s="124">
        <f>COUNT(D193,D197,D200:D201,D204)+COUNT(D210:D225)+COUNT(D227:D242)*6+COUNT(D244:D248,D250:D259)</f>
        <v>132</v>
      </c>
      <c r="D122" s="124"/>
      <c r="E122" s="123">
        <f t="shared" ref="E122" si="6">SUM(F193,F197,F200:F201,F204)+SUM(F210:F225)+SUM(F227:F242)*6+SUM(F244:F248,F250:F259)</f>
        <v>57339.101429999988</v>
      </c>
      <c r="F122" s="123"/>
      <c r="G122" s="123">
        <f t="shared" ref="G122" si="7">SUM(H193,H197,H200:H201,H204)+SUM(H210:H225)+SUM(H227:H242)*6+SUM(H244:H248,H250:H259)</f>
        <v>86655.380174999969</v>
      </c>
      <c r="H122" s="123"/>
      <c r="T122"/>
    </row>
    <row r="123" spans="1:22" s="34" customFormat="1" ht="16" hidden="1" thickBot="1" x14ac:dyDescent="0.4">
      <c r="A123" s="197" t="s">
        <v>148</v>
      </c>
      <c r="B123" s="197"/>
      <c r="C123" s="125"/>
      <c r="D123" s="125"/>
      <c r="E123" s="198">
        <f>SUM(E122:F122)</f>
        <v>57339.101429999988</v>
      </c>
      <c r="F123" s="199"/>
      <c r="G123" s="200">
        <f>SUM(G122:H122)</f>
        <v>86655.380174999969</v>
      </c>
      <c r="H123" s="200"/>
      <c r="T123"/>
    </row>
    <row r="124" spans="1:22" s="34" customFormat="1" ht="16" thickBot="1" x14ac:dyDescent="0.4">
      <c r="A124" s="131" t="s">
        <v>164</v>
      </c>
      <c r="B124" s="132"/>
      <c r="C124" s="145">
        <f>C119+C122</f>
        <v>173</v>
      </c>
      <c r="D124" s="146"/>
      <c r="E124" s="145">
        <f>E119+E122</f>
        <v>69215.66846999999</v>
      </c>
      <c r="F124" s="146"/>
      <c r="G124" s="145">
        <f>G119+G122</f>
        <v>104816.83557149996</v>
      </c>
      <c r="H124" s="146"/>
      <c r="T124"/>
    </row>
    <row r="125" spans="1:22" s="33" customFormat="1" x14ac:dyDescent="0.35">
      <c r="A125" s="142" t="s">
        <v>54</v>
      </c>
      <c r="B125" s="142"/>
      <c r="C125" s="142"/>
      <c r="D125" s="142"/>
      <c r="E125" s="142"/>
      <c r="F125" s="142"/>
      <c r="G125" s="142"/>
      <c r="H125" s="142"/>
      <c r="T125" s="34"/>
    </row>
    <row r="126" spans="1:22" x14ac:dyDescent="0.35">
      <c r="A126" s="89" t="s">
        <v>172</v>
      </c>
      <c r="B126" s="89"/>
      <c r="C126" s="89"/>
      <c r="D126" s="89"/>
      <c r="E126" s="89"/>
      <c r="F126" s="89"/>
      <c r="G126" s="89"/>
      <c r="H126" s="89"/>
      <c r="T126" s="34"/>
    </row>
    <row r="127" spans="1:22" ht="47.25" customHeight="1" x14ac:dyDescent="0.35">
      <c r="A127" s="133" t="s">
        <v>117</v>
      </c>
      <c r="B127" s="133" t="s">
        <v>174</v>
      </c>
      <c r="C127" s="133" t="s">
        <v>55</v>
      </c>
      <c r="D127" s="121" t="s">
        <v>340</v>
      </c>
      <c r="E127" s="174" t="s">
        <v>341</v>
      </c>
      <c r="F127" s="133" t="s">
        <v>56</v>
      </c>
      <c r="G127" s="186" t="s">
        <v>57</v>
      </c>
      <c r="H127" s="81" t="s">
        <v>147</v>
      </c>
      <c r="T127" s="34"/>
    </row>
    <row r="128" spans="1:22" s="36" customFormat="1" x14ac:dyDescent="0.35">
      <c r="A128" s="134"/>
      <c r="B128" s="134"/>
      <c r="C128" s="134"/>
      <c r="D128" s="122"/>
      <c r="E128" s="175"/>
      <c r="F128" s="134"/>
      <c r="G128" s="187"/>
      <c r="H128" s="85">
        <v>0.55000000000000004</v>
      </c>
      <c r="T128" s="34"/>
    </row>
    <row r="129" spans="1:20" s="69" customFormat="1" x14ac:dyDescent="0.35">
      <c r="A129" s="126" t="s">
        <v>335</v>
      </c>
      <c r="B129" s="127"/>
      <c r="C129" s="127"/>
      <c r="D129" s="127"/>
      <c r="E129" s="127"/>
      <c r="F129" s="127"/>
      <c r="G129" s="127"/>
      <c r="H129" s="128"/>
      <c r="J129" s="35"/>
      <c r="T129" s="34"/>
    </row>
    <row r="130" spans="1:20" s="69" customFormat="1" x14ac:dyDescent="0.35">
      <c r="A130" s="126" t="s">
        <v>336</v>
      </c>
      <c r="B130" s="127"/>
      <c r="C130" s="127"/>
      <c r="D130" s="127"/>
      <c r="E130" s="127"/>
      <c r="F130" s="127"/>
      <c r="G130" s="127"/>
      <c r="H130" s="128"/>
      <c r="J130" s="35"/>
      <c r="T130" s="34"/>
    </row>
    <row r="131" spans="1:20" s="36" customFormat="1" x14ac:dyDescent="0.35">
      <c r="A131" s="126" t="s">
        <v>337</v>
      </c>
      <c r="B131" s="127"/>
      <c r="C131" s="127"/>
      <c r="D131" s="127"/>
      <c r="E131" s="127"/>
      <c r="F131" s="127"/>
      <c r="G131" s="127"/>
      <c r="H131" s="128"/>
      <c r="J131" s="35"/>
      <c r="L131" s="78"/>
      <c r="M131" s="78"/>
      <c r="N131" s="78"/>
      <c r="T131" s="34"/>
    </row>
    <row r="132" spans="1:20" s="36" customFormat="1" ht="15.75" hidden="1" customHeight="1" x14ac:dyDescent="0.35">
      <c r="A132" s="129">
        <v>1</v>
      </c>
      <c r="B132" s="130"/>
      <c r="C132" s="41" t="s">
        <v>303</v>
      </c>
      <c r="D132" s="70">
        <f>(40.74)*(10.764)</f>
        <v>438.52535999999998</v>
      </c>
      <c r="E132" s="70">
        <f>((2.8)*0.75)*(10.764)</f>
        <v>22.604399999999995</v>
      </c>
      <c r="F132" s="62">
        <f>D132+(IF(E132&lt;201,E132,IF(E132&lt;301,E132/2,E132/3)))</f>
        <v>461.12975999999998</v>
      </c>
      <c r="G132" s="63">
        <v>0</v>
      </c>
      <c r="H132" s="62">
        <f>(F132+(IF(G132&lt;101,G132,IF(G132&lt;201,G132/2,IF(G132&lt;=301,G132/3,G132/4)))))*(($H$128)+1)</f>
        <v>714.75112799999999</v>
      </c>
      <c r="I132" s="35">
        <f>2.8*14.55</f>
        <v>40.74</v>
      </c>
      <c r="L132" s="196"/>
      <c r="M132" s="196"/>
      <c r="N132" s="79"/>
      <c r="T132" s="34"/>
    </row>
    <row r="133" spans="1:20" s="36" customFormat="1" ht="15.75" hidden="1" customHeight="1" x14ac:dyDescent="0.35">
      <c r="A133" s="129">
        <f>A132+1</f>
        <v>2</v>
      </c>
      <c r="B133" s="130"/>
      <c r="C133" s="68" t="s">
        <v>303</v>
      </c>
      <c r="D133" s="70">
        <f>(30.55)*(10.764)</f>
        <v>328.84019999999998</v>
      </c>
      <c r="E133" s="70">
        <f>((2.1)*0.75)*(10.764)</f>
        <v>16.953300000000002</v>
      </c>
      <c r="F133" s="62">
        <f t="shared" ref="F133:F135" si="8">D133+(IF(E133&lt;201,E133,IF(E133&lt;301,E133/2,E133/3)))</f>
        <v>345.79349999999999</v>
      </c>
      <c r="G133" s="55">
        <v>0</v>
      </c>
      <c r="H133" s="62">
        <f t="shared" ref="H133:H135" si="9">(F133+(IF(G133&lt;101,G133,IF(G133&lt;201,G133/2,IF(G133&lt;=301,G133/3,G133/4)))))*(($H$128)+1)</f>
        <v>535.97992499999998</v>
      </c>
      <c r="I133" s="35">
        <f>2.1*14.55</f>
        <v>30.555000000000003</v>
      </c>
      <c r="L133" s="68">
        <v>0.75</v>
      </c>
      <c r="M133" s="80"/>
      <c r="N133" s="79"/>
      <c r="T133" s="33"/>
    </row>
    <row r="134" spans="1:20" s="36" customFormat="1" ht="15.75" hidden="1" customHeight="1" x14ac:dyDescent="0.35">
      <c r="A134" s="129">
        <f>A133+1</f>
        <v>3</v>
      </c>
      <c r="B134" s="130"/>
      <c r="C134" s="68" t="s">
        <v>303</v>
      </c>
      <c r="D134" s="70">
        <f>(40.47)*(10.764)</f>
        <v>435.61907999999994</v>
      </c>
      <c r="E134" s="70">
        <f>((2.75)*0.75)*(10.764)</f>
        <v>22.200749999999999</v>
      </c>
      <c r="F134" s="62">
        <f t="shared" si="8"/>
        <v>457.81982999999991</v>
      </c>
      <c r="G134" s="55">
        <v>0</v>
      </c>
      <c r="H134" s="62">
        <f t="shared" si="9"/>
        <v>709.62073649999991</v>
      </c>
      <c r="I134" s="70">
        <f>10.764</f>
        <v>10.763999999999999</v>
      </c>
      <c r="L134" s="196"/>
      <c r="M134" s="196"/>
      <c r="N134" s="79"/>
      <c r="T134" s="20"/>
    </row>
    <row r="135" spans="1:20" s="36" customFormat="1" ht="14.25" hidden="1" customHeight="1" x14ac:dyDescent="0.35">
      <c r="A135" s="129">
        <f>A134+1</f>
        <v>4</v>
      </c>
      <c r="B135" s="130"/>
      <c r="C135" s="68" t="s">
        <v>303</v>
      </c>
      <c r="D135" s="70">
        <f>(39.48)*(10.764)</f>
        <v>424.96271999999993</v>
      </c>
      <c r="E135" s="70">
        <f>((4.05)*0.75)*(10.764)</f>
        <v>32.695649999999993</v>
      </c>
      <c r="F135" s="62">
        <f t="shared" si="8"/>
        <v>457.65836999999993</v>
      </c>
      <c r="G135" s="55">
        <v>0</v>
      </c>
      <c r="H135" s="62">
        <f t="shared" si="9"/>
        <v>709.37047349999989</v>
      </c>
      <c r="I135" s="35"/>
      <c r="L135" s="196"/>
      <c r="M135" s="196"/>
      <c r="N135" s="79"/>
      <c r="T135" s="20"/>
    </row>
    <row r="136" spans="1:20" s="69" customFormat="1" ht="15.75" hidden="1" customHeight="1" x14ac:dyDescent="0.35">
      <c r="A136" s="129">
        <f t="shared" ref="A136:A139" si="10">A135+1</f>
        <v>5</v>
      </c>
      <c r="B136" s="130"/>
      <c r="C136" s="68" t="s">
        <v>303</v>
      </c>
      <c r="D136" s="70">
        <f>(32.35)*(10.764)</f>
        <v>348.21539999999999</v>
      </c>
      <c r="E136" s="70">
        <f>((2.75)*0.75)*(10.764)</f>
        <v>22.200749999999999</v>
      </c>
      <c r="F136" s="68">
        <f>D136+(IF(E136&lt;201,E136,IF(E136&lt;301,E136/2,E136/3)))</f>
        <v>370.41615000000002</v>
      </c>
      <c r="G136" s="63">
        <v>0</v>
      </c>
      <c r="H136" s="68">
        <f>(F136+(IF(G136&lt;101,G136,IF(G136&lt;201,G136/2,IF(G136&lt;=301,G136/3,G136/4)))))*(($H$128)+1)</f>
        <v>574.14503250000007</v>
      </c>
      <c r="I136" s="35"/>
      <c r="L136" s="203"/>
      <c r="M136" s="203"/>
      <c r="N136" s="35"/>
      <c r="T136" s="34"/>
    </row>
    <row r="137" spans="1:20" s="69" customFormat="1" ht="15.75" hidden="1" customHeight="1" x14ac:dyDescent="0.35">
      <c r="A137" s="129">
        <f t="shared" si="10"/>
        <v>6</v>
      </c>
      <c r="B137" s="130"/>
      <c r="C137" s="68" t="s">
        <v>303</v>
      </c>
      <c r="D137" s="70">
        <f>(40.01)*(10.764)</f>
        <v>430.66763999999995</v>
      </c>
      <c r="E137" s="70">
        <f>((2.75)*0.75)*(10.764)</f>
        <v>22.200749999999999</v>
      </c>
      <c r="F137" s="68">
        <f t="shared" ref="F137:F139" si="11">D137+(IF(E137&lt;201,E137,IF(E137&lt;301,E137/2,E137/3)))</f>
        <v>452.86838999999998</v>
      </c>
      <c r="G137" s="68">
        <v>0</v>
      </c>
      <c r="H137" s="68">
        <f t="shared" ref="H137:H139" si="12">(F137+(IF(G137&lt;101,G137,IF(G137&lt;201,G137/2,IF(G137&lt;=301,G137/3,G137/4)))))*(($H$128)+1)</f>
        <v>701.94600449999996</v>
      </c>
      <c r="I137" s="35"/>
      <c r="L137" s="203"/>
      <c r="M137" s="203"/>
      <c r="N137" s="35"/>
      <c r="T137" s="33"/>
    </row>
    <row r="138" spans="1:20" s="69" customFormat="1" ht="15.75" hidden="1" customHeight="1" x14ac:dyDescent="0.35">
      <c r="A138" s="129">
        <f t="shared" si="10"/>
        <v>7</v>
      </c>
      <c r="B138" s="130"/>
      <c r="C138" s="68" t="s">
        <v>303</v>
      </c>
      <c r="D138" s="70">
        <f>(58.92)*(10.764)</f>
        <v>634.21487999999999</v>
      </c>
      <c r="E138" s="70">
        <f>((4.05)*0.75)*(10.764)</f>
        <v>32.695649999999993</v>
      </c>
      <c r="F138" s="68">
        <f t="shared" si="11"/>
        <v>666.91052999999999</v>
      </c>
      <c r="G138" s="68">
        <v>0</v>
      </c>
      <c r="H138" s="68">
        <f t="shared" si="12"/>
        <v>1033.7113214999999</v>
      </c>
      <c r="I138" s="35"/>
      <c r="L138" s="203"/>
      <c r="M138" s="203"/>
      <c r="N138" s="35"/>
      <c r="T138" s="20"/>
    </row>
    <row r="139" spans="1:20" s="69" customFormat="1" ht="15.75" customHeight="1" x14ac:dyDescent="0.35">
      <c r="A139" s="129">
        <f t="shared" si="10"/>
        <v>8</v>
      </c>
      <c r="B139" s="130"/>
      <c r="C139" s="68" t="s">
        <v>303</v>
      </c>
      <c r="D139" s="70">
        <f>(58.92)*(10.764)</f>
        <v>634.21487999999999</v>
      </c>
      <c r="E139" s="70">
        <f>((4.05)*0.75)*(10.764)</f>
        <v>32.695649999999993</v>
      </c>
      <c r="F139" s="68">
        <f t="shared" si="11"/>
        <v>666.91052999999999</v>
      </c>
      <c r="G139" s="68">
        <v>0</v>
      </c>
      <c r="H139" s="68">
        <f t="shared" si="12"/>
        <v>1033.7113214999999</v>
      </c>
      <c r="I139" s="35"/>
      <c r="L139" s="203"/>
      <c r="M139" s="203"/>
      <c r="N139" s="35"/>
      <c r="T139" s="20"/>
    </row>
    <row r="140" spans="1:20" s="69" customFormat="1" ht="15.75" customHeight="1" x14ac:dyDescent="0.35">
      <c r="A140" s="129">
        <f>A139+1</f>
        <v>9</v>
      </c>
      <c r="B140" s="130"/>
      <c r="C140" s="68" t="s">
        <v>303</v>
      </c>
      <c r="D140" s="70">
        <f>(40.01)*(10.764)</f>
        <v>430.66763999999995</v>
      </c>
      <c r="E140" s="70">
        <f>((2.75)*0.75)*(10.764)</f>
        <v>22.200749999999999</v>
      </c>
      <c r="F140" s="68">
        <f>D140+(IF(E140&lt;201,E140,IF(E140&lt;301,E140/2,E140/3)))</f>
        <v>452.86838999999998</v>
      </c>
      <c r="G140" s="63">
        <v>0</v>
      </c>
      <c r="H140" s="68">
        <f>(F140+(IF(G140&lt;101,G140,IF(G140&lt;201,G140/2,IF(G140&lt;=301,G140/3,G140/4)))))*(($H$128)+1)</f>
        <v>701.94600449999996</v>
      </c>
      <c r="I140" s="35"/>
      <c r="J140" s="71"/>
      <c r="K140" s="71"/>
      <c r="L140" s="203"/>
      <c r="M140" s="203"/>
      <c r="N140" s="35"/>
      <c r="T140" s="34"/>
    </row>
    <row r="141" spans="1:20" s="69" customFormat="1" ht="15.75" customHeight="1" x14ac:dyDescent="0.35">
      <c r="A141" s="129">
        <f t="shared" ref="A141:A148" si="13">A140+1</f>
        <v>10</v>
      </c>
      <c r="B141" s="130"/>
      <c r="C141" s="68" t="s">
        <v>303</v>
      </c>
      <c r="D141" s="70">
        <f>(32.35)*(10.764)</f>
        <v>348.21539999999999</v>
      </c>
      <c r="E141" s="70">
        <f>((2.75)*0.75)*(10.764)</f>
        <v>22.200749999999999</v>
      </c>
      <c r="F141" s="68">
        <f t="shared" ref="F141:F143" si="14">D141+(IF(E141&lt;201,E141,IF(E141&lt;301,E141/2,E141/3)))</f>
        <v>370.41615000000002</v>
      </c>
      <c r="G141" s="68">
        <v>0</v>
      </c>
      <c r="H141" s="68">
        <f t="shared" ref="H141:H143" si="15">(F141+(IF(G141&lt;101,G141,IF(G141&lt;201,G141/2,IF(G141&lt;=301,G141/3,G141/4)))))*(($H$128)+1)</f>
        <v>574.14503250000007</v>
      </c>
      <c r="I141" s="35"/>
      <c r="J141" s="71"/>
      <c r="K141" s="71"/>
      <c r="L141" s="203"/>
      <c r="M141" s="203"/>
      <c r="N141" s="35"/>
      <c r="T141" s="33"/>
    </row>
    <row r="142" spans="1:20" s="69" customFormat="1" ht="15.75" customHeight="1" x14ac:dyDescent="0.35">
      <c r="A142" s="129">
        <f t="shared" si="13"/>
        <v>11</v>
      </c>
      <c r="B142" s="130"/>
      <c r="C142" s="68" t="s">
        <v>303</v>
      </c>
      <c r="D142" s="70">
        <f>(39.48)*(10.764)</f>
        <v>424.96271999999993</v>
      </c>
      <c r="E142" s="70">
        <f>((4.05)*0.75)*(10.764)</f>
        <v>32.695649999999993</v>
      </c>
      <c r="F142" s="68">
        <f t="shared" si="14"/>
        <v>457.65836999999993</v>
      </c>
      <c r="G142" s="68">
        <v>0</v>
      </c>
      <c r="H142" s="68">
        <f t="shared" si="15"/>
        <v>709.37047349999989</v>
      </c>
      <c r="I142" s="35"/>
      <c r="J142" s="71"/>
      <c r="K142" s="71"/>
      <c r="L142" s="203"/>
      <c r="M142" s="203"/>
      <c r="N142" s="35"/>
      <c r="T142" s="20"/>
    </row>
    <row r="143" spans="1:20" s="69" customFormat="1" ht="14.25" customHeight="1" x14ac:dyDescent="0.35">
      <c r="A143" s="129">
        <f t="shared" si="13"/>
        <v>12</v>
      </c>
      <c r="B143" s="130"/>
      <c r="C143" s="68" t="s">
        <v>303</v>
      </c>
      <c r="D143" s="70">
        <f>(40.48)*(10.764)</f>
        <v>435.72671999999994</v>
      </c>
      <c r="E143" s="70">
        <f>((2.75)*0.75)*(10.764)</f>
        <v>22.200749999999999</v>
      </c>
      <c r="F143" s="68">
        <f t="shared" si="14"/>
        <v>457.92746999999997</v>
      </c>
      <c r="G143" s="68">
        <v>0</v>
      </c>
      <c r="H143" s="68">
        <f t="shared" si="15"/>
        <v>709.7875785</v>
      </c>
      <c r="I143" s="35"/>
      <c r="J143" s="71"/>
      <c r="K143" s="71"/>
      <c r="L143" s="203"/>
      <c r="M143" s="203"/>
      <c r="N143" s="35"/>
      <c r="T143" s="20"/>
    </row>
    <row r="144" spans="1:20" s="69" customFormat="1" ht="15.75" customHeight="1" x14ac:dyDescent="0.35">
      <c r="A144" s="129">
        <f t="shared" si="13"/>
        <v>13</v>
      </c>
      <c r="B144" s="130"/>
      <c r="C144" s="68" t="s">
        <v>303</v>
      </c>
      <c r="D144" s="70">
        <f>(30.55)*(10.764)</f>
        <v>328.84019999999998</v>
      </c>
      <c r="E144" s="70">
        <f>((2.1)*0.75)*(10.764)</f>
        <v>16.953300000000002</v>
      </c>
      <c r="F144" s="68">
        <f>D144+(IF(E144&lt;201,E144,IF(E144&lt;301,E144/2,E144/3)))</f>
        <v>345.79349999999999</v>
      </c>
      <c r="G144" s="63">
        <v>0</v>
      </c>
      <c r="H144" s="68">
        <f>(F144+(IF(G144&lt;101,G144,IF(G144&lt;201,G144/2,IF(G144&lt;=301,G144/3,G144/4)))))*(($H$128)+1)</f>
        <v>535.97992499999998</v>
      </c>
      <c r="I144" s="35"/>
      <c r="J144" s="71"/>
      <c r="K144" s="71"/>
      <c r="L144" s="203"/>
      <c r="M144" s="203"/>
      <c r="N144" s="35"/>
      <c r="T144" s="34"/>
    </row>
    <row r="145" spans="1:20" s="69" customFormat="1" ht="15.75" customHeight="1" x14ac:dyDescent="0.35">
      <c r="A145" s="129">
        <f t="shared" si="13"/>
        <v>14</v>
      </c>
      <c r="B145" s="130"/>
      <c r="C145" s="68" t="s">
        <v>303</v>
      </c>
      <c r="D145" s="70">
        <f>(42.92)*(10.764)</f>
        <v>461.99088</v>
      </c>
      <c r="E145" s="70">
        <f>((2.95)*0.75)*(10.764)</f>
        <v>23.815350000000002</v>
      </c>
      <c r="F145" s="68">
        <f t="shared" ref="F145:F148" si="16">D145+(IF(E145&lt;201,E145,IF(E145&lt;301,E145/2,E145/3)))</f>
        <v>485.80623000000003</v>
      </c>
      <c r="G145" s="68">
        <v>0</v>
      </c>
      <c r="H145" s="68">
        <f t="shared" ref="H145:H148" si="17">(F145+(IF(G145&lt;101,G145,IF(G145&lt;201,G145/2,IF(G145&lt;=301,G145/3,G145/4)))))*(($H$128)+1)</f>
        <v>752.99965650000001</v>
      </c>
      <c r="I145" s="35"/>
      <c r="J145" s="71"/>
      <c r="K145" s="71"/>
      <c r="L145" s="203"/>
      <c r="M145" s="203"/>
      <c r="N145" s="35"/>
      <c r="T145" s="33"/>
    </row>
    <row r="146" spans="1:20" s="69" customFormat="1" ht="15.75" customHeight="1" x14ac:dyDescent="0.35">
      <c r="A146" s="129">
        <f t="shared" si="13"/>
        <v>15</v>
      </c>
      <c r="B146" s="130"/>
      <c r="C146" s="68" t="s">
        <v>303</v>
      </c>
      <c r="D146" s="70">
        <f>(22.27)*(10.764)</f>
        <v>239.71427999999997</v>
      </c>
      <c r="E146" s="70">
        <f>((2.75)*0.75)*(10.764)</f>
        <v>22.200749999999999</v>
      </c>
      <c r="F146" s="68">
        <f t="shared" si="16"/>
        <v>261.91503</v>
      </c>
      <c r="G146" s="68">
        <v>0</v>
      </c>
      <c r="H146" s="68">
        <f t="shared" si="17"/>
        <v>405.96829650000001</v>
      </c>
      <c r="I146" s="35"/>
      <c r="J146" s="71"/>
      <c r="K146" s="71"/>
      <c r="L146" s="203"/>
      <c r="M146" s="203"/>
      <c r="N146" s="35"/>
      <c r="T146" s="20"/>
    </row>
    <row r="147" spans="1:20" s="69" customFormat="1" ht="15.75" customHeight="1" x14ac:dyDescent="0.35">
      <c r="A147" s="129">
        <f t="shared" si="13"/>
        <v>16</v>
      </c>
      <c r="B147" s="130"/>
      <c r="C147" s="68" t="s">
        <v>303</v>
      </c>
      <c r="D147" s="70">
        <f>(32.6)*(10.764)</f>
        <v>350.90640000000002</v>
      </c>
      <c r="E147" s="70">
        <f>((4.05)*0.75)*(10.764)</f>
        <v>32.695649999999993</v>
      </c>
      <c r="F147" s="68">
        <f t="shared" si="16"/>
        <v>383.60205000000002</v>
      </c>
      <c r="G147" s="68">
        <v>0</v>
      </c>
      <c r="H147" s="68">
        <f t="shared" si="17"/>
        <v>594.58317750000003</v>
      </c>
      <c r="I147" s="35"/>
      <c r="J147" s="71"/>
      <c r="K147" s="71"/>
      <c r="L147" s="203"/>
      <c r="M147" s="203"/>
      <c r="N147" s="35"/>
      <c r="T147" s="20"/>
    </row>
    <row r="148" spans="1:20" s="69" customFormat="1" ht="15.75" customHeight="1" x14ac:dyDescent="0.35">
      <c r="A148" s="129">
        <f t="shared" si="13"/>
        <v>17</v>
      </c>
      <c r="B148" s="130"/>
      <c r="C148" s="68" t="s">
        <v>303</v>
      </c>
      <c r="D148" s="70">
        <f>(32.8)*(10.764)</f>
        <v>353.05919999999998</v>
      </c>
      <c r="E148" s="70">
        <f>((4.05)*0.75)*(10.764)</f>
        <v>32.695649999999993</v>
      </c>
      <c r="F148" s="68">
        <f t="shared" si="16"/>
        <v>385.75484999999998</v>
      </c>
      <c r="G148" s="68">
        <v>0</v>
      </c>
      <c r="H148" s="68">
        <f t="shared" si="17"/>
        <v>597.92001749999997</v>
      </c>
      <c r="I148" s="35"/>
      <c r="J148" s="71"/>
      <c r="K148" s="71"/>
      <c r="L148" s="203"/>
      <c r="M148" s="203"/>
      <c r="N148" s="35"/>
      <c r="T148" s="20"/>
    </row>
    <row r="149" spans="1:20" s="69" customFormat="1" ht="15.75" customHeight="1" x14ac:dyDescent="0.35">
      <c r="A149" s="129">
        <f t="shared" ref="A149:A156" si="18">A148+1</f>
        <v>18</v>
      </c>
      <c r="B149" s="130"/>
      <c r="C149" s="68" t="s">
        <v>303</v>
      </c>
      <c r="D149" s="70">
        <f>(22.27)*(10.764)</f>
        <v>239.71427999999997</v>
      </c>
      <c r="E149" s="70">
        <f>((2.75)*0.75)*(10.764)</f>
        <v>22.200749999999999</v>
      </c>
      <c r="F149" s="68">
        <f>D149+(IF(E149&lt;201,E149,IF(E149&lt;301,E149/2,E149/3)))</f>
        <v>261.91503</v>
      </c>
      <c r="G149" s="63">
        <v>0</v>
      </c>
      <c r="H149" s="68">
        <f>(F149+(IF(G149&lt;101,G149,IF(G149&lt;201,G149/2,IF(G149&lt;=301,G149/3,G149/4)))))*(($H$128)+1)</f>
        <v>405.96829650000001</v>
      </c>
      <c r="I149" s="35"/>
      <c r="J149" s="71"/>
      <c r="K149" s="71"/>
      <c r="L149" s="203"/>
      <c r="M149" s="203"/>
      <c r="N149" s="35"/>
      <c r="T149" s="34"/>
    </row>
    <row r="150" spans="1:20" s="69" customFormat="1" ht="15.75" customHeight="1" x14ac:dyDescent="0.35">
      <c r="A150" s="129">
        <f t="shared" si="18"/>
        <v>19</v>
      </c>
      <c r="B150" s="130"/>
      <c r="C150" s="68" t="s">
        <v>303</v>
      </c>
      <c r="D150" s="70">
        <f>(32.8)*(10.764)</f>
        <v>353.05919999999998</v>
      </c>
      <c r="E150" s="70">
        <f>((4.05)*0.75)*(10.764)</f>
        <v>32.695649999999993</v>
      </c>
      <c r="F150" s="68">
        <f t="shared" ref="F150:F152" si="19">D150+(IF(E150&lt;201,E150,IF(E150&lt;301,E150/2,E150/3)))</f>
        <v>385.75484999999998</v>
      </c>
      <c r="G150" s="68">
        <v>0</v>
      </c>
      <c r="H150" s="68">
        <f t="shared" ref="H150:H152" si="20">(F150+(IF(G150&lt;101,G150,IF(G150&lt;201,G150/2,IF(G150&lt;=301,G150/3,G150/4)))))*(($H$128)+1)</f>
        <v>597.92001749999997</v>
      </c>
      <c r="I150" s="35"/>
      <c r="J150" s="71"/>
      <c r="K150" s="71"/>
      <c r="L150" s="203"/>
      <c r="M150" s="203"/>
      <c r="N150" s="35"/>
      <c r="T150" s="33"/>
    </row>
    <row r="151" spans="1:20" s="69" customFormat="1" ht="15.75" customHeight="1" x14ac:dyDescent="0.35">
      <c r="A151" s="129">
        <f t="shared" si="18"/>
        <v>20</v>
      </c>
      <c r="B151" s="130"/>
      <c r="C151" s="68" t="s">
        <v>303</v>
      </c>
      <c r="D151" s="70">
        <f>(22.27)*(10.764)</f>
        <v>239.71427999999997</v>
      </c>
      <c r="E151" s="70">
        <f>((2.75)*0.75)*(10.764)</f>
        <v>22.200749999999999</v>
      </c>
      <c r="F151" s="68">
        <f t="shared" si="19"/>
        <v>261.91503</v>
      </c>
      <c r="G151" s="68">
        <v>0</v>
      </c>
      <c r="H151" s="68">
        <f t="shared" si="20"/>
        <v>405.96829650000001</v>
      </c>
      <c r="I151" s="35"/>
      <c r="J151" s="71"/>
      <c r="K151" s="71"/>
      <c r="L151" s="203"/>
      <c r="M151" s="203"/>
      <c r="N151" s="35"/>
      <c r="T151" s="20"/>
    </row>
    <row r="152" spans="1:20" s="69" customFormat="1" ht="14.25" customHeight="1" x14ac:dyDescent="0.35">
      <c r="A152" s="129">
        <f t="shared" si="18"/>
        <v>21</v>
      </c>
      <c r="B152" s="130"/>
      <c r="C152" s="68" t="s">
        <v>303</v>
      </c>
      <c r="D152" s="70">
        <f>(32.8)*(10.764)</f>
        <v>353.05919999999998</v>
      </c>
      <c r="E152" s="70">
        <f>((4.05)*0.75)*(10.764)</f>
        <v>32.695649999999993</v>
      </c>
      <c r="F152" s="68">
        <f t="shared" si="19"/>
        <v>385.75484999999998</v>
      </c>
      <c r="G152" s="68">
        <v>0</v>
      </c>
      <c r="H152" s="68">
        <f t="shared" si="20"/>
        <v>597.92001749999997</v>
      </c>
      <c r="I152" s="35"/>
      <c r="J152" s="71"/>
      <c r="K152" s="71"/>
      <c r="L152" s="203"/>
      <c r="M152" s="203"/>
      <c r="N152" s="35"/>
      <c r="T152" s="20"/>
    </row>
    <row r="153" spans="1:20" s="69" customFormat="1" ht="15.75" customHeight="1" x14ac:dyDescent="0.35">
      <c r="A153" s="129">
        <f t="shared" si="18"/>
        <v>22</v>
      </c>
      <c r="B153" s="130"/>
      <c r="C153" s="68" t="s">
        <v>303</v>
      </c>
      <c r="D153" s="70">
        <f>(22.27)*(10.764)</f>
        <v>239.71427999999997</v>
      </c>
      <c r="E153" s="70">
        <f>((2.75)*0.75)*(10.764)</f>
        <v>22.200749999999999</v>
      </c>
      <c r="F153" s="68">
        <f>D153+(IF(E153&lt;201,E153,IF(E153&lt;301,E153/2,E153/3)))</f>
        <v>261.91503</v>
      </c>
      <c r="G153" s="63">
        <v>0</v>
      </c>
      <c r="H153" s="68">
        <f>(F153+(IF(G153&lt;101,G153,IF(G153&lt;201,G153/2,IF(G153&lt;=301,G153/3,G153/4)))))*(($H$128)+1)</f>
        <v>405.96829650000001</v>
      </c>
      <c r="I153" s="35"/>
      <c r="J153" s="71"/>
      <c r="K153" s="71"/>
      <c r="L153" s="203"/>
      <c r="M153" s="203"/>
      <c r="N153" s="35"/>
      <c r="T153" s="34"/>
    </row>
    <row r="154" spans="1:20" s="69" customFormat="1" ht="15.75" customHeight="1" x14ac:dyDescent="0.35">
      <c r="A154" s="129">
        <f t="shared" si="18"/>
        <v>23</v>
      </c>
      <c r="B154" s="130"/>
      <c r="C154" s="68" t="s">
        <v>303</v>
      </c>
      <c r="D154" s="70">
        <f>(17.82)*(10.764)</f>
        <v>191.81448</v>
      </c>
      <c r="E154" s="70">
        <f>((2.2)*0.75)*(10.764)</f>
        <v>17.7606</v>
      </c>
      <c r="F154" s="68">
        <f t="shared" ref="F154:F156" si="21">D154+(IF(E154&lt;201,E154,IF(E154&lt;301,E154/2,E154/3)))</f>
        <v>209.57508000000001</v>
      </c>
      <c r="G154" s="68">
        <v>0</v>
      </c>
      <c r="H154" s="68">
        <f t="shared" ref="H154:H156" si="22">(F154+(IF(G154&lt;101,G154,IF(G154&lt;201,G154/2,IF(G154&lt;=301,G154/3,G154/4)))))*(($H$128)+1)</f>
        <v>324.84137400000003</v>
      </c>
      <c r="I154" s="35"/>
      <c r="J154" s="71"/>
      <c r="K154" s="71"/>
      <c r="L154" s="203"/>
      <c r="M154" s="203"/>
      <c r="N154" s="35"/>
      <c r="T154" s="33"/>
    </row>
    <row r="155" spans="1:20" s="69" customFormat="1" ht="15.75" customHeight="1" x14ac:dyDescent="0.35">
      <c r="A155" s="129">
        <f t="shared" si="18"/>
        <v>24</v>
      </c>
      <c r="B155" s="130"/>
      <c r="C155" s="68" t="s">
        <v>303</v>
      </c>
      <c r="D155" s="70">
        <f>(26.11)*(10.764)</f>
        <v>281.04803999999996</v>
      </c>
      <c r="E155" s="70">
        <f>((2.75)*0.75)*(10.764)</f>
        <v>22.200749999999999</v>
      </c>
      <c r="F155" s="68">
        <f t="shared" si="21"/>
        <v>303.24878999999999</v>
      </c>
      <c r="G155" s="68">
        <v>0</v>
      </c>
      <c r="H155" s="68">
        <f t="shared" si="22"/>
        <v>470.03562449999998</v>
      </c>
      <c r="I155" s="35"/>
      <c r="J155" s="71"/>
      <c r="K155" s="71"/>
      <c r="L155" s="203"/>
      <c r="M155" s="203"/>
      <c r="N155" s="35"/>
      <c r="T155" s="20"/>
    </row>
    <row r="156" spans="1:20" s="69" customFormat="1" ht="15.75" customHeight="1" x14ac:dyDescent="0.35">
      <c r="A156" s="129">
        <f t="shared" si="18"/>
        <v>25</v>
      </c>
      <c r="B156" s="130"/>
      <c r="C156" s="68" t="s">
        <v>303</v>
      </c>
      <c r="D156" s="70">
        <f>(25.2)*(10.764)</f>
        <v>271.25279999999998</v>
      </c>
      <c r="E156" s="70">
        <f>((3.15)*0.75)*(10.764)</f>
        <v>25.429949999999998</v>
      </c>
      <c r="F156" s="68">
        <f t="shared" si="21"/>
        <v>296.68275</v>
      </c>
      <c r="G156" s="68">
        <v>0</v>
      </c>
      <c r="H156" s="68">
        <f t="shared" si="22"/>
        <v>459.85826250000002</v>
      </c>
      <c r="I156" s="35"/>
      <c r="J156" s="71"/>
      <c r="K156" s="71"/>
      <c r="L156" s="203"/>
      <c r="M156" s="203"/>
      <c r="N156" s="35"/>
      <c r="T156" s="20"/>
    </row>
    <row r="157" spans="1:20" s="69" customFormat="1" ht="15.75" customHeight="1" x14ac:dyDescent="0.35">
      <c r="A157" s="129">
        <f t="shared" ref="A157" si="23">A156+1</f>
        <v>26</v>
      </c>
      <c r="B157" s="130"/>
      <c r="C157" s="68" t="s">
        <v>303</v>
      </c>
      <c r="D157" s="70">
        <f>(25.2)*(10.764)</f>
        <v>271.25279999999998</v>
      </c>
      <c r="E157" s="70">
        <f>((3.15)*0.75)*(10.764)</f>
        <v>25.429949999999998</v>
      </c>
      <c r="F157" s="68">
        <f t="shared" ref="F157" si="24">D157+(IF(E157&lt;201,E157,IF(E157&lt;301,E157/2,E157/3)))</f>
        <v>296.68275</v>
      </c>
      <c r="G157" s="68">
        <v>0</v>
      </c>
      <c r="H157" s="68">
        <f t="shared" ref="H157" si="25">(F157+(IF(G157&lt;101,G157,IF(G157&lt;201,G157/2,IF(G157&lt;=301,G157/3,G157/4)))))*(($H$128)+1)</f>
        <v>459.85826250000002</v>
      </c>
      <c r="I157" s="35"/>
      <c r="J157" s="71"/>
      <c r="K157" s="71"/>
      <c r="L157" s="203"/>
      <c r="M157" s="203"/>
      <c r="N157" s="35"/>
      <c r="T157" s="20"/>
    </row>
    <row r="158" spans="1:20" s="69" customFormat="1" x14ac:dyDescent="0.35">
      <c r="A158" s="126" t="s">
        <v>343</v>
      </c>
      <c r="B158" s="127"/>
      <c r="C158" s="127"/>
      <c r="D158" s="127"/>
      <c r="E158" s="127"/>
      <c r="F158" s="127"/>
      <c r="G158" s="127"/>
      <c r="H158" s="128"/>
      <c r="J158" s="35"/>
    </row>
    <row r="159" spans="1:20" s="69" customFormat="1" ht="15.75" customHeight="1" x14ac:dyDescent="0.35">
      <c r="A159" s="129">
        <v>1</v>
      </c>
      <c r="B159" s="130"/>
      <c r="C159" s="68" t="s">
        <v>304</v>
      </c>
      <c r="D159" s="70">
        <f>(13.02)*(10.764)</f>
        <v>140.14727999999999</v>
      </c>
      <c r="E159" s="68">
        <f>((2.75)*0.75)*10.764</f>
        <v>22.200749999999999</v>
      </c>
      <c r="F159" s="68">
        <f t="shared" ref="F159:F187" si="26">D159+E159</f>
        <v>162.34802999999999</v>
      </c>
      <c r="G159" s="68">
        <v>0</v>
      </c>
      <c r="H159" s="68">
        <f t="shared" ref="H159:H187" si="27">F159*(($H$190)+1)+(IF(G159&lt;101,G159,IF(G159&lt;201,G159/2,IF(G159&lt;=301,G159/3,G159/4))))</f>
        <v>243.52204499999999</v>
      </c>
      <c r="I159" s="35"/>
      <c r="J159" s="71"/>
      <c r="K159" s="71"/>
      <c r="L159" s="68">
        <v>0.75</v>
      </c>
      <c r="M159" s="82"/>
      <c r="N159" s="35"/>
    </row>
    <row r="160" spans="1:20" s="69" customFormat="1" ht="15.75" customHeight="1" x14ac:dyDescent="0.35">
      <c r="A160" s="129">
        <f>A159+1</f>
        <v>2</v>
      </c>
      <c r="B160" s="130"/>
      <c r="C160" s="68" t="s">
        <v>304</v>
      </c>
      <c r="D160" s="70">
        <f>(19.13)*(10.764)</f>
        <v>205.91531999999998</v>
      </c>
      <c r="E160" s="68">
        <f>((4.05)*0.75)*10.764</f>
        <v>32.695649999999993</v>
      </c>
      <c r="F160" s="68">
        <f t="shared" si="26"/>
        <v>238.61096999999998</v>
      </c>
      <c r="G160" s="68">
        <v>0</v>
      </c>
      <c r="H160" s="68">
        <f t="shared" si="27"/>
        <v>357.91645499999998</v>
      </c>
      <c r="I160" s="35"/>
      <c r="J160" s="71"/>
      <c r="K160" s="71"/>
      <c r="L160" s="203"/>
      <c r="M160" s="203"/>
      <c r="N160" s="35"/>
    </row>
    <row r="161" spans="1:20" s="69" customFormat="1" ht="15.75" customHeight="1" x14ac:dyDescent="0.35">
      <c r="A161" s="129">
        <f>A160+1</f>
        <v>3</v>
      </c>
      <c r="B161" s="130"/>
      <c r="C161" s="68" t="s">
        <v>304</v>
      </c>
      <c r="D161" s="70">
        <f>(19.13)*(10.764)</f>
        <v>205.91531999999998</v>
      </c>
      <c r="E161" s="68">
        <f>((4.05)*0.75)*10.764</f>
        <v>32.695649999999993</v>
      </c>
      <c r="F161" s="68">
        <f t="shared" si="26"/>
        <v>238.61096999999998</v>
      </c>
      <c r="G161" s="68">
        <v>0</v>
      </c>
      <c r="H161" s="68">
        <f t="shared" si="27"/>
        <v>357.91645499999998</v>
      </c>
      <c r="I161" s="35"/>
      <c r="L161" s="203"/>
      <c r="M161" s="203"/>
      <c r="N161" s="35"/>
    </row>
    <row r="162" spans="1:20" s="69" customFormat="1" ht="15.75" customHeight="1" x14ac:dyDescent="0.35">
      <c r="A162" s="129">
        <f>A161+1</f>
        <v>4</v>
      </c>
      <c r="B162" s="130"/>
      <c r="C162" s="68" t="s">
        <v>304</v>
      </c>
      <c r="D162" s="70">
        <f>(13.02)*(10.764)</f>
        <v>140.14727999999999</v>
      </c>
      <c r="E162" s="68">
        <f>((2.85)*0.75)*10.764</f>
        <v>23.008050000000001</v>
      </c>
      <c r="F162" s="68">
        <f t="shared" si="26"/>
        <v>163.15532999999999</v>
      </c>
      <c r="G162" s="68">
        <v>0</v>
      </c>
      <c r="H162" s="68">
        <f t="shared" si="27"/>
        <v>244.73299499999999</v>
      </c>
      <c r="I162" s="35"/>
      <c r="J162" s="71"/>
      <c r="K162" s="71"/>
      <c r="L162" s="203"/>
      <c r="M162" s="203"/>
      <c r="N162" s="35"/>
      <c r="T162" s="20"/>
    </row>
    <row r="163" spans="1:20" s="69" customFormat="1" ht="15.75" customHeight="1" x14ac:dyDescent="0.35">
      <c r="A163" s="129">
        <f t="shared" ref="A163:A166" si="28">A162+1</f>
        <v>5</v>
      </c>
      <c r="B163" s="130"/>
      <c r="C163" s="68" t="s">
        <v>304</v>
      </c>
      <c r="D163" s="70">
        <f>(13.02)*(10.764)</f>
        <v>140.14727999999999</v>
      </c>
      <c r="E163" s="68">
        <f>((2.75)*0.75)*10.764</f>
        <v>22.200749999999999</v>
      </c>
      <c r="F163" s="68">
        <f t="shared" si="26"/>
        <v>162.34802999999999</v>
      </c>
      <c r="G163" s="68">
        <v>0</v>
      </c>
      <c r="H163" s="68">
        <f t="shared" si="27"/>
        <v>243.52204499999999</v>
      </c>
      <c r="I163" s="35"/>
      <c r="J163" s="71"/>
      <c r="K163" s="71"/>
      <c r="L163" s="203"/>
      <c r="M163" s="203"/>
      <c r="N163" s="35"/>
    </row>
    <row r="164" spans="1:20" s="69" customFormat="1" ht="15.75" customHeight="1" x14ac:dyDescent="0.35">
      <c r="A164" s="129">
        <f t="shared" si="28"/>
        <v>6</v>
      </c>
      <c r="B164" s="130"/>
      <c r="C164" s="68" t="s">
        <v>304</v>
      </c>
      <c r="D164" s="70">
        <f>(10.44)*(10.764)</f>
        <v>112.37615999999998</v>
      </c>
      <c r="E164" s="68">
        <f>((2.2)*0.75)*10.764</f>
        <v>17.7606</v>
      </c>
      <c r="F164" s="68">
        <f t="shared" si="26"/>
        <v>130.13675999999998</v>
      </c>
      <c r="G164" s="68">
        <v>0</v>
      </c>
      <c r="H164" s="68">
        <f t="shared" si="27"/>
        <v>195.20513999999997</v>
      </c>
      <c r="I164" s="35"/>
      <c r="J164" s="71"/>
      <c r="K164" s="71"/>
      <c r="L164" s="203"/>
      <c r="M164" s="203"/>
      <c r="N164" s="35"/>
    </row>
    <row r="165" spans="1:20" s="69" customFormat="1" ht="15.75" customHeight="1" x14ac:dyDescent="0.35">
      <c r="A165" s="129">
        <f t="shared" si="28"/>
        <v>7</v>
      </c>
      <c r="B165" s="130"/>
      <c r="C165" s="68" t="s">
        <v>304</v>
      </c>
      <c r="D165" s="70">
        <f>(13.2)*(10.764)</f>
        <v>142.08479999999997</v>
      </c>
      <c r="E165" s="68">
        <f>((2.8)*0.75)*10.764</f>
        <v>22.604399999999995</v>
      </c>
      <c r="F165" s="68">
        <f t="shared" si="26"/>
        <v>164.68919999999997</v>
      </c>
      <c r="G165" s="68">
        <v>0</v>
      </c>
      <c r="H165" s="68">
        <f t="shared" si="27"/>
        <v>247.03379999999996</v>
      </c>
      <c r="I165" s="35"/>
      <c r="J165" s="71"/>
      <c r="K165" s="71"/>
      <c r="L165" s="203"/>
      <c r="M165" s="203"/>
      <c r="N165" s="35"/>
    </row>
    <row r="166" spans="1:20" s="69" customFormat="1" ht="15.75" customHeight="1" x14ac:dyDescent="0.35">
      <c r="A166" s="129">
        <f t="shared" si="28"/>
        <v>8</v>
      </c>
      <c r="B166" s="130"/>
      <c r="C166" s="68" t="s">
        <v>304</v>
      </c>
      <c r="D166" s="70">
        <f>(49.94)*(10.764)</f>
        <v>537.55415999999991</v>
      </c>
      <c r="E166" s="68">
        <f>((7.85)*0.75)*10.764</f>
        <v>63.373049999999985</v>
      </c>
      <c r="F166" s="68">
        <f t="shared" si="26"/>
        <v>600.92720999999995</v>
      </c>
      <c r="G166" s="68">
        <v>0</v>
      </c>
      <c r="H166" s="68">
        <f t="shared" si="27"/>
        <v>901.39081499999998</v>
      </c>
      <c r="I166" s="35"/>
      <c r="J166" s="71"/>
      <c r="K166" s="71"/>
      <c r="L166" s="203"/>
      <c r="M166" s="203"/>
      <c r="N166" s="35"/>
      <c r="T166" s="20"/>
    </row>
    <row r="167" spans="1:20" s="69" customFormat="1" ht="15.75" customHeight="1" x14ac:dyDescent="0.35">
      <c r="A167" s="129">
        <f t="shared" ref="A167:A174" si="29">A166+1</f>
        <v>9</v>
      </c>
      <c r="B167" s="130"/>
      <c r="C167" s="68" t="s">
        <v>304</v>
      </c>
      <c r="D167" s="70">
        <f>(25.83)*(10.764)</f>
        <v>278.03411999999997</v>
      </c>
      <c r="E167" s="68">
        <f>((4.05)*0.75)*10.764</f>
        <v>32.695649999999993</v>
      </c>
      <c r="F167" s="68">
        <f t="shared" si="26"/>
        <v>310.72976999999997</v>
      </c>
      <c r="G167" s="68">
        <v>0</v>
      </c>
      <c r="H167" s="68">
        <f t="shared" si="27"/>
        <v>466.09465499999999</v>
      </c>
      <c r="I167" s="35"/>
      <c r="J167" s="71"/>
      <c r="K167" s="71"/>
      <c r="L167" s="203"/>
      <c r="M167" s="203"/>
      <c r="N167" s="35"/>
    </row>
    <row r="168" spans="1:20" s="69" customFormat="1" ht="15.75" customHeight="1" x14ac:dyDescent="0.35">
      <c r="A168" s="129">
        <f t="shared" si="29"/>
        <v>10</v>
      </c>
      <c r="B168" s="130"/>
      <c r="C168" s="68" t="s">
        <v>304</v>
      </c>
      <c r="D168" s="70">
        <f>(17.56)*(10.764)</f>
        <v>189.01583999999997</v>
      </c>
      <c r="E168" s="68">
        <f>((2.75)*0.75)*10.764</f>
        <v>22.200749999999999</v>
      </c>
      <c r="F168" s="68">
        <f t="shared" si="26"/>
        <v>211.21658999999997</v>
      </c>
      <c r="G168" s="68">
        <v>0</v>
      </c>
      <c r="H168" s="68">
        <f t="shared" si="27"/>
        <v>316.82488499999994</v>
      </c>
      <c r="I168" s="35"/>
      <c r="J168" s="71"/>
      <c r="K168" s="71"/>
      <c r="L168" s="203"/>
      <c r="M168" s="203"/>
      <c r="N168" s="35"/>
    </row>
    <row r="169" spans="1:20" s="69" customFormat="1" ht="15.75" customHeight="1" x14ac:dyDescent="0.35">
      <c r="A169" s="129">
        <f t="shared" si="29"/>
        <v>11</v>
      </c>
      <c r="B169" s="130"/>
      <c r="C169" s="68" t="s">
        <v>304</v>
      </c>
      <c r="D169" s="70">
        <f>(17.56)*(10.764)</f>
        <v>189.01583999999997</v>
      </c>
      <c r="E169" s="68">
        <f>((2.75)*0.75)*10.764</f>
        <v>22.200749999999999</v>
      </c>
      <c r="F169" s="68">
        <f t="shared" si="26"/>
        <v>211.21658999999997</v>
      </c>
      <c r="G169" s="68">
        <v>0</v>
      </c>
      <c r="H169" s="68">
        <f t="shared" si="27"/>
        <v>316.82488499999994</v>
      </c>
      <c r="I169" s="35"/>
      <c r="J169" s="71"/>
      <c r="K169" s="71"/>
      <c r="L169" s="203"/>
      <c r="M169" s="203"/>
      <c r="N169" s="35"/>
    </row>
    <row r="170" spans="1:20" s="69" customFormat="1" ht="15.75" customHeight="1" x14ac:dyDescent="0.35">
      <c r="A170" s="129">
        <f t="shared" si="29"/>
        <v>12</v>
      </c>
      <c r="B170" s="130"/>
      <c r="C170" s="68" t="s">
        <v>304</v>
      </c>
      <c r="D170" s="70">
        <f>(25.82)*(10.764)</f>
        <v>277.92647999999997</v>
      </c>
      <c r="E170" s="68">
        <f>((4.05)*0.75)*10.764</f>
        <v>32.695649999999993</v>
      </c>
      <c r="F170" s="68">
        <f t="shared" si="26"/>
        <v>310.62212999999997</v>
      </c>
      <c r="G170" s="68">
        <v>0</v>
      </c>
      <c r="H170" s="68">
        <f t="shared" si="27"/>
        <v>465.93319499999996</v>
      </c>
      <c r="I170" s="35"/>
      <c r="J170" s="71"/>
      <c r="K170" s="71"/>
      <c r="L170" s="203"/>
      <c r="M170" s="203"/>
      <c r="N170" s="35"/>
      <c r="T170" s="20"/>
    </row>
    <row r="171" spans="1:20" s="69" customFormat="1" ht="15.75" hidden="1" customHeight="1" x14ac:dyDescent="0.35">
      <c r="A171" s="129">
        <f t="shared" si="29"/>
        <v>13</v>
      </c>
      <c r="B171" s="130"/>
      <c r="C171" s="68" t="s">
        <v>304</v>
      </c>
      <c r="D171" s="70">
        <f>(25.82)*(10.764)</f>
        <v>277.92647999999997</v>
      </c>
      <c r="E171" s="68">
        <f>((4.05)*0.75)*10.764</f>
        <v>32.695649999999993</v>
      </c>
      <c r="F171" s="68">
        <f t="shared" si="26"/>
        <v>310.62212999999997</v>
      </c>
      <c r="G171" s="68">
        <v>0</v>
      </c>
      <c r="H171" s="68">
        <f t="shared" si="27"/>
        <v>465.93319499999996</v>
      </c>
      <c r="I171" s="35"/>
      <c r="J171" s="71"/>
      <c r="K171" s="71"/>
      <c r="L171" s="203"/>
      <c r="M171" s="203"/>
      <c r="N171" s="35"/>
    </row>
    <row r="172" spans="1:20" s="69" customFormat="1" ht="15.75" hidden="1" customHeight="1" x14ac:dyDescent="0.35">
      <c r="A172" s="129">
        <f t="shared" si="29"/>
        <v>14</v>
      </c>
      <c r="B172" s="130"/>
      <c r="C172" s="68" t="s">
        <v>304</v>
      </c>
      <c r="D172" s="70">
        <f>(17.56)*(10.764)</f>
        <v>189.01583999999997</v>
      </c>
      <c r="E172" s="68">
        <f>((2.75)*0.75)*10.764</f>
        <v>22.200749999999999</v>
      </c>
      <c r="F172" s="68">
        <f t="shared" si="26"/>
        <v>211.21658999999997</v>
      </c>
      <c r="G172" s="68">
        <v>0</v>
      </c>
      <c r="H172" s="68">
        <f t="shared" si="27"/>
        <v>316.82488499999994</v>
      </c>
      <c r="I172" s="35"/>
      <c r="J172" s="71"/>
      <c r="K172" s="71"/>
      <c r="L172" s="203"/>
      <c r="M172" s="203"/>
      <c r="N172" s="35"/>
    </row>
    <row r="173" spans="1:20" s="69" customFormat="1" ht="15.75" hidden="1" customHeight="1" x14ac:dyDescent="0.35">
      <c r="A173" s="129">
        <f t="shared" si="29"/>
        <v>15</v>
      </c>
      <c r="B173" s="130"/>
      <c r="C173" s="68" t="s">
        <v>304</v>
      </c>
      <c r="D173" s="70">
        <f>(17.58)*(10.764)</f>
        <v>189.23111999999998</v>
      </c>
      <c r="E173" s="68">
        <f>((2.75)*0.75)*10.764</f>
        <v>22.200749999999999</v>
      </c>
      <c r="F173" s="68">
        <f t="shared" si="26"/>
        <v>211.43186999999998</v>
      </c>
      <c r="G173" s="68">
        <v>0</v>
      </c>
      <c r="H173" s="68">
        <f t="shared" si="27"/>
        <v>317.14780499999995</v>
      </c>
      <c r="I173" s="35"/>
      <c r="J173" s="71"/>
      <c r="K173" s="71"/>
      <c r="L173" s="203"/>
      <c r="M173" s="203"/>
      <c r="N173" s="35"/>
    </row>
    <row r="174" spans="1:20" s="69" customFormat="1" ht="15.75" hidden="1" customHeight="1" x14ac:dyDescent="0.35">
      <c r="A174" s="129">
        <f t="shared" si="29"/>
        <v>16</v>
      </c>
      <c r="B174" s="130"/>
      <c r="C174" s="68" t="s">
        <v>304</v>
      </c>
      <c r="D174" s="70">
        <f>(25.81)*(10.764)</f>
        <v>277.81883999999997</v>
      </c>
      <c r="E174" s="68">
        <f>((4.05)*0.75)*10.764</f>
        <v>32.695649999999993</v>
      </c>
      <c r="F174" s="68">
        <f t="shared" si="26"/>
        <v>310.51448999999997</v>
      </c>
      <c r="G174" s="68">
        <v>0</v>
      </c>
      <c r="H174" s="68">
        <f t="shared" si="27"/>
        <v>465.77173499999992</v>
      </c>
      <c r="I174" s="35"/>
      <c r="J174" s="71"/>
      <c r="K174" s="71"/>
      <c r="L174" s="203"/>
      <c r="M174" s="203"/>
      <c r="N174" s="35"/>
      <c r="T174" s="20"/>
    </row>
    <row r="175" spans="1:20" s="69" customFormat="1" ht="15.75" hidden="1" customHeight="1" x14ac:dyDescent="0.35">
      <c r="A175" s="129">
        <f t="shared" ref="A175:A187" si="30">A174+1</f>
        <v>17</v>
      </c>
      <c r="B175" s="130"/>
      <c r="C175" s="68" t="s">
        <v>304</v>
      </c>
      <c r="D175" s="70">
        <f>(49.96)*(10.764)</f>
        <v>537.76944000000003</v>
      </c>
      <c r="E175" s="68">
        <f>((7.85)*0.75)*10.764</f>
        <v>63.373049999999985</v>
      </c>
      <c r="F175" s="68">
        <f t="shared" si="26"/>
        <v>601.14249000000007</v>
      </c>
      <c r="G175" s="68">
        <v>0</v>
      </c>
      <c r="H175" s="68">
        <f t="shared" si="27"/>
        <v>901.71373500000004</v>
      </c>
      <c r="I175" s="35"/>
      <c r="J175" s="71"/>
      <c r="K175" s="71"/>
      <c r="L175" s="203"/>
      <c r="M175" s="203"/>
      <c r="N175" s="35"/>
    </row>
    <row r="176" spans="1:20" s="69" customFormat="1" ht="15.75" hidden="1" customHeight="1" x14ac:dyDescent="0.35">
      <c r="A176" s="129">
        <f t="shared" si="30"/>
        <v>18</v>
      </c>
      <c r="B176" s="130"/>
      <c r="C176" s="68" t="s">
        <v>304</v>
      </c>
      <c r="D176" s="70">
        <f>(17.58)*(10.764)</f>
        <v>189.23111999999998</v>
      </c>
      <c r="E176" s="68">
        <v>0</v>
      </c>
      <c r="F176" s="68">
        <f t="shared" si="26"/>
        <v>189.23111999999998</v>
      </c>
      <c r="G176" s="68">
        <v>0</v>
      </c>
      <c r="H176" s="68">
        <f t="shared" si="27"/>
        <v>283.84667999999999</v>
      </c>
      <c r="I176" s="35"/>
      <c r="J176" s="71"/>
      <c r="K176" s="71"/>
      <c r="L176" s="203"/>
      <c r="M176" s="203"/>
      <c r="N176" s="35"/>
    </row>
    <row r="177" spans="1:20" s="69" customFormat="1" ht="15.75" hidden="1" customHeight="1" x14ac:dyDescent="0.35">
      <c r="A177" s="129">
        <f t="shared" si="30"/>
        <v>19</v>
      </c>
      <c r="B177" s="130"/>
      <c r="C177" s="68" t="s">
        <v>304</v>
      </c>
      <c r="D177" s="70">
        <f>(25.81)*(10.764)</f>
        <v>277.81883999999997</v>
      </c>
      <c r="E177" s="68">
        <v>0</v>
      </c>
      <c r="F177" s="68">
        <f t="shared" si="26"/>
        <v>277.81883999999997</v>
      </c>
      <c r="G177" s="68">
        <v>0</v>
      </c>
      <c r="H177" s="68">
        <f t="shared" si="27"/>
        <v>416.72825999999998</v>
      </c>
      <c r="I177" s="35"/>
      <c r="J177" s="71"/>
      <c r="K177" s="71"/>
      <c r="L177" s="203"/>
      <c r="M177" s="203"/>
      <c r="N177" s="35"/>
    </row>
    <row r="178" spans="1:20" s="69" customFormat="1" ht="15.75" customHeight="1" x14ac:dyDescent="0.35">
      <c r="A178" s="129">
        <f t="shared" si="30"/>
        <v>20</v>
      </c>
      <c r="B178" s="130"/>
      <c r="C178" s="68" t="s">
        <v>304</v>
      </c>
      <c r="D178" s="70">
        <f>(25.81)*(10.764)</f>
        <v>277.81883999999997</v>
      </c>
      <c r="E178" s="68">
        <v>0</v>
      </c>
      <c r="F178" s="68">
        <f t="shared" si="26"/>
        <v>277.81883999999997</v>
      </c>
      <c r="G178" s="68">
        <v>0</v>
      </c>
      <c r="H178" s="68">
        <f t="shared" si="27"/>
        <v>416.72825999999998</v>
      </c>
      <c r="I178" s="35"/>
      <c r="J178" s="71"/>
      <c r="K178" s="71"/>
      <c r="L178" s="203"/>
      <c r="M178" s="203"/>
      <c r="N178" s="35"/>
      <c r="T178" s="20"/>
    </row>
    <row r="179" spans="1:20" s="69" customFormat="1" ht="15.75" customHeight="1" x14ac:dyDescent="0.35">
      <c r="A179" s="129">
        <f t="shared" si="30"/>
        <v>21</v>
      </c>
      <c r="B179" s="130"/>
      <c r="C179" s="68" t="s">
        <v>304</v>
      </c>
      <c r="D179" s="70">
        <f>(17.58)*(10.764)</f>
        <v>189.23111999999998</v>
      </c>
      <c r="E179" s="68">
        <v>0</v>
      </c>
      <c r="F179" s="68">
        <f t="shared" si="26"/>
        <v>189.23111999999998</v>
      </c>
      <c r="G179" s="68">
        <v>0</v>
      </c>
      <c r="H179" s="68">
        <f t="shared" si="27"/>
        <v>283.84667999999999</v>
      </c>
      <c r="I179" s="35"/>
      <c r="J179" s="71"/>
      <c r="K179" s="71"/>
      <c r="L179" s="203"/>
      <c r="M179" s="203"/>
      <c r="N179" s="35"/>
    </row>
    <row r="180" spans="1:20" s="69" customFormat="1" ht="15.75" customHeight="1" x14ac:dyDescent="0.35">
      <c r="A180" s="129">
        <f t="shared" si="30"/>
        <v>22</v>
      </c>
      <c r="B180" s="130"/>
      <c r="C180" s="68" t="s">
        <v>304</v>
      </c>
      <c r="D180" s="70">
        <f>(19.13)*(10.764)</f>
        <v>205.91531999999998</v>
      </c>
      <c r="E180" s="68">
        <f>((4.05)*0.75)*10.764</f>
        <v>32.695649999999993</v>
      </c>
      <c r="F180" s="68">
        <f t="shared" si="26"/>
        <v>238.61096999999998</v>
      </c>
      <c r="G180" s="68">
        <v>0</v>
      </c>
      <c r="H180" s="68">
        <f t="shared" si="27"/>
        <v>357.91645499999998</v>
      </c>
      <c r="I180" s="35"/>
      <c r="J180" s="71"/>
      <c r="K180" s="71"/>
      <c r="L180" s="203"/>
      <c r="M180" s="203"/>
      <c r="N180" s="35"/>
    </row>
    <row r="181" spans="1:20" s="69" customFormat="1" ht="15.75" customHeight="1" x14ac:dyDescent="0.35">
      <c r="A181" s="129">
        <f t="shared" si="30"/>
        <v>23</v>
      </c>
      <c r="B181" s="130"/>
      <c r="C181" s="68" t="s">
        <v>304</v>
      </c>
      <c r="D181" s="70">
        <f>(13.02)*(10.764)</f>
        <v>140.14727999999999</v>
      </c>
      <c r="E181" s="68">
        <f>((2.75)*0.75)*10.764</f>
        <v>22.200749999999999</v>
      </c>
      <c r="F181" s="68">
        <f t="shared" si="26"/>
        <v>162.34802999999999</v>
      </c>
      <c r="G181" s="68">
        <v>0</v>
      </c>
      <c r="H181" s="68">
        <f t="shared" si="27"/>
        <v>243.52204499999999</v>
      </c>
      <c r="I181" s="35"/>
      <c r="J181" s="71"/>
      <c r="K181" s="71"/>
      <c r="L181" s="203"/>
      <c r="M181" s="203"/>
      <c r="N181" s="35"/>
    </row>
    <row r="182" spans="1:20" s="69" customFormat="1" ht="15.75" customHeight="1" x14ac:dyDescent="0.35">
      <c r="A182" s="129">
        <f t="shared" si="30"/>
        <v>24</v>
      </c>
      <c r="B182" s="130"/>
      <c r="C182" s="68" t="s">
        <v>304</v>
      </c>
      <c r="D182" s="70">
        <f>(19.13)*(10.764)</f>
        <v>205.91531999999998</v>
      </c>
      <c r="E182" s="68">
        <f>((4.05)*0.75)*10.764</f>
        <v>32.695649999999993</v>
      </c>
      <c r="F182" s="68">
        <f t="shared" si="26"/>
        <v>238.61096999999998</v>
      </c>
      <c r="G182" s="68">
        <v>0</v>
      </c>
      <c r="H182" s="68">
        <f t="shared" si="27"/>
        <v>357.91645499999998</v>
      </c>
      <c r="I182" s="35"/>
      <c r="J182" s="71"/>
      <c r="K182" s="71"/>
      <c r="L182" s="203"/>
      <c r="M182" s="203"/>
      <c r="N182" s="35"/>
      <c r="T182" s="20"/>
    </row>
    <row r="183" spans="1:20" s="69" customFormat="1" ht="15.75" customHeight="1" x14ac:dyDescent="0.35">
      <c r="A183" s="129">
        <f t="shared" si="30"/>
        <v>25</v>
      </c>
      <c r="B183" s="130"/>
      <c r="C183" s="68" t="s">
        <v>304</v>
      </c>
      <c r="D183" s="70">
        <f>(13.02)*(10.764)</f>
        <v>140.14727999999999</v>
      </c>
      <c r="E183" s="68">
        <f>((2.75)*0.75)*10.764</f>
        <v>22.200749999999999</v>
      </c>
      <c r="F183" s="68">
        <f t="shared" si="26"/>
        <v>162.34802999999999</v>
      </c>
      <c r="G183" s="68">
        <v>0</v>
      </c>
      <c r="H183" s="68">
        <f t="shared" si="27"/>
        <v>243.52204499999999</v>
      </c>
      <c r="I183" s="35"/>
      <c r="J183" s="71"/>
      <c r="K183" s="71"/>
      <c r="L183" s="203"/>
      <c r="M183" s="203"/>
      <c r="N183" s="35"/>
    </row>
    <row r="184" spans="1:20" s="69" customFormat="1" ht="15.75" customHeight="1" x14ac:dyDescent="0.35">
      <c r="A184" s="129">
        <f t="shared" si="30"/>
        <v>26</v>
      </c>
      <c r="B184" s="130"/>
      <c r="C184" s="68" t="s">
        <v>304</v>
      </c>
      <c r="D184" s="70">
        <f>(10.44)*(10.764)</f>
        <v>112.37615999999998</v>
      </c>
      <c r="E184" s="68">
        <f>((2.2)*0.75)*10.764</f>
        <v>17.7606</v>
      </c>
      <c r="F184" s="68">
        <f t="shared" si="26"/>
        <v>130.13675999999998</v>
      </c>
      <c r="G184" s="68">
        <v>0</v>
      </c>
      <c r="H184" s="68">
        <f t="shared" si="27"/>
        <v>195.20513999999997</v>
      </c>
      <c r="I184" s="35"/>
      <c r="J184" s="71"/>
      <c r="K184" s="71"/>
      <c r="L184" s="203"/>
      <c r="M184" s="203"/>
      <c r="N184" s="35"/>
    </row>
    <row r="185" spans="1:20" s="69" customFormat="1" ht="15.75" customHeight="1" x14ac:dyDescent="0.35">
      <c r="A185" s="129">
        <f t="shared" si="30"/>
        <v>27</v>
      </c>
      <c r="B185" s="130"/>
      <c r="C185" s="68" t="s">
        <v>304</v>
      </c>
      <c r="D185" s="70">
        <f>(13.02)*(10.764)</f>
        <v>140.14727999999999</v>
      </c>
      <c r="E185" s="68">
        <f>((2.75)*0.75)*10.764</f>
        <v>22.200749999999999</v>
      </c>
      <c r="F185" s="68">
        <f t="shared" si="26"/>
        <v>162.34802999999999</v>
      </c>
      <c r="G185" s="68">
        <v>0</v>
      </c>
      <c r="H185" s="68">
        <f t="shared" si="27"/>
        <v>243.52204499999999</v>
      </c>
      <c r="I185" s="35"/>
      <c r="J185" s="71"/>
      <c r="K185" s="71"/>
      <c r="L185" s="203"/>
      <c r="M185" s="203"/>
      <c r="N185" s="35"/>
    </row>
    <row r="186" spans="1:20" s="69" customFormat="1" ht="15.75" customHeight="1" x14ac:dyDescent="0.35">
      <c r="A186" s="129">
        <f t="shared" si="30"/>
        <v>28</v>
      </c>
      <c r="B186" s="130"/>
      <c r="C186" s="68" t="s">
        <v>304</v>
      </c>
      <c r="D186" s="70">
        <f>(14.9)*(10.764)</f>
        <v>160.3836</v>
      </c>
      <c r="E186" s="68">
        <f>((3.15)*0.75)*10.764</f>
        <v>25.429949999999998</v>
      </c>
      <c r="F186" s="68">
        <f t="shared" si="26"/>
        <v>185.81354999999999</v>
      </c>
      <c r="G186" s="68">
        <v>0</v>
      </c>
      <c r="H186" s="68">
        <f t="shared" si="27"/>
        <v>278.720325</v>
      </c>
      <c r="I186" s="35"/>
      <c r="J186" s="71"/>
      <c r="K186" s="71"/>
      <c r="L186" s="203"/>
      <c r="M186" s="203"/>
      <c r="N186" s="35"/>
      <c r="T186" s="20"/>
    </row>
    <row r="187" spans="1:20" s="69" customFormat="1" ht="15.75" customHeight="1" x14ac:dyDescent="0.35">
      <c r="A187" s="129">
        <f t="shared" si="30"/>
        <v>29</v>
      </c>
      <c r="B187" s="130"/>
      <c r="C187" s="68" t="s">
        <v>304</v>
      </c>
      <c r="D187" s="70">
        <f>(24.82)*(10.764)</f>
        <v>267.16247999999996</v>
      </c>
      <c r="E187" s="68">
        <f>((3.15)*0.75)*10.764</f>
        <v>25.429949999999998</v>
      </c>
      <c r="F187" s="68">
        <f t="shared" si="26"/>
        <v>292.59242999999998</v>
      </c>
      <c r="G187" s="68">
        <v>0</v>
      </c>
      <c r="H187" s="68">
        <f t="shared" si="27"/>
        <v>438.888645</v>
      </c>
      <c r="I187" s="35"/>
      <c r="J187" s="71"/>
      <c r="K187" s="71"/>
      <c r="L187" s="203"/>
      <c r="M187" s="203"/>
      <c r="N187" s="35"/>
    </row>
    <row r="188" spans="1:20" s="69" customFormat="1" ht="15.75" customHeight="1" x14ac:dyDescent="0.35">
      <c r="A188" s="129"/>
      <c r="B188" s="215"/>
      <c r="C188" s="215"/>
      <c r="D188" s="215"/>
      <c r="E188" s="215"/>
      <c r="F188" s="215"/>
      <c r="G188" s="215"/>
      <c r="H188" s="130"/>
      <c r="I188" s="35"/>
      <c r="L188" s="203"/>
      <c r="M188" s="203"/>
      <c r="N188" s="35"/>
    </row>
    <row r="189" spans="1:20" ht="47.25" customHeight="1" x14ac:dyDescent="0.35">
      <c r="A189" s="204" t="s">
        <v>118</v>
      </c>
      <c r="B189" s="133" t="s">
        <v>175</v>
      </c>
      <c r="C189" s="133" t="s">
        <v>55</v>
      </c>
      <c r="D189" s="121" t="s">
        <v>340</v>
      </c>
      <c r="E189" s="121" t="s">
        <v>349</v>
      </c>
      <c r="F189" s="133" t="s">
        <v>56</v>
      </c>
      <c r="G189" s="186" t="s">
        <v>57</v>
      </c>
      <c r="H189" s="81" t="s">
        <v>147</v>
      </c>
      <c r="I189" s="35"/>
      <c r="T189" s="36"/>
    </row>
    <row r="190" spans="1:20" s="36" customFormat="1" x14ac:dyDescent="0.35">
      <c r="A190" s="205"/>
      <c r="B190" s="134"/>
      <c r="C190" s="134"/>
      <c r="D190" s="122"/>
      <c r="E190" s="122"/>
      <c r="F190" s="134"/>
      <c r="G190" s="187"/>
      <c r="H190" s="85">
        <v>0.5</v>
      </c>
      <c r="I190" s="35"/>
    </row>
    <row r="191" spans="1:20" s="69" customFormat="1" x14ac:dyDescent="0.35">
      <c r="A191" s="126" t="s">
        <v>344</v>
      </c>
      <c r="B191" s="127"/>
      <c r="C191" s="127"/>
      <c r="D191" s="127"/>
      <c r="E191" s="127"/>
      <c r="F191" s="127"/>
      <c r="G191" s="127"/>
      <c r="H191" s="128"/>
      <c r="J191" s="35"/>
    </row>
    <row r="192" spans="1:20" s="71" customFormat="1" x14ac:dyDescent="0.35">
      <c r="A192" s="126" t="s">
        <v>345</v>
      </c>
      <c r="B192" s="127"/>
      <c r="C192" s="127"/>
      <c r="D192" s="127"/>
      <c r="E192" s="127"/>
      <c r="F192" s="127"/>
      <c r="G192" s="127"/>
      <c r="H192" s="128"/>
      <c r="J192" s="35"/>
    </row>
    <row r="193" spans="1:20" s="71" customFormat="1" ht="15.75" customHeight="1" x14ac:dyDescent="0.35">
      <c r="A193" s="129">
        <v>1</v>
      </c>
      <c r="B193" s="130"/>
      <c r="C193" s="68" t="s">
        <v>306</v>
      </c>
      <c r="D193" s="70">
        <f>(45.67)*(10.764)</f>
        <v>491.59188</v>
      </c>
      <c r="E193" s="70">
        <f>(0.75*(2.75+2.1+2.25))*10.764</f>
        <v>57.318299999999986</v>
      </c>
      <c r="F193" s="68">
        <f t="shared" ref="F193:F204" si="31">D193+E193</f>
        <v>548.91017999999997</v>
      </c>
      <c r="G193" s="68">
        <v>0</v>
      </c>
      <c r="H193" s="68">
        <f t="shared" ref="H193:H204" si="32">F193*(($H$190)+1)+(IF(G193&lt;101,G193,IF(G193&lt;201,G193/2,IF(G193&lt;=301,G193/3,G193/4))))</f>
        <v>823.36527000000001</v>
      </c>
      <c r="I193" s="35"/>
      <c r="L193" s="203"/>
      <c r="M193" s="203"/>
      <c r="N193" s="35"/>
    </row>
    <row r="194" spans="1:20" s="71" customFormat="1" ht="15.75" customHeight="1" x14ac:dyDescent="0.35">
      <c r="A194" s="129">
        <f>A193+1</f>
        <v>2</v>
      </c>
      <c r="B194" s="130"/>
      <c r="C194" s="206" t="s">
        <v>346</v>
      </c>
      <c r="D194" s="207"/>
      <c r="E194" s="207"/>
      <c r="F194" s="207"/>
      <c r="G194" s="207"/>
      <c r="H194" s="208"/>
      <c r="I194" s="35"/>
      <c r="L194" s="203"/>
      <c r="M194" s="203"/>
      <c r="N194" s="35"/>
    </row>
    <row r="195" spans="1:20" s="71" customFormat="1" ht="15.75" customHeight="1" x14ac:dyDescent="0.35">
      <c r="A195" s="129">
        <f>A194+1</f>
        <v>3</v>
      </c>
      <c r="B195" s="130"/>
      <c r="C195" s="209"/>
      <c r="D195" s="210"/>
      <c r="E195" s="210"/>
      <c r="F195" s="210"/>
      <c r="G195" s="210"/>
      <c r="H195" s="211"/>
      <c r="I195" s="35"/>
      <c r="L195" s="203"/>
      <c r="M195" s="203"/>
      <c r="N195" s="35"/>
    </row>
    <row r="196" spans="1:20" s="71" customFormat="1" ht="15.75" customHeight="1" x14ac:dyDescent="0.35">
      <c r="A196" s="129">
        <f>A195+1</f>
        <v>4</v>
      </c>
      <c r="B196" s="130"/>
      <c r="C196" s="212"/>
      <c r="D196" s="213"/>
      <c r="E196" s="213"/>
      <c r="F196" s="213"/>
      <c r="G196" s="213"/>
      <c r="H196" s="214"/>
      <c r="I196" s="35"/>
      <c r="L196" s="203"/>
      <c r="M196" s="203"/>
      <c r="N196" s="35"/>
      <c r="T196" s="20"/>
    </row>
    <row r="197" spans="1:20" s="71" customFormat="1" ht="15.75" customHeight="1" x14ac:dyDescent="0.35">
      <c r="A197" s="129">
        <f t="shared" ref="A197:A208" si="33">A196+1</f>
        <v>5</v>
      </c>
      <c r="B197" s="130"/>
      <c r="C197" s="68" t="s">
        <v>307</v>
      </c>
      <c r="D197" s="70">
        <f>(41.54)*(10.764)</f>
        <v>447.13655999999997</v>
      </c>
      <c r="E197" s="70">
        <f>(0.75*(1.5+2.75+2.2+2.75))*10.764</f>
        <v>74.271599999999992</v>
      </c>
      <c r="F197" s="68">
        <f t="shared" si="31"/>
        <v>521.40815999999995</v>
      </c>
      <c r="G197" s="68">
        <v>0</v>
      </c>
      <c r="H197" s="68">
        <f t="shared" si="32"/>
        <v>782.11223999999993</v>
      </c>
      <c r="I197" s="35"/>
      <c r="L197" s="203"/>
      <c r="M197" s="203"/>
      <c r="N197" s="35"/>
    </row>
    <row r="198" spans="1:20" s="71" customFormat="1" ht="15.75" customHeight="1" x14ac:dyDescent="0.35">
      <c r="A198" s="129">
        <f t="shared" si="33"/>
        <v>6</v>
      </c>
      <c r="B198" s="130"/>
      <c r="C198" s="206" t="s">
        <v>346</v>
      </c>
      <c r="D198" s="207"/>
      <c r="E198" s="207"/>
      <c r="F198" s="207"/>
      <c r="G198" s="207"/>
      <c r="H198" s="208"/>
      <c r="I198" s="35"/>
      <c r="L198" s="203"/>
      <c r="M198" s="203"/>
      <c r="N198" s="35"/>
    </row>
    <row r="199" spans="1:20" s="71" customFormat="1" ht="15.75" customHeight="1" x14ac:dyDescent="0.35">
      <c r="A199" s="129">
        <f t="shared" si="33"/>
        <v>7</v>
      </c>
      <c r="B199" s="130"/>
      <c r="C199" s="212"/>
      <c r="D199" s="213"/>
      <c r="E199" s="213"/>
      <c r="F199" s="213"/>
      <c r="G199" s="213"/>
      <c r="H199" s="214"/>
      <c r="I199" s="35"/>
      <c r="L199" s="203"/>
      <c r="M199" s="203"/>
      <c r="N199" s="35"/>
    </row>
    <row r="200" spans="1:20" s="71" customFormat="1" ht="15.75" customHeight="1" x14ac:dyDescent="0.35">
      <c r="A200" s="129">
        <f t="shared" si="33"/>
        <v>8</v>
      </c>
      <c r="B200" s="130"/>
      <c r="C200" s="68" t="s">
        <v>307</v>
      </c>
      <c r="D200" s="70">
        <f>(32.01)*(10.764)</f>
        <v>344.55563999999998</v>
      </c>
      <c r="E200" s="70">
        <f>(0.75*(2+1.95+2.75))*10.764</f>
        <v>54.089100000000002</v>
      </c>
      <c r="F200" s="68">
        <f t="shared" si="31"/>
        <v>398.64473999999996</v>
      </c>
      <c r="G200" s="68">
        <v>0</v>
      </c>
      <c r="H200" s="68">
        <f t="shared" si="32"/>
        <v>597.96710999999993</v>
      </c>
      <c r="I200" s="35"/>
      <c r="L200" s="203"/>
      <c r="M200" s="203"/>
      <c r="N200" s="35"/>
      <c r="T200" s="20"/>
    </row>
    <row r="201" spans="1:20" s="71" customFormat="1" ht="15.75" customHeight="1" x14ac:dyDescent="0.35">
      <c r="A201" s="129">
        <f t="shared" si="33"/>
        <v>9</v>
      </c>
      <c r="B201" s="130"/>
      <c r="C201" s="68" t="s">
        <v>307</v>
      </c>
      <c r="D201" s="70">
        <f>(32.01)*(10.764)</f>
        <v>344.55563999999998</v>
      </c>
      <c r="E201" s="70">
        <f>(0.75*(2+1.95+2.75))*10.764</f>
        <v>54.089100000000002</v>
      </c>
      <c r="F201" s="68">
        <f t="shared" si="31"/>
        <v>398.64473999999996</v>
      </c>
      <c r="G201" s="68">
        <v>0</v>
      </c>
      <c r="H201" s="68">
        <f t="shared" si="32"/>
        <v>597.96710999999993</v>
      </c>
      <c r="I201" s="35"/>
      <c r="L201" s="203"/>
      <c r="M201" s="203"/>
      <c r="N201" s="35"/>
    </row>
    <row r="202" spans="1:20" s="71" customFormat="1" ht="15.75" customHeight="1" x14ac:dyDescent="0.35">
      <c r="A202" s="129">
        <f t="shared" si="33"/>
        <v>10</v>
      </c>
      <c r="B202" s="130"/>
      <c r="C202" s="206" t="s">
        <v>346</v>
      </c>
      <c r="D202" s="207"/>
      <c r="E202" s="207"/>
      <c r="F202" s="207"/>
      <c r="G202" s="207"/>
      <c r="H202" s="208"/>
      <c r="I202" s="35"/>
      <c r="L202" s="203"/>
      <c r="M202" s="203"/>
      <c r="N202" s="35"/>
    </row>
    <row r="203" spans="1:20" s="71" customFormat="1" ht="15.75" customHeight="1" x14ac:dyDescent="0.35">
      <c r="A203" s="129">
        <f t="shared" si="33"/>
        <v>11</v>
      </c>
      <c r="B203" s="130"/>
      <c r="C203" s="212"/>
      <c r="D203" s="213"/>
      <c r="E203" s="213"/>
      <c r="F203" s="213"/>
      <c r="G203" s="213"/>
      <c r="H203" s="214"/>
      <c r="I203" s="35"/>
      <c r="L203" s="203"/>
      <c r="M203" s="203"/>
      <c r="N203" s="35"/>
    </row>
    <row r="204" spans="1:20" s="71" customFormat="1" ht="15.75" customHeight="1" x14ac:dyDescent="0.35">
      <c r="A204" s="129">
        <f t="shared" si="33"/>
        <v>12</v>
      </c>
      <c r="B204" s="130"/>
      <c r="C204" s="68" t="s">
        <v>307</v>
      </c>
      <c r="D204" s="70">
        <f>(32.01)*(10.764)</f>
        <v>344.55563999999998</v>
      </c>
      <c r="E204" s="70">
        <f>(0.75*(2+1.95+2.75))*10.764</f>
        <v>54.089100000000002</v>
      </c>
      <c r="F204" s="68">
        <f t="shared" si="31"/>
        <v>398.64473999999996</v>
      </c>
      <c r="G204" s="68">
        <v>0</v>
      </c>
      <c r="H204" s="68">
        <f t="shared" si="32"/>
        <v>597.96710999999993</v>
      </c>
      <c r="I204" s="35"/>
      <c r="L204" s="203"/>
      <c r="M204" s="203"/>
      <c r="N204" s="35"/>
      <c r="T204" s="20"/>
    </row>
    <row r="205" spans="1:20" s="71" customFormat="1" ht="15.75" customHeight="1" x14ac:dyDescent="0.35">
      <c r="A205" s="129">
        <f t="shared" si="33"/>
        <v>13</v>
      </c>
      <c r="B205" s="130"/>
      <c r="C205" s="206" t="s">
        <v>346</v>
      </c>
      <c r="D205" s="207"/>
      <c r="E205" s="207"/>
      <c r="F205" s="207"/>
      <c r="G205" s="207"/>
      <c r="H205" s="208"/>
      <c r="I205" s="35"/>
      <c r="L205" s="203"/>
      <c r="M205" s="203"/>
      <c r="N205" s="35"/>
    </row>
    <row r="206" spans="1:20" s="71" customFormat="1" ht="15.75" customHeight="1" x14ac:dyDescent="0.35">
      <c r="A206" s="129">
        <f t="shared" si="33"/>
        <v>14</v>
      </c>
      <c r="B206" s="130"/>
      <c r="C206" s="209"/>
      <c r="D206" s="210"/>
      <c r="E206" s="210"/>
      <c r="F206" s="210"/>
      <c r="G206" s="210"/>
      <c r="H206" s="211"/>
      <c r="I206" s="35"/>
      <c r="L206" s="203"/>
      <c r="M206" s="203"/>
      <c r="N206" s="35"/>
    </row>
    <row r="207" spans="1:20" s="71" customFormat="1" ht="15.75" customHeight="1" x14ac:dyDescent="0.35">
      <c r="A207" s="129">
        <f t="shared" si="33"/>
        <v>15</v>
      </c>
      <c r="B207" s="130"/>
      <c r="C207" s="209"/>
      <c r="D207" s="210"/>
      <c r="E207" s="210"/>
      <c r="F207" s="210"/>
      <c r="G207" s="210"/>
      <c r="H207" s="211"/>
      <c r="I207" s="35"/>
      <c r="L207" s="203"/>
      <c r="M207" s="203"/>
      <c r="N207" s="35"/>
    </row>
    <row r="208" spans="1:20" s="71" customFormat="1" ht="15.75" customHeight="1" x14ac:dyDescent="0.35">
      <c r="A208" s="129">
        <f t="shared" si="33"/>
        <v>16</v>
      </c>
      <c r="B208" s="130"/>
      <c r="C208" s="212"/>
      <c r="D208" s="213"/>
      <c r="E208" s="213"/>
      <c r="F208" s="213"/>
      <c r="G208" s="213"/>
      <c r="H208" s="214"/>
      <c r="I208" s="35"/>
      <c r="L208" s="203"/>
      <c r="M208" s="203"/>
      <c r="N208" s="35"/>
    </row>
    <row r="209" spans="1:20" s="36" customFormat="1" x14ac:dyDescent="0.35">
      <c r="A209" s="126" t="s">
        <v>305</v>
      </c>
      <c r="B209" s="127"/>
      <c r="C209" s="127"/>
      <c r="D209" s="127"/>
      <c r="E209" s="127"/>
      <c r="F209" s="127"/>
      <c r="G209" s="127"/>
      <c r="H209" s="128"/>
      <c r="J209" s="35"/>
    </row>
    <row r="210" spans="1:20" s="36" customFormat="1" ht="15.75" customHeight="1" x14ac:dyDescent="0.35">
      <c r="A210" s="129">
        <v>1</v>
      </c>
      <c r="B210" s="130"/>
      <c r="C210" s="41" t="s">
        <v>306</v>
      </c>
      <c r="D210" s="70">
        <f>(45.67)*(10.764)</f>
        <v>491.59188</v>
      </c>
      <c r="E210" s="70">
        <f>(0.75*(2.75+2.1+2.25))*10.764</f>
        <v>57.318299999999986</v>
      </c>
      <c r="F210" s="41">
        <f t="shared" ref="F210:F225" si="34">D210+E210</f>
        <v>548.91017999999997</v>
      </c>
      <c r="G210" s="70">
        <v>0</v>
      </c>
      <c r="H210" s="55">
        <f t="shared" ref="H210:H225" si="35">F210*(($H$190)+1)+(IF(G210&lt;101,G210,IF(G210&lt;201,G210/2,IF(G210&lt;=301,G210/3,G210/4))))</f>
        <v>823.36527000000001</v>
      </c>
      <c r="I210" s="35">
        <f>2.75*4.15+2.1*2.25+2.8*3.15+3.55*3.1+2.2*1.9+1.2*2.1+2.1*1.2</f>
        <v>45.182500000000012</v>
      </c>
      <c r="J210" s="83">
        <v>883</v>
      </c>
      <c r="K210" s="83">
        <f>J210/F210</f>
        <v>1.6086420550626335</v>
      </c>
      <c r="L210" s="203"/>
      <c r="M210" s="203"/>
      <c r="N210" s="35"/>
    </row>
    <row r="211" spans="1:20" s="36" customFormat="1" ht="15.75" customHeight="1" x14ac:dyDescent="0.35">
      <c r="A211" s="129">
        <f>A210+1</f>
        <v>2</v>
      </c>
      <c r="B211" s="130"/>
      <c r="C211" s="41" t="s">
        <v>306</v>
      </c>
      <c r="D211" s="70">
        <f>(45.67)*(10.764)</f>
        <v>491.59188</v>
      </c>
      <c r="E211" s="70">
        <f>(0.75*(2.75+2.1+2.25))*10.764</f>
        <v>57.318299999999986</v>
      </c>
      <c r="F211" s="55">
        <f t="shared" si="34"/>
        <v>548.91017999999997</v>
      </c>
      <c r="G211" s="70">
        <f>(0.75*(3.15))*10.764</f>
        <v>25.429949999999998</v>
      </c>
      <c r="H211" s="55">
        <f t="shared" si="35"/>
        <v>848.79521999999997</v>
      </c>
      <c r="I211" s="35"/>
      <c r="J211" s="83">
        <v>883</v>
      </c>
      <c r="K211" s="83">
        <f>J211/F211</f>
        <v>1.6086420550626335</v>
      </c>
      <c r="L211" s="70">
        <v>10.763999999999999</v>
      </c>
      <c r="M211" s="82"/>
      <c r="N211" s="35"/>
    </row>
    <row r="212" spans="1:20" s="36" customFormat="1" ht="15.75" customHeight="1" x14ac:dyDescent="0.35">
      <c r="A212" s="129">
        <f>A211+1</f>
        <v>3</v>
      </c>
      <c r="B212" s="130"/>
      <c r="C212" s="41" t="s">
        <v>307</v>
      </c>
      <c r="D212" s="70">
        <f>(30.78)*(10.764)</f>
        <v>331.31592000000001</v>
      </c>
      <c r="E212" s="70">
        <v>0</v>
      </c>
      <c r="F212" s="55">
        <f t="shared" si="34"/>
        <v>331.31592000000001</v>
      </c>
      <c r="G212" s="70">
        <f>(2.7*2.75+0.75*(2.15+2.75))*10.764</f>
        <v>119.4804</v>
      </c>
      <c r="H212" s="55">
        <f t="shared" si="35"/>
        <v>556.71407999999997</v>
      </c>
      <c r="I212" s="35">
        <f>4.1*2.75+2.25*2.15+3.15*2.75+1*2.15+1.2*0.9+1.2*1.2+0.5*1.2</f>
        <v>30.044999999999998</v>
      </c>
      <c r="J212" s="83">
        <f>640</f>
        <v>640</v>
      </c>
      <c r="K212" s="83">
        <f>J212/D212</f>
        <v>1.9316910578881932</v>
      </c>
      <c r="L212" s="82"/>
      <c r="M212" s="82"/>
      <c r="N212" s="35"/>
    </row>
    <row r="213" spans="1:20" s="36" customFormat="1" ht="15.75" customHeight="1" x14ac:dyDescent="0.35">
      <c r="A213" s="129">
        <f>A212+1</f>
        <v>4</v>
      </c>
      <c r="B213" s="130"/>
      <c r="C213" s="41" t="s">
        <v>307</v>
      </c>
      <c r="D213" s="70">
        <f>(32.01)*(10.764)</f>
        <v>344.55563999999998</v>
      </c>
      <c r="E213" s="70">
        <v>0</v>
      </c>
      <c r="F213" s="55">
        <f t="shared" si="34"/>
        <v>344.55563999999998</v>
      </c>
      <c r="G213" s="70">
        <f>(2.7*1.8+0.75*(1.95+2.75))*10.764</f>
        <v>90.256140000000016</v>
      </c>
      <c r="H213" s="55">
        <f t="shared" si="35"/>
        <v>607.08960000000002</v>
      </c>
      <c r="I213" s="35"/>
      <c r="J213" s="83">
        <f>640</f>
        <v>640</v>
      </c>
      <c r="K213" s="83">
        <f t="shared" ref="K213:K259" si="36">J213/D213</f>
        <v>1.8574648785316648</v>
      </c>
      <c r="L213" s="82"/>
      <c r="M213" s="82"/>
      <c r="N213" s="35"/>
      <c r="T213" s="20"/>
    </row>
    <row r="214" spans="1:20" s="69" customFormat="1" ht="15.75" customHeight="1" x14ac:dyDescent="0.35">
      <c r="A214" s="129">
        <f t="shared" ref="A214:A217" si="37">A213+1</f>
        <v>5</v>
      </c>
      <c r="B214" s="130"/>
      <c r="C214" s="68" t="s">
        <v>306</v>
      </c>
      <c r="D214" s="70">
        <f>(41.54)*(10.764)</f>
        <v>447.13655999999997</v>
      </c>
      <c r="E214" s="70">
        <f>(0.75*(1.5+2.75+2.2+2.75))*10.764</f>
        <v>74.271599999999992</v>
      </c>
      <c r="F214" s="68">
        <f t="shared" si="34"/>
        <v>521.40815999999995</v>
      </c>
      <c r="G214" s="70">
        <v>0</v>
      </c>
      <c r="H214" s="68">
        <f t="shared" si="35"/>
        <v>782.11223999999993</v>
      </c>
      <c r="I214" s="35"/>
      <c r="J214" s="83">
        <v>883</v>
      </c>
      <c r="K214" s="83">
        <f t="shared" si="36"/>
        <v>1.974788194461218</v>
      </c>
      <c r="L214" s="82"/>
      <c r="M214" s="82"/>
      <c r="N214" s="35"/>
    </row>
    <row r="215" spans="1:20" s="69" customFormat="1" ht="15.75" customHeight="1" x14ac:dyDescent="0.35">
      <c r="A215" s="129">
        <f t="shared" si="37"/>
        <v>6</v>
      </c>
      <c r="B215" s="130"/>
      <c r="C215" s="68" t="s">
        <v>307</v>
      </c>
      <c r="D215" s="70">
        <f>(32.01)*(10.764)</f>
        <v>344.55563999999998</v>
      </c>
      <c r="E215" s="70">
        <f>(0.75*(2+1.95+2.75))*10.764</f>
        <v>54.089100000000002</v>
      </c>
      <c r="F215" s="68">
        <f t="shared" si="34"/>
        <v>398.64473999999996</v>
      </c>
      <c r="G215" s="70">
        <v>0</v>
      </c>
      <c r="H215" s="68">
        <f t="shared" si="35"/>
        <v>597.96710999999993</v>
      </c>
      <c r="I215" s="35"/>
      <c r="J215" s="83">
        <f>640</f>
        <v>640</v>
      </c>
      <c r="K215" s="83">
        <f t="shared" si="36"/>
        <v>1.8574648785316648</v>
      </c>
      <c r="L215" s="82"/>
      <c r="M215" s="82"/>
      <c r="N215" s="35"/>
    </row>
    <row r="216" spans="1:20" s="69" customFormat="1" ht="15.75" customHeight="1" x14ac:dyDescent="0.35">
      <c r="A216" s="129">
        <f t="shared" si="37"/>
        <v>7</v>
      </c>
      <c r="B216" s="130"/>
      <c r="C216" s="68" t="s">
        <v>307</v>
      </c>
      <c r="D216" s="70">
        <f>(32.01)*(10.764)</f>
        <v>344.55563999999998</v>
      </c>
      <c r="E216" s="70">
        <f>(0.75*(2+1.95+2.75))*10.764</f>
        <v>54.089100000000002</v>
      </c>
      <c r="F216" s="68">
        <f t="shared" si="34"/>
        <v>398.64473999999996</v>
      </c>
      <c r="G216" s="70">
        <v>0</v>
      </c>
      <c r="H216" s="68">
        <f t="shared" si="35"/>
        <v>597.96710999999993</v>
      </c>
      <c r="I216" s="35"/>
      <c r="J216" s="83">
        <f>640</f>
        <v>640</v>
      </c>
      <c r="K216" s="83">
        <f t="shared" si="36"/>
        <v>1.8574648785316648</v>
      </c>
      <c r="L216" s="82"/>
      <c r="M216" s="82"/>
      <c r="N216" s="35"/>
    </row>
    <row r="217" spans="1:20" s="69" customFormat="1" ht="15.75" customHeight="1" x14ac:dyDescent="0.35">
      <c r="A217" s="129">
        <f t="shared" si="37"/>
        <v>8</v>
      </c>
      <c r="B217" s="130"/>
      <c r="C217" s="68" t="s">
        <v>307</v>
      </c>
      <c r="D217" s="70">
        <f>(32.01)*(10.764)</f>
        <v>344.55563999999998</v>
      </c>
      <c r="E217" s="70">
        <f>(0.75*(2+1.95+2.75))*10.764</f>
        <v>54.089100000000002</v>
      </c>
      <c r="F217" s="68">
        <f t="shared" si="34"/>
        <v>398.64473999999996</v>
      </c>
      <c r="G217" s="70">
        <v>0</v>
      </c>
      <c r="H217" s="68">
        <f t="shared" si="35"/>
        <v>597.96710999999993</v>
      </c>
      <c r="I217" s="35"/>
      <c r="J217" s="83">
        <f>640</f>
        <v>640</v>
      </c>
      <c r="K217" s="83">
        <f t="shared" si="36"/>
        <v>1.8574648785316648</v>
      </c>
      <c r="L217" s="82"/>
      <c r="M217" s="82"/>
      <c r="N217" s="35"/>
      <c r="T217" s="20"/>
    </row>
    <row r="218" spans="1:20" s="69" customFormat="1" ht="15.75" customHeight="1" x14ac:dyDescent="0.35">
      <c r="A218" s="129">
        <f t="shared" ref="A218:A223" si="38">A217+1</f>
        <v>9</v>
      </c>
      <c r="B218" s="130"/>
      <c r="C218" s="68" t="s">
        <v>307</v>
      </c>
      <c r="D218" s="70">
        <f>(32.01)*(10.764)</f>
        <v>344.55563999999998</v>
      </c>
      <c r="E218" s="70">
        <f>(0.75*(2+1.95+2.75))*10.764</f>
        <v>54.089100000000002</v>
      </c>
      <c r="F218" s="68">
        <f t="shared" si="34"/>
        <v>398.64473999999996</v>
      </c>
      <c r="G218" s="70">
        <v>0</v>
      </c>
      <c r="H218" s="68">
        <f t="shared" si="35"/>
        <v>597.96710999999993</v>
      </c>
      <c r="I218" s="35"/>
      <c r="J218" s="83">
        <f>640</f>
        <v>640</v>
      </c>
      <c r="K218" s="83">
        <f t="shared" si="36"/>
        <v>1.8574648785316648</v>
      </c>
      <c r="L218" s="82"/>
      <c r="M218" s="82"/>
      <c r="N218" s="35"/>
    </row>
    <row r="219" spans="1:20" s="69" customFormat="1" ht="15.75" customHeight="1" x14ac:dyDescent="0.35">
      <c r="A219" s="129">
        <f t="shared" si="38"/>
        <v>10</v>
      </c>
      <c r="B219" s="130"/>
      <c r="C219" s="68" t="s">
        <v>307</v>
      </c>
      <c r="D219" s="70">
        <f>(32.01)*(10.764)</f>
        <v>344.55563999999998</v>
      </c>
      <c r="E219" s="70">
        <v>0</v>
      </c>
      <c r="F219" s="68">
        <f t="shared" si="34"/>
        <v>344.55563999999998</v>
      </c>
      <c r="G219" s="70">
        <f>(2.7*1.8+0.75*(1.95+2.75))*10.764</f>
        <v>90.256140000000016</v>
      </c>
      <c r="H219" s="68">
        <f t="shared" si="35"/>
        <v>607.08960000000002</v>
      </c>
      <c r="I219" s="35"/>
      <c r="J219" s="83">
        <f>640</f>
        <v>640</v>
      </c>
      <c r="K219" s="83">
        <f t="shared" si="36"/>
        <v>1.8574648785316648</v>
      </c>
      <c r="L219" s="203"/>
      <c r="M219" s="203"/>
      <c r="N219" s="35"/>
    </row>
    <row r="220" spans="1:20" s="69" customFormat="1" ht="15.75" customHeight="1" x14ac:dyDescent="0.35">
      <c r="A220" s="129">
        <f t="shared" si="38"/>
        <v>11</v>
      </c>
      <c r="B220" s="130"/>
      <c r="C220" s="68" t="s">
        <v>307</v>
      </c>
      <c r="D220" s="70">
        <f>(30.78)*(10.764)</f>
        <v>331.31592000000001</v>
      </c>
      <c r="E220" s="70">
        <v>0</v>
      </c>
      <c r="F220" s="68">
        <f t="shared" si="34"/>
        <v>331.31592000000001</v>
      </c>
      <c r="G220" s="70">
        <f>(2.7*2.75+0.75*(2.15+2.75))*10.764</f>
        <v>119.4804</v>
      </c>
      <c r="H220" s="68">
        <f t="shared" si="35"/>
        <v>556.71407999999997</v>
      </c>
      <c r="I220" s="35"/>
      <c r="J220" s="83">
        <f>640</f>
        <v>640</v>
      </c>
      <c r="K220" s="83">
        <f t="shared" si="36"/>
        <v>1.9316910578881932</v>
      </c>
      <c r="L220" s="203"/>
      <c r="M220" s="203"/>
      <c r="N220" s="35"/>
    </row>
    <row r="221" spans="1:20" s="69" customFormat="1" ht="15.75" customHeight="1" x14ac:dyDescent="0.35">
      <c r="A221" s="129">
        <f t="shared" si="38"/>
        <v>12</v>
      </c>
      <c r="B221" s="130"/>
      <c r="C221" s="68" t="s">
        <v>307</v>
      </c>
      <c r="D221" s="70">
        <f>(32.01)*(10.764)</f>
        <v>344.55563999999998</v>
      </c>
      <c r="E221" s="70">
        <f>(0.75*(2+1.95+2.75))*10.764</f>
        <v>54.089100000000002</v>
      </c>
      <c r="F221" s="68">
        <f t="shared" si="34"/>
        <v>398.64473999999996</v>
      </c>
      <c r="G221" s="70">
        <v>0</v>
      </c>
      <c r="H221" s="68">
        <f t="shared" si="35"/>
        <v>597.96710999999993</v>
      </c>
      <c r="I221" s="35"/>
      <c r="J221" s="83">
        <f>640</f>
        <v>640</v>
      </c>
      <c r="K221" s="83">
        <f t="shared" si="36"/>
        <v>1.8574648785316648</v>
      </c>
      <c r="L221" s="203"/>
      <c r="M221" s="203"/>
      <c r="N221" s="35"/>
      <c r="T221" s="20"/>
    </row>
    <row r="222" spans="1:20" s="69" customFormat="1" ht="15.75" customHeight="1" x14ac:dyDescent="0.35">
      <c r="A222" s="129">
        <f t="shared" si="38"/>
        <v>13</v>
      </c>
      <c r="B222" s="130"/>
      <c r="C222" s="68" t="s">
        <v>306</v>
      </c>
      <c r="D222" s="70">
        <f>(50.79)*(10.764)</f>
        <v>546.70355999999992</v>
      </c>
      <c r="E222" s="70">
        <v>0</v>
      </c>
      <c r="F222" s="68">
        <f t="shared" si="34"/>
        <v>546.70355999999992</v>
      </c>
      <c r="G222" s="70">
        <f>(0.75*(2.75+2.1+2.8+3.15))*10.764</f>
        <v>87.188399999999987</v>
      </c>
      <c r="H222" s="68">
        <f t="shared" si="35"/>
        <v>907.24373999999989</v>
      </c>
      <c r="I222" s="35"/>
      <c r="J222" s="83">
        <v>883</v>
      </c>
      <c r="K222" s="83">
        <f t="shared" si="36"/>
        <v>1.615134900530006</v>
      </c>
      <c r="L222" s="203"/>
      <c r="M222" s="203"/>
      <c r="N222" s="35"/>
    </row>
    <row r="223" spans="1:20" s="69" customFormat="1" ht="15.75" customHeight="1" x14ac:dyDescent="0.35">
      <c r="A223" s="129">
        <f t="shared" si="38"/>
        <v>14</v>
      </c>
      <c r="B223" s="130"/>
      <c r="C223" s="68" t="s">
        <v>307</v>
      </c>
      <c r="D223" s="70">
        <f>(32.01)*(10.764)</f>
        <v>344.55563999999998</v>
      </c>
      <c r="E223" s="70">
        <v>0</v>
      </c>
      <c r="F223" s="68">
        <f t="shared" si="34"/>
        <v>344.55563999999998</v>
      </c>
      <c r="G223" s="70">
        <f>(2*2.7+0.75*(1.95+2.75))*10.764</f>
        <v>96.068700000000007</v>
      </c>
      <c r="H223" s="68">
        <f t="shared" si="35"/>
        <v>612.90215999999998</v>
      </c>
      <c r="I223" s="35"/>
      <c r="J223" s="83">
        <f>640</f>
        <v>640</v>
      </c>
      <c r="K223" s="83">
        <f t="shared" si="36"/>
        <v>1.8574648785316648</v>
      </c>
      <c r="L223" s="203"/>
      <c r="M223" s="203"/>
      <c r="N223" s="35"/>
    </row>
    <row r="224" spans="1:20" s="69" customFormat="1" ht="15.75" customHeight="1" x14ac:dyDescent="0.35">
      <c r="A224" s="129">
        <f t="shared" ref="A224:A225" si="39">A223+1</f>
        <v>15</v>
      </c>
      <c r="B224" s="130"/>
      <c r="C224" s="68" t="s">
        <v>307</v>
      </c>
      <c r="D224" s="70">
        <f>(32.01)*(10.764)</f>
        <v>344.55563999999998</v>
      </c>
      <c r="E224" s="70">
        <f>(0.75*(1.95+2.75))*10.764</f>
        <v>37.943100000000001</v>
      </c>
      <c r="F224" s="68">
        <f t="shared" si="34"/>
        <v>382.49874</v>
      </c>
      <c r="G224" s="70">
        <f>(2*1.95)*10.764</f>
        <v>41.979599999999998</v>
      </c>
      <c r="H224" s="68">
        <f t="shared" si="35"/>
        <v>615.72771</v>
      </c>
      <c r="I224" s="35"/>
      <c r="J224" s="83">
        <f>640</f>
        <v>640</v>
      </c>
      <c r="K224" s="83">
        <f t="shared" si="36"/>
        <v>1.8574648785316648</v>
      </c>
      <c r="L224" s="203"/>
      <c r="M224" s="203"/>
      <c r="N224" s="35"/>
    </row>
    <row r="225" spans="1:20" s="69" customFormat="1" ht="15.75" customHeight="1" x14ac:dyDescent="0.35">
      <c r="A225" s="129">
        <f t="shared" si="39"/>
        <v>16</v>
      </c>
      <c r="B225" s="130"/>
      <c r="C225" s="68" t="s">
        <v>307</v>
      </c>
      <c r="D225" s="70">
        <f>(32.01)*(10.764)</f>
        <v>344.55563999999998</v>
      </c>
      <c r="E225" s="70">
        <v>0</v>
      </c>
      <c r="F225" s="68">
        <f t="shared" si="34"/>
        <v>344.55563999999998</v>
      </c>
      <c r="G225" s="70">
        <f>(2*2.7+0.75*(1.95+2.75))*10.764</f>
        <v>96.068700000000007</v>
      </c>
      <c r="H225" s="68">
        <f t="shared" si="35"/>
        <v>612.90215999999998</v>
      </c>
      <c r="I225" s="35"/>
      <c r="J225" s="83">
        <f>640</f>
        <v>640</v>
      </c>
      <c r="K225" s="83">
        <f t="shared" si="36"/>
        <v>1.8574648785316648</v>
      </c>
      <c r="L225" s="203"/>
      <c r="M225" s="203"/>
      <c r="N225" s="35"/>
    </row>
    <row r="226" spans="1:20" s="36" customFormat="1" ht="15.75" customHeight="1" x14ac:dyDescent="0.35">
      <c r="A226" s="126" t="s">
        <v>348</v>
      </c>
      <c r="B226" s="127"/>
      <c r="C226" s="127"/>
      <c r="D226" s="127"/>
      <c r="E226" s="127"/>
      <c r="F226" s="127"/>
      <c r="G226" s="127"/>
      <c r="H226" s="128"/>
      <c r="I226" s="35"/>
      <c r="J226" s="83">
        <f>640</f>
        <v>640</v>
      </c>
      <c r="K226" s="83" t="e">
        <f t="shared" si="36"/>
        <v>#DIV/0!</v>
      </c>
    </row>
    <row r="227" spans="1:20" s="69" customFormat="1" ht="15.75" customHeight="1" x14ac:dyDescent="0.35">
      <c r="A227" s="129">
        <v>1</v>
      </c>
      <c r="B227" s="130"/>
      <c r="C227" s="68" t="s">
        <v>306</v>
      </c>
      <c r="D227" s="70">
        <f>(45.67)*(10.764)</f>
        <v>491.59188</v>
      </c>
      <c r="E227" s="70">
        <f>(0.75*(2.75+2.1+2.25))*10.764</f>
        <v>57.318299999999986</v>
      </c>
      <c r="F227" s="68">
        <f t="shared" ref="F227:F242" si="40">D227+E227</f>
        <v>548.91017999999997</v>
      </c>
      <c r="G227" s="68">
        <v>0</v>
      </c>
      <c r="H227" s="68">
        <f t="shared" ref="H227:H242" si="41">F227*(($H$190)+1)+(IF(G227&lt;101,G227,IF(G227&lt;201,G227/2,IF(G227&lt;=301,G227/3,G227/4))))</f>
        <v>823.36527000000001</v>
      </c>
      <c r="I227" s="35">
        <f>3100000/H227</f>
        <v>3765.0361424644498</v>
      </c>
      <c r="J227" s="83">
        <v>883</v>
      </c>
      <c r="K227" s="83">
        <f t="shared" si="36"/>
        <v>1.796205421456514</v>
      </c>
      <c r="L227" s="203"/>
      <c r="M227" s="203"/>
      <c r="N227" s="35"/>
    </row>
    <row r="228" spans="1:20" s="69" customFormat="1" ht="15.75" customHeight="1" x14ac:dyDescent="0.35">
      <c r="A228" s="129">
        <f>A227+1</f>
        <v>2</v>
      </c>
      <c r="B228" s="130"/>
      <c r="C228" s="68" t="s">
        <v>306</v>
      </c>
      <c r="D228" s="70">
        <f>(45.67)*(10.764)</f>
        <v>491.59188</v>
      </c>
      <c r="E228" s="70">
        <f>(0.75*(2.75+2.1+2.25))*10.764</f>
        <v>57.318299999999986</v>
      </c>
      <c r="F228" s="68">
        <f t="shared" si="40"/>
        <v>548.91017999999997</v>
      </c>
      <c r="G228" s="68">
        <v>0</v>
      </c>
      <c r="H228" s="68">
        <f t="shared" si="41"/>
        <v>823.36527000000001</v>
      </c>
      <c r="I228" s="35"/>
      <c r="J228" s="83">
        <v>883</v>
      </c>
      <c r="K228" s="83">
        <f t="shared" si="36"/>
        <v>1.796205421456514</v>
      </c>
      <c r="L228" s="203"/>
      <c r="M228" s="203"/>
      <c r="N228" s="35"/>
    </row>
    <row r="229" spans="1:20" s="69" customFormat="1" ht="15.75" customHeight="1" x14ac:dyDescent="0.35">
      <c r="A229" s="129">
        <f>A228+1</f>
        <v>3</v>
      </c>
      <c r="B229" s="130"/>
      <c r="C229" s="68" t="s">
        <v>307</v>
      </c>
      <c r="D229" s="70">
        <f>(30.78)*(10.764)</f>
        <v>331.31592000000001</v>
      </c>
      <c r="E229" s="70">
        <f>(0.75*(2.75+2.15+2.75))*10.764</f>
        <v>61.758450000000003</v>
      </c>
      <c r="F229" s="68">
        <f t="shared" si="40"/>
        <v>393.07436999999999</v>
      </c>
      <c r="G229" s="68">
        <v>0</v>
      </c>
      <c r="H229" s="68">
        <f t="shared" si="41"/>
        <v>589.61155499999995</v>
      </c>
      <c r="I229" s="35"/>
      <c r="J229" s="83">
        <f>640</f>
        <v>640</v>
      </c>
      <c r="K229" s="83">
        <f t="shared" si="36"/>
        <v>1.9316910578881932</v>
      </c>
      <c r="L229" s="203"/>
      <c r="M229" s="203"/>
      <c r="N229" s="35"/>
    </row>
    <row r="230" spans="1:20" s="69" customFormat="1" ht="15.75" customHeight="1" x14ac:dyDescent="0.35">
      <c r="A230" s="129">
        <f>A229+1</f>
        <v>4</v>
      </c>
      <c r="B230" s="130"/>
      <c r="C230" s="68" t="s">
        <v>307</v>
      </c>
      <c r="D230" s="70">
        <f>(32.01)*(10.764)</f>
        <v>344.55563999999998</v>
      </c>
      <c r="E230" s="70">
        <f>(0.75*(2+1.95+2.75))*10.764</f>
        <v>54.089100000000002</v>
      </c>
      <c r="F230" s="68">
        <f t="shared" si="40"/>
        <v>398.64473999999996</v>
      </c>
      <c r="G230" s="68">
        <v>0</v>
      </c>
      <c r="H230" s="68">
        <f t="shared" si="41"/>
        <v>597.96710999999993</v>
      </c>
      <c r="I230" s="35"/>
      <c r="J230" s="83">
        <f>640</f>
        <v>640</v>
      </c>
      <c r="K230" s="83">
        <f t="shared" si="36"/>
        <v>1.8574648785316648</v>
      </c>
      <c r="L230" s="203"/>
      <c r="M230" s="203"/>
      <c r="N230" s="35"/>
      <c r="T230" s="20"/>
    </row>
    <row r="231" spans="1:20" s="69" customFormat="1" ht="15.75" customHeight="1" x14ac:dyDescent="0.35">
      <c r="A231" s="129">
        <f t="shared" ref="A231:A242" si="42">A230+1</f>
        <v>5</v>
      </c>
      <c r="B231" s="130"/>
      <c r="C231" s="68" t="s">
        <v>306</v>
      </c>
      <c r="D231" s="70">
        <f>(41.54)*(10.764)</f>
        <v>447.13655999999997</v>
      </c>
      <c r="E231" s="70">
        <f>(0.75*(1.5+2.75+2.2+2.75))*10.764</f>
        <v>74.271599999999992</v>
      </c>
      <c r="F231" s="68">
        <f t="shared" si="40"/>
        <v>521.40815999999995</v>
      </c>
      <c r="G231" s="68">
        <v>0</v>
      </c>
      <c r="H231" s="68">
        <f t="shared" si="41"/>
        <v>782.11223999999993</v>
      </c>
      <c r="I231" s="35"/>
      <c r="J231" s="83">
        <v>883</v>
      </c>
      <c r="K231" s="83">
        <f t="shared" si="36"/>
        <v>1.974788194461218</v>
      </c>
      <c r="L231" s="203"/>
      <c r="M231" s="203"/>
      <c r="N231" s="35"/>
    </row>
    <row r="232" spans="1:20" s="69" customFormat="1" ht="15.75" customHeight="1" x14ac:dyDescent="0.35">
      <c r="A232" s="129">
        <f t="shared" si="42"/>
        <v>6</v>
      </c>
      <c r="B232" s="130"/>
      <c r="C232" s="68" t="s">
        <v>307</v>
      </c>
      <c r="D232" s="70">
        <f>(32.01)*(10.764)</f>
        <v>344.55563999999998</v>
      </c>
      <c r="E232" s="70">
        <f>(0.75*(2+1.95+2.75))*10.764</f>
        <v>54.089100000000002</v>
      </c>
      <c r="F232" s="68">
        <f t="shared" si="40"/>
        <v>398.64473999999996</v>
      </c>
      <c r="G232" s="68">
        <v>0</v>
      </c>
      <c r="H232" s="68">
        <f t="shared" si="41"/>
        <v>597.96710999999993</v>
      </c>
      <c r="I232" s="35"/>
      <c r="J232" s="83">
        <f>640</f>
        <v>640</v>
      </c>
      <c r="K232" s="83">
        <f t="shared" si="36"/>
        <v>1.8574648785316648</v>
      </c>
      <c r="L232" s="203"/>
      <c r="M232" s="203"/>
      <c r="N232" s="35"/>
    </row>
    <row r="233" spans="1:20" s="69" customFormat="1" ht="15.75" customHeight="1" x14ac:dyDescent="0.35">
      <c r="A233" s="129">
        <f t="shared" si="42"/>
        <v>7</v>
      </c>
      <c r="B233" s="130"/>
      <c r="C233" s="68" t="s">
        <v>307</v>
      </c>
      <c r="D233" s="70">
        <f>(32.01)*(10.764)</f>
        <v>344.55563999999998</v>
      </c>
      <c r="E233" s="70">
        <f>(0.75*(2+1.95+2.75))*10.764</f>
        <v>54.089100000000002</v>
      </c>
      <c r="F233" s="68">
        <f t="shared" si="40"/>
        <v>398.64473999999996</v>
      </c>
      <c r="G233" s="68">
        <v>0</v>
      </c>
      <c r="H233" s="68">
        <f t="shared" si="41"/>
        <v>597.96710999999993</v>
      </c>
      <c r="I233" s="35">
        <f>24610000/H241</f>
        <v>42893.387483228486</v>
      </c>
      <c r="J233" s="83">
        <f>640</f>
        <v>640</v>
      </c>
      <c r="K233" s="83">
        <f t="shared" si="36"/>
        <v>1.8574648785316648</v>
      </c>
      <c r="L233" s="203"/>
      <c r="M233" s="203"/>
      <c r="N233" s="35"/>
    </row>
    <row r="234" spans="1:20" s="69" customFormat="1" ht="15.75" customHeight="1" x14ac:dyDescent="0.35">
      <c r="A234" s="129">
        <f t="shared" si="42"/>
        <v>8</v>
      </c>
      <c r="B234" s="130"/>
      <c r="C234" s="68" t="s">
        <v>307</v>
      </c>
      <c r="D234" s="70">
        <f>(32.01)*(10.764)</f>
        <v>344.55563999999998</v>
      </c>
      <c r="E234" s="70">
        <f>(0.75*(2+1.95+2.75))*10.764</f>
        <v>54.089100000000002</v>
      </c>
      <c r="F234" s="68">
        <f t="shared" si="40"/>
        <v>398.64473999999996</v>
      </c>
      <c r="G234" s="68">
        <v>0</v>
      </c>
      <c r="H234" s="68">
        <f t="shared" si="41"/>
        <v>597.96710999999993</v>
      </c>
      <c r="I234" s="35"/>
      <c r="J234" s="83">
        <f>640</f>
        <v>640</v>
      </c>
      <c r="K234" s="83">
        <f t="shared" si="36"/>
        <v>1.8574648785316648</v>
      </c>
      <c r="L234" s="203"/>
      <c r="M234" s="203"/>
      <c r="N234" s="35"/>
      <c r="T234" s="20"/>
    </row>
    <row r="235" spans="1:20" s="69" customFormat="1" ht="15.75" customHeight="1" x14ac:dyDescent="0.35">
      <c r="A235" s="129">
        <f t="shared" si="42"/>
        <v>9</v>
      </c>
      <c r="B235" s="130"/>
      <c r="C235" s="68" t="s">
        <v>307</v>
      </c>
      <c r="D235" s="70">
        <f>(32.01)*(10.764)</f>
        <v>344.55563999999998</v>
      </c>
      <c r="E235" s="70">
        <f>(0.75*(2+1.95+2.75))*10.764</f>
        <v>54.089100000000002</v>
      </c>
      <c r="F235" s="68">
        <f t="shared" si="40"/>
        <v>398.64473999999996</v>
      </c>
      <c r="G235" s="68">
        <v>0</v>
      </c>
      <c r="H235" s="68">
        <f t="shared" si="41"/>
        <v>597.96710999999993</v>
      </c>
      <c r="I235" s="35"/>
      <c r="J235" s="83">
        <f>640</f>
        <v>640</v>
      </c>
      <c r="K235" s="83">
        <f t="shared" si="36"/>
        <v>1.8574648785316648</v>
      </c>
      <c r="L235" s="203"/>
      <c r="M235" s="203"/>
      <c r="N235" s="35"/>
    </row>
    <row r="236" spans="1:20" s="69" customFormat="1" ht="15.75" customHeight="1" x14ac:dyDescent="0.35">
      <c r="A236" s="129">
        <f t="shared" si="42"/>
        <v>10</v>
      </c>
      <c r="B236" s="130"/>
      <c r="C236" s="68" t="s">
        <v>307</v>
      </c>
      <c r="D236" s="70">
        <f>(32.01)*(10.764)</f>
        <v>344.55563999999998</v>
      </c>
      <c r="E236" s="70">
        <f>(0.75*(2+1.95+2.75))*10.764</f>
        <v>54.089100000000002</v>
      </c>
      <c r="F236" s="68">
        <f t="shared" si="40"/>
        <v>398.64473999999996</v>
      </c>
      <c r="G236" s="68">
        <v>0</v>
      </c>
      <c r="H236" s="68">
        <f t="shared" si="41"/>
        <v>597.96710999999993</v>
      </c>
      <c r="I236" s="35"/>
      <c r="J236" s="83">
        <f>640</f>
        <v>640</v>
      </c>
      <c r="K236" s="83">
        <f t="shared" si="36"/>
        <v>1.8574648785316648</v>
      </c>
      <c r="L236" s="203"/>
      <c r="M236" s="203"/>
      <c r="N236" s="35"/>
    </row>
    <row r="237" spans="1:20" s="69" customFormat="1" ht="15.75" customHeight="1" x14ac:dyDescent="0.35">
      <c r="A237" s="129">
        <f t="shared" si="42"/>
        <v>11</v>
      </c>
      <c r="B237" s="130"/>
      <c r="C237" s="68" t="s">
        <v>307</v>
      </c>
      <c r="D237" s="70">
        <f>(30.78)*(10.764)</f>
        <v>331.31592000000001</v>
      </c>
      <c r="E237" s="70">
        <f>(0.75*(2.75+2.15+2.75))*10.764</f>
        <v>61.758450000000003</v>
      </c>
      <c r="F237" s="68">
        <f t="shared" si="40"/>
        <v>393.07436999999999</v>
      </c>
      <c r="G237" s="68">
        <v>0</v>
      </c>
      <c r="H237" s="68">
        <f t="shared" si="41"/>
        <v>589.61155499999995</v>
      </c>
      <c r="I237" s="35"/>
      <c r="J237" s="83">
        <f>640</f>
        <v>640</v>
      </c>
      <c r="K237" s="83">
        <f t="shared" si="36"/>
        <v>1.9316910578881932</v>
      </c>
      <c r="L237" s="203"/>
      <c r="M237" s="203"/>
      <c r="N237" s="35"/>
    </row>
    <row r="238" spans="1:20" s="69" customFormat="1" ht="15.75" customHeight="1" x14ac:dyDescent="0.35">
      <c r="A238" s="129">
        <f t="shared" si="42"/>
        <v>12</v>
      </c>
      <c r="B238" s="130"/>
      <c r="C238" s="68" t="s">
        <v>307</v>
      </c>
      <c r="D238" s="70">
        <f>(32.01)*(10.764)</f>
        <v>344.55563999999998</v>
      </c>
      <c r="E238" s="70">
        <f>(0.75*(2+1.95+2.75))*10.764</f>
        <v>54.089100000000002</v>
      </c>
      <c r="F238" s="68">
        <f t="shared" si="40"/>
        <v>398.64473999999996</v>
      </c>
      <c r="G238" s="68">
        <v>0</v>
      </c>
      <c r="H238" s="68">
        <f t="shared" si="41"/>
        <v>597.96710999999993</v>
      </c>
      <c r="I238" s="35"/>
      <c r="J238" s="83">
        <f>640</f>
        <v>640</v>
      </c>
      <c r="K238" s="83">
        <f t="shared" si="36"/>
        <v>1.8574648785316648</v>
      </c>
      <c r="L238" s="203"/>
      <c r="M238" s="203"/>
      <c r="N238" s="35"/>
      <c r="T238" s="20"/>
    </row>
    <row r="239" spans="1:20" s="69" customFormat="1" ht="15.75" customHeight="1" x14ac:dyDescent="0.35">
      <c r="A239" s="129">
        <f t="shared" si="42"/>
        <v>13</v>
      </c>
      <c r="B239" s="130"/>
      <c r="C239" s="68" t="s">
        <v>306</v>
      </c>
      <c r="D239" s="70">
        <f>(50.79)*(10.764)</f>
        <v>546.70355999999992</v>
      </c>
      <c r="E239" s="70">
        <f>(0.75*(2.75+2.1+2.8))*10.764</f>
        <v>61.758449999999996</v>
      </c>
      <c r="F239" s="68">
        <f t="shared" si="40"/>
        <v>608.46200999999996</v>
      </c>
      <c r="G239" s="68">
        <v>0</v>
      </c>
      <c r="H239" s="68">
        <f t="shared" si="41"/>
        <v>912.69301499999995</v>
      </c>
      <c r="I239" s="35"/>
      <c r="J239" s="83">
        <v>883</v>
      </c>
      <c r="K239" s="83">
        <f t="shared" si="36"/>
        <v>1.615134900530006</v>
      </c>
      <c r="L239" s="203"/>
      <c r="M239" s="203"/>
      <c r="N239" s="35"/>
    </row>
    <row r="240" spans="1:20" s="69" customFormat="1" ht="15.75" customHeight="1" x14ac:dyDescent="0.35">
      <c r="A240" s="129">
        <f t="shared" si="42"/>
        <v>14</v>
      </c>
      <c r="B240" s="130"/>
      <c r="C240" s="68" t="s">
        <v>307</v>
      </c>
      <c r="D240" s="70">
        <f>(32.01)*(10.764)</f>
        <v>344.55563999999998</v>
      </c>
      <c r="E240" s="70">
        <f>(0.75*(2+1.95+2.75))*10.764</f>
        <v>54.089100000000002</v>
      </c>
      <c r="F240" s="68">
        <f t="shared" si="40"/>
        <v>398.64473999999996</v>
      </c>
      <c r="G240" s="68">
        <v>0</v>
      </c>
      <c r="H240" s="68">
        <f t="shared" si="41"/>
        <v>597.96710999999993</v>
      </c>
      <c r="I240" s="35"/>
      <c r="J240" s="83">
        <f>640</f>
        <v>640</v>
      </c>
      <c r="K240" s="83">
        <f t="shared" si="36"/>
        <v>1.8574648785316648</v>
      </c>
      <c r="L240" s="203"/>
      <c r="M240" s="203"/>
      <c r="N240" s="35"/>
    </row>
    <row r="241" spans="1:20" s="69" customFormat="1" ht="15.75" customHeight="1" x14ac:dyDescent="0.35">
      <c r="A241" s="129">
        <f t="shared" si="42"/>
        <v>15</v>
      </c>
      <c r="B241" s="130"/>
      <c r="C241" s="68" t="s">
        <v>307</v>
      </c>
      <c r="D241" s="70">
        <f>(32.01)*(10.764)</f>
        <v>344.55563999999998</v>
      </c>
      <c r="E241" s="70">
        <f>(0.75*(1.95+2.75))*10.764</f>
        <v>37.943100000000001</v>
      </c>
      <c r="F241" s="68">
        <f t="shared" si="40"/>
        <v>382.49874</v>
      </c>
      <c r="G241" s="68">
        <v>0</v>
      </c>
      <c r="H241" s="68">
        <f t="shared" si="41"/>
        <v>573.74811</v>
      </c>
      <c r="I241" s="35"/>
      <c r="J241" s="83">
        <f>640</f>
        <v>640</v>
      </c>
      <c r="K241" s="83">
        <f t="shared" si="36"/>
        <v>1.8574648785316648</v>
      </c>
      <c r="L241" s="203"/>
      <c r="M241" s="203"/>
      <c r="N241" s="35"/>
    </row>
    <row r="242" spans="1:20" s="69" customFormat="1" ht="15.75" customHeight="1" x14ac:dyDescent="0.35">
      <c r="A242" s="129">
        <f t="shared" si="42"/>
        <v>16</v>
      </c>
      <c r="B242" s="130"/>
      <c r="C242" s="68" t="s">
        <v>307</v>
      </c>
      <c r="D242" s="70">
        <f>(32.01)*(10.764)</f>
        <v>344.55563999999998</v>
      </c>
      <c r="E242" s="70">
        <f>(0.75*(2+1.95+2.75))*10.764</f>
        <v>54.089100000000002</v>
      </c>
      <c r="F242" s="68">
        <f t="shared" si="40"/>
        <v>398.64473999999996</v>
      </c>
      <c r="G242" s="68">
        <v>0</v>
      </c>
      <c r="H242" s="68">
        <f t="shared" si="41"/>
        <v>597.96710999999993</v>
      </c>
      <c r="I242" s="35"/>
      <c r="J242" s="83">
        <f>640</f>
        <v>640</v>
      </c>
      <c r="K242" s="83">
        <f t="shared" si="36"/>
        <v>1.8574648785316648</v>
      </c>
      <c r="L242" s="203"/>
      <c r="M242" s="203"/>
      <c r="N242" s="35"/>
    </row>
    <row r="243" spans="1:20" s="71" customFormat="1" ht="15.75" customHeight="1" x14ac:dyDescent="0.35">
      <c r="A243" s="126" t="s">
        <v>347</v>
      </c>
      <c r="B243" s="127"/>
      <c r="C243" s="127"/>
      <c r="D243" s="127"/>
      <c r="E243" s="127"/>
      <c r="F243" s="127"/>
      <c r="G243" s="127"/>
      <c r="H243" s="128"/>
      <c r="I243" s="35"/>
      <c r="J243" s="83">
        <f>640</f>
        <v>640</v>
      </c>
      <c r="K243" s="83" t="e">
        <f t="shared" si="36"/>
        <v>#DIV/0!</v>
      </c>
    </row>
    <row r="244" spans="1:20" s="71" customFormat="1" ht="15.75" customHeight="1" x14ac:dyDescent="0.35">
      <c r="A244" s="129">
        <v>1</v>
      </c>
      <c r="B244" s="130"/>
      <c r="C244" s="68" t="s">
        <v>306</v>
      </c>
      <c r="D244" s="70">
        <f>(45.67)*(10.764)</f>
        <v>491.59188</v>
      </c>
      <c r="E244" s="70">
        <f>(0.75*(2.75+2.1+2.25))*10.764</f>
        <v>57.318299999999986</v>
      </c>
      <c r="F244" s="68">
        <f t="shared" ref="F244:F259" si="43">D244+E244</f>
        <v>548.91017999999997</v>
      </c>
      <c r="G244" s="68">
        <v>0</v>
      </c>
      <c r="H244" s="68">
        <f t="shared" ref="H244:H259" si="44">F244*(($H$190)+1)+(IF(G244&lt;101,G244,IF(G244&lt;201,G244/2,IF(G244&lt;=301,G244/3,G244/4))))</f>
        <v>823.36527000000001</v>
      </c>
      <c r="I244" s="35"/>
      <c r="J244" s="83">
        <f>640</f>
        <v>640</v>
      </c>
      <c r="K244" s="83">
        <f t="shared" si="36"/>
        <v>1.3018929442040417</v>
      </c>
      <c r="L244" s="203"/>
      <c r="M244" s="203"/>
      <c r="N244" s="35"/>
    </row>
    <row r="245" spans="1:20" s="71" customFormat="1" ht="15.75" customHeight="1" x14ac:dyDescent="0.35">
      <c r="A245" s="129">
        <f>A244+1</f>
        <v>2</v>
      </c>
      <c r="B245" s="130"/>
      <c r="C245" s="68" t="s">
        <v>306</v>
      </c>
      <c r="D245" s="70">
        <f>(45.67)*(10.764)</f>
        <v>491.59188</v>
      </c>
      <c r="E245" s="70">
        <f>(0.75*(2.75+2.1+2.25))*10.764</f>
        <v>57.318299999999986</v>
      </c>
      <c r="F245" s="68">
        <f t="shared" si="43"/>
        <v>548.91017999999997</v>
      </c>
      <c r="G245" s="68">
        <v>0</v>
      </c>
      <c r="H245" s="68">
        <f t="shared" si="44"/>
        <v>823.36527000000001</v>
      </c>
      <c r="I245" s="35"/>
      <c r="J245" s="83">
        <f>640</f>
        <v>640</v>
      </c>
      <c r="K245" s="83">
        <f t="shared" si="36"/>
        <v>1.3018929442040417</v>
      </c>
      <c r="L245" s="203"/>
      <c r="M245" s="203"/>
      <c r="N245" s="35"/>
    </row>
    <row r="246" spans="1:20" s="71" customFormat="1" ht="15.75" customHeight="1" x14ac:dyDescent="0.35">
      <c r="A246" s="129">
        <f>A245+1</f>
        <v>3</v>
      </c>
      <c r="B246" s="130"/>
      <c r="C246" s="68" t="s">
        <v>307</v>
      </c>
      <c r="D246" s="70">
        <f>(30.78)*(10.764)</f>
        <v>331.31592000000001</v>
      </c>
      <c r="E246" s="70">
        <f>(0.75*(2.75+2.15+2.75))*10.764</f>
        <v>61.758450000000003</v>
      </c>
      <c r="F246" s="68">
        <f t="shared" si="43"/>
        <v>393.07436999999999</v>
      </c>
      <c r="G246" s="68">
        <v>0</v>
      </c>
      <c r="H246" s="68">
        <f t="shared" si="44"/>
        <v>589.61155499999995</v>
      </c>
      <c r="I246" s="35"/>
      <c r="J246" s="83">
        <f>640</f>
        <v>640</v>
      </c>
      <c r="K246" s="83">
        <f t="shared" si="36"/>
        <v>1.9316910578881932</v>
      </c>
      <c r="L246" s="203"/>
      <c r="M246" s="203"/>
      <c r="N246" s="35"/>
    </row>
    <row r="247" spans="1:20" s="71" customFormat="1" ht="15.75" customHeight="1" x14ac:dyDescent="0.35">
      <c r="A247" s="129">
        <f>A246+1</f>
        <v>4</v>
      </c>
      <c r="B247" s="130"/>
      <c r="C247" s="68" t="s">
        <v>307</v>
      </c>
      <c r="D247" s="70">
        <f>(32.01)*(10.764)</f>
        <v>344.55563999999998</v>
      </c>
      <c r="E247" s="70">
        <f>(0.75*(2+1.95+2.75))*10.764</f>
        <v>54.089100000000002</v>
      </c>
      <c r="F247" s="68">
        <f t="shared" si="43"/>
        <v>398.64473999999996</v>
      </c>
      <c r="G247" s="68">
        <v>0</v>
      </c>
      <c r="H247" s="68">
        <f t="shared" si="44"/>
        <v>597.96710999999993</v>
      </c>
      <c r="I247" s="35"/>
      <c r="J247" s="83">
        <f>640</f>
        <v>640</v>
      </c>
      <c r="K247" s="83">
        <f t="shared" si="36"/>
        <v>1.8574648785316648</v>
      </c>
      <c r="L247" s="203"/>
      <c r="M247" s="203"/>
      <c r="N247" s="35"/>
      <c r="T247" s="20"/>
    </row>
    <row r="248" spans="1:20" s="71" customFormat="1" ht="15.75" customHeight="1" x14ac:dyDescent="0.35">
      <c r="A248" s="129">
        <f t="shared" ref="A248:A259" si="45">A247+1</f>
        <v>5</v>
      </c>
      <c r="B248" s="130"/>
      <c r="C248" s="68" t="s">
        <v>306</v>
      </c>
      <c r="D248" s="70">
        <f>(41.54)*(10.764)</f>
        <v>447.13655999999997</v>
      </c>
      <c r="E248" s="70">
        <f>(0.75*(1.5+2.75+2.2+2.75))*10.764</f>
        <v>74.271599999999992</v>
      </c>
      <c r="F248" s="68">
        <f t="shared" si="43"/>
        <v>521.40815999999995</v>
      </c>
      <c r="G248" s="68">
        <v>0</v>
      </c>
      <c r="H248" s="68">
        <f t="shared" si="44"/>
        <v>782.11223999999993</v>
      </c>
      <c r="I248" s="35"/>
      <c r="J248" s="83">
        <f>640</f>
        <v>640</v>
      </c>
      <c r="K248" s="83">
        <f t="shared" si="36"/>
        <v>1.431330061670645</v>
      </c>
      <c r="L248" s="203"/>
      <c r="M248" s="203"/>
      <c r="N248" s="35"/>
    </row>
    <row r="249" spans="1:20" s="71" customFormat="1" ht="15.75" customHeight="1" x14ac:dyDescent="0.35">
      <c r="A249" s="129">
        <f t="shared" si="45"/>
        <v>6</v>
      </c>
      <c r="B249" s="130"/>
      <c r="C249" s="129" t="s">
        <v>308</v>
      </c>
      <c r="D249" s="215"/>
      <c r="E249" s="215"/>
      <c r="F249" s="215"/>
      <c r="G249" s="215"/>
      <c r="H249" s="130"/>
      <c r="I249" s="35"/>
      <c r="J249" s="83">
        <f>640</f>
        <v>640</v>
      </c>
      <c r="K249" s="83" t="e">
        <f t="shared" si="36"/>
        <v>#DIV/0!</v>
      </c>
      <c r="L249" s="203"/>
      <c r="M249" s="203"/>
      <c r="N249" s="35"/>
    </row>
    <row r="250" spans="1:20" s="71" customFormat="1" ht="15.75" customHeight="1" x14ac:dyDescent="0.35">
      <c r="A250" s="129">
        <f t="shared" si="45"/>
        <v>7</v>
      </c>
      <c r="B250" s="130"/>
      <c r="C250" s="68" t="s">
        <v>307</v>
      </c>
      <c r="D250" s="70">
        <f>(32.01)*(10.764)</f>
        <v>344.55563999999998</v>
      </c>
      <c r="E250" s="70">
        <f>(0.75*(2+1.95+2.75))*10.764</f>
        <v>54.089100000000002</v>
      </c>
      <c r="F250" s="68">
        <f t="shared" si="43"/>
        <v>398.64473999999996</v>
      </c>
      <c r="G250" s="68">
        <v>0</v>
      </c>
      <c r="H250" s="68">
        <f t="shared" si="44"/>
        <v>597.96710999999993</v>
      </c>
      <c r="I250" s="35"/>
      <c r="J250" s="83">
        <f>640</f>
        <v>640</v>
      </c>
      <c r="K250" s="83">
        <f t="shared" si="36"/>
        <v>1.8574648785316648</v>
      </c>
      <c r="L250" s="203"/>
      <c r="M250" s="203"/>
      <c r="N250" s="35"/>
    </row>
    <row r="251" spans="1:20" s="71" customFormat="1" ht="15.75" customHeight="1" x14ac:dyDescent="0.35">
      <c r="A251" s="129">
        <f t="shared" si="45"/>
        <v>8</v>
      </c>
      <c r="B251" s="130"/>
      <c r="C251" s="68" t="s">
        <v>307</v>
      </c>
      <c r="D251" s="70">
        <f>(32.01)*(10.764)</f>
        <v>344.55563999999998</v>
      </c>
      <c r="E251" s="70">
        <f>(0.75*(2+1.95+2.75))*10.764</f>
        <v>54.089100000000002</v>
      </c>
      <c r="F251" s="68">
        <f t="shared" si="43"/>
        <v>398.64473999999996</v>
      </c>
      <c r="G251" s="68">
        <v>0</v>
      </c>
      <c r="H251" s="68">
        <f t="shared" si="44"/>
        <v>597.96710999999993</v>
      </c>
      <c r="I251" s="35"/>
      <c r="J251" s="83">
        <f>640</f>
        <v>640</v>
      </c>
      <c r="K251" s="83">
        <f t="shared" si="36"/>
        <v>1.8574648785316648</v>
      </c>
      <c r="L251" s="203"/>
      <c r="M251" s="203"/>
      <c r="N251" s="35"/>
      <c r="T251" s="20"/>
    </row>
    <row r="252" spans="1:20" s="71" customFormat="1" ht="15.75" customHeight="1" x14ac:dyDescent="0.35">
      <c r="A252" s="129">
        <f t="shared" si="45"/>
        <v>9</v>
      </c>
      <c r="B252" s="130"/>
      <c r="C252" s="68" t="s">
        <v>307</v>
      </c>
      <c r="D252" s="70">
        <f>(32.01)*(10.764)</f>
        <v>344.55563999999998</v>
      </c>
      <c r="E252" s="70">
        <f>(0.75*(2+1.95+2.75))*10.764</f>
        <v>54.089100000000002</v>
      </c>
      <c r="F252" s="68">
        <f t="shared" si="43"/>
        <v>398.64473999999996</v>
      </c>
      <c r="G252" s="68">
        <v>0</v>
      </c>
      <c r="H252" s="68">
        <f t="shared" si="44"/>
        <v>597.96710999999993</v>
      </c>
      <c r="I252" s="35"/>
      <c r="J252" s="83">
        <f>640</f>
        <v>640</v>
      </c>
      <c r="K252" s="83">
        <f t="shared" si="36"/>
        <v>1.8574648785316648</v>
      </c>
      <c r="L252" s="203"/>
      <c r="M252" s="203"/>
      <c r="N252" s="35"/>
    </row>
    <row r="253" spans="1:20" s="71" customFormat="1" ht="15.75" customHeight="1" x14ac:dyDescent="0.35">
      <c r="A253" s="129">
        <f t="shared" si="45"/>
        <v>10</v>
      </c>
      <c r="B253" s="130"/>
      <c r="C253" s="68" t="s">
        <v>307</v>
      </c>
      <c r="D253" s="70">
        <f>(32.01)*(10.764)</f>
        <v>344.55563999999998</v>
      </c>
      <c r="E253" s="70">
        <f>(0.75*(2+1.95+2.75))*10.764</f>
        <v>54.089100000000002</v>
      </c>
      <c r="F253" s="68">
        <f t="shared" si="43"/>
        <v>398.64473999999996</v>
      </c>
      <c r="G253" s="68">
        <v>0</v>
      </c>
      <c r="H253" s="68">
        <f t="shared" si="44"/>
        <v>597.96710999999993</v>
      </c>
      <c r="I253" s="35"/>
      <c r="J253" s="83">
        <f>640</f>
        <v>640</v>
      </c>
      <c r="K253" s="83">
        <f t="shared" si="36"/>
        <v>1.8574648785316648</v>
      </c>
      <c r="L253" s="203"/>
      <c r="M253" s="203"/>
      <c r="N253" s="35"/>
    </row>
    <row r="254" spans="1:20" s="71" customFormat="1" ht="15.75" customHeight="1" x14ac:dyDescent="0.35">
      <c r="A254" s="129">
        <f t="shared" si="45"/>
        <v>11</v>
      </c>
      <c r="B254" s="130"/>
      <c r="C254" s="68" t="s">
        <v>307</v>
      </c>
      <c r="D254" s="70">
        <f>(30.78)*(10.764)</f>
        <v>331.31592000000001</v>
      </c>
      <c r="E254" s="70">
        <f>(0.75*(2.75+2.15+2.75))*10.764</f>
        <v>61.758450000000003</v>
      </c>
      <c r="F254" s="68">
        <f t="shared" si="43"/>
        <v>393.07436999999999</v>
      </c>
      <c r="G254" s="68">
        <v>0</v>
      </c>
      <c r="H254" s="68">
        <f t="shared" si="44"/>
        <v>589.61155499999995</v>
      </c>
      <c r="I254" s="35"/>
      <c r="J254" s="83">
        <f>640</f>
        <v>640</v>
      </c>
      <c r="K254" s="83">
        <f t="shared" si="36"/>
        <v>1.9316910578881932</v>
      </c>
      <c r="L254" s="203"/>
      <c r="M254" s="203"/>
      <c r="N254" s="35"/>
    </row>
    <row r="255" spans="1:20" s="71" customFormat="1" ht="15.75" customHeight="1" x14ac:dyDescent="0.35">
      <c r="A255" s="129">
        <f t="shared" si="45"/>
        <v>12</v>
      </c>
      <c r="B255" s="130"/>
      <c r="C255" s="68" t="s">
        <v>307</v>
      </c>
      <c r="D255" s="70">
        <f>(32.01)*(10.764)</f>
        <v>344.55563999999998</v>
      </c>
      <c r="E255" s="70">
        <f>(0.75*(2+1.95+2.75))*10.764</f>
        <v>54.089100000000002</v>
      </c>
      <c r="F255" s="68">
        <f t="shared" si="43"/>
        <v>398.64473999999996</v>
      </c>
      <c r="G255" s="68">
        <v>0</v>
      </c>
      <c r="H255" s="68">
        <f t="shared" si="44"/>
        <v>597.96710999999993</v>
      </c>
      <c r="I255" s="35"/>
      <c r="J255" s="83">
        <f>640</f>
        <v>640</v>
      </c>
      <c r="K255" s="83">
        <f t="shared" si="36"/>
        <v>1.8574648785316648</v>
      </c>
      <c r="L255" s="203"/>
      <c r="M255" s="203"/>
      <c r="N255" s="35"/>
      <c r="T255" s="20"/>
    </row>
    <row r="256" spans="1:20" s="71" customFormat="1" ht="15.75" customHeight="1" x14ac:dyDescent="0.35">
      <c r="A256" s="129">
        <f t="shared" si="45"/>
        <v>13</v>
      </c>
      <c r="B256" s="130"/>
      <c r="C256" s="68" t="s">
        <v>306</v>
      </c>
      <c r="D256" s="70">
        <f>(50.79)*(10.764)</f>
        <v>546.70355999999992</v>
      </c>
      <c r="E256" s="70">
        <f>(0.75*(2.75+2.1+2.8))*10.764</f>
        <v>61.758449999999996</v>
      </c>
      <c r="F256" s="68">
        <f t="shared" si="43"/>
        <v>608.46200999999996</v>
      </c>
      <c r="G256" s="68">
        <v>0</v>
      </c>
      <c r="H256" s="68">
        <f t="shared" si="44"/>
        <v>912.69301499999995</v>
      </c>
      <c r="I256" s="35"/>
      <c r="J256" s="83">
        <f>640</f>
        <v>640</v>
      </c>
      <c r="K256" s="83">
        <f t="shared" si="36"/>
        <v>1.1706527025359046</v>
      </c>
      <c r="L256" s="203"/>
      <c r="M256" s="203"/>
      <c r="N256" s="35"/>
    </row>
    <row r="257" spans="1:20" s="71" customFormat="1" ht="15.75" customHeight="1" x14ac:dyDescent="0.35">
      <c r="A257" s="129">
        <f t="shared" si="45"/>
        <v>14</v>
      </c>
      <c r="B257" s="130"/>
      <c r="C257" s="68" t="s">
        <v>307</v>
      </c>
      <c r="D257" s="70">
        <f>(32.01)*(10.764)</f>
        <v>344.55563999999998</v>
      </c>
      <c r="E257" s="70">
        <f>(0.75*(2+1.95+2.75))*10.764</f>
        <v>54.089100000000002</v>
      </c>
      <c r="F257" s="68">
        <f t="shared" si="43"/>
        <v>398.64473999999996</v>
      </c>
      <c r="G257" s="68">
        <v>0</v>
      </c>
      <c r="H257" s="68">
        <f t="shared" si="44"/>
        <v>597.96710999999993</v>
      </c>
      <c r="I257" s="35"/>
      <c r="J257" s="83">
        <f>640</f>
        <v>640</v>
      </c>
      <c r="K257" s="83">
        <f t="shared" si="36"/>
        <v>1.8574648785316648</v>
      </c>
      <c r="L257" s="203"/>
      <c r="M257" s="203"/>
      <c r="N257" s="35"/>
    </row>
    <row r="258" spans="1:20" s="71" customFormat="1" ht="15.75" customHeight="1" x14ac:dyDescent="0.35">
      <c r="A258" s="129">
        <f t="shared" si="45"/>
        <v>15</v>
      </c>
      <c r="B258" s="130"/>
      <c r="C258" s="68" t="s">
        <v>307</v>
      </c>
      <c r="D258" s="70">
        <f>(32.01)*(10.764)</f>
        <v>344.55563999999998</v>
      </c>
      <c r="E258" s="70">
        <f>(0.75*(1.95+2.75))*10.764</f>
        <v>37.943100000000001</v>
      </c>
      <c r="F258" s="68">
        <f t="shared" si="43"/>
        <v>382.49874</v>
      </c>
      <c r="G258" s="68">
        <v>0</v>
      </c>
      <c r="H258" s="68">
        <f t="shared" si="44"/>
        <v>573.74811</v>
      </c>
      <c r="I258" s="35"/>
      <c r="J258" s="83">
        <f>640</f>
        <v>640</v>
      </c>
      <c r="K258" s="83">
        <f t="shared" si="36"/>
        <v>1.8574648785316648</v>
      </c>
      <c r="L258" s="203"/>
      <c r="M258" s="203"/>
      <c r="N258" s="35"/>
    </row>
    <row r="259" spans="1:20" s="71" customFormat="1" ht="15.75" customHeight="1" x14ac:dyDescent="0.35">
      <c r="A259" s="129">
        <f t="shared" si="45"/>
        <v>16</v>
      </c>
      <c r="B259" s="130"/>
      <c r="C259" s="68" t="s">
        <v>307</v>
      </c>
      <c r="D259" s="70">
        <f>(32.01)*(10.764)</f>
        <v>344.55563999999998</v>
      </c>
      <c r="E259" s="70">
        <f>(0.75*(2+1.95+2.75))*10.764</f>
        <v>54.089100000000002</v>
      </c>
      <c r="F259" s="68">
        <f t="shared" si="43"/>
        <v>398.64473999999996</v>
      </c>
      <c r="G259" s="68">
        <v>0</v>
      </c>
      <c r="H259" s="68">
        <f t="shared" si="44"/>
        <v>597.96710999999993</v>
      </c>
      <c r="I259" s="35"/>
      <c r="J259" s="83">
        <f>640</f>
        <v>640</v>
      </c>
      <c r="K259" s="83">
        <f t="shared" si="36"/>
        <v>1.8574648785316648</v>
      </c>
      <c r="L259" s="203"/>
      <c r="M259" s="203"/>
      <c r="N259" s="35"/>
    </row>
    <row r="260" spans="1:20" s="34" customFormat="1" x14ac:dyDescent="0.35">
      <c r="A260" s="216" t="s">
        <v>65</v>
      </c>
      <c r="B260" s="216"/>
      <c r="C260" s="216"/>
      <c r="D260" s="216"/>
      <c r="E260" s="216"/>
      <c r="F260" s="216"/>
      <c r="G260" s="216"/>
      <c r="H260" s="216"/>
      <c r="T260" s="36"/>
    </row>
    <row r="261" spans="1:20" s="34" customFormat="1" x14ac:dyDescent="0.35">
      <c r="A261" s="45" t="s">
        <v>151</v>
      </c>
      <c r="B261" s="155" t="s">
        <v>359</v>
      </c>
      <c r="C261" s="156"/>
      <c r="D261" s="156"/>
      <c r="E261" s="156"/>
      <c r="F261" s="156"/>
      <c r="G261" s="156"/>
      <c r="H261" s="157"/>
      <c r="T261" s="36"/>
    </row>
    <row r="262" spans="1:20" s="34" customFormat="1" x14ac:dyDescent="0.35">
      <c r="A262" s="45" t="s">
        <v>151</v>
      </c>
      <c r="B262" s="155" t="str">
        <f>(IF(H189="Saleable area Loading :","We have considered Saleable area of Flats as per our Calculation.","We considered Saleable area of Flat as per Builder area Sheet."))</f>
        <v>We have considered Saleable area of Flats as per our Calculation.</v>
      </c>
      <c r="C262" s="156"/>
      <c r="D262" s="156"/>
      <c r="E262" s="156"/>
      <c r="F262" s="156"/>
      <c r="G262" s="156"/>
      <c r="H262" s="157"/>
      <c r="T262" s="36"/>
    </row>
    <row r="263" spans="1:20" s="34" customFormat="1" x14ac:dyDescent="0.35">
      <c r="A263" s="45" t="s">
        <v>151</v>
      </c>
      <c r="B263" s="155" t="str">
        <f>(IF(H127="Saleable area Loading :","We have considered Saleable area of Commercial as per our Calculation.","We considered Saleable area of Commercial as per Builder area Sheet."))</f>
        <v>We have considered Saleable area of Commercial as per our Calculation.</v>
      </c>
      <c r="C263" s="156"/>
      <c r="D263" s="156"/>
      <c r="E263" s="156"/>
      <c r="F263" s="156"/>
      <c r="G263" s="156"/>
      <c r="H263" s="157"/>
      <c r="T263" s="36"/>
    </row>
    <row r="264" spans="1:20" s="34" customFormat="1" x14ac:dyDescent="0.35">
      <c r="A264" s="45" t="s">
        <v>151</v>
      </c>
      <c r="B264" s="152" t="s">
        <v>121</v>
      </c>
      <c r="C264" s="153"/>
      <c r="D264" s="153"/>
      <c r="E264" s="153"/>
      <c r="F264" s="153"/>
      <c r="G264" s="153"/>
      <c r="H264" s="154"/>
      <c r="T264" s="36"/>
    </row>
    <row r="265" spans="1:20" s="34" customFormat="1" ht="15.75" customHeight="1" x14ac:dyDescent="0.35">
      <c r="A265" s="45" t="s">
        <v>151</v>
      </c>
      <c r="B265" s="152" t="s">
        <v>351</v>
      </c>
      <c r="C265" s="153"/>
      <c r="D265" s="153"/>
      <c r="E265" s="153"/>
      <c r="F265" s="153"/>
      <c r="G265" s="153"/>
      <c r="H265" s="154"/>
      <c r="T265" s="36"/>
    </row>
    <row r="266" spans="1:20" s="34" customFormat="1" x14ac:dyDescent="0.35">
      <c r="A266" s="45" t="s">
        <v>151</v>
      </c>
      <c r="B266" s="152" t="s">
        <v>150</v>
      </c>
      <c r="C266" s="153"/>
      <c r="D266" s="153"/>
      <c r="E266" s="153"/>
      <c r="F266" s="153"/>
      <c r="G266" s="153"/>
      <c r="H266" s="154"/>
    </row>
    <row r="267" spans="1:20" s="34" customFormat="1" x14ac:dyDescent="0.35">
      <c r="A267" s="45" t="s">
        <v>151</v>
      </c>
      <c r="B267" s="152" t="s">
        <v>122</v>
      </c>
      <c r="C267" s="153"/>
      <c r="D267" s="153"/>
      <c r="E267" s="153"/>
      <c r="F267" s="153"/>
      <c r="G267" s="153"/>
      <c r="H267" s="154"/>
    </row>
    <row r="268" spans="1:20" s="34" customFormat="1" ht="34.5" customHeight="1" x14ac:dyDescent="0.35">
      <c r="A268" s="45" t="s">
        <v>151</v>
      </c>
      <c r="B268" s="152" t="s">
        <v>152</v>
      </c>
      <c r="C268" s="153"/>
      <c r="D268" s="153"/>
      <c r="E268" s="153"/>
      <c r="F268" s="153"/>
      <c r="G268" s="153"/>
      <c r="H268" s="154"/>
    </row>
    <row r="269" spans="1:20" s="34" customFormat="1" x14ac:dyDescent="0.35">
      <c r="A269" s="45" t="s">
        <v>151</v>
      </c>
      <c r="B269" s="152" t="s">
        <v>123</v>
      </c>
      <c r="C269" s="153"/>
      <c r="D269" s="153"/>
      <c r="E269" s="153"/>
      <c r="F269" s="153"/>
      <c r="G269" s="153"/>
      <c r="H269" s="154"/>
    </row>
    <row r="270" spans="1:20" s="34" customFormat="1" ht="35.25" customHeight="1" x14ac:dyDescent="0.35">
      <c r="A270" s="73" t="s">
        <v>151</v>
      </c>
      <c r="B270" s="152" t="s">
        <v>342</v>
      </c>
      <c r="C270" s="153"/>
      <c r="D270" s="153"/>
      <c r="E270" s="153"/>
      <c r="F270" s="153"/>
      <c r="G270" s="153"/>
      <c r="H270" s="154"/>
    </row>
    <row r="271" spans="1:20" s="34" customFormat="1" ht="35.25" customHeight="1" x14ac:dyDescent="0.35">
      <c r="A271" s="73" t="s">
        <v>151</v>
      </c>
      <c r="B271" s="152" t="s">
        <v>350</v>
      </c>
      <c r="C271" s="153"/>
      <c r="D271" s="153"/>
      <c r="E271" s="153"/>
      <c r="F271" s="153"/>
      <c r="G271" s="153"/>
      <c r="H271" s="154"/>
    </row>
    <row r="272" spans="1:20" x14ac:dyDescent="0.35">
      <c r="A272" s="106" t="s">
        <v>58</v>
      </c>
      <c r="B272" s="106"/>
      <c r="C272" s="106"/>
      <c r="D272" s="106"/>
      <c r="E272" s="106"/>
      <c r="F272" s="106"/>
      <c r="G272" s="106"/>
      <c r="H272" s="106"/>
      <c r="T272" s="34"/>
    </row>
    <row r="273" spans="1:20" x14ac:dyDescent="0.35">
      <c r="A273" s="91" t="s">
        <v>59</v>
      </c>
      <c r="B273" s="91"/>
      <c r="C273" s="91"/>
      <c r="D273" s="91"/>
      <c r="E273" s="91"/>
      <c r="F273" s="91"/>
      <c r="G273" s="91"/>
      <c r="H273" s="91"/>
      <c r="T273" s="34"/>
    </row>
    <row r="274" spans="1:20" ht="15.75" customHeight="1" x14ac:dyDescent="0.35">
      <c r="A274" s="120" t="s">
        <v>60</v>
      </c>
      <c r="B274" s="120"/>
      <c r="C274" s="120"/>
      <c r="D274" s="120"/>
      <c r="E274" s="120"/>
      <c r="F274" s="120"/>
      <c r="G274" s="120"/>
      <c r="H274" s="120"/>
      <c r="T274" s="34"/>
    </row>
    <row r="275" spans="1:20" x14ac:dyDescent="0.35">
      <c r="A275" s="91" t="s">
        <v>61</v>
      </c>
      <c r="B275" s="91"/>
      <c r="C275" s="91"/>
      <c r="D275" s="91"/>
      <c r="E275" s="91"/>
      <c r="F275" s="91"/>
      <c r="G275" s="91"/>
      <c r="H275" s="91"/>
      <c r="T275" s="34"/>
    </row>
    <row r="276" spans="1:20" x14ac:dyDescent="0.35">
      <c r="A276" s="91" t="s">
        <v>62</v>
      </c>
      <c r="B276" s="91"/>
      <c r="C276" s="91"/>
      <c r="D276" s="91"/>
      <c r="E276" s="91"/>
      <c r="F276" s="91"/>
      <c r="G276" s="91"/>
      <c r="H276" s="91"/>
      <c r="T276" s="34"/>
    </row>
    <row r="277" spans="1:20" x14ac:dyDescent="0.35">
      <c r="A277" s="91" t="s">
        <v>124</v>
      </c>
      <c r="B277" s="91"/>
      <c r="C277" s="91"/>
      <c r="D277" s="91"/>
      <c r="E277" s="91"/>
      <c r="F277" s="91"/>
      <c r="G277" s="91"/>
      <c r="H277" s="91"/>
      <c r="T277" s="34"/>
    </row>
    <row r="278" spans="1:20" ht="34" customHeight="1" x14ac:dyDescent="0.35">
      <c r="A278" s="98" t="s">
        <v>125</v>
      </c>
      <c r="B278" s="98"/>
      <c r="C278" s="98"/>
      <c r="D278" s="98"/>
      <c r="E278" s="98"/>
      <c r="F278" s="98"/>
      <c r="G278" s="98"/>
      <c r="H278" s="98"/>
    </row>
    <row r="279" spans="1:20" x14ac:dyDescent="0.35">
      <c r="A279" s="148" t="s">
        <v>74</v>
      </c>
      <c r="B279" s="148"/>
      <c r="C279" s="148" t="s">
        <v>317</v>
      </c>
      <c r="D279" s="148"/>
      <c r="E279" s="148" t="s">
        <v>104</v>
      </c>
      <c r="F279" s="148"/>
      <c r="G279" s="149" t="s">
        <v>358</v>
      </c>
      <c r="H279" s="149"/>
    </row>
    <row r="280" spans="1:20" x14ac:dyDescent="0.35">
      <c r="A280" s="147" t="s">
        <v>76</v>
      </c>
      <c r="B280" s="147"/>
      <c r="C280" s="147"/>
      <c r="D280" s="147"/>
      <c r="E280" s="147"/>
      <c r="F280" s="147"/>
      <c r="G280" s="147"/>
      <c r="H280" s="147"/>
    </row>
    <row r="281" spans="1:20" x14ac:dyDescent="0.35">
      <c r="A281" s="147"/>
      <c r="B281" s="147"/>
      <c r="C281" s="147"/>
      <c r="D281" s="147"/>
      <c r="E281" s="147"/>
      <c r="F281" s="147"/>
      <c r="G281" s="147"/>
      <c r="H281" s="147"/>
    </row>
    <row r="282" spans="1:20" x14ac:dyDescent="0.35">
      <c r="A282" s="147"/>
      <c r="B282" s="147"/>
      <c r="C282" s="147"/>
      <c r="D282" s="147"/>
      <c r="E282" s="147"/>
      <c r="F282" s="147"/>
      <c r="G282" s="147"/>
      <c r="H282" s="147"/>
    </row>
    <row r="283" spans="1:20" x14ac:dyDescent="0.35">
      <c r="A283" s="147"/>
      <c r="B283" s="147"/>
      <c r="C283" s="147"/>
      <c r="D283" s="147"/>
      <c r="E283" s="147"/>
      <c r="F283" s="147"/>
      <c r="G283" s="147"/>
      <c r="H283" s="147"/>
    </row>
    <row r="284" spans="1:20" x14ac:dyDescent="0.35">
      <c r="A284" s="37" t="s">
        <v>63</v>
      </c>
      <c r="B284" s="38"/>
      <c r="C284" s="38"/>
      <c r="D284" s="37" t="str">
        <f>E9</f>
        <v>Silvra One</v>
      </c>
      <c r="F284" s="38"/>
      <c r="G284" s="38"/>
      <c r="H284" s="38"/>
    </row>
    <row r="285" spans="1:20" x14ac:dyDescent="0.35">
      <c r="A285" s="38"/>
      <c r="B285" s="38"/>
      <c r="C285" s="38"/>
      <c r="D285" s="38"/>
      <c r="E285" s="38"/>
      <c r="F285" s="38"/>
      <c r="G285" s="38"/>
      <c r="H285" s="38"/>
    </row>
    <row r="286" spans="1:20" x14ac:dyDescent="0.35">
      <c r="A286" s="38"/>
      <c r="B286" s="38"/>
      <c r="C286" s="38"/>
      <c r="D286" s="38"/>
      <c r="E286" s="38"/>
      <c r="F286" s="38"/>
      <c r="G286" s="38"/>
      <c r="H286" s="38"/>
    </row>
    <row r="287" spans="1:20" ht="15" customHeight="1" x14ac:dyDescent="0.35"/>
    <row r="327" spans="1:1" x14ac:dyDescent="0.35">
      <c r="A327" s="40" t="s">
        <v>161</v>
      </c>
    </row>
    <row r="370" spans="1:1" x14ac:dyDescent="0.35">
      <c r="A370" s="40" t="s">
        <v>64</v>
      </c>
    </row>
  </sheetData>
  <mergeCells count="536">
    <mergeCell ref="A252:B252"/>
    <mergeCell ref="L252:M252"/>
    <mergeCell ref="A253:B253"/>
    <mergeCell ref="L253:M253"/>
    <mergeCell ref="B271:H271"/>
    <mergeCell ref="A244:B244"/>
    <mergeCell ref="L244:M244"/>
    <mergeCell ref="A245:B245"/>
    <mergeCell ref="L245:M245"/>
    <mergeCell ref="A246:B246"/>
    <mergeCell ref="L246:M246"/>
    <mergeCell ref="A247:B247"/>
    <mergeCell ref="L247:M247"/>
    <mergeCell ref="A248:B248"/>
    <mergeCell ref="L248:M248"/>
    <mergeCell ref="B270:H270"/>
    <mergeCell ref="L250:M250"/>
    <mergeCell ref="A251:B251"/>
    <mergeCell ref="L251:M251"/>
    <mergeCell ref="B262:H262"/>
    <mergeCell ref="B264:H264"/>
    <mergeCell ref="B265:H265"/>
    <mergeCell ref="A260:H260"/>
    <mergeCell ref="A192:H192"/>
    <mergeCell ref="A193:B193"/>
    <mergeCell ref="L193:M193"/>
    <mergeCell ref="A194:B194"/>
    <mergeCell ref="L194:M194"/>
    <mergeCell ref="A195:B195"/>
    <mergeCell ref="L195:M195"/>
    <mergeCell ref="A196:B196"/>
    <mergeCell ref="L196:M196"/>
    <mergeCell ref="A259:B259"/>
    <mergeCell ref="L259:M259"/>
    <mergeCell ref="C249:H249"/>
    <mergeCell ref="A191:H191"/>
    <mergeCell ref="A129:H129"/>
    <mergeCell ref="A130:H130"/>
    <mergeCell ref="A188:H188"/>
    <mergeCell ref="A254:B254"/>
    <mergeCell ref="L254:M254"/>
    <mergeCell ref="A255:B255"/>
    <mergeCell ref="L255:M255"/>
    <mergeCell ref="A256:B256"/>
    <mergeCell ref="L256:M256"/>
    <mergeCell ref="A257:B257"/>
    <mergeCell ref="L257:M257"/>
    <mergeCell ref="A258:B258"/>
    <mergeCell ref="L258:M258"/>
    <mergeCell ref="A249:B249"/>
    <mergeCell ref="L249:M249"/>
    <mergeCell ref="A250:B250"/>
    <mergeCell ref="A197:B197"/>
    <mergeCell ref="L197:M197"/>
    <mergeCell ref="A198:B198"/>
    <mergeCell ref="L198:M198"/>
    <mergeCell ref="A233:B233"/>
    <mergeCell ref="L233:M233"/>
    <mergeCell ref="A234:B234"/>
    <mergeCell ref="L234:M234"/>
    <mergeCell ref="A240:B240"/>
    <mergeCell ref="L240:M240"/>
    <mergeCell ref="A241:B241"/>
    <mergeCell ref="L241:M241"/>
    <mergeCell ref="A242:B242"/>
    <mergeCell ref="L242:M242"/>
    <mergeCell ref="A235:B235"/>
    <mergeCell ref="L235:M235"/>
    <mergeCell ref="A236:B236"/>
    <mergeCell ref="L236:M236"/>
    <mergeCell ref="A237:B237"/>
    <mergeCell ref="L237:M237"/>
    <mergeCell ref="A238:B238"/>
    <mergeCell ref="L238:M238"/>
    <mergeCell ref="A239:B239"/>
    <mergeCell ref="L239:M239"/>
    <mergeCell ref="A228:B228"/>
    <mergeCell ref="L228:M228"/>
    <mergeCell ref="L229:M229"/>
    <mergeCell ref="L230:M230"/>
    <mergeCell ref="L231:M231"/>
    <mergeCell ref="A232:B232"/>
    <mergeCell ref="L232:M232"/>
    <mergeCell ref="A231:B231"/>
    <mergeCell ref="A227:B227"/>
    <mergeCell ref="A222:B222"/>
    <mergeCell ref="L222:M222"/>
    <mergeCell ref="A213:B213"/>
    <mergeCell ref="L223:M223"/>
    <mergeCell ref="A224:B224"/>
    <mergeCell ref="L224:M224"/>
    <mergeCell ref="A225:B225"/>
    <mergeCell ref="L225:M225"/>
    <mergeCell ref="L227:M227"/>
    <mergeCell ref="C202:H203"/>
    <mergeCell ref="C198:H199"/>
    <mergeCell ref="C194:H196"/>
    <mergeCell ref="A219:B219"/>
    <mergeCell ref="L219:M219"/>
    <mergeCell ref="A220:B220"/>
    <mergeCell ref="L220:M220"/>
    <mergeCell ref="A221:B221"/>
    <mergeCell ref="L221:M221"/>
    <mergeCell ref="A202:B202"/>
    <mergeCell ref="L202:M202"/>
    <mergeCell ref="A203:B203"/>
    <mergeCell ref="L203:M203"/>
    <mergeCell ref="A199:B199"/>
    <mergeCell ref="L199:M199"/>
    <mergeCell ref="A200:B200"/>
    <mergeCell ref="L200:M200"/>
    <mergeCell ref="A201:B201"/>
    <mergeCell ref="L201:M201"/>
    <mergeCell ref="L204:M204"/>
    <mergeCell ref="A205:B205"/>
    <mergeCell ref="L205:M205"/>
    <mergeCell ref="A206:B206"/>
    <mergeCell ref="L206:M206"/>
    <mergeCell ref="A207:B207"/>
    <mergeCell ref="L207:M207"/>
    <mergeCell ref="A208:B208"/>
    <mergeCell ref="L208:M208"/>
    <mergeCell ref="C205:H208"/>
    <mergeCell ref="L179:M179"/>
    <mergeCell ref="A180:B180"/>
    <mergeCell ref="L180:M180"/>
    <mergeCell ref="A181:B181"/>
    <mergeCell ref="L181:M181"/>
    <mergeCell ref="A187:B187"/>
    <mergeCell ref="L187:M187"/>
    <mergeCell ref="A214:B214"/>
    <mergeCell ref="A182:B182"/>
    <mergeCell ref="L182:M182"/>
    <mergeCell ref="A183:B183"/>
    <mergeCell ref="L183:M183"/>
    <mergeCell ref="A184:B184"/>
    <mergeCell ref="L184:M184"/>
    <mergeCell ref="A185:B185"/>
    <mergeCell ref="L185:M185"/>
    <mergeCell ref="A186:B186"/>
    <mergeCell ref="L186:M186"/>
    <mergeCell ref="L210:M210"/>
    <mergeCell ref="A211:B211"/>
    <mergeCell ref="A212:B212"/>
    <mergeCell ref="A189:A190"/>
    <mergeCell ref="F189:F190"/>
    <mergeCell ref="A204:B204"/>
    <mergeCell ref="L174:M174"/>
    <mergeCell ref="A175:B175"/>
    <mergeCell ref="L175:M175"/>
    <mergeCell ref="A176:B176"/>
    <mergeCell ref="L176:M176"/>
    <mergeCell ref="A177:B177"/>
    <mergeCell ref="L177:M177"/>
    <mergeCell ref="A178:B178"/>
    <mergeCell ref="L178:M178"/>
    <mergeCell ref="L162:M162"/>
    <mergeCell ref="L188:M188"/>
    <mergeCell ref="A163:B163"/>
    <mergeCell ref="L163:M163"/>
    <mergeCell ref="A164:B164"/>
    <mergeCell ref="L164:M164"/>
    <mergeCell ref="A165:B165"/>
    <mergeCell ref="L165:M165"/>
    <mergeCell ref="A166:B166"/>
    <mergeCell ref="L166:M166"/>
    <mergeCell ref="A167:B167"/>
    <mergeCell ref="L167:M167"/>
    <mergeCell ref="A168:B168"/>
    <mergeCell ref="L168:M168"/>
    <mergeCell ref="A169:B169"/>
    <mergeCell ref="L169:M169"/>
    <mergeCell ref="A170:B170"/>
    <mergeCell ref="L170:M170"/>
    <mergeCell ref="A171:B171"/>
    <mergeCell ref="L171:M171"/>
    <mergeCell ref="A172:B172"/>
    <mergeCell ref="L172:M172"/>
    <mergeCell ref="A173:B173"/>
    <mergeCell ref="L173:M173"/>
    <mergeCell ref="L156:M156"/>
    <mergeCell ref="A157:B157"/>
    <mergeCell ref="L157:M157"/>
    <mergeCell ref="A158:H158"/>
    <mergeCell ref="A159:B159"/>
    <mergeCell ref="A160:B160"/>
    <mergeCell ref="L160:M160"/>
    <mergeCell ref="A161:B161"/>
    <mergeCell ref="L161:M161"/>
    <mergeCell ref="L151:M151"/>
    <mergeCell ref="A152:B152"/>
    <mergeCell ref="L152:M152"/>
    <mergeCell ref="A153:B153"/>
    <mergeCell ref="L153:M153"/>
    <mergeCell ref="A154:B154"/>
    <mergeCell ref="L154:M154"/>
    <mergeCell ref="A155:B155"/>
    <mergeCell ref="L155:M155"/>
    <mergeCell ref="L146:M146"/>
    <mergeCell ref="A147:B147"/>
    <mergeCell ref="L147:M147"/>
    <mergeCell ref="A148:B148"/>
    <mergeCell ref="L148:M148"/>
    <mergeCell ref="A149:B149"/>
    <mergeCell ref="L149:M149"/>
    <mergeCell ref="A150:B150"/>
    <mergeCell ref="L150:M150"/>
    <mergeCell ref="L141:M141"/>
    <mergeCell ref="A142:B142"/>
    <mergeCell ref="L142:M142"/>
    <mergeCell ref="A143:B143"/>
    <mergeCell ref="L143:M143"/>
    <mergeCell ref="A144:B144"/>
    <mergeCell ref="L144:M144"/>
    <mergeCell ref="A145:B145"/>
    <mergeCell ref="L145:M145"/>
    <mergeCell ref="L136:M136"/>
    <mergeCell ref="A137:B137"/>
    <mergeCell ref="L137:M137"/>
    <mergeCell ref="A138:B138"/>
    <mergeCell ref="L138:M138"/>
    <mergeCell ref="A139:B139"/>
    <mergeCell ref="L139:M139"/>
    <mergeCell ref="A140:B140"/>
    <mergeCell ref="L140:M140"/>
    <mergeCell ref="L135:M135"/>
    <mergeCell ref="L134:M134"/>
    <mergeCell ref="A133:B133"/>
    <mergeCell ref="L132:M132"/>
    <mergeCell ref="A123:B123"/>
    <mergeCell ref="E123:F123"/>
    <mergeCell ref="A112:E112"/>
    <mergeCell ref="G123:H123"/>
    <mergeCell ref="C118:D118"/>
    <mergeCell ref="E118:F118"/>
    <mergeCell ref="G118:H118"/>
    <mergeCell ref="A119:B119"/>
    <mergeCell ref="C119:D119"/>
    <mergeCell ref="E119:F119"/>
    <mergeCell ref="G119:H119"/>
    <mergeCell ref="G121:H121"/>
    <mergeCell ref="A49:B49"/>
    <mergeCell ref="C49:H49"/>
    <mergeCell ref="B266:H266"/>
    <mergeCell ref="G92:H101"/>
    <mergeCell ref="A93:B93"/>
    <mergeCell ref="A94:B94"/>
    <mergeCell ref="A95:B95"/>
    <mergeCell ref="F104:H104"/>
    <mergeCell ref="A104:E104"/>
    <mergeCell ref="D127:D128"/>
    <mergeCell ref="A106:E106"/>
    <mergeCell ref="A105:E105"/>
    <mergeCell ref="A102:E102"/>
    <mergeCell ref="F106:H106"/>
    <mergeCell ref="G127:G128"/>
    <mergeCell ref="A80:B80"/>
    <mergeCell ref="A107:E107"/>
    <mergeCell ref="A73:C73"/>
    <mergeCell ref="D73:H73"/>
    <mergeCell ref="A71:C71"/>
    <mergeCell ref="D72:H72"/>
    <mergeCell ref="A78:B78"/>
    <mergeCell ref="G77:H77"/>
    <mergeCell ref="F102:H102"/>
    <mergeCell ref="A40:B40"/>
    <mergeCell ref="C40:H40"/>
    <mergeCell ref="F127:F128"/>
    <mergeCell ref="C117:D117"/>
    <mergeCell ref="E117:F117"/>
    <mergeCell ref="B127:B128"/>
    <mergeCell ref="A127:A128"/>
    <mergeCell ref="C189:C190"/>
    <mergeCell ref="G189:G190"/>
    <mergeCell ref="G124:H124"/>
    <mergeCell ref="C55:H55"/>
    <mergeCell ref="A77:B77"/>
    <mergeCell ref="A76:B76"/>
    <mergeCell ref="A74:B74"/>
    <mergeCell ref="C74:H74"/>
    <mergeCell ref="A82:B82"/>
    <mergeCell ref="A69:C69"/>
    <mergeCell ref="D69:H69"/>
    <mergeCell ref="C76:H76"/>
    <mergeCell ref="A79:B79"/>
    <mergeCell ref="A81:B81"/>
    <mergeCell ref="E77:F77"/>
    <mergeCell ref="A70:C70"/>
    <mergeCell ref="D70:H70"/>
    <mergeCell ref="A39:B39"/>
    <mergeCell ref="C39:H39"/>
    <mergeCell ref="A46:D46"/>
    <mergeCell ref="A85:B85"/>
    <mergeCell ref="C122:D122"/>
    <mergeCell ref="E122:F122"/>
    <mergeCell ref="G122:H122"/>
    <mergeCell ref="A103:E103"/>
    <mergeCell ref="A131:H131"/>
    <mergeCell ref="E127:E128"/>
    <mergeCell ref="A92:B92"/>
    <mergeCell ref="A47:D47"/>
    <mergeCell ref="A48:H48"/>
    <mergeCell ref="D64:H64"/>
    <mergeCell ref="A64:C64"/>
    <mergeCell ref="A84:B84"/>
    <mergeCell ref="C90:H90"/>
    <mergeCell ref="A45:D45"/>
    <mergeCell ref="E78:F87"/>
    <mergeCell ref="G78:H87"/>
    <mergeCell ref="A86:B86"/>
    <mergeCell ref="A87:B87"/>
    <mergeCell ref="A91:B91"/>
    <mergeCell ref="A90:B90"/>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A65:C66"/>
    <mergeCell ref="D65:H65"/>
    <mergeCell ref="D66:H66"/>
    <mergeCell ref="C51:E51"/>
    <mergeCell ref="G50:H50"/>
    <mergeCell ref="G52:H52"/>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2:B22"/>
    <mergeCell ref="C22:D22"/>
    <mergeCell ref="E22:F22"/>
    <mergeCell ref="G22:H22"/>
    <mergeCell ref="E27:H27"/>
    <mergeCell ref="A29:D29"/>
    <mergeCell ref="E29:H29"/>
    <mergeCell ref="A26:D26"/>
    <mergeCell ref="E26:H26"/>
    <mergeCell ref="E19:F19"/>
    <mergeCell ref="G19:H19"/>
    <mergeCell ref="A20:B20"/>
    <mergeCell ref="C20:D20"/>
    <mergeCell ref="E20:F20"/>
    <mergeCell ref="G20:H20"/>
    <mergeCell ref="A21:B21"/>
    <mergeCell ref="C21:D21"/>
    <mergeCell ref="E21:F21"/>
    <mergeCell ref="G21:H21"/>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80:H283"/>
    <mergeCell ref="A279:B279"/>
    <mergeCell ref="E279:F279"/>
    <mergeCell ref="C279:D279"/>
    <mergeCell ref="G279:H279"/>
    <mergeCell ref="A115:H115"/>
    <mergeCell ref="A113:E113"/>
    <mergeCell ref="F113:H113"/>
    <mergeCell ref="A114:E114"/>
    <mergeCell ref="F114:H114"/>
    <mergeCell ref="A122:B122"/>
    <mergeCell ref="A229:B229"/>
    <mergeCell ref="A117:B117"/>
    <mergeCell ref="A275:H275"/>
    <mergeCell ref="A120:H120"/>
    <mergeCell ref="A278:H278"/>
    <mergeCell ref="A276:H276"/>
    <mergeCell ref="A272:H272"/>
    <mergeCell ref="A273:H273"/>
    <mergeCell ref="B268:H268"/>
    <mergeCell ref="B269:H269"/>
    <mergeCell ref="B267:H267"/>
    <mergeCell ref="B263:H263"/>
    <mergeCell ref="B261:H261"/>
    <mergeCell ref="A218:B218"/>
    <mergeCell ref="A223:B223"/>
    <mergeCell ref="F107:H107"/>
    <mergeCell ref="A210:B210"/>
    <mergeCell ref="A135:B135"/>
    <mergeCell ref="A134:B134"/>
    <mergeCell ref="E91:F91"/>
    <mergeCell ref="G91:H91"/>
    <mergeCell ref="A108:E108"/>
    <mergeCell ref="F108:H108"/>
    <mergeCell ref="A110:E110"/>
    <mergeCell ref="F105:H105"/>
    <mergeCell ref="A109:E109"/>
    <mergeCell ref="E92:F101"/>
    <mergeCell ref="A99:B99"/>
    <mergeCell ref="A100:B100"/>
    <mergeCell ref="E121:F121"/>
    <mergeCell ref="A125:H125"/>
    <mergeCell ref="A101:B101"/>
    <mergeCell ref="C124:D124"/>
    <mergeCell ref="E124:F124"/>
    <mergeCell ref="A215:B215"/>
    <mergeCell ref="A216:B216"/>
    <mergeCell ref="A217:B217"/>
    <mergeCell ref="B189:B190"/>
    <mergeCell ref="A136:B136"/>
    <mergeCell ref="A141:B141"/>
    <mergeCell ref="A146:B146"/>
    <mergeCell ref="A151:B151"/>
    <mergeCell ref="A156:B156"/>
    <mergeCell ref="A162:B162"/>
    <mergeCell ref="A174:B174"/>
    <mergeCell ref="A179:B179"/>
    <mergeCell ref="G51:H51"/>
    <mergeCell ref="A52:B53"/>
    <mergeCell ref="C52:E52"/>
    <mergeCell ref="C53:H53"/>
    <mergeCell ref="A277:H277"/>
    <mergeCell ref="A274:H274"/>
    <mergeCell ref="A121:B121"/>
    <mergeCell ref="D189:D190"/>
    <mergeCell ref="E189:E190"/>
    <mergeCell ref="A96:B96"/>
    <mergeCell ref="A97:B97"/>
    <mergeCell ref="A98:B98"/>
    <mergeCell ref="F103:H103"/>
    <mergeCell ref="G117:H117"/>
    <mergeCell ref="F109:H109"/>
    <mergeCell ref="C116:D116"/>
    <mergeCell ref="C123:D123"/>
    <mergeCell ref="A209:H209"/>
    <mergeCell ref="A230:B230"/>
    <mergeCell ref="A132:B132"/>
    <mergeCell ref="A124:B124"/>
    <mergeCell ref="A243:H243"/>
    <mergeCell ref="A226:H226"/>
    <mergeCell ref="C127:C128"/>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I15:P15"/>
    <mergeCell ref="F112:H112"/>
    <mergeCell ref="F110:H110"/>
    <mergeCell ref="A126:H126"/>
    <mergeCell ref="G116:H116"/>
    <mergeCell ref="A111:E111"/>
    <mergeCell ref="A60:B60"/>
    <mergeCell ref="C60:E60"/>
    <mergeCell ref="D62:H62"/>
    <mergeCell ref="F111:H111"/>
    <mergeCell ref="E116:F116"/>
    <mergeCell ref="A116:B116"/>
    <mergeCell ref="A118:B118"/>
    <mergeCell ref="C121:D121"/>
    <mergeCell ref="D71:H71"/>
    <mergeCell ref="A72:C72"/>
    <mergeCell ref="E43:H43"/>
    <mergeCell ref="A43:D43"/>
    <mergeCell ref="A88:B88"/>
    <mergeCell ref="C88:H88"/>
    <mergeCell ref="A83:B83"/>
    <mergeCell ref="A50:B50"/>
    <mergeCell ref="C50:E50"/>
    <mergeCell ref="A51:B5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279:H279">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7:B128">
      <formula1>"Shop No. (Sale Plan),Sale / Rehab,Sale / Mhada"</formula1>
    </dataValidation>
    <dataValidation type="list" allowBlank="1" showInputMessage="1" showErrorMessage="1" sqref="B189:B19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9:E190">
      <formula1>"Fungible area,Balcony Area,Chajja Area,Cornice Area,AP Area,WS Area"</formula1>
    </dataValidation>
    <dataValidation type="list" allowBlank="1" showInputMessage="1" showErrorMessage="1" sqref="H190 H12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27 H189">
      <formula1>"Saleable area Loading :,Builder Saleable Area"</formula1>
    </dataValidation>
    <dataValidation type="list" allowBlank="1" showInputMessage="1" showErrorMessage="1" sqref="D189:D190 D127:D128">
      <formula1>"Carpet area,RERA Carpet area"</formula1>
    </dataValidation>
  </dataValidations>
  <hyperlinks>
    <hyperlink ref="C40" r:id="rId1"/>
    <hyperlink ref="I70"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283" max="16383" man="1"/>
    <brk id="326" max="16383" man="1"/>
    <brk id="36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7" t="s">
        <v>105</v>
      </c>
      <c r="C3" s="217"/>
      <c r="D3" s="217"/>
      <c r="E3" s="217"/>
      <c r="F3" s="217"/>
      <c r="G3" s="217"/>
      <c r="H3" s="217"/>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11</v>
      </c>
      <c r="D4" s="54" t="s">
        <v>176</v>
      </c>
      <c r="E4" s="54" t="s">
        <v>186</v>
      </c>
      <c r="F4" s="54" t="s">
        <v>170</v>
      </c>
      <c r="G4" s="54" t="s">
        <v>191</v>
      </c>
      <c r="H4" s="54" t="s">
        <v>209</v>
      </c>
      <c r="J4" t="s">
        <v>191</v>
      </c>
      <c r="K4" t="s">
        <v>207</v>
      </c>
    </row>
    <row r="5" spans="2:11" x14ac:dyDescent="0.35">
      <c r="B5" s="53"/>
      <c r="C5" s="53"/>
      <c r="D5" s="54" t="s">
        <v>177</v>
      </c>
      <c r="E5" s="54" t="s">
        <v>184</v>
      </c>
      <c r="F5" s="54" t="s">
        <v>206</v>
      </c>
      <c r="G5" s="54" t="s">
        <v>192</v>
      </c>
      <c r="H5" s="54" t="s">
        <v>210</v>
      </c>
    </row>
    <row r="6" spans="2:11" x14ac:dyDescent="0.35">
      <c r="B6" s="53"/>
      <c r="C6" s="53"/>
      <c r="D6" s="54" t="s">
        <v>178</v>
      </c>
      <c r="E6" s="54" t="s">
        <v>185</v>
      </c>
      <c r="F6" s="54" t="s">
        <v>207</v>
      </c>
      <c r="G6" s="54" t="s">
        <v>193</v>
      </c>
      <c r="H6" s="54" t="s">
        <v>223</v>
      </c>
    </row>
    <row r="7" spans="2:11" x14ac:dyDescent="0.35">
      <c r="B7" s="53"/>
      <c r="C7" s="53"/>
      <c r="D7" s="54" t="s">
        <v>179</v>
      </c>
      <c r="E7" s="54" t="s">
        <v>187</v>
      </c>
      <c r="F7" s="54" t="s">
        <v>208</v>
      </c>
      <c r="G7" s="54" t="s">
        <v>194</v>
      </c>
      <c r="H7" s="54" t="s">
        <v>211</v>
      </c>
    </row>
    <row r="8" spans="2:11" x14ac:dyDescent="0.35">
      <c r="B8" s="53"/>
      <c r="C8" s="53"/>
      <c r="D8" s="54" t="s">
        <v>180</v>
      </c>
      <c r="E8" s="54" t="s">
        <v>188</v>
      </c>
      <c r="F8" s="54"/>
      <c r="G8" s="54" t="s">
        <v>195</v>
      </c>
      <c r="H8" s="54" t="s">
        <v>212</v>
      </c>
    </row>
    <row r="9" spans="2:11" x14ac:dyDescent="0.35">
      <c r="B9" s="53"/>
      <c r="C9" s="53"/>
      <c r="D9" s="54" t="s">
        <v>181</v>
      </c>
      <c r="E9" s="54" t="s">
        <v>186</v>
      </c>
      <c r="F9" s="54"/>
      <c r="G9" s="54" t="s">
        <v>196</v>
      </c>
      <c r="H9" s="54" t="s">
        <v>213</v>
      </c>
    </row>
    <row r="10" spans="2:11" x14ac:dyDescent="0.35">
      <c r="B10" s="53"/>
      <c r="C10" s="53"/>
      <c r="D10" s="54" t="s">
        <v>182</v>
      </c>
      <c r="E10" s="54" t="s">
        <v>189</v>
      </c>
      <c r="F10" s="54"/>
      <c r="G10" s="54" t="s">
        <v>197</v>
      </c>
      <c r="H10" s="54" t="s">
        <v>214</v>
      </c>
    </row>
    <row r="11" spans="2:11" x14ac:dyDescent="0.35">
      <c r="B11" s="53"/>
      <c r="C11" s="53"/>
      <c r="D11" s="54" t="s">
        <v>183</v>
      </c>
      <c r="E11" s="54" t="s">
        <v>190</v>
      </c>
      <c r="F11" s="54"/>
      <c r="G11" s="54" t="s">
        <v>198</v>
      </c>
      <c r="H11" s="54" t="s">
        <v>215</v>
      </c>
    </row>
    <row r="12" spans="2:11" x14ac:dyDescent="0.35">
      <c r="B12" s="53"/>
      <c r="C12" s="53"/>
      <c r="D12" s="54"/>
      <c r="E12" s="54"/>
      <c r="F12" s="54"/>
      <c r="G12" s="54" t="s">
        <v>199</v>
      </c>
      <c r="H12" s="54" t="s">
        <v>216</v>
      </c>
    </row>
    <row r="13" spans="2:11" x14ac:dyDescent="0.35">
      <c r="B13" s="53"/>
      <c r="C13" s="53"/>
      <c r="D13" s="54"/>
      <c r="E13" s="54"/>
      <c r="F13" s="54"/>
      <c r="G13" s="54" t="s">
        <v>200</v>
      </c>
      <c r="H13" s="54" t="s">
        <v>217</v>
      </c>
    </row>
    <row r="14" spans="2:11" x14ac:dyDescent="0.35">
      <c r="B14" s="53"/>
      <c r="C14" s="53"/>
      <c r="D14" s="54"/>
      <c r="E14" s="54"/>
      <c r="F14" s="54"/>
      <c r="G14" s="54" t="s">
        <v>201</v>
      </c>
      <c r="H14" s="54" t="s">
        <v>218</v>
      </c>
    </row>
    <row r="15" spans="2:11" x14ac:dyDescent="0.35">
      <c r="B15" s="53"/>
      <c r="C15" s="53"/>
      <c r="D15" s="54"/>
      <c r="E15" s="54"/>
      <c r="F15" s="54"/>
      <c r="G15" s="54" t="s">
        <v>202</v>
      </c>
      <c r="H15" s="54" t="s">
        <v>219</v>
      </c>
    </row>
    <row r="16" spans="2:11" x14ac:dyDescent="0.35">
      <c r="B16" s="53"/>
      <c r="C16" s="53"/>
      <c r="D16" s="54"/>
      <c r="E16" s="54"/>
      <c r="F16" s="54"/>
      <c r="G16" s="54" t="s">
        <v>203</v>
      </c>
      <c r="H16" s="54" t="s">
        <v>220</v>
      </c>
    </row>
    <row r="17" spans="2:8" x14ac:dyDescent="0.35">
      <c r="B17" s="53"/>
      <c r="C17" s="53"/>
      <c r="D17" s="54"/>
      <c r="E17" s="54"/>
      <c r="F17" s="54"/>
      <c r="G17" s="54" t="s">
        <v>204</v>
      </c>
      <c r="H17" s="54" t="s">
        <v>221</v>
      </c>
    </row>
    <row r="18" spans="2:8" x14ac:dyDescent="0.35">
      <c r="B18" s="53"/>
      <c r="C18" s="53"/>
      <c r="D18" s="54"/>
      <c r="E18" s="54"/>
      <c r="F18" s="54"/>
      <c r="G18" s="54" t="s">
        <v>205</v>
      </c>
      <c r="H18" s="54"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56" t="s">
        <v>232</v>
      </c>
      <c r="D34" s="54" t="s">
        <v>230</v>
      </c>
      <c r="E34" s="54" t="s">
        <v>235</v>
      </c>
      <c r="F34" s="54" t="s">
        <v>233</v>
      </c>
      <c r="G34" s="54" t="s">
        <v>234</v>
      </c>
      <c r="H34" s="54" t="s">
        <v>236</v>
      </c>
      <c r="J34" t="s">
        <v>191</v>
      </c>
      <c r="K34" t="s">
        <v>207</v>
      </c>
    </row>
    <row r="35" spans="3:11" x14ac:dyDescent="0.35">
      <c r="C35" s="53" t="s">
        <v>231</v>
      </c>
      <c r="D35" s="54" t="s">
        <v>168</v>
      </c>
      <c r="E35" s="54" t="s">
        <v>240</v>
      </c>
      <c r="F35" s="54" t="s">
        <v>242</v>
      </c>
      <c r="G35" s="54" t="s">
        <v>244</v>
      </c>
      <c r="H35" s="54"/>
    </row>
    <row r="36" spans="3:11" x14ac:dyDescent="0.35">
      <c r="C36" s="53"/>
      <c r="D36" s="54" t="s">
        <v>237</v>
      </c>
      <c r="E36" s="54" t="s">
        <v>241</v>
      </c>
      <c r="F36" s="54" t="s">
        <v>243</v>
      </c>
      <c r="G36" s="54" t="s">
        <v>245</v>
      </c>
      <c r="H36" s="54"/>
    </row>
    <row r="37" spans="3:11" x14ac:dyDescent="0.35">
      <c r="C37" s="53"/>
      <c r="D37" s="54" t="s">
        <v>238</v>
      </c>
      <c r="E37" s="54"/>
      <c r="F37" s="54"/>
      <c r="G37" s="54" t="s">
        <v>246</v>
      </c>
      <c r="H37" s="54"/>
    </row>
    <row r="38" spans="3:11" x14ac:dyDescent="0.35">
      <c r="C38" s="53"/>
      <c r="D38" s="54" t="s">
        <v>239</v>
      </c>
      <c r="E38" s="54"/>
      <c r="F38" s="54"/>
      <c r="G38" s="54" t="s">
        <v>246</v>
      </c>
      <c r="H38" s="54"/>
    </row>
    <row r="39" spans="3:11" x14ac:dyDescent="0.35">
      <c r="C39" s="53"/>
      <c r="D39" s="54"/>
      <c r="E39" s="54"/>
      <c r="F39" s="54"/>
      <c r="G39" s="54" t="s">
        <v>247</v>
      </c>
      <c r="H39" s="54"/>
    </row>
    <row r="40" spans="3:11" x14ac:dyDescent="0.35">
      <c r="C40" s="53"/>
      <c r="D40" s="54"/>
      <c r="E40" s="54"/>
      <c r="F40" s="54"/>
      <c r="G40" s="54" t="s">
        <v>248</v>
      </c>
      <c r="H40" s="54"/>
    </row>
    <row r="41" spans="3:11" x14ac:dyDescent="0.35">
      <c r="C41" s="53"/>
      <c r="D41" s="54"/>
      <c r="E41" s="54"/>
      <c r="F41" s="54"/>
      <c r="G41" s="54"/>
      <c r="H41" s="54"/>
    </row>
    <row r="43" spans="3:11" x14ac:dyDescent="0.35">
      <c r="C43" t="s">
        <v>249</v>
      </c>
    </row>
    <row r="44" spans="3:11" x14ac:dyDescent="0.35">
      <c r="C44" t="s">
        <v>170</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176</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191</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186</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workbookViewId="0">
      <selection activeCell="C4" sqref="C4"/>
    </sheetView>
  </sheetViews>
  <sheetFormatPr defaultRowHeight="14.5" x14ac:dyDescent="0.35"/>
  <cols>
    <col min="2" max="2" width="3" bestFit="1" customWidth="1"/>
    <col min="3" max="3" width="130" customWidth="1"/>
  </cols>
  <sheetData>
    <row r="2" spans="2:3" ht="15" customHeight="1" x14ac:dyDescent="0.35">
      <c r="B2" s="57">
        <v>1</v>
      </c>
      <c r="C2" s="60" t="s">
        <v>280</v>
      </c>
    </row>
    <row r="3" spans="2:3" x14ac:dyDescent="0.35">
      <c r="B3" s="57">
        <v>2</v>
      </c>
      <c r="C3" s="58" t="s">
        <v>281</v>
      </c>
    </row>
    <row r="4" spans="2:3" x14ac:dyDescent="0.35">
      <c r="B4" s="57">
        <v>3</v>
      </c>
      <c r="C4" s="59" t="s">
        <v>282</v>
      </c>
    </row>
    <row r="5" spans="2:3" x14ac:dyDescent="0.35">
      <c r="B5" s="57">
        <v>4</v>
      </c>
      <c r="C5" s="58" t="s">
        <v>283</v>
      </c>
    </row>
    <row r="6" spans="2:3" x14ac:dyDescent="0.35">
      <c r="B6" s="57">
        <v>5</v>
      </c>
      <c r="C6" s="59" t="s">
        <v>284</v>
      </c>
    </row>
    <row r="7" spans="2:3" ht="29" x14ac:dyDescent="0.35">
      <c r="B7" s="57">
        <v>6</v>
      </c>
      <c r="C7" s="58" t="s">
        <v>285</v>
      </c>
    </row>
    <row r="8" spans="2:3" ht="72.5" x14ac:dyDescent="0.35">
      <c r="B8" s="57">
        <v>7</v>
      </c>
      <c r="C8" s="58" t="s">
        <v>286</v>
      </c>
    </row>
    <row r="9" spans="2:3" x14ac:dyDescent="0.35">
      <c r="B9" s="57">
        <v>8</v>
      </c>
      <c r="C9" s="59" t="s">
        <v>287</v>
      </c>
    </row>
    <row r="10" spans="2:3" x14ac:dyDescent="0.35">
      <c r="B10" s="57">
        <v>9</v>
      </c>
      <c r="C10" s="59" t="s">
        <v>288</v>
      </c>
    </row>
    <row r="11" spans="2:3" x14ac:dyDescent="0.35">
      <c r="B11" s="57">
        <v>10</v>
      </c>
      <c r="C11" s="59" t="s">
        <v>289</v>
      </c>
    </row>
    <row r="12" spans="2:3" x14ac:dyDescent="0.35">
      <c r="B12" s="57">
        <v>11</v>
      </c>
      <c r="C12" s="59" t="s">
        <v>290</v>
      </c>
    </row>
    <row r="13" spans="2:3" x14ac:dyDescent="0.35">
      <c r="B13" s="57">
        <v>12</v>
      </c>
      <c r="C13" s="59" t="s">
        <v>291</v>
      </c>
    </row>
    <row r="14" spans="2:3" x14ac:dyDescent="0.35">
      <c r="B14" s="57">
        <v>13</v>
      </c>
      <c r="C14" s="59" t="s">
        <v>292</v>
      </c>
    </row>
    <row r="15" spans="2:3" x14ac:dyDescent="0.35">
      <c r="B15" s="57">
        <v>14</v>
      </c>
      <c r="C15" s="59" t="s">
        <v>282</v>
      </c>
    </row>
    <row r="16" spans="2:3" x14ac:dyDescent="0.35">
      <c r="B16" s="57">
        <v>15</v>
      </c>
      <c r="C16" s="59" t="s">
        <v>294</v>
      </c>
    </row>
    <row r="17" spans="2:3" ht="31.5" customHeight="1" x14ac:dyDescent="0.35">
      <c r="B17" s="64">
        <v>16</v>
      </c>
      <c r="C17" s="66" t="s">
        <v>295</v>
      </c>
    </row>
    <row r="18" spans="2:3" x14ac:dyDescent="0.35">
      <c r="B18" s="65">
        <v>17</v>
      </c>
      <c r="C18" s="66" t="s">
        <v>296</v>
      </c>
    </row>
    <row r="19" spans="2:3" x14ac:dyDescent="0.35">
      <c r="B19" s="64">
        <v>18</v>
      </c>
      <c r="C19" s="57" t="s">
        <v>297</v>
      </c>
    </row>
    <row r="20" spans="2:3" x14ac:dyDescent="0.35">
      <c r="B20" s="65">
        <v>19</v>
      </c>
      <c r="C20" s="57"/>
    </row>
    <row r="21" spans="2:3" x14ac:dyDescent="0.35">
      <c r="B21" s="67">
        <v>20</v>
      </c>
      <c r="C21" s="57"/>
    </row>
    <row r="22" spans="2:3" x14ac:dyDescent="0.35">
      <c r="B22" s="57"/>
      <c r="C22" s="57"/>
    </row>
    <row r="23" spans="2:3" x14ac:dyDescent="0.35">
      <c r="B23" s="57"/>
      <c r="C23" s="57"/>
    </row>
    <row r="24" spans="2:3" x14ac:dyDescent="0.35">
      <c r="B24" s="57"/>
      <c r="C24" s="57"/>
    </row>
    <row r="25" spans="2:3" x14ac:dyDescent="0.35">
      <c r="B25" s="57"/>
      <c r="C25" s="57"/>
    </row>
    <row r="26" spans="2:3" x14ac:dyDescent="0.35">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2025-07-15T06:54:02Z</cp:lastPrinted>
  <dcterms:created xsi:type="dcterms:W3CDTF">2019-07-16T09:29:46Z</dcterms:created>
  <dcterms:modified xsi:type="dcterms:W3CDTF">2025-07-15T06:54:22Z</dcterms:modified>
</cp:coreProperties>
</file>