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D:\VSJCV\Making\AXIS\2025-26\Axis\APF Old\July 2025\16-07-2025\"/>
    </mc:Choice>
  </mc:AlternateContent>
  <bookViews>
    <workbookView xWindow="0" yWindow="0" windowWidth="19200" windowHeight="6640" tabRatio="725"/>
  </bookViews>
  <sheets>
    <sheet name="Report" sheetId="1" r:id="rId1"/>
    <sheet name="valuation" sheetId="5" r:id="rId2"/>
    <sheet name="Note" sheetId="4" r:id="rId3"/>
  </sheets>
  <definedNames>
    <definedName name="_xlnm.Print_Area" localSheetId="0">Report!$A$1:$H$445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7" i="1" l="1"/>
  <c r="J92" i="1" l="1"/>
  <c r="J91" i="1"/>
  <c r="J90" i="1"/>
  <c r="J89" i="1"/>
  <c r="J78" i="1"/>
  <c r="J77" i="1"/>
  <c r="J76" i="1"/>
  <c r="J75" i="1"/>
  <c r="C96" i="1"/>
  <c r="J107" i="1"/>
  <c r="J106" i="1"/>
  <c r="J105" i="1"/>
  <c r="J104" i="1"/>
  <c r="H68" i="1"/>
  <c r="H82" i="1"/>
  <c r="G71" i="1" l="1"/>
  <c r="J86" i="1"/>
  <c r="E85" i="1"/>
  <c r="D94" i="1"/>
  <c r="D92" i="1"/>
  <c r="D90" i="1"/>
  <c r="D88" i="1"/>
  <c r="D86" i="1"/>
  <c r="D85" i="1"/>
  <c r="J81" i="1"/>
  <c r="J83" i="1" s="1"/>
  <c r="J87" i="1"/>
  <c r="J88" i="1" s="1"/>
  <c r="J93" i="1" s="1"/>
  <c r="J94" i="1" s="1"/>
  <c r="J85" i="1"/>
  <c r="J84" i="1"/>
  <c r="D93" i="1"/>
  <c r="D91" i="1"/>
  <c r="D89" i="1"/>
  <c r="D87" i="1"/>
  <c r="G85" i="1"/>
  <c r="D80" i="1"/>
  <c r="D78" i="1"/>
  <c r="D76" i="1"/>
  <c r="J73" i="1"/>
  <c r="J74" i="1" s="1"/>
  <c r="J79" i="1" s="1"/>
  <c r="J71" i="1"/>
  <c r="J70" i="1"/>
  <c r="D79" i="1"/>
  <c r="D77" i="1"/>
  <c r="D75" i="1"/>
  <c r="D73" i="1"/>
  <c r="J72" i="1"/>
  <c r="D74" i="1"/>
  <c r="D71" i="1"/>
  <c r="J67" i="1"/>
  <c r="J69" i="1" s="1"/>
  <c r="J113" i="1"/>
  <c r="J80" i="1" l="1"/>
  <c r="J68" i="1" s="1"/>
  <c r="J82" i="1"/>
  <c r="I82" i="1"/>
  <c r="I83" i="1" s="1"/>
  <c r="J116" i="1"/>
  <c r="J115" i="1"/>
  <c r="J114" i="1"/>
  <c r="D72" i="1" l="1"/>
  <c r="I68" i="1" s="1"/>
  <c r="I69" i="1" s="1"/>
  <c r="G95" i="1"/>
  <c r="E71" i="1"/>
  <c r="I81" i="1"/>
  <c r="C83" i="1" s="1"/>
  <c r="I67" i="1" l="1"/>
  <c r="C69" i="1" s="1"/>
  <c r="C95" i="1"/>
  <c r="D65" i="1"/>
  <c r="M181" i="1"/>
  <c r="M182" i="1"/>
  <c r="M183" i="1"/>
  <c r="M184" i="1"/>
  <c r="M185" i="1"/>
  <c r="M180" i="1"/>
  <c r="K212" i="1"/>
  <c r="I213" i="1"/>
  <c r="M188" i="1"/>
  <c r="M189" i="1"/>
  <c r="M190" i="1"/>
  <c r="M191" i="1"/>
  <c r="M192" i="1"/>
  <c r="M187" i="1"/>
  <c r="L181" i="1"/>
  <c r="L182" i="1"/>
  <c r="L183" i="1"/>
  <c r="L184" i="1"/>
  <c r="L185" i="1"/>
  <c r="L180" i="1"/>
  <c r="J212" i="1"/>
  <c r="I212" i="1"/>
  <c r="I181" i="1"/>
  <c r="I182" i="1"/>
  <c r="I183" i="1"/>
  <c r="I184" i="1"/>
  <c r="I185" i="1"/>
  <c r="I180" i="1"/>
  <c r="J187" i="1"/>
  <c r="J182" i="1"/>
  <c r="D275" i="1"/>
  <c r="D280" i="1"/>
  <c r="D274" i="1"/>
  <c r="D270" i="1"/>
  <c r="E261" i="1"/>
  <c r="D259" i="1"/>
  <c r="D244" i="1"/>
  <c r="D158" i="1"/>
  <c r="D187" i="1" l="1"/>
  <c r="C15" i="1"/>
  <c r="G126" i="1" l="1"/>
  <c r="G127" i="1"/>
  <c r="G128" i="1"/>
  <c r="G129" i="1"/>
  <c r="G130" i="1"/>
  <c r="G131" i="1"/>
  <c r="G132" i="1"/>
  <c r="G133" i="1"/>
  <c r="E275" i="1"/>
  <c r="E274" i="1"/>
  <c r="E262" i="1"/>
  <c r="E259" i="1"/>
  <c r="L251" i="1"/>
  <c r="J256" i="1"/>
  <c r="J257" i="1"/>
  <c r="J264" i="1"/>
  <c r="J271" i="1"/>
  <c r="J272" i="1"/>
  <c r="J277" i="1"/>
  <c r="J282" i="1"/>
  <c r="J283" i="1"/>
  <c r="J290" i="1"/>
  <c r="E288" i="1"/>
  <c r="E286" i="1"/>
  <c r="E285" i="1"/>
  <c r="D296" i="1"/>
  <c r="J296" i="1" s="1"/>
  <c r="D295" i="1"/>
  <c r="J295" i="1" s="1"/>
  <c r="D294" i="1"/>
  <c r="J294" i="1" s="1"/>
  <c r="D293" i="1"/>
  <c r="J293" i="1" s="1"/>
  <c r="D292" i="1"/>
  <c r="J292" i="1" s="1"/>
  <c r="D291" i="1"/>
  <c r="J291" i="1" s="1"/>
  <c r="D289" i="1"/>
  <c r="J289" i="1" s="1"/>
  <c r="D288" i="1"/>
  <c r="J288" i="1" s="1"/>
  <c r="D287" i="1"/>
  <c r="J287" i="1" s="1"/>
  <c r="D286" i="1"/>
  <c r="J286" i="1" s="1"/>
  <c r="D285" i="1"/>
  <c r="J285" i="1" s="1"/>
  <c r="D284" i="1"/>
  <c r="J284" i="1" s="1"/>
  <c r="D281" i="1"/>
  <c r="J281" i="1" s="1"/>
  <c r="J280" i="1"/>
  <c r="D279" i="1"/>
  <c r="J279" i="1" s="1"/>
  <c r="D278" i="1"/>
  <c r="J278" i="1" s="1"/>
  <c r="D276" i="1"/>
  <c r="J276" i="1" s="1"/>
  <c r="J275" i="1"/>
  <c r="J274" i="1"/>
  <c r="D273" i="1"/>
  <c r="J273" i="1" s="1"/>
  <c r="J270" i="1"/>
  <c r="D269" i="1"/>
  <c r="J269" i="1" s="1"/>
  <c r="D268" i="1"/>
  <c r="J268" i="1" s="1"/>
  <c r="D267" i="1"/>
  <c r="J267" i="1" s="1"/>
  <c r="D266" i="1"/>
  <c r="J266" i="1" s="1"/>
  <c r="D265" i="1"/>
  <c r="J265" i="1" s="1"/>
  <c r="D263" i="1"/>
  <c r="J263" i="1" s="1"/>
  <c r="D262" i="1"/>
  <c r="J262" i="1" s="1"/>
  <c r="D261" i="1"/>
  <c r="J261" i="1" s="1"/>
  <c r="D260" i="1"/>
  <c r="J260" i="1" s="1"/>
  <c r="J259" i="1"/>
  <c r="D258" i="1"/>
  <c r="J258" i="1" s="1"/>
  <c r="D255" i="1"/>
  <c r="J255" i="1" s="1"/>
  <c r="D254" i="1"/>
  <c r="J254" i="1" s="1"/>
  <c r="D253" i="1"/>
  <c r="J253" i="1" s="1"/>
  <c r="D252" i="1"/>
  <c r="J252" i="1" s="1"/>
  <c r="D251" i="1"/>
  <c r="J251" i="1" s="1"/>
  <c r="D250" i="1"/>
  <c r="J250" i="1" s="1"/>
  <c r="E248" i="1"/>
  <c r="E247" i="1"/>
  <c r="E244" i="1"/>
  <c r="D248" i="1"/>
  <c r="J248" i="1" s="1"/>
  <c r="D247" i="1"/>
  <c r="J247" i="1" s="1"/>
  <c r="D246" i="1"/>
  <c r="J246" i="1" s="1"/>
  <c r="D245" i="1"/>
  <c r="J245" i="1" s="1"/>
  <c r="J244" i="1"/>
  <c r="D243" i="1"/>
  <c r="J243" i="1" s="1"/>
  <c r="E233" i="1"/>
  <c r="D239" i="1"/>
  <c r="D238" i="1"/>
  <c r="D237" i="1"/>
  <c r="D236" i="1"/>
  <c r="D235" i="1"/>
  <c r="D234" i="1"/>
  <c r="D233" i="1"/>
  <c r="E230" i="1"/>
  <c r="E227" i="1"/>
  <c r="E226" i="1"/>
  <c r="D231" i="1"/>
  <c r="D230" i="1"/>
  <c r="D229" i="1"/>
  <c r="D228" i="1"/>
  <c r="D227" i="1"/>
  <c r="D226" i="1"/>
  <c r="D225" i="1"/>
  <c r="D222" i="1"/>
  <c r="D221" i="1"/>
  <c r="D220" i="1"/>
  <c r="D219" i="1"/>
  <c r="D218" i="1"/>
  <c r="D217" i="1"/>
  <c r="E215" i="1"/>
  <c r="E214" i="1"/>
  <c r="E211" i="1"/>
  <c r="D215" i="1"/>
  <c r="D214" i="1"/>
  <c r="D213" i="1"/>
  <c r="D212" i="1"/>
  <c r="D211" i="1"/>
  <c r="D210" i="1"/>
  <c r="D207" i="1"/>
  <c r="D206" i="1"/>
  <c r="D205" i="1"/>
  <c r="D204" i="1"/>
  <c r="D203" i="1"/>
  <c r="D202" i="1"/>
  <c r="E199" i="1"/>
  <c r="E196" i="1"/>
  <c r="D200" i="1"/>
  <c r="D199" i="1"/>
  <c r="D198" i="1"/>
  <c r="D197" i="1"/>
  <c r="D196" i="1"/>
  <c r="D195" i="1"/>
  <c r="E190" i="1"/>
  <c r="D192" i="1"/>
  <c r="D191" i="1"/>
  <c r="D190" i="1"/>
  <c r="D189" i="1"/>
  <c r="D188" i="1"/>
  <c r="E181" i="1"/>
  <c r="E180" i="1"/>
  <c r="D185" i="1"/>
  <c r="D184" i="1"/>
  <c r="D183" i="1"/>
  <c r="D182" i="1"/>
  <c r="D181" i="1"/>
  <c r="D180" i="1"/>
  <c r="D174" i="1"/>
  <c r="D173" i="1"/>
  <c r="D172" i="1"/>
  <c r="D171" i="1"/>
  <c r="D170" i="1"/>
  <c r="D169" i="1"/>
  <c r="D168" i="1"/>
  <c r="D167" i="1"/>
  <c r="D166" i="1"/>
  <c r="D165" i="1"/>
  <c r="D164" i="1"/>
  <c r="D163" i="1"/>
  <c r="D162" i="1"/>
  <c r="D161" i="1"/>
  <c r="D160" i="1"/>
  <c r="D159" i="1"/>
  <c r="D157" i="1"/>
  <c r="D156" i="1"/>
  <c r="D155" i="1"/>
  <c r="D154" i="1"/>
  <c r="D150" i="1"/>
  <c r="D149" i="1"/>
  <c r="D148" i="1"/>
  <c r="D147" i="1"/>
  <c r="D146" i="1"/>
  <c r="D145" i="1"/>
  <c r="D144" i="1"/>
  <c r="D143" i="1"/>
  <c r="K137" i="1"/>
  <c r="E121" i="1" l="1"/>
  <c r="C122" i="1"/>
  <c r="C127" i="1"/>
  <c r="C121" i="1"/>
  <c r="E122" i="1"/>
  <c r="E123" i="1" s="1"/>
  <c r="C126" i="1"/>
  <c r="C128" i="1"/>
  <c r="C129" i="1"/>
  <c r="G134" i="1"/>
  <c r="E126" i="1"/>
  <c r="E128" i="1"/>
  <c r="E130" i="1"/>
  <c r="E132" i="1"/>
  <c r="C130" i="1"/>
  <c r="C132" i="1"/>
  <c r="E127" i="1"/>
  <c r="E129" i="1"/>
  <c r="E131" i="1"/>
  <c r="E133" i="1"/>
  <c r="C131" i="1"/>
  <c r="C133" i="1"/>
  <c r="G291" i="1"/>
  <c r="G284" i="1"/>
  <c r="G278" i="1"/>
  <c r="G273" i="1"/>
  <c r="G265" i="1"/>
  <c r="G258" i="1"/>
  <c r="G250" i="1"/>
  <c r="G243" i="1"/>
  <c r="G233" i="1"/>
  <c r="G225" i="1"/>
  <c r="G217" i="1"/>
  <c r="G210" i="1"/>
  <c r="G202" i="1"/>
  <c r="G195" i="1"/>
  <c r="G187" i="1"/>
  <c r="G180" i="1"/>
  <c r="F174" i="1"/>
  <c r="F173" i="1"/>
  <c r="F171" i="1"/>
  <c r="F170" i="1"/>
  <c r="F168" i="1"/>
  <c r="F167" i="1"/>
  <c r="F166" i="1"/>
  <c r="F165" i="1"/>
  <c r="F163" i="1"/>
  <c r="F162" i="1"/>
  <c r="F160" i="1"/>
  <c r="F159" i="1"/>
  <c r="F158" i="1"/>
  <c r="F172" i="1"/>
  <c r="F169" i="1"/>
  <c r="F164" i="1"/>
  <c r="F147" i="1"/>
  <c r="F146" i="1"/>
  <c r="F144" i="1"/>
  <c r="F143" i="1"/>
  <c r="F150" i="1"/>
  <c r="F149" i="1"/>
  <c r="F148" i="1"/>
  <c r="F145" i="1"/>
  <c r="A144" i="1"/>
  <c r="A145" i="1" s="1"/>
  <c r="A146" i="1" s="1"/>
  <c r="A147" i="1" s="1"/>
  <c r="A148" i="1" s="1"/>
  <c r="A149" i="1" s="1"/>
  <c r="A150" i="1" s="1"/>
  <c r="G143" i="1"/>
  <c r="F161" i="1"/>
  <c r="A291" i="1"/>
  <c r="A202" i="1"/>
  <c r="A284" i="1"/>
  <c r="A180" i="1"/>
  <c r="A250" i="1"/>
  <c r="A217" i="1"/>
  <c r="A225" i="1"/>
  <c r="A187" i="1"/>
  <c r="A265" i="1"/>
  <c r="A243" i="1"/>
  <c r="A195" i="1"/>
  <c r="A233" i="1"/>
  <c r="A258" i="1"/>
  <c r="A210" i="1"/>
  <c r="A273" i="1"/>
  <c r="A278" i="1"/>
  <c r="C123" i="1" l="1"/>
  <c r="E134" i="1"/>
  <c r="E135" i="1" s="1"/>
  <c r="C134" i="1"/>
  <c r="C135" i="1" s="1"/>
  <c r="G121" i="1"/>
  <c r="A251" i="1"/>
  <c r="A259" i="1"/>
  <c r="A188" i="1"/>
  <c r="A211" i="1"/>
  <c r="A226" i="1"/>
  <c r="A234" i="1"/>
  <c r="A266" i="1"/>
  <c r="A285" i="1"/>
  <c r="A279" i="1"/>
  <c r="A274" i="1"/>
  <c r="A218" i="1"/>
  <c r="A203" i="1"/>
  <c r="A181" i="1"/>
  <c r="A244" i="1"/>
  <c r="A196" i="1"/>
  <c r="A292" i="1"/>
  <c r="F118" i="1" l="1"/>
  <c r="A286" i="1"/>
  <c r="A189" i="1"/>
  <c r="A204" i="1"/>
  <c r="A275" i="1"/>
  <c r="A260" i="1"/>
  <c r="A267" i="1"/>
  <c r="A182" i="1"/>
  <c r="A219" i="1"/>
  <c r="A227" i="1"/>
  <c r="A252" i="1"/>
  <c r="A235" i="1"/>
  <c r="A293" i="1"/>
  <c r="A212" i="1"/>
  <c r="A280" i="1"/>
  <c r="A245" i="1"/>
  <c r="A197" i="1"/>
  <c r="F155" i="1" l="1"/>
  <c r="F156" i="1"/>
  <c r="F157" i="1"/>
  <c r="F154" i="1"/>
  <c r="A253" i="1"/>
  <c r="A183" i="1"/>
  <c r="A205" i="1"/>
  <c r="A213" i="1"/>
  <c r="A236" i="1"/>
  <c r="A198" i="1"/>
  <c r="A294" i="1"/>
  <c r="A246" i="1"/>
  <c r="A228" i="1"/>
  <c r="A287" i="1"/>
  <c r="A261" i="1"/>
  <c r="A268" i="1"/>
  <c r="A220" i="1"/>
  <c r="A190" i="1"/>
  <c r="A281" i="1"/>
  <c r="A276" i="1"/>
  <c r="G122" i="1" l="1"/>
  <c r="G123" i="1" s="1"/>
  <c r="G135" i="1" s="1"/>
  <c r="B299" i="1"/>
  <c r="A254" i="1"/>
  <c r="A295" i="1"/>
  <c r="A262" i="1"/>
  <c r="A184" i="1"/>
  <c r="A269" i="1"/>
  <c r="A288" i="1"/>
  <c r="A191" i="1"/>
  <c r="A221" i="1"/>
  <c r="A229" i="1"/>
  <c r="A214" i="1"/>
  <c r="A206" i="1"/>
  <c r="A247" i="1"/>
  <c r="A237" i="1"/>
  <c r="A199" i="1"/>
  <c r="B300" i="1" l="1"/>
  <c r="A222" i="1"/>
  <c r="A255" i="1"/>
  <c r="A248" i="1"/>
  <c r="A289" i="1"/>
  <c r="A185" i="1"/>
  <c r="A270" i="1"/>
  <c r="A207" i="1"/>
  <c r="A200" i="1"/>
  <c r="A296" i="1"/>
  <c r="A230" i="1"/>
  <c r="A238" i="1"/>
  <c r="A192" i="1"/>
  <c r="A215" i="1"/>
  <c r="A263" i="1"/>
  <c r="F11" i="5" l="1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D321" i="1"/>
  <c r="A155" i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G154" i="1"/>
  <c r="D55" i="1"/>
  <c r="G50" i="1"/>
  <c r="C50" i="1"/>
  <c r="E43" i="1"/>
  <c r="E44" i="1" s="1"/>
  <c r="E27" i="1"/>
  <c r="E25" i="1"/>
  <c r="E7" i="1"/>
  <c r="E3" i="1"/>
  <c r="A239" i="1"/>
  <c r="A231" i="1"/>
  <c r="D61" i="1" l="1"/>
  <c r="H97" i="1"/>
  <c r="J102" i="1" l="1"/>
  <c r="J103" i="1" s="1"/>
  <c r="D108" i="1"/>
  <c r="D106" i="1"/>
  <c r="D104" i="1"/>
  <c r="D102" i="1"/>
  <c r="J100" i="1"/>
  <c r="J96" i="1"/>
  <c r="J98" i="1" s="1"/>
  <c r="J101" i="1"/>
  <c r="D100" i="1" s="1"/>
  <c r="J99" i="1"/>
  <c r="D109" i="1"/>
  <c r="D107" i="1"/>
  <c r="D105" i="1"/>
  <c r="D103" i="1"/>
  <c r="J108" i="1" l="1"/>
  <c r="J109" i="1" s="1"/>
  <c r="C101" i="1" s="1"/>
  <c r="G100" i="1" s="1"/>
  <c r="D66" i="1"/>
  <c r="E100" i="1" l="1"/>
  <c r="J97" i="1"/>
  <c r="D101" i="1"/>
  <c r="I97" i="1" s="1"/>
  <c r="I98" i="1" s="1"/>
  <c r="F66" i="1"/>
  <c r="J95" i="1"/>
  <c r="I96" i="1" l="1"/>
  <c r="C98" i="1" s="1"/>
</calcChain>
</file>

<file path=xl/sharedStrings.xml><?xml version="1.0" encoding="utf-8"?>
<sst xmlns="http://schemas.openxmlformats.org/spreadsheetml/2006/main" count="402" uniqueCount="229">
  <si>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</si>
  <si>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</si>
  <si>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</si>
  <si>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</si>
  <si>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</si>
  <si>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</si>
  <si>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</si>
  <si>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</si>
  <si>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</si>
  <si>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</si>
  <si>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</si>
  <si>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</si>
  <si>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</si>
  <si>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</si>
  <si>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</si>
  <si>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</si>
  <si>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</si>
  <si>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</si>
  <si>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</si>
  <si>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</si>
  <si>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</si>
  <si>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</si>
  <si>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</si>
  <si>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</si>
  <si>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</si>
  <si>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</si>
  <si>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</si>
  <si>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</si>
  <si>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</si>
  <si>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</si>
  <si>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</si>
  <si>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</si>
  <si>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</si>
  <si>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>Latitude</t>
  </si>
  <si>
    <t>Longitude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</si>
  <si>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</si>
  <si>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</si>
  <si>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</si>
  <si>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</si>
  <si>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</si>
  <si>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</si>
  <si>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</si>
  <si>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</si>
  <si>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</si>
  <si>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</si>
  <si>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</si>
  <si>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</si>
  <si>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 xml:space="preserve">O. Certificate No.: </t>
  </si>
  <si>
    <t>Expected Completion</t>
  </si>
  <si>
    <t>Building wise Construction details</t>
  </si>
  <si>
    <t>Approved no of units</t>
  </si>
  <si>
    <t>Type of Work</t>
  </si>
  <si>
    <t>Plinth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</si>
  <si>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</si>
  <si>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</si>
  <si>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</si>
  <si>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</si>
  <si>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</si>
  <si>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</si>
  <si>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</si>
  <si>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</si>
  <si>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</si>
  <si>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</si>
  <si>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</si>
  <si>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</si>
  <si>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</si>
  <si>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</si>
  <si>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</si>
  <si>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</si>
  <si>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</si>
  <si>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</si>
  <si>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</si>
  <si>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</si>
  <si>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Residential Area Details :</t>
  </si>
  <si>
    <t>Podium</t>
  </si>
  <si>
    <t>Ground</t>
  </si>
  <si>
    <t>Locality/Village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</si>
  <si>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</si>
  <si>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</si>
  <si>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Commercial Area Details :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</si>
  <si>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</si>
  <si>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</si>
  <si>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</si>
  <si>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</si>
  <si>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</si>
  <si>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</si>
  <si>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</si>
  <si>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</si>
  <si>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</si>
  <si>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</si>
  <si>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</si>
  <si>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</si>
  <si>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</si>
  <si>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</si>
  <si>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</si>
  <si>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</si>
  <si>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</si>
  <si>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</si>
  <si>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</si>
  <si>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Excavation in process</t>
  </si>
  <si>
    <t>Excavation Completed</t>
  </si>
  <si>
    <t>Footing in Process</t>
  </si>
  <si>
    <t>Footing Completed</t>
  </si>
  <si>
    <t>Plinth completed</t>
  </si>
  <si>
    <t>Approved Plans, CC, Sale Plans, Builder Saleable Area, Cost Sheet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</si>
  <si>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</si>
  <si>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</si>
  <si>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</si>
  <si>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</si>
  <si>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</si>
  <si>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</si>
  <si>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</si>
  <si>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</si>
  <si>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</si>
  <si>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</si>
  <si>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</si>
  <si>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</si>
  <si>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</si>
  <si>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</si>
  <si>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t>Shop No.
(Sale Plan)</t>
  </si>
  <si>
    <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</si>
  <si>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</si>
  <si>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</si>
  <si>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</si>
  <si>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</si>
  <si>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</si>
  <si>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</si>
  <si>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</si>
  <si>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</si>
  <si>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</si>
  <si>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</si>
  <si>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</si>
  <si>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</si>
  <si>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</si>
  <si>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Possession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</si>
  <si>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</si>
  <si>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</si>
  <si>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</si>
  <si>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</si>
  <si>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</si>
  <si>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</si>
  <si>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</si>
  <si>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</si>
  <si>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</si>
  <si>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</si>
  <si>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</si>
  <si>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</si>
  <si>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 xml:space="preserve">Violations Observed if any : </t>
  </si>
  <si>
    <t>Saleable area Loading :</t>
  </si>
  <si>
    <t>Total</t>
  </si>
  <si>
    <t>Name of Municipal Corporation/Authority</t>
  </si>
  <si>
    <t>We have considered proposed No. of Floor for Stage Calculation.</t>
  </si>
  <si>
    <t>*</t>
  </si>
  <si>
    <t>Recommended rate should be considered as all inclusive rate if other charges are not mentioned. (Excluding GST &amp; other government Taxes)</t>
  </si>
  <si>
    <t xml:space="preserve">Commencement-CC No
Valid Up to: </t>
  </si>
  <si>
    <t>Attached Loft area</t>
  </si>
  <si>
    <t xml:space="preserve">Recommended Rates of the Property : </t>
  </si>
  <si>
    <t>Recommended rate of the Shop Per Sq. Ft.</t>
  </si>
  <si>
    <t>Recommended rate of the Flat Per Sq. Ft.</t>
  </si>
  <si>
    <t>On Saleable Area</t>
  </si>
  <si>
    <t>Location Link</t>
  </si>
  <si>
    <t>Locality</t>
  </si>
  <si>
    <t>Provided Contact Details ( Name &amp; Contact No.)</t>
  </si>
  <si>
    <t>Site Person - Contact Details ( Name &amp; Contact No.)</t>
  </si>
  <si>
    <t>Layout :</t>
  </si>
  <si>
    <t>Vishesh Greenscape LLP</t>
  </si>
  <si>
    <t>Balaji Avvante</t>
  </si>
  <si>
    <t>Name of the Project as per RERA</t>
  </si>
  <si>
    <t>Balaji Avvante - Building No. 11 and 12</t>
  </si>
  <si>
    <t>P52000047141</t>
  </si>
  <si>
    <t>139/3, 139/6, 139/7, 139/10, 139/12, 139/14A, 139/14B, 140/1(2), 140/1(4), 140/2, 141, 142, 143 &amp; 146/2</t>
  </si>
  <si>
    <t>Gut No</t>
  </si>
  <si>
    <t>Swapna Nagari Road</t>
  </si>
  <si>
    <t>Panvel</t>
  </si>
  <si>
    <t>Panvel East</t>
  </si>
  <si>
    <t>Vastusiddhi Alps CHS</t>
  </si>
  <si>
    <t>6.9KM from Panvel Railway Station</t>
  </si>
  <si>
    <t>Open Plot</t>
  </si>
  <si>
    <t>City and Industrial Development Corporation</t>
  </si>
  <si>
    <t>CIDCO/NAINA/PANVEL/Vakadi/BP-00223/ACC 2022/0236</t>
  </si>
  <si>
    <t>As per RERA - 31/12/2025</t>
  </si>
  <si>
    <t>Building No. 11</t>
  </si>
  <si>
    <t>Ground Floor For Commercial &amp; Part Parking</t>
  </si>
  <si>
    <t>Shop</t>
  </si>
  <si>
    <t>Building No. 12</t>
  </si>
  <si>
    <t>1st &amp; 3rd Floor</t>
  </si>
  <si>
    <t>2nd &amp; 4th Floor</t>
  </si>
  <si>
    <t>Wing A</t>
  </si>
  <si>
    <t>Wing B</t>
  </si>
  <si>
    <t>Wing C</t>
  </si>
  <si>
    <t>Wing D</t>
  </si>
  <si>
    <t>Builder Saleable area</t>
  </si>
  <si>
    <t>(Building No. 11) Wing A, B, C &amp; D = G + 1st to 4th Floor
(Building No. 12) Wing A, B, C &amp; D = G + 1st to 4th Floor</t>
  </si>
  <si>
    <t>(Building No. 11) Wing A, B, C &amp; D = G + 1st to 4th Floor</t>
  </si>
  <si>
    <t>(Building No. 12) Wing A, B, C &amp; D = G + 1st to 4th Floor</t>
  </si>
  <si>
    <t>Building No. 11 = Wing A, B, C &amp; D
Building No. 12 = Wing A, B, C &amp; D</t>
  </si>
  <si>
    <t>Building No.11</t>
  </si>
  <si>
    <t>Building No.12</t>
  </si>
  <si>
    <t>Building No.11
(Wing A+B)</t>
  </si>
  <si>
    <t>Building No.12
(Wing B+C+D)</t>
  </si>
  <si>
    <t>Wing B + C+ D</t>
  </si>
  <si>
    <t>Wakadi</t>
  </si>
  <si>
    <t>Raigad</t>
  </si>
  <si>
    <t>Wing B + C</t>
  </si>
  <si>
    <t>Mr.Milind Mane - 8652049275</t>
  </si>
  <si>
    <t>8 Wings</t>
  </si>
  <si>
    <t>We considered Gross carpet area = Net carpet + Enclose balcony + Balcony + C.B Area.</t>
  </si>
  <si>
    <t xml:space="preserve">1.Vitrified tiles flooring 2. Granite Kitchen Platform  3. Decorative Enternace  etc. 
</t>
  </si>
  <si>
    <t>Average Progress</t>
  </si>
  <si>
    <t>Average Disbursement</t>
  </si>
  <si>
    <t>On site We met Mr. Milind Mane - 8652049275.</t>
  </si>
  <si>
    <t>(Building No. 11) Wing A, B, C &amp; D (Part II) = G + 1st to 4th Floor</t>
  </si>
  <si>
    <t>Office No. 1031, Wing J, Akshar Business Park, Plot No. 03 Sector 25, Near APMC Market, Vashi, Navi Mumbai, Maharashtra 400703 TEL: 022-46090378/79/80                                                                       
E mail : vsjcapf@gmail.com. Web site : www.vsjadon.com</t>
  </si>
  <si>
    <t>Approved no of Floors (As per CC)</t>
  </si>
  <si>
    <t>Residential  &amp; Commercial</t>
  </si>
  <si>
    <t>Water, Electricity, Development Connection Per Sq. Ft.</t>
  </si>
  <si>
    <t>Society Formation Charges Per Sq. Ft.</t>
  </si>
  <si>
    <t>Club Membership Per Sq. Ft.</t>
  </si>
  <si>
    <t>Advance Maintenance Charges (For 12 Months) Per Sq. Ft.</t>
  </si>
  <si>
    <t>https://goo.gl/maps/GddrE5Yb8gojH92N6</t>
  </si>
  <si>
    <t>Ext. Plaster</t>
  </si>
  <si>
    <t>Electrification</t>
  </si>
  <si>
    <t>PNB Navi Mumbai</t>
  </si>
  <si>
    <t>We have updated revised approved floor plan &amp; C.C (on 16/05/2023).</t>
  </si>
  <si>
    <t>CIDCO/NAINA/PANVEL/Vakadi/BP00223/ACC 2022/0236</t>
  </si>
  <si>
    <t>Grand Total</t>
  </si>
  <si>
    <t>Ravindra vishwakarma</t>
  </si>
  <si>
    <t>Pooja</t>
  </si>
  <si>
    <t>Lift &amp; Finishing work is in process.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</si>
</sst>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 * #,##0.00_ ;_ * \-#,##0.00_ ;_ * &quot;-&quot;??_ ;_ @_ "/>
    <numFmt numFmtId="164" formatCode="0.0"/>
    <numFmt numFmtId="165" formatCode="_(* #,##0.00_);_(* \(#,##0.00\);_(* &quot;-&quot;??_);_(@_)"/>
    <numFmt numFmtId="166" formatCode="_(* #,##0_);_(* \(#,##0\);_(* &quot;-&quot;??_);_(@_)"/>
    <numFmt numFmtId="167" formatCode="_ * #,##0_ ;_ * \-#,##0_ ;_ * &quot;-&quot;??_ ;_ @_ "/>
    <numFmt numFmtId="168" formatCode="[&gt;0]0&quot;BHK&quot;;&quot;1RK&quot;"/>
  </numFmts>
  <fonts count="27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5" fontId="5" fillId="0" borderId="0" applyFont="0" applyFill="0" applyBorder="0" applyAlignment="0" applyProtection="0"/>
    <xf numFmtId="0" fontId="20" fillId="0" borderId="0"/>
    <xf numFmtId="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0" borderId="0" applyNumberFormat="0" applyFill="0" applyBorder="0" applyAlignment="0" applyProtection="0"/>
  </cellStyleXfs>
  <cellXfs count="205">
    <xf numFmtId="0" fontId="0" fillId="0" borderId="0" xfId="0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19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8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9" fontId="8" fillId="0" borderId="15" xfId="8" applyFont="1" applyFill="1" applyBorder="1" applyAlignment="1" applyProtection="1">
      <alignment horizontal="center" vertical="top" wrapText="1"/>
      <protection locked="0"/>
    </xf>
    <xf numFmtId="0" fontId="17" fillId="0" borderId="0" xfId="0" applyFont="1" applyProtection="1">
      <protection hidden="1"/>
    </xf>
    <xf numFmtId="0" fontId="17" fillId="0" borderId="10" xfId="0" applyFont="1" applyBorder="1" applyProtection="1">
      <protection hidden="1"/>
    </xf>
    <xf numFmtId="0" fontId="12" fillId="0" borderId="4" xfId="1" applyFont="1" applyBorder="1" applyAlignment="1" applyProtection="1">
      <alignment horizontal="center" vertical="top"/>
      <protection locked="0"/>
    </xf>
    <xf numFmtId="0" fontId="12" fillId="0" borderId="5" xfId="1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vertical="top" wrapText="1"/>
      <protection locked="0"/>
    </xf>
    <xf numFmtId="0" fontId="7" fillId="0" borderId="0" xfId="1" applyFont="1"/>
    <xf numFmtId="0" fontId="15" fillId="0" borderId="0" xfId="1" applyFont="1"/>
    <xf numFmtId="0" fontId="12" fillId="0" borderId="0" xfId="1" applyFont="1"/>
    <xf numFmtId="1" fontId="7" fillId="0" borderId="0" xfId="1" applyNumberFormat="1" applyFont="1"/>
    <xf numFmtId="14" fontId="7" fillId="0" borderId="0" xfId="1" applyNumberFormat="1" applyFont="1"/>
    <xf numFmtId="0" fontId="7" fillId="0" borderId="0" xfId="1" applyFont="1" applyProtection="1">
      <protection hidden="1"/>
    </xf>
    <xf numFmtId="0" fontId="23" fillId="0" borderId="0" xfId="1" applyFont="1"/>
    <xf numFmtId="0" fontId="7" fillId="0" borderId="9" xfId="1" applyFont="1" applyBorder="1"/>
    <xf numFmtId="0" fontId="17" fillId="0" borderId="9" xfId="0" applyFont="1" applyBorder="1" applyProtection="1">
      <protection hidden="1"/>
    </xf>
    <xf numFmtId="1" fontId="0" fillId="0" borderId="9" xfId="0" applyNumberFormat="1" applyBorder="1"/>
    <xf numFmtId="1" fontId="0" fillId="0" borderId="9" xfId="0" applyNumberFormat="1" applyBorder="1" applyAlignment="1">
      <alignment horizontal="right"/>
    </xf>
    <xf numFmtId="1" fontId="0" fillId="0" borderId="11" xfId="0" applyNumberFormat="1" applyBorder="1"/>
    <xf numFmtId="0" fontId="16" fillId="0" borderId="0" xfId="1" applyFont="1"/>
    <xf numFmtId="0" fontId="6" fillId="0" borderId="0" xfId="2" applyFont="1"/>
    <xf numFmtId="0" fontId="7" fillId="0" borderId="0" xfId="0" applyFont="1" applyAlignment="1">
      <alignment horizontal="center" vertical="center"/>
    </xf>
    <xf numFmtId="1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3" xfId="1" applyNumberFormat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24" fillId="2" borderId="29" xfId="0" applyFont="1" applyFill="1" applyBorder="1"/>
    <xf numFmtId="0" fontId="25" fillId="0" borderId="30" xfId="0" applyFont="1" applyBorder="1"/>
    <xf numFmtId="0" fontId="25" fillId="0" borderId="1" xfId="0" applyFont="1" applyBorder="1"/>
    <xf numFmtId="0" fontId="25" fillId="0" borderId="5" xfId="0" applyFont="1" applyBorder="1"/>
    <xf numFmtId="168" fontId="6" fillId="0" borderId="1" xfId="1" applyNumberFormat="1" applyFont="1" applyBorder="1" applyAlignment="1" applyProtection="1">
      <alignment horizontal="center" vertical="center" wrapText="1"/>
      <protection locked="0"/>
    </xf>
    <xf numFmtId="1" fontId="7" fillId="0" borderId="1" xfId="1" applyNumberFormat="1" applyFont="1" applyBorder="1" applyAlignment="1">
      <alignment horizontal="center" vertical="center"/>
    </xf>
    <xf numFmtId="1" fontId="12" fillId="0" borderId="1" xfId="1" applyNumberFormat="1" applyFont="1" applyBorder="1" applyAlignment="1" applyProtection="1">
      <alignment horizontal="center" vertical="center" wrapText="1"/>
      <protection locked="0"/>
    </xf>
    <xf numFmtId="43" fontId="7" fillId="0" borderId="0" xfId="9" applyFont="1" applyFill="1" applyAlignment="1">
      <alignment horizontal="center" vertical="center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9" fontId="12" fillId="0" borderId="1" xfId="8" applyFont="1" applyFill="1" applyBorder="1" applyAlignment="1" applyProtection="1">
      <alignment horizontal="center" vertical="top" wrapText="1"/>
      <protection locked="0"/>
    </xf>
    <xf numFmtId="0" fontId="12" fillId="0" borderId="6" xfId="1" applyFont="1" applyBorder="1" applyAlignment="1" applyProtection="1">
      <alignment horizontal="center" vertical="top" wrapText="1"/>
      <protection locked="0"/>
    </xf>
    <xf numFmtId="9" fontId="12" fillId="0" borderId="6" xfId="8" applyFont="1" applyFill="1" applyBorder="1" applyAlignment="1" applyProtection="1">
      <alignment horizontal="center" vertical="top" wrapText="1"/>
      <protection locked="0"/>
    </xf>
    <xf numFmtId="1" fontId="12" fillId="0" borderId="1" xfId="1" applyNumberFormat="1" applyFont="1" applyBorder="1" applyAlignment="1" applyProtection="1">
      <alignment horizontal="center" vertical="top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25" fillId="0" borderId="8" xfId="0" applyFont="1" applyBorder="1"/>
    <xf numFmtId="1" fontId="8" fillId="0" borderId="1" xfId="1" applyNumberFormat="1" applyFont="1" applyBorder="1" applyAlignment="1" applyProtection="1">
      <alignment horizontal="center" vertical="top" wrapText="1"/>
      <protection locked="0"/>
    </xf>
    <xf numFmtId="1" fontId="4" fillId="0" borderId="1" xfId="1" applyNumberFormat="1" applyFont="1" applyBorder="1" applyAlignment="1" applyProtection="1">
      <alignment horizontal="center" vertical="top" wrapText="1"/>
      <protection locked="0"/>
    </xf>
    <xf numFmtId="0" fontId="24" fillId="2" borderId="14" xfId="0" applyFont="1" applyFill="1" applyBorder="1"/>
    <xf numFmtId="1" fontId="8" fillId="0" borderId="7" xfId="1" applyNumberFormat="1" applyFont="1" applyBorder="1" applyAlignment="1" applyProtection="1">
      <alignment horizontal="center" vertical="center" wrapText="1"/>
      <protection locked="0"/>
    </xf>
    <xf numFmtId="1" fontId="8" fillId="0" borderId="20" xfId="1" applyNumberFormat="1" applyFont="1" applyBorder="1" applyAlignment="1" applyProtection="1">
      <alignment horizontal="center" vertical="center" wrapText="1"/>
      <protection locked="0"/>
    </xf>
    <xf numFmtId="1" fontId="8" fillId="0" borderId="8" xfId="1" applyNumberFormat="1" applyFont="1" applyBorder="1" applyAlignment="1" applyProtection="1">
      <alignment horizontal="center" vertical="center" wrapText="1"/>
      <protection locked="0"/>
    </xf>
    <xf numFmtId="1" fontId="8" fillId="0" borderId="1" xfId="1" applyNumberFormat="1" applyFont="1" applyBorder="1" applyAlignment="1" applyProtection="1">
      <alignment horizontal="center" vertical="center" wrapText="1"/>
      <protection locked="0"/>
    </xf>
    <xf numFmtId="1" fontId="6" fillId="0" borderId="7" xfId="1" applyNumberFormat="1" applyFont="1" applyBorder="1" applyAlignment="1" applyProtection="1">
      <alignment horizontal="center" vertical="center" wrapText="1"/>
      <protection locked="0"/>
    </xf>
    <xf numFmtId="1" fontId="6" fillId="0" borderId="8" xfId="1" applyNumberFormat="1" applyFont="1" applyBorder="1" applyAlignment="1" applyProtection="1">
      <alignment horizontal="center" vertical="center" wrapText="1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7" xfId="0" applyNumberFormat="1" applyFont="1" applyBorder="1" applyAlignment="1" applyProtection="1">
      <alignment vertical="top" wrapText="1"/>
      <protection locked="0"/>
    </xf>
    <xf numFmtId="1" fontId="8" fillId="0" borderId="20" xfId="0" applyNumberFormat="1" applyFont="1" applyBorder="1" applyAlignment="1" applyProtection="1">
      <alignment vertical="top" wrapText="1"/>
      <protection locked="0"/>
    </xf>
    <xf numFmtId="1" fontId="8" fillId="0" borderId="8" xfId="0" applyNumberFormat="1" applyFont="1" applyBorder="1" applyAlignment="1" applyProtection="1">
      <alignment vertical="top" wrapText="1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1" fontId="10" fillId="0" borderId="1" xfId="0" applyNumberFormat="1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1" fontId="6" fillId="0" borderId="16" xfId="1" applyNumberFormat="1" applyFont="1" applyBorder="1" applyAlignment="1" applyProtection="1">
      <alignment horizontal="center" vertical="center" wrapText="1"/>
      <protection locked="0"/>
    </xf>
    <xf numFmtId="1" fontId="6" fillId="0" borderId="17" xfId="1" applyNumberFormat="1" applyFont="1" applyBorder="1" applyAlignment="1" applyProtection="1">
      <alignment horizontal="center" vertical="center" wrapText="1"/>
      <protection locked="0"/>
    </xf>
    <xf numFmtId="1" fontId="6" fillId="0" borderId="24" xfId="1" applyNumberFormat="1" applyFont="1" applyBorder="1" applyAlignment="1" applyProtection="1">
      <alignment horizontal="center" vertical="center" wrapText="1"/>
      <protection locked="0"/>
    </xf>
    <xf numFmtId="1" fontId="6" fillId="0" borderId="25" xfId="1" applyNumberFormat="1" applyFont="1" applyBorder="1" applyAlignment="1" applyProtection="1">
      <alignment horizontal="center" vertical="center" wrapText="1"/>
      <protection locked="0"/>
    </xf>
    <xf numFmtId="1" fontId="6" fillId="0" borderId="18" xfId="1" applyNumberFormat="1" applyFont="1" applyBorder="1" applyAlignment="1" applyProtection="1">
      <alignment horizontal="center" vertical="center" wrapText="1"/>
      <protection locked="0"/>
    </xf>
    <xf numFmtId="1" fontId="6" fillId="0" borderId="19" xfId="1" applyNumberFormat="1" applyFont="1" applyBorder="1" applyAlignment="1" applyProtection="1">
      <alignment horizontal="center" vertical="center" wrapText="1"/>
      <protection locked="0"/>
    </xf>
    <xf numFmtId="0" fontId="7" fillId="0" borderId="0" xfId="1" applyFont="1" applyAlignment="1">
      <alignment horizontal="center" vertical="center"/>
    </xf>
    <xf numFmtId="0" fontId="12" fillId="0" borderId="1" xfId="1" applyFont="1" applyBorder="1" applyAlignment="1" applyProtection="1">
      <alignment horizontal="left" vertical="top" wrapText="1"/>
      <protection locked="0"/>
    </xf>
    <xf numFmtId="164" fontId="6" fillId="0" borderId="1" xfId="1" applyNumberFormat="1" applyFont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vertical="top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1" fontId="8" fillId="0" borderId="1" xfId="1" applyNumberFormat="1" applyFont="1" applyBorder="1" applyAlignment="1" applyProtection="1">
      <alignment horizontal="center" vertical="top" wrapText="1"/>
      <protection locked="0"/>
    </xf>
    <xf numFmtId="167" fontId="13" fillId="0" borderId="1" xfId="9" applyNumberFormat="1" applyFont="1" applyFill="1" applyBorder="1" applyAlignment="1" applyProtection="1">
      <alignment horizontal="left" vertical="top"/>
      <protection locked="0"/>
    </xf>
    <xf numFmtId="1" fontId="7" fillId="0" borderId="1" xfId="0" applyNumberFormat="1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6" fillId="0" borderId="7" xfId="1" applyFont="1" applyBorder="1" applyAlignment="1" applyProtection="1">
      <alignment horizontal="left" vertical="top" wrapText="1"/>
      <protection locked="0"/>
    </xf>
    <xf numFmtId="0" fontId="6" fillId="0" borderId="8" xfId="1" applyFont="1" applyBorder="1" applyAlignment="1" applyProtection="1">
      <alignment horizontal="left" vertical="top" wrapText="1"/>
      <protection locked="0"/>
    </xf>
    <xf numFmtId="0" fontId="6" fillId="0" borderId="20" xfId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1" fontId="13" fillId="0" borderId="7" xfId="0" applyNumberFormat="1" applyFont="1" applyBorder="1" applyAlignment="1" applyProtection="1">
      <alignment vertical="top" wrapText="1"/>
      <protection locked="0"/>
    </xf>
    <xf numFmtId="1" fontId="13" fillId="0" borderId="20" xfId="0" applyNumberFormat="1" applyFont="1" applyBorder="1" applyAlignment="1" applyProtection="1">
      <alignment vertical="top" wrapText="1"/>
      <protection locked="0"/>
    </xf>
    <xf numFmtId="1" fontId="13" fillId="0" borderId="8" xfId="0" applyNumberFormat="1" applyFont="1" applyBorder="1" applyAlignment="1" applyProtection="1">
      <alignment vertical="top" wrapText="1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9" fontId="12" fillId="0" borderId="1" xfId="8" applyFont="1" applyFill="1" applyBorder="1" applyAlignment="1" applyProtection="1">
      <alignment horizontal="center" vertical="center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horizontal="left" vertical="top" wrapText="1"/>
      <protection locked="0"/>
    </xf>
    <xf numFmtId="1" fontId="8" fillId="0" borderId="3" xfId="1" applyNumberFormat="1" applyFont="1" applyBorder="1" applyAlignment="1" applyProtection="1">
      <alignment horizontal="center" vertical="top" wrapText="1"/>
      <protection locked="0"/>
    </xf>
    <xf numFmtId="1" fontId="8" fillId="0" borderId="15" xfId="1" applyNumberFormat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1" fontId="7" fillId="0" borderId="1" xfId="0" applyNumberFormat="1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14" fontId="12" fillId="0" borderId="1" xfId="1" applyNumberFormat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left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/>
      <protection locked="0"/>
    </xf>
    <xf numFmtId="2" fontId="6" fillId="0" borderId="1" xfId="1" applyNumberFormat="1" applyFont="1" applyBorder="1" applyAlignment="1" applyProtection="1">
      <alignment horizontal="left" vertical="top" wrapText="1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0" fontId="7" fillId="0" borderId="1" xfId="1" applyFont="1" applyBorder="1" applyAlignment="1" applyProtection="1">
      <alignment horizontal="center"/>
      <protection locked="0"/>
    </xf>
    <xf numFmtId="0" fontId="6" fillId="0" borderId="1" xfId="1" applyFont="1" applyBorder="1" applyAlignment="1" applyProtection="1">
      <alignment horizontal="center" vertical="top"/>
      <protection locked="0"/>
    </xf>
    <xf numFmtId="0" fontId="12" fillId="0" borderId="3" xfId="1" applyFont="1" applyBorder="1" applyAlignment="1" applyProtection="1">
      <alignment horizontal="left" vertical="top" wrapText="1"/>
      <protection locked="0"/>
    </xf>
    <xf numFmtId="0" fontId="12" fillId="0" borderId="3" xfId="1" applyFont="1" applyBorder="1" applyAlignment="1" applyProtection="1">
      <alignment horizontal="left" vertical="top"/>
      <protection locked="0"/>
    </xf>
    <xf numFmtId="0" fontId="12" fillId="0" borderId="16" xfId="1" applyFont="1" applyBorder="1" applyAlignment="1" applyProtection="1">
      <alignment horizontal="left" vertical="top" wrapText="1"/>
      <protection locked="0"/>
    </xf>
    <xf numFmtId="0" fontId="12" fillId="0" borderId="23" xfId="1" applyFont="1" applyBorder="1" applyAlignment="1" applyProtection="1">
      <alignment horizontal="left" vertical="top" wrapText="1"/>
      <protection locked="0"/>
    </xf>
    <xf numFmtId="0" fontId="12" fillId="0" borderId="17" xfId="1" applyFont="1" applyBorder="1" applyAlignment="1" applyProtection="1">
      <alignment horizontal="left" vertical="top" wrapText="1"/>
      <protection locked="0"/>
    </xf>
    <xf numFmtId="14" fontId="6" fillId="0" borderId="7" xfId="1" applyNumberFormat="1" applyFont="1" applyBorder="1" applyAlignment="1" applyProtection="1">
      <alignment horizontal="left" vertical="top" wrapText="1"/>
      <protection locked="0"/>
    </xf>
    <xf numFmtId="14" fontId="6" fillId="0" borderId="8" xfId="1" applyNumberFormat="1" applyFont="1" applyBorder="1" applyAlignment="1" applyProtection="1">
      <alignment horizontal="left" vertical="top" wrapText="1"/>
      <protection locked="0"/>
    </xf>
    <xf numFmtId="0" fontId="6" fillId="0" borderId="16" xfId="1" applyFont="1" applyBorder="1" applyAlignment="1" applyProtection="1">
      <alignment horizontal="left" vertical="top" wrapText="1"/>
      <protection locked="0"/>
    </xf>
    <xf numFmtId="0" fontId="6" fillId="0" borderId="17" xfId="1" applyFont="1" applyBorder="1" applyAlignment="1" applyProtection="1">
      <alignment horizontal="left" vertical="top" wrapText="1"/>
      <protection locked="0"/>
    </xf>
    <xf numFmtId="0" fontId="6" fillId="0" borderId="18" xfId="1" applyFont="1" applyBorder="1" applyAlignment="1" applyProtection="1">
      <alignment horizontal="left" vertical="top" wrapText="1"/>
      <protection locked="0"/>
    </xf>
    <xf numFmtId="0" fontId="6" fillId="0" borderId="19" xfId="1" applyFont="1" applyBorder="1" applyAlignment="1" applyProtection="1">
      <alignment horizontal="left" vertical="top" wrapText="1"/>
      <protection locked="0"/>
    </xf>
    <xf numFmtId="0" fontId="12" fillId="0" borderId="24" xfId="1" applyFont="1" applyBorder="1" applyAlignment="1" applyProtection="1">
      <alignment horizontal="left" vertical="top" wrapText="1"/>
      <protection locked="0"/>
    </xf>
    <xf numFmtId="0" fontId="12" fillId="0" borderId="0" xfId="1" applyFont="1" applyAlignment="1" applyProtection="1">
      <alignment horizontal="left" vertical="top" wrapText="1"/>
      <protection locked="0"/>
    </xf>
    <xf numFmtId="0" fontId="12" fillId="0" borderId="16" xfId="1" applyFont="1" applyBorder="1" applyAlignment="1" applyProtection="1">
      <alignment horizontal="left" vertical="top"/>
      <protection locked="0"/>
    </xf>
    <xf numFmtId="0" fontId="12" fillId="0" borderId="23" xfId="1" applyFont="1" applyBorder="1" applyAlignment="1" applyProtection="1">
      <alignment horizontal="left" vertical="top"/>
      <protection locked="0"/>
    </xf>
    <xf numFmtId="0" fontId="12" fillId="0" borderId="17" xfId="1" applyFont="1" applyBorder="1" applyAlignment="1" applyProtection="1">
      <alignment horizontal="left" vertical="top"/>
      <protection locked="0"/>
    </xf>
    <xf numFmtId="0" fontId="12" fillId="0" borderId="18" xfId="1" applyFont="1" applyBorder="1" applyAlignment="1" applyProtection="1">
      <alignment horizontal="left" vertical="top"/>
      <protection locked="0"/>
    </xf>
    <xf numFmtId="0" fontId="12" fillId="0" borderId="2" xfId="1" applyFont="1" applyBorder="1" applyAlignment="1" applyProtection="1">
      <alignment horizontal="left" vertical="top"/>
      <protection locked="0"/>
    </xf>
    <xf numFmtId="0" fontId="12" fillId="0" borderId="19" xfId="1" applyFont="1" applyBorder="1" applyAlignment="1" applyProtection="1">
      <alignment horizontal="left" vertical="top"/>
      <protection locked="0"/>
    </xf>
    <xf numFmtId="0" fontId="8" fillId="0" borderId="7" xfId="1" applyFont="1" applyBorder="1" applyAlignment="1" applyProtection="1">
      <alignment horizontal="left" vertical="top" wrapText="1"/>
      <protection locked="0"/>
    </xf>
    <xf numFmtId="0" fontId="8" fillId="0" borderId="8" xfId="1" applyFont="1" applyBorder="1" applyAlignment="1" applyProtection="1">
      <alignment horizontal="left" vertical="top" wrapText="1"/>
      <protection locked="0"/>
    </xf>
    <xf numFmtId="0" fontId="8" fillId="0" borderId="20" xfId="1" applyFont="1" applyBorder="1" applyAlignment="1" applyProtection="1">
      <alignment horizontal="left" vertical="top" wrapText="1"/>
      <protection locked="0"/>
    </xf>
    <xf numFmtId="0" fontId="8" fillId="0" borderId="7" xfId="1" applyFont="1" applyBorder="1" applyAlignment="1" applyProtection="1">
      <alignment horizontal="left" vertical="top"/>
      <protection locked="0"/>
    </xf>
    <xf numFmtId="0" fontId="8" fillId="0" borderId="8" xfId="1" applyFont="1" applyBorder="1" applyAlignment="1" applyProtection="1">
      <alignment horizontal="left" vertical="top"/>
      <protection locked="0"/>
    </xf>
    <xf numFmtId="0" fontId="26" fillId="0" borderId="1" xfId="10" applyFill="1" applyBorder="1" applyAlignment="1" applyProtection="1">
      <alignment horizontal="left" vertical="top" wrapText="1"/>
      <protection locked="0"/>
    </xf>
    <xf numFmtId="0" fontId="12" fillId="0" borderId="7" xfId="1" applyFont="1" applyBorder="1" applyAlignment="1" applyProtection="1">
      <alignment horizontal="left" vertical="top" wrapText="1"/>
      <protection locked="0"/>
    </xf>
    <xf numFmtId="0" fontId="12" fillId="0" borderId="8" xfId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2" fontId="6" fillId="0" borderId="1" xfId="1" applyNumberFormat="1" applyFont="1" applyBorder="1" applyAlignment="1" applyProtection="1">
      <alignment horizontal="left" vertical="top"/>
      <protection locked="0"/>
    </xf>
    <xf numFmtId="0" fontId="6" fillId="0" borderId="15" xfId="1" applyFont="1" applyBorder="1" applyAlignment="1" applyProtection="1">
      <alignment horizontal="left" vertical="top" wrapText="1"/>
      <protection locked="0"/>
    </xf>
    <xf numFmtId="1" fontId="6" fillId="0" borderId="1" xfId="1" applyNumberFormat="1" applyFont="1" applyBorder="1" applyAlignment="1" applyProtection="1">
      <alignment horizontal="left" vertical="top" wrapText="1"/>
      <protection locked="0"/>
    </xf>
    <xf numFmtId="0" fontId="6" fillId="0" borderId="3" xfId="1" applyFont="1" applyBorder="1" applyAlignment="1" applyProtection="1">
      <alignment horizontal="left" vertical="top"/>
      <protection locked="0"/>
    </xf>
    <xf numFmtId="0" fontId="8" fillId="0" borderId="15" xfId="1" applyFont="1" applyBorder="1" applyAlignment="1" applyProtection="1">
      <alignment horizontal="center" vertical="top"/>
      <protection locked="0"/>
    </xf>
    <xf numFmtId="167" fontId="12" fillId="0" borderId="1" xfId="9" applyNumberFormat="1" applyFont="1" applyFill="1" applyBorder="1" applyAlignment="1" applyProtection="1">
      <alignment horizontal="left" vertical="top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1" fontId="4" fillId="0" borderId="3" xfId="1" applyNumberFormat="1" applyFont="1" applyBorder="1" applyAlignment="1" applyProtection="1">
      <alignment horizontal="center" vertical="top" wrapText="1"/>
      <protection locked="0"/>
    </xf>
    <xf numFmtId="1" fontId="4" fillId="0" borderId="15" xfId="1" applyNumberFormat="1" applyFont="1" applyBorder="1" applyAlignment="1" applyProtection="1">
      <alignment horizontal="center" vertical="top" wrapText="1"/>
      <protection locked="0"/>
    </xf>
    <xf numFmtId="1" fontId="8" fillId="0" borderId="16" xfId="1" applyNumberFormat="1" applyFont="1" applyBorder="1" applyAlignment="1" applyProtection="1">
      <alignment horizontal="center" vertical="top" wrapText="1"/>
      <protection locked="0"/>
    </xf>
    <xf numFmtId="1" fontId="8" fillId="0" borderId="17" xfId="1" applyNumberFormat="1" applyFont="1" applyBorder="1" applyAlignment="1" applyProtection="1">
      <alignment horizontal="center" vertical="top" wrapText="1"/>
      <protection locked="0"/>
    </xf>
    <xf numFmtId="1" fontId="8" fillId="0" borderId="18" xfId="1" applyNumberFormat="1" applyFont="1" applyBorder="1" applyAlignment="1" applyProtection="1">
      <alignment horizontal="center" vertical="top" wrapText="1"/>
      <protection locked="0"/>
    </xf>
    <xf numFmtId="1" fontId="8" fillId="0" borderId="19" xfId="1" applyNumberFormat="1" applyFont="1" applyBorder="1" applyAlignment="1" applyProtection="1">
      <alignment horizontal="center" vertical="top" wrapText="1"/>
      <protection locked="0"/>
    </xf>
    <xf numFmtId="0" fontId="13" fillId="0" borderId="7" xfId="1" applyFont="1" applyBorder="1" applyAlignment="1" applyProtection="1">
      <alignment horizontal="left" vertical="top"/>
      <protection locked="0"/>
    </xf>
    <xf numFmtId="0" fontId="13" fillId="0" borderId="20" xfId="1" applyFont="1" applyBorder="1" applyAlignment="1" applyProtection="1">
      <alignment horizontal="left" vertical="top"/>
      <protection locked="0"/>
    </xf>
    <xf numFmtId="0" fontId="13" fillId="0" borderId="8" xfId="1" applyFont="1" applyBorder="1" applyAlignment="1" applyProtection="1">
      <alignment horizontal="left" vertical="top"/>
      <protection locked="0"/>
    </xf>
    <xf numFmtId="0" fontId="10" fillId="3" borderId="31" xfId="1" applyFont="1" applyFill="1" applyBorder="1" applyAlignment="1" applyProtection="1">
      <alignment horizontal="center" vertical="center" wrapText="1"/>
      <protection locked="0"/>
    </xf>
    <xf numFmtId="0" fontId="10" fillId="3" borderId="32" xfId="1" applyFont="1" applyFill="1" applyBorder="1" applyAlignment="1" applyProtection="1">
      <alignment horizontal="center" vertical="center" wrapText="1"/>
      <protection locked="0"/>
    </xf>
    <xf numFmtId="9" fontId="10" fillId="3" borderId="32" xfId="8" applyFont="1" applyFill="1" applyBorder="1" applyAlignment="1" applyProtection="1">
      <alignment horizontal="center" vertical="center" wrapText="1"/>
      <protection locked="0"/>
    </xf>
    <xf numFmtId="9" fontId="10" fillId="3" borderId="33" xfId="8" applyFont="1" applyFill="1" applyBorder="1" applyAlignment="1" applyProtection="1">
      <alignment horizontal="center" vertical="center" wrapText="1"/>
      <protection locked="0"/>
    </xf>
    <xf numFmtId="9" fontId="10" fillId="3" borderId="32" xfId="1" applyNumberFormat="1" applyFont="1" applyFill="1" applyBorder="1" applyAlignment="1" applyProtection="1">
      <alignment horizontal="center" vertical="center" wrapText="1"/>
      <protection locked="0"/>
    </xf>
    <xf numFmtId="0" fontId="12" fillId="0" borderId="4" xfId="1" applyFont="1" applyBorder="1" applyAlignment="1" applyProtection="1">
      <alignment horizontal="center" vertical="top" wrapText="1"/>
      <protection locked="0"/>
    </xf>
    <xf numFmtId="0" fontId="12" fillId="0" borderId="34" xfId="1" applyFont="1" applyBorder="1" applyAlignment="1" applyProtection="1">
      <alignment horizontal="center" vertical="top" wrapText="1"/>
      <protection locked="0"/>
    </xf>
    <xf numFmtId="0" fontId="12" fillId="0" borderId="35" xfId="1" applyFont="1" applyBorder="1" applyAlignment="1" applyProtection="1">
      <alignment horizontal="center" vertical="top" wrapText="1"/>
      <protection locked="0"/>
    </xf>
    <xf numFmtId="0" fontId="13" fillId="0" borderId="21" xfId="1" applyFont="1" applyBorder="1" applyAlignment="1" applyProtection="1">
      <alignment horizontal="left" vertical="top" wrapText="1"/>
      <protection locked="0"/>
    </xf>
    <xf numFmtId="0" fontId="13" fillId="0" borderId="14" xfId="1" applyFont="1" applyBorder="1" applyAlignment="1" applyProtection="1">
      <alignment horizontal="left" vertical="top" wrapText="1"/>
      <protection locked="0"/>
    </xf>
    <xf numFmtId="0" fontId="13" fillId="0" borderId="12" xfId="1" applyFont="1" applyBorder="1" applyAlignment="1" applyProtection="1">
      <alignment horizontal="left" vertical="top" wrapText="1"/>
      <protection locked="0"/>
    </xf>
    <xf numFmtId="0" fontId="13" fillId="0" borderId="13" xfId="1" applyFont="1" applyBorder="1" applyAlignment="1" applyProtection="1">
      <alignment horizontal="left" vertical="top" wrapText="1"/>
      <protection locked="0"/>
    </xf>
    <xf numFmtId="0" fontId="13" fillId="0" borderId="22" xfId="1" applyFont="1" applyBorder="1" applyAlignment="1" applyProtection="1">
      <alignment horizontal="left" vertical="top" wrapText="1"/>
      <protection locked="0"/>
    </xf>
    <xf numFmtId="0" fontId="13" fillId="0" borderId="4" xfId="1" applyFont="1" applyBorder="1" applyAlignment="1" applyProtection="1">
      <alignment horizontal="left" vertical="top"/>
      <protection locked="0"/>
    </xf>
    <xf numFmtId="0" fontId="13" fillId="0" borderId="5" xfId="1" applyFont="1" applyBorder="1" applyAlignment="1" applyProtection="1">
      <alignment horizontal="left" vertical="top" wrapText="1"/>
      <protection locked="0"/>
    </xf>
    <xf numFmtId="0" fontId="12" fillId="0" borderId="5" xfId="1" applyFont="1" applyBorder="1" applyAlignment="1" applyProtection="1">
      <alignment horizontal="center" vertical="top" wrapText="1"/>
      <protection locked="0"/>
    </xf>
    <xf numFmtId="9" fontId="12" fillId="0" borderId="16" xfId="8" applyFont="1" applyFill="1" applyBorder="1" applyAlignment="1" applyProtection="1">
      <alignment horizontal="center" vertical="center" wrapText="1"/>
      <protection locked="0"/>
    </xf>
    <xf numFmtId="9" fontId="12" fillId="0" borderId="17" xfId="8" applyFont="1" applyFill="1" applyBorder="1" applyAlignment="1" applyProtection="1">
      <alignment horizontal="center" vertical="center" wrapText="1"/>
      <protection locked="0"/>
    </xf>
    <xf numFmtId="9" fontId="12" fillId="0" borderId="24" xfId="8" applyFont="1" applyFill="1" applyBorder="1" applyAlignment="1" applyProtection="1">
      <alignment horizontal="center" vertical="center" wrapText="1"/>
      <protection locked="0"/>
    </xf>
    <xf numFmtId="9" fontId="12" fillId="0" borderId="25" xfId="8" applyFont="1" applyFill="1" applyBorder="1" applyAlignment="1" applyProtection="1">
      <alignment horizontal="center" vertical="center" wrapText="1"/>
      <protection locked="0"/>
    </xf>
    <xf numFmtId="9" fontId="12" fillId="0" borderId="27" xfId="8" applyFont="1" applyFill="1" applyBorder="1" applyAlignment="1" applyProtection="1">
      <alignment horizontal="center" vertical="center" wrapText="1"/>
      <protection locked="0"/>
    </xf>
    <xf numFmtId="9" fontId="12" fillId="0" borderId="28" xfId="8" applyFont="1" applyFill="1" applyBorder="1" applyAlignment="1" applyProtection="1">
      <alignment horizontal="center" vertical="center" wrapText="1"/>
      <protection locked="0"/>
    </xf>
    <xf numFmtId="9" fontId="12" fillId="0" borderId="26" xfId="8" applyFont="1" applyFill="1" applyBorder="1" applyAlignment="1" applyProtection="1">
      <alignment horizontal="center" vertical="center" wrapText="1"/>
      <protection locked="0"/>
    </xf>
    <xf numFmtId="9" fontId="12" fillId="0" borderId="9" xfId="8" applyFont="1" applyFill="1" applyBorder="1" applyAlignment="1" applyProtection="1">
      <alignment horizontal="center" vertical="center" wrapText="1"/>
      <protection locked="0"/>
    </xf>
    <xf numFmtId="9" fontId="12" fillId="0" borderId="11" xfId="8" applyFont="1" applyFill="1" applyBorder="1" applyAlignment="1" applyProtection="1">
      <alignment horizontal="center" vertical="center" wrapText="1"/>
      <protection locked="0"/>
    </xf>
    <xf numFmtId="0" fontId="8" fillId="0" borderId="15" xfId="1" applyFont="1" applyBorder="1" applyAlignment="1" applyProtection="1">
      <alignment horizontal="left" vertical="top"/>
      <protection locked="0"/>
    </xf>
    <xf numFmtId="0" fontId="13" fillId="0" borderId="36" xfId="1" applyFont="1" applyBorder="1" applyAlignment="1" applyProtection="1">
      <alignment horizontal="left" vertical="top" wrapText="1"/>
      <protection locked="0"/>
    </xf>
    <xf numFmtId="0" fontId="13" fillId="0" borderId="19" xfId="1" applyFont="1" applyBorder="1" applyAlignment="1" applyProtection="1">
      <alignment horizontal="left" vertical="top" wrapText="1"/>
      <protection locked="0"/>
    </xf>
    <xf numFmtId="0" fontId="13" fillId="0" borderId="18" xfId="1" applyFont="1" applyBorder="1" applyAlignment="1" applyProtection="1">
      <alignment horizontal="left" vertical="top" wrapText="1"/>
      <protection locked="0"/>
    </xf>
    <xf numFmtId="0" fontId="13" fillId="0" borderId="2" xfId="1" applyFont="1" applyBorder="1" applyAlignment="1" applyProtection="1">
      <alignment horizontal="left" vertical="top" wrapText="1"/>
      <protection locked="0"/>
    </xf>
    <xf numFmtId="0" fontId="13" fillId="0" borderId="37" xfId="1" applyFont="1" applyBorder="1" applyAlignment="1" applyProtection="1">
      <alignment horizontal="left" vertical="top" wrapText="1"/>
      <protection locked="0"/>
    </xf>
    <xf numFmtId="0" fontId="9" fillId="0" borderId="1" xfId="5" applyFont="1" applyBorder="1" applyAlignment="1">
      <alignment horizontal="left"/>
    </xf>
  </cellXfs>
  <cellStyles count="11">
    <cellStyle name="Comma" xfId="9" builtinId="3"/>
    <cellStyle name="Comma 2" xfId="6"/>
    <cellStyle name="Excel Built-in Normal" xfId="2"/>
    <cellStyle name="Excel Built-in Normal 2" xfId="4"/>
    <cellStyle name="Hyperlink" xfId="10" builtinId="8"/>
    <cellStyle name="Normal" xfId="0" builtinId="0"/>
    <cellStyle name="Normal 2" xfId="3"/>
    <cellStyle name="Normal 3" xfId="1"/>
    <cellStyle name="Normal 3 3" xfId="7"/>
    <cellStyle name="Normal 4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6.png"/><Relationship Id="rId1" Type="http://schemas.openxmlformats.org/officeDocument/2006/relationships/image" Target="../media/image1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705972</xdr:colOff>
      <xdr:row>253</xdr:row>
      <xdr:rowOff>33616</xdr:rowOff>
    </xdr:from>
    <xdr:to>
      <xdr:col>16</xdr:col>
      <xdr:colOff>298649</xdr:colOff>
      <xdr:row>277</xdr:row>
      <xdr:rowOff>11722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82737" y="52275440"/>
          <a:ext cx="4400000" cy="4819048"/>
        </a:xfrm>
        <a:prstGeom prst="rect">
          <a:avLst/>
        </a:prstGeom>
      </xdr:spPr>
    </xdr:pic>
    <xdr:clientData/>
  </xdr:twoCellAnchor>
  <xdr:twoCellAnchor editAs="oneCell">
    <xdr:from>
      <xdr:col>9</xdr:col>
      <xdr:colOff>605116</xdr:colOff>
      <xdr:row>266</xdr:row>
      <xdr:rowOff>145677</xdr:rowOff>
    </xdr:from>
    <xdr:to>
      <xdr:col>15</xdr:col>
      <xdr:colOff>524966</xdr:colOff>
      <xdr:row>292</xdr:row>
      <xdr:rowOff>441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863851" y="55704442"/>
          <a:ext cx="4704762" cy="5095238"/>
        </a:xfrm>
        <a:prstGeom prst="rect">
          <a:avLst/>
        </a:prstGeom>
      </xdr:spPr>
    </xdr:pic>
    <xdr:clientData/>
  </xdr:twoCellAnchor>
  <xdr:twoCellAnchor editAs="oneCell">
    <xdr:from>
      <xdr:col>8</xdr:col>
      <xdr:colOff>324969</xdr:colOff>
      <xdr:row>214</xdr:row>
      <xdr:rowOff>100851</xdr:rowOff>
    </xdr:from>
    <xdr:to>
      <xdr:col>13</xdr:col>
      <xdr:colOff>2084</xdr:colOff>
      <xdr:row>239</xdr:row>
      <xdr:rowOff>96299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339851" y="44274439"/>
          <a:ext cx="4085714" cy="5038095"/>
        </a:xfrm>
        <a:prstGeom prst="rect">
          <a:avLst/>
        </a:prstGeom>
      </xdr:spPr>
    </xdr:pic>
    <xdr:clientData/>
  </xdr:twoCellAnchor>
  <xdr:twoCellAnchor editAs="oneCell">
    <xdr:from>
      <xdr:col>13</xdr:col>
      <xdr:colOff>3</xdr:colOff>
      <xdr:row>215</xdr:row>
      <xdr:rowOff>168089</xdr:rowOff>
    </xdr:from>
    <xdr:to>
      <xdr:col>17</xdr:col>
      <xdr:colOff>494292</xdr:colOff>
      <xdr:row>239</xdr:row>
      <xdr:rowOff>50957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1430003" y="44543383"/>
          <a:ext cx="3609524" cy="4723809"/>
        </a:xfrm>
        <a:prstGeom prst="rect">
          <a:avLst/>
        </a:prstGeom>
      </xdr:spPr>
    </xdr:pic>
    <xdr:clientData/>
  </xdr:twoCellAnchor>
  <xdr:twoCellAnchor editAs="oneCell">
    <xdr:from>
      <xdr:col>0</xdr:col>
      <xdr:colOff>750793</xdr:colOff>
      <xdr:row>366</xdr:row>
      <xdr:rowOff>179294</xdr:rowOff>
    </xdr:from>
    <xdr:to>
      <xdr:col>7</xdr:col>
      <xdr:colOff>64712</xdr:colOff>
      <xdr:row>390</xdr:row>
      <xdr:rowOff>62753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750793" y="78497206"/>
          <a:ext cx="5443537" cy="47244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4</xdr:col>
      <xdr:colOff>515471</xdr:colOff>
      <xdr:row>371</xdr:row>
      <xdr:rowOff>11206</xdr:rowOff>
    </xdr:from>
    <xdr:to>
      <xdr:col>6</xdr:col>
      <xdr:colOff>235324</xdr:colOff>
      <xdr:row>381</xdr:row>
      <xdr:rowOff>11206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4123765" y="79337647"/>
          <a:ext cx="1400735" cy="2017059"/>
        </a:xfrm>
        <a:prstGeom prst="rect">
          <a:avLst/>
        </a:prstGeom>
        <a:noFill/>
        <a:ln w="57150">
          <a:solidFill>
            <a:schemeClr val="accent1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oneCellAnchor>
    <xdr:from>
      <xdr:col>4</xdr:col>
      <xdr:colOff>829235</xdr:colOff>
      <xdr:row>382</xdr:row>
      <xdr:rowOff>11206</xdr:rowOff>
    </xdr:from>
    <xdr:ext cx="1170257" cy="593239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4437529" y="81556412"/>
          <a:ext cx="1170257" cy="593239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spAutoFit/>
        </a:bodyPr>
        <a:lstStyle/>
        <a:p>
          <a:r>
            <a:rPr lang="en-IN" sz="1600" b="1"/>
            <a:t>Building No</a:t>
          </a:r>
        </a:p>
        <a:p>
          <a:pPr algn="ctr"/>
          <a:r>
            <a:rPr lang="en-IN" sz="1600" b="1"/>
            <a:t>11 &amp; 12</a:t>
          </a:r>
        </a:p>
      </xdr:txBody>
    </xdr:sp>
    <xdr:clientData/>
  </xdr:oneCellAnchor>
  <xdr:oneCellAnchor>
    <xdr:from>
      <xdr:col>4</xdr:col>
      <xdr:colOff>563603</xdr:colOff>
      <xdr:row>376</xdr:row>
      <xdr:rowOff>143156</xdr:rowOff>
    </xdr:from>
    <xdr:ext cx="392672" cy="342786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4171897" y="80478127"/>
          <a:ext cx="392672" cy="342786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spAutoFit/>
        </a:bodyPr>
        <a:lstStyle/>
        <a:p>
          <a:pPr algn="ctr"/>
          <a:r>
            <a:rPr lang="en-IN" sz="1600" b="1"/>
            <a:t>12</a:t>
          </a:r>
        </a:p>
      </xdr:txBody>
    </xdr:sp>
    <xdr:clientData/>
  </xdr:oneCellAnchor>
  <xdr:oneCellAnchor>
    <xdr:from>
      <xdr:col>5</xdr:col>
      <xdr:colOff>547913</xdr:colOff>
      <xdr:row>371</xdr:row>
      <xdr:rowOff>60233</xdr:rowOff>
    </xdr:from>
    <xdr:ext cx="392673" cy="342786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4996648" y="79386674"/>
          <a:ext cx="392673" cy="342786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spAutoFit/>
        </a:bodyPr>
        <a:lstStyle/>
        <a:p>
          <a:pPr algn="ctr"/>
          <a:r>
            <a:rPr lang="en-IN" sz="1600" b="1"/>
            <a:t>11</a:t>
          </a:r>
        </a:p>
      </xdr:txBody>
    </xdr:sp>
    <xdr:clientData/>
  </xdr:oneCellAnchor>
  <xdr:twoCellAnchor editAs="oneCell">
    <xdr:from>
      <xdr:col>0</xdr:col>
      <xdr:colOff>481850</xdr:colOff>
      <xdr:row>423</xdr:row>
      <xdr:rowOff>145677</xdr:rowOff>
    </xdr:from>
    <xdr:to>
      <xdr:col>7</xdr:col>
      <xdr:colOff>472232</xdr:colOff>
      <xdr:row>443</xdr:row>
      <xdr:rowOff>118702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81850" y="91372765"/>
          <a:ext cx="6120000" cy="4007144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481850</xdr:colOff>
      <xdr:row>403</xdr:row>
      <xdr:rowOff>44824</xdr:rowOff>
    </xdr:from>
    <xdr:to>
      <xdr:col>7</xdr:col>
      <xdr:colOff>472232</xdr:colOff>
      <xdr:row>423</xdr:row>
      <xdr:rowOff>17852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81850" y="87237795"/>
          <a:ext cx="6120000" cy="4007143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8</xdr:col>
      <xdr:colOff>1026335</xdr:colOff>
      <xdr:row>328</xdr:row>
      <xdr:rowOff>177456</xdr:rowOff>
    </xdr:from>
    <xdr:to>
      <xdr:col>11</xdr:col>
      <xdr:colOff>400050</xdr:colOff>
      <xdr:row>330</xdr:row>
      <xdr:rowOff>151547</xdr:rowOff>
    </xdr:to>
    <xdr:sp macro="" textlink="">
      <xdr:nvSpPr>
        <xdr:cNvPr id="29" name="Rectangle 28"/>
        <xdr:cNvSpPr/>
      </xdr:nvSpPr>
      <xdr:spPr>
        <a:xfrm>
          <a:off x="7998635" y="67233456"/>
          <a:ext cx="2002615" cy="374141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IN" b="1">
              <a:solidFill>
                <a:srgbClr val="FF0000"/>
              </a:solidFill>
            </a:rPr>
            <a:t>Building No.11</a:t>
          </a:r>
        </a:p>
      </xdr:txBody>
    </xdr:sp>
    <xdr:clientData/>
  </xdr:twoCellAnchor>
  <xdr:twoCellAnchor>
    <xdr:from>
      <xdr:col>11</xdr:col>
      <xdr:colOff>127469</xdr:colOff>
      <xdr:row>322</xdr:row>
      <xdr:rowOff>3948</xdr:rowOff>
    </xdr:from>
    <xdr:to>
      <xdr:col>13</xdr:col>
      <xdr:colOff>666750</xdr:colOff>
      <xdr:row>323</xdr:row>
      <xdr:rowOff>178064</xdr:rowOff>
    </xdr:to>
    <xdr:sp macro="" textlink="">
      <xdr:nvSpPr>
        <xdr:cNvPr id="34" name="Rectangle 33"/>
        <xdr:cNvSpPr/>
      </xdr:nvSpPr>
      <xdr:spPr>
        <a:xfrm>
          <a:off x="9728669" y="65869323"/>
          <a:ext cx="2034706" cy="374141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IN" b="1">
              <a:solidFill>
                <a:srgbClr val="FF0000"/>
              </a:solidFill>
            </a:rPr>
            <a:t>Building No.12</a:t>
          </a:r>
        </a:p>
      </xdr:txBody>
    </xdr:sp>
    <xdr:clientData/>
  </xdr:twoCellAnchor>
  <xdr:twoCellAnchor>
    <xdr:from>
      <xdr:col>8</xdr:col>
      <xdr:colOff>83360</xdr:colOff>
      <xdr:row>319</xdr:row>
      <xdr:rowOff>9181</xdr:rowOff>
    </xdr:from>
    <xdr:to>
      <xdr:col>10</xdr:col>
      <xdr:colOff>193675</xdr:colOff>
      <xdr:row>320</xdr:row>
      <xdr:rowOff>183297</xdr:rowOff>
    </xdr:to>
    <xdr:sp macro="" textlink="">
      <xdr:nvSpPr>
        <xdr:cNvPr id="24" name="Rectangle 23"/>
        <xdr:cNvSpPr/>
      </xdr:nvSpPr>
      <xdr:spPr>
        <a:xfrm>
          <a:off x="7398560" y="64379131"/>
          <a:ext cx="2129615" cy="370966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IN" b="1">
              <a:solidFill>
                <a:srgbClr val="FF0000"/>
              </a:solidFill>
            </a:rPr>
            <a:t>Building No.11</a:t>
          </a:r>
        </a:p>
      </xdr:txBody>
    </xdr:sp>
    <xdr:clientData/>
  </xdr:twoCellAnchor>
  <xdr:twoCellAnchor>
    <xdr:from>
      <xdr:col>10</xdr:col>
      <xdr:colOff>644994</xdr:colOff>
      <xdr:row>319</xdr:row>
      <xdr:rowOff>35698</xdr:rowOff>
    </xdr:from>
    <xdr:to>
      <xdr:col>13</xdr:col>
      <xdr:colOff>495300</xdr:colOff>
      <xdr:row>321</xdr:row>
      <xdr:rowOff>12964</xdr:rowOff>
    </xdr:to>
    <xdr:sp macro="" textlink="">
      <xdr:nvSpPr>
        <xdr:cNvPr id="25" name="Rectangle 24"/>
        <xdr:cNvSpPr/>
      </xdr:nvSpPr>
      <xdr:spPr>
        <a:xfrm>
          <a:off x="9979494" y="64405648"/>
          <a:ext cx="2149006" cy="370966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IN" b="1">
              <a:solidFill>
                <a:srgbClr val="FF0000"/>
              </a:solidFill>
            </a:rPr>
            <a:t>Building No.12</a:t>
          </a:r>
        </a:p>
      </xdr:txBody>
    </xdr:sp>
    <xdr:clientData/>
  </xdr:twoCellAnchor>
  <xdr:twoCellAnchor>
    <xdr:from>
      <xdr:col>0</xdr:col>
      <xdr:colOff>438150</xdr:colOff>
      <xdr:row>321</xdr:row>
      <xdr:rowOff>133350</xdr:rowOff>
    </xdr:from>
    <xdr:to>
      <xdr:col>7</xdr:col>
      <xdr:colOff>830101</xdr:colOff>
      <xdr:row>356</xdr:row>
      <xdr:rowOff>90286</xdr:rowOff>
    </xdr:to>
    <xdr:grpSp>
      <xdr:nvGrpSpPr>
        <xdr:cNvPr id="12" name="Group 11"/>
        <xdr:cNvGrpSpPr/>
      </xdr:nvGrpSpPr>
      <xdr:grpSpPr>
        <a:xfrm>
          <a:off x="438150" y="64909700"/>
          <a:ext cx="6367301" cy="6840336"/>
          <a:chOff x="438150" y="65246250"/>
          <a:chExt cx="6367301" cy="6840336"/>
        </a:xfrm>
      </xdr:grpSpPr>
      <xdr:pic>
        <xdr:nvPicPr>
          <xdr:cNvPr id="26" name="Picture 25"/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118961" y="69926586"/>
            <a:ext cx="287733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7" name="Picture 26"/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38150" y="67640418"/>
            <a:ext cx="287733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8" name="Picture 27"/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442154" y="67640418"/>
            <a:ext cx="161831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0" name="Picture 29"/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5187138" y="67640418"/>
            <a:ext cx="161831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9" name="Picture 38"/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696472" y="65246250"/>
            <a:ext cx="3021201" cy="2268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0" name="Picture 39"/>
          <xdr:cNvPicPr>
            <a:picLocks noChangeAspect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546703" y="65246250"/>
            <a:ext cx="3021201" cy="2268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1" name="Picture 40"/>
          <xdr:cNvPicPr>
            <a:picLocks noChangeAspect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373977" y="69926586"/>
            <a:ext cx="161831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GddrE5Yb8gojH92N6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402"/>
  <sheetViews>
    <sheetView tabSelected="1" view="pageBreakPreview" topLeftCell="A77" zoomScaleNormal="100" zoomScaleSheetLayoutView="100" zoomScalePageLayoutView="85" workbookViewId="0">
      <selection activeCell="C107" sqref="C107"/>
    </sheetView>
  </sheetViews>
  <sheetFormatPr defaultColWidth="9.1796875" defaultRowHeight="15.5" x14ac:dyDescent="0.35"/>
  <cols>
    <col min="1" max="1" width="11.453125" style="38" customWidth="1"/>
    <col min="2" max="2" width="12" style="38" customWidth="1"/>
    <col min="3" max="3" width="12.7265625" style="38" customWidth="1"/>
    <col min="4" max="4" width="14.1796875" style="38" customWidth="1"/>
    <col min="5" max="7" width="11.7265625" style="38" customWidth="1"/>
    <col min="8" max="8" width="19.1796875" style="38" customWidth="1"/>
    <col min="9" max="9" width="17.453125" style="19" customWidth="1"/>
    <col min="10" max="10" width="11.453125" style="19" customWidth="1"/>
    <col min="11" max="11" width="10.54296875" style="19" bestFit="1" customWidth="1"/>
    <col min="12" max="12" width="10.54296875" style="19" customWidth="1"/>
    <col min="13" max="13" width="11.81640625" style="19" customWidth="1"/>
    <col min="14" max="14" width="12.54296875" style="19" customWidth="1"/>
    <col min="15" max="15" width="9.81640625" style="19" customWidth="1"/>
    <col min="16" max="16" width="11.7265625" style="19" customWidth="1"/>
    <col min="17" max="247" width="9.1796875" style="19"/>
    <col min="248" max="248" width="8.7265625" style="19" customWidth="1"/>
    <col min="249" max="249" width="9.81640625" style="19" customWidth="1"/>
    <col min="250" max="250" width="14.453125" style="19" customWidth="1"/>
    <col min="251" max="251" width="7.26953125" style="19" customWidth="1"/>
    <col min="252" max="252" width="5.54296875" style="19" customWidth="1"/>
    <col min="253" max="253" width="9" style="19" customWidth="1"/>
    <col min="254" max="255" width="9.81640625" style="19" customWidth="1"/>
    <col min="256" max="256" width="11.1796875" style="19" customWidth="1"/>
    <col min="257" max="257" width="2.81640625" style="19" customWidth="1"/>
    <col min="258" max="258" width="3.54296875" style="19" customWidth="1"/>
    <col min="259" max="503" width="9.1796875" style="19"/>
    <col min="504" max="504" width="8.7265625" style="19" customWidth="1"/>
    <col min="505" max="505" width="9.81640625" style="19" customWidth="1"/>
    <col min="506" max="506" width="14.453125" style="19" customWidth="1"/>
    <col min="507" max="507" width="7.26953125" style="19" customWidth="1"/>
    <col min="508" max="508" width="5.54296875" style="19" customWidth="1"/>
    <col min="509" max="509" width="9" style="19" customWidth="1"/>
    <col min="510" max="511" width="9.81640625" style="19" customWidth="1"/>
    <col min="512" max="512" width="11.1796875" style="19" customWidth="1"/>
    <col min="513" max="513" width="2.81640625" style="19" customWidth="1"/>
    <col min="514" max="514" width="3.54296875" style="19" customWidth="1"/>
    <col min="515" max="759" width="9.1796875" style="19"/>
    <col min="760" max="760" width="8.7265625" style="19" customWidth="1"/>
    <col min="761" max="761" width="9.81640625" style="19" customWidth="1"/>
    <col min="762" max="762" width="14.453125" style="19" customWidth="1"/>
    <col min="763" max="763" width="7.26953125" style="19" customWidth="1"/>
    <col min="764" max="764" width="5.54296875" style="19" customWidth="1"/>
    <col min="765" max="765" width="9" style="19" customWidth="1"/>
    <col min="766" max="767" width="9.81640625" style="19" customWidth="1"/>
    <col min="768" max="768" width="11.1796875" style="19" customWidth="1"/>
    <col min="769" max="769" width="2.81640625" style="19" customWidth="1"/>
    <col min="770" max="770" width="3.54296875" style="19" customWidth="1"/>
    <col min="771" max="1015" width="9.1796875" style="19"/>
    <col min="1016" max="1016" width="8.7265625" style="19" customWidth="1"/>
    <col min="1017" max="1017" width="9.81640625" style="19" customWidth="1"/>
    <col min="1018" max="1018" width="14.453125" style="19" customWidth="1"/>
    <col min="1019" max="1019" width="7.26953125" style="19" customWidth="1"/>
    <col min="1020" max="1020" width="5.54296875" style="19" customWidth="1"/>
    <col min="1021" max="1021" width="9" style="19" customWidth="1"/>
    <col min="1022" max="1023" width="9.81640625" style="19" customWidth="1"/>
    <col min="1024" max="1024" width="11.1796875" style="19" customWidth="1"/>
    <col min="1025" max="1025" width="2.81640625" style="19" customWidth="1"/>
    <col min="1026" max="1026" width="3.54296875" style="19" customWidth="1"/>
    <col min="1027" max="1271" width="9.1796875" style="19"/>
    <col min="1272" max="1272" width="8.7265625" style="19" customWidth="1"/>
    <col min="1273" max="1273" width="9.81640625" style="19" customWidth="1"/>
    <col min="1274" max="1274" width="14.453125" style="19" customWidth="1"/>
    <col min="1275" max="1275" width="7.26953125" style="19" customWidth="1"/>
    <col min="1276" max="1276" width="5.54296875" style="19" customWidth="1"/>
    <col min="1277" max="1277" width="9" style="19" customWidth="1"/>
    <col min="1278" max="1279" width="9.81640625" style="19" customWidth="1"/>
    <col min="1280" max="1280" width="11.1796875" style="19" customWidth="1"/>
    <col min="1281" max="1281" width="2.81640625" style="19" customWidth="1"/>
    <col min="1282" max="1282" width="3.54296875" style="19" customWidth="1"/>
    <col min="1283" max="1527" width="9.1796875" style="19"/>
    <col min="1528" max="1528" width="8.7265625" style="19" customWidth="1"/>
    <col min="1529" max="1529" width="9.81640625" style="19" customWidth="1"/>
    <col min="1530" max="1530" width="14.453125" style="19" customWidth="1"/>
    <col min="1531" max="1531" width="7.26953125" style="19" customWidth="1"/>
    <col min="1532" max="1532" width="5.54296875" style="19" customWidth="1"/>
    <col min="1533" max="1533" width="9" style="19" customWidth="1"/>
    <col min="1534" max="1535" width="9.81640625" style="19" customWidth="1"/>
    <col min="1536" max="1536" width="11.1796875" style="19" customWidth="1"/>
    <col min="1537" max="1537" width="2.81640625" style="19" customWidth="1"/>
    <col min="1538" max="1538" width="3.54296875" style="19" customWidth="1"/>
    <col min="1539" max="1783" width="9.1796875" style="19"/>
    <col min="1784" max="1784" width="8.7265625" style="19" customWidth="1"/>
    <col min="1785" max="1785" width="9.81640625" style="19" customWidth="1"/>
    <col min="1786" max="1786" width="14.453125" style="19" customWidth="1"/>
    <col min="1787" max="1787" width="7.26953125" style="19" customWidth="1"/>
    <col min="1788" max="1788" width="5.54296875" style="19" customWidth="1"/>
    <col min="1789" max="1789" width="9" style="19" customWidth="1"/>
    <col min="1790" max="1791" width="9.81640625" style="19" customWidth="1"/>
    <col min="1792" max="1792" width="11.1796875" style="19" customWidth="1"/>
    <col min="1793" max="1793" width="2.81640625" style="19" customWidth="1"/>
    <col min="1794" max="1794" width="3.54296875" style="19" customWidth="1"/>
    <col min="1795" max="2039" width="9.1796875" style="19"/>
    <col min="2040" max="2040" width="8.7265625" style="19" customWidth="1"/>
    <col min="2041" max="2041" width="9.81640625" style="19" customWidth="1"/>
    <col min="2042" max="2042" width="14.453125" style="19" customWidth="1"/>
    <col min="2043" max="2043" width="7.26953125" style="19" customWidth="1"/>
    <col min="2044" max="2044" width="5.54296875" style="19" customWidth="1"/>
    <col min="2045" max="2045" width="9" style="19" customWidth="1"/>
    <col min="2046" max="2047" width="9.81640625" style="19" customWidth="1"/>
    <col min="2048" max="2048" width="11.1796875" style="19" customWidth="1"/>
    <col min="2049" max="2049" width="2.81640625" style="19" customWidth="1"/>
    <col min="2050" max="2050" width="3.54296875" style="19" customWidth="1"/>
    <col min="2051" max="2295" width="9.1796875" style="19"/>
    <col min="2296" max="2296" width="8.7265625" style="19" customWidth="1"/>
    <col min="2297" max="2297" width="9.81640625" style="19" customWidth="1"/>
    <col min="2298" max="2298" width="14.453125" style="19" customWidth="1"/>
    <col min="2299" max="2299" width="7.26953125" style="19" customWidth="1"/>
    <col min="2300" max="2300" width="5.54296875" style="19" customWidth="1"/>
    <col min="2301" max="2301" width="9" style="19" customWidth="1"/>
    <col min="2302" max="2303" width="9.81640625" style="19" customWidth="1"/>
    <col min="2304" max="2304" width="11.1796875" style="19" customWidth="1"/>
    <col min="2305" max="2305" width="2.81640625" style="19" customWidth="1"/>
    <col min="2306" max="2306" width="3.54296875" style="19" customWidth="1"/>
    <col min="2307" max="2551" width="9.1796875" style="19"/>
    <col min="2552" max="2552" width="8.7265625" style="19" customWidth="1"/>
    <col min="2553" max="2553" width="9.81640625" style="19" customWidth="1"/>
    <col min="2554" max="2554" width="14.453125" style="19" customWidth="1"/>
    <col min="2555" max="2555" width="7.26953125" style="19" customWidth="1"/>
    <col min="2556" max="2556" width="5.54296875" style="19" customWidth="1"/>
    <col min="2557" max="2557" width="9" style="19" customWidth="1"/>
    <col min="2558" max="2559" width="9.81640625" style="19" customWidth="1"/>
    <col min="2560" max="2560" width="11.1796875" style="19" customWidth="1"/>
    <col min="2561" max="2561" width="2.81640625" style="19" customWidth="1"/>
    <col min="2562" max="2562" width="3.54296875" style="19" customWidth="1"/>
    <col min="2563" max="2807" width="9.1796875" style="19"/>
    <col min="2808" max="2808" width="8.7265625" style="19" customWidth="1"/>
    <col min="2809" max="2809" width="9.81640625" style="19" customWidth="1"/>
    <col min="2810" max="2810" width="14.453125" style="19" customWidth="1"/>
    <col min="2811" max="2811" width="7.26953125" style="19" customWidth="1"/>
    <col min="2812" max="2812" width="5.54296875" style="19" customWidth="1"/>
    <col min="2813" max="2813" width="9" style="19" customWidth="1"/>
    <col min="2814" max="2815" width="9.81640625" style="19" customWidth="1"/>
    <col min="2816" max="2816" width="11.1796875" style="19" customWidth="1"/>
    <col min="2817" max="2817" width="2.81640625" style="19" customWidth="1"/>
    <col min="2818" max="2818" width="3.54296875" style="19" customWidth="1"/>
    <col min="2819" max="3063" width="9.1796875" style="19"/>
    <col min="3064" max="3064" width="8.7265625" style="19" customWidth="1"/>
    <col min="3065" max="3065" width="9.81640625" style="19" customWidth="1"/>
    <col min="3066" max="3066" width="14.453125" style="19" customWidth="1"/>
    <col min="3067" max="3067" width="7.26953125" style="19" customWidth="1"/>
    <col min="3068" max="3068" width="5.54296875" style="19" customWidth="1"/>
    <col min="3069" max="3069" width="9" style="19" customWidth="1"/>
    <col min="3070" max="3071" width="9.81640625" style="19" customWidth="1"/>
    <col min="3072" max="3072" width="11.1796875" style="19" customWidth="1"/>
    <col min="3073" max="3073" width="2.81640625" style="19" customWidth="1"/>
    <col min="3074" max="3074" width="3.54296875" style="19" customWidth="1"/>
    <col min="3075" max="3319" width="9.1796875" style="19"/>
    <col min="3320" max="3320" width="8.7265625" style="19" customWidth="1"/>
    <col min="3321" max="3321" width="9.81640625" style="19" customWidth="1"/>
    <col min="3322" max="3322" width="14.453125" style="19" customWidth="1"/>
    <col min="3323" max="3323" width="7.26953125" style="19" customWidth="1"/>
    <col min="3324" max="3324" width="5.54296875" style="19" customWidth="1"/>
    <col min="3325" max="3325" width="9" style="19" customWidth="1"/>
    <col min="3326" max="3327" width="9.81640625" style="19" customWidth="1"/>
    <col min="3328" max="3328" width="11.1796875" style="19" customWidth="1"/>
    <col min="3329" max="3329" width="2.81640625" style="19" customWidth="1"/>
    <col min="3330" max="3330" width="3.54296875" style="19" customWidth="1"/>
    <col min="3331" max="3575" width="9.1796875" style="19"/>
    <col min="3576" max="3576" width="8.7265625" style="19" customWidth="1"/>
    <col min="3577" max="3577" width="9.81640625" style="19" customWidth="1"/>
    <col min="3578" max="3578" width="14.453125" style="19" customWidth="1"/>
    <col min="3579" max="3579" width="7.26953125" style="19" customWidth="1"/>
    <col min="3580" max="3580" width="5.54296875" style="19" customWidth="1"/>
    <col min="3581" max="3581" width="9" style="19" customWidth="1"/>
    <col min="3582" max="3583" width="9.81640625" style="19" customWidth="1"/>
    <col min="3584" max="3584" width="11.1796875" style="19" customWidth="1"/>
    <col min="3585" max="3585" width="2.81640625" style="19" customWidth="1"/>
    <col min="3586" max="3586" width="3.54296875" style="19" customWidth="1"/>
    <col min="3587" max="3831" width="9.1796875" style="19"/>
    <col min="3832" max="3832" width="8.7265625" style="19" customWidth="1"/>
    <col min="3833" max="3833" width="9.81640625" style="19" customWidth="1"/>
    <col min="3834" max="3834" width="14.453125" style="19" customWidth="1"/>
    <col min="3835" max="3835" width="7.26953125" style="19" customWidth="1"/>
    <col min="3836" max="3836" width="5.54296875" style="19" customWidth="1"/>
    <col min="3837" max="3837" width="9" style="19" customWidth="1"/>
    <col min="3838" max="3839" width="9.81640625" style="19" customWidth="1"/>
    <col min="3840" max="3840" width="11.1796875" style="19" customWidth="1"/>
    <col min="3841" max="3841" width="2.81640625" style="19" customWidth="1"/>
    <col min="3842" max="3842" width="3.54296875" style="19" customWidth="1"/>
    <col min="3843" max="4087" width="9.1796875" style="19"/>
    <col min="4088" max="4088" width="8.7265625" style="19" customWidth="1"/>
    <col min="4089" max="4089" width="9.81640625" style="19" customWidth="1"/>
    <col min="4090" max="4090" width="14.453125" style="19" customWidth="1"/>
    <col min="4091" max="4091" width="7.26953125" style="19" customWidth="1"/>
    <col min="4092" max="4092" width="5.54296875" style="19" customWidth="1"/>
    <col min="4093" max="4093" width="9" style="19" customWidth="1"/>
    <col min="4094" max="4095" width="9.81640625" style="19" customWidth="1"/>
    <col min="4096" max="4096" width="11.1796875" style="19" customWidth="1"/>
    <col min="4097" max="4097" width="2.81640625" style="19" customWidth="1"/>
    <col min="4098" max="4098" width="3.54296875" style="19" customWidth="1"/>
    <col min="4099" max="4343" width="9.1796875" style="19"/>
    <col min="4344" max="4344" width="8.7265625" style="19" customWidth="1"/>
    <col min="4345" max="4345" width="9.81640625" style="19" customWidth="1"/>
    <col min="4346" max="4346" width="14.453125" style="19" customWidth="1"/>
    <col min="4347" max="4347" width="7.26953125" style="19" customWidth="1"/>
    <col min="4348" max="4348" width="5.54296875" style="19" customWidth="1"/>
    <col min="4349" max="4349" width="9" style="19" customWidth="1"/>
    <col min="4350" max="4351" width="9.81640625" style="19" customWidth="1"/>
    <col min="4352" max="4352" width="11.1796875" style="19" customWidth="1"/>
    <col min="4353" max="4353" width="2.81640625" style="19" customWidth="1"/>
    <col min="4354" max="4354" width="3.54296875" style="19" customWidth="1"/>
    <col min="4355" max="4599" width="9.1796875" style="19"/>
    <col min="4600" max="4600" width="8.7265625" style="19" customWidth="1"/>
    <col min="4601" max="4601" width="9.81640625" style="19" customWidth="1"/>
    <col min="4602" max="4602" width="14.453125" style="19" customWidth="1"/>
    <col min="4603" max="4603" width="7.26953125" style="19" customWidth="1"/>
    <col min="4604" max="4604" width="5.54296875" style="19" customWidth="1"/>
    <col min="4605" max="4605" width="9" style="19" customWidth="1"/>
    <col min="4606" max="4607" width="9.81640625" style="19" customWidth="1"/>
    <col min="4608" max="4608" width="11.1796875" style="19" customWidth="1"/>
    <col min="4609" max="4609" width="2.81640625" style="19" customWidth="1"/>
    <col min="4610" max="4610" width="3.54296875" style="19" customWidth="1"/>
    <col min="4611" max="4855" width="9.1796875" style="19"/>
    <col min="4856" max="4856" width="8.7265625" style="19" customWidth="1"/>
    <col min="4857" max="4857" width="9.81640625" style="19" customWidth="1"/>
    <col min="4858" max="4858" width="14.453125" style="19" customWidth="1"/>
    <col min="4859" max="4859" width="7.26953125" style="19" customWidth="1"/>
    <col min="4860" max="4860" width="5.54296875" style="19" customWidth="1"/>
    <col min="4861" max="4861" width="9" style="19" customWidth="1"/>
    <col min="4862" max="4863" width="9.81640625" style="19" customWidth="1"/>
    <col min="4864" max="4864" width="11.1796875" style="19" customWidth="1"/>
    <col min="4865" max="4865" width="2.81640625" style="19" customWidth="1"/>
    <col min="4866" max="4866" width="3.54296875" style="19" customWidth="1"/>
    <col min="4867" max="5111" width="9.1796875" style="19"/>
    <col min="5112" max="5112" width="8.7265625" style="19" customWidth="1"/>
    <col min="5113" max="5113" width="9.81640625" style="19" customWidth="1"/>
    <col min="5114" max="5114" width="14.453125" style="19" customWidth="1"/>
    <col min="5115" max="5115" width="7.26953125" style="19" customWidth="1"/>
    <col min="5116" max="5116" width="5.54296875" style="19" customWidth="1"/>
    <col min="5117" max="5117" width="9" style="19" customWidth="1"/>
    <col min="5118" max="5119" width="9.81640625" style="19" customWidth="1"/>
    <col min="5120" max="5120" width="11.1796875" style="19" customWidth="1"/>
    <col min="5121" max="5121" width="2.81640625" style="19" customWidth="1"/>
    <col min="5122" max="5122" width="3.54296875" style="19" customWidth="1"/>
    <col min="5123" max="5367" width="9.1796875" style="19"/>
    <col min="5368" max="5368" width="8.7265625" style="19" customWidth="1"/>
    <col min="5369" max="5369" width="9.81640625" style="19" customWidth="1"/>
    <col min="5370" max="5370" width="14.453125" style="19" customWidth="1"/>
    <col min="5371" max="5371" width="7.26953125" style="19" customWidth="1"/>
    <col min="5372" max="5372" width="5.54296875" style="19" customWidth="1"/>
    <col min="5373" max="5373" width="9" style="19" customWidth="1"/>
    <col min="5374" max="5375" width="9.81640625" style="19" customWidth="1"/>
    <col min="5376" max="5376" width="11.1796875" style="19" customWidth="1"/>
    <col min="5377" max="5377" width="2.81640625" style="19" customWidth="1"/>
    <col min="5378" max="5378" width="3.54296875" style="19" customWidth="1"/>
    <col min="5379" max="5623" width="9.1796875" style="19"/>
    <col min="5624" max="5624" width="8.7265625" style="19" customWidth="1"/>
    <col min="5625" max="5625" width="9.81640625" style="19" customWidth="1"/>
    <col min="5626" max="5626" width="14.453125" style="19" customWidth="1"/>
    <col min="5627" max="5627" width="7.26953125" style="19" customWidth="1"/>
    <col min="5628" max="5628" width="5.54296875" style="19" customWidth="1"/>
    <col min="5629" max="5629" width="9" style="19" customWidth="1"/>
    <col min="5630" max="5631" width="9.81640625" style="19" customWidth="1"/>
    <col min="5632" max="5632" width="11.1796875" style="19" customWidth="1"/>
    <col min="5633" max="5633" width="2.81640625" style="19" customWidth="1"/>
    <col min="5634" max="5634" width="3.54296875" style="19" customWidth="1"/>
    <col min="5635" max="5879" width="9.1796875" style="19"/>
    <col min="5880" max="5880" width="8.7265625" style="19" customWidth="1"/>
    <col min="5881" max="5881" width="9.81640625" style="19" customWidth="1"/>
    <col min="5882" max="5882" width="14.453125" style="19" customWidth="1"/>
    <col min="5883" max="5883" width="7.26953125" style="19" customWidth="1"/>
    <col min="5884" max="5884" width="5.54296875" style="19" customWidth="1"/>
    <col min="5885" max="5885" width="9" style="19" customWidth="1"/>
    <col min="5886" max="5887" width="9.81640625" style="19" customWidth="1"/>
    <col min="5888" max="5888" width="11.1796875" style="19" customWidth="1"/>
    <col min="5889" max="5889" width="2.81640625" style="19" customWidth="1"/>
    <col min="5890" max="5890" width="3.54296875" style="19" customWidth="1"/>
    <col min="5891" max="6135" width="9.1796875" style="19"/>
    <col min="6136" max="6136" width="8.7265625" style="19" customWidth="1"/>
    <col min="6137" max="6137" width="9.81640625" style="19" customWidth="1"/>
    <col min="6138" max="6138" width="14.453125" style="19" customWidth="1"/>
    <col min="6139" max="6139" width="7.26953125" style="19" customWidth="1"/>
    <col min="6140" max="6140" width="5.54296875" style="19" customWidth="1"/>
    <col min="6141" max="6141" width="9" style="19" customWidth="1"/>
    <col min="6142" max="6143" width="9.81640625" style="19" customWidth="1"/>
    <col min="6144" max="6144" width="11.1796875" style="19" customWidth="1"/>
    <col min="6145" max="6145" width="2.81640625" style="19" customWidth="1"/>
    <col min="6146" max="6146" width="3.54296875" style="19" customWidth="1"/>
    <col min="6147" max="6391" width="9.1796875" style="19"/>
    <col min="6392" max="6392" width="8.7265625" style="19" customWidth="1"/>
    <col min="6393" max="6393" width="9.81640625" style="19" customWidth="1"/>
    <col min="6394" max="6394" width="14.453125" style="19" customWidth="1"/>
    <col min="6395" max="6395" width="7.26953125" style="19" customWidth="1"/>
    <col min="6396" max="6396" width="5.54296875" style="19" customWidth="1"/>
    <col min="6397" max="6397" width="9" style="19" customWidth="1"/>
    <col min="6398" max="6399" width="9.81640625" style="19" customWidth="1"/>
    <col min="6400" max="6400" width="11.1796875" style="19" customWidth="1"/>
    <col min="6401" max="6401" width="2.81640625" style="19" customWidth="1"/>
    <col min="6402" max="6402" width="3.54296875" style="19" customWidth="1"/>
    <col min="6403" max="6647" width="9.1796875" style="19"/>
    <col min="6648" max="6648" width="8.7265625" style="19" customWidth="1"/>
    <col min="6649" max="6649" width="9.81640625" style="19" customWidth="1"/>
    <col min="6650" max="6650" width="14.453125" style="19" customWidth="1"/>
    <col min="6651" max="6651" width="7.26953125" style="19" customWidth="1"/>
    <col min="6652" max="6652" width="5.54296875" style="19" customWidth="1"/>
    <col min="6653" max="6653" width="9" style="19" customWidth="1"/>
    <col min="6654" max="6655" width="9.81640625" style="19" customWidth="1"/>
    <col min="6656" max="6656" width="11.1796875" style="19" customWidth="1"/>
    <col min="6657" max="6657" width="2.81640625" style="19" customWidth="1"/>
    <col min="6658" max="6658" width="3.54296875" style="19" customWidth="1"/>
    <col min="6659" max="6903" width="9.1796875" style="19"/>
    <col min="6904" max="6904" width="8.7265625" style="19" customWidth="1"/>
    <col min="6905" max="6905" width="9.81640625" style="19" customWidth="1"/>
    <col min="6906" max="6906" width="14.453125" style="19" customWidth="1"/>
    <col min="6907" max="6907" width="7.26953125" style="19" customWidth="1"/>
    <col min="6908" max="6908" width="5.54296875" style="19" customWidth="1"/>
    <col min="6909" max="6909" width="9" style="19" customWidth="1"/>
    <col min="6910" max="6911" width="9.81640625" style="19" customWidth="1"/>
    <col min="6912" max="6912" width="11.1796875" style="19" customWidth="1"/>
    <col min="6913" max="6913" width="2.81640625" style="19" customWidth="1"/>
    <col min="6914" max="6914" width="3.54296875" style="19" customWidth="1"/>
    <col min="6915" max="7159" width="9.1796875" style="19"/>
    <col min="7160" max="7160" width="8.7265625" style="19" customWidth="1"/>
    <col min="7161" max="7161" width="9.81640625" style="19" customWidth="1"/>
    <col min="7162" max="7162" width="14.453125" style="19" customWidth="1"/>
    <col min="7163" max="7163" width="7.26953125" style="19" customWidth="1"/>
    <col min="7164" max="7164" width="5.54296875" style="19" customWidth="1"/>
    <col min="7165" max="7165" width="9" style="19" customWidth="1"/>
    <col min="7166" max="7167" width="9.81640625" style="19" customWidth="1"/>
    <col min="7168" max="7168" width="11.1796875" style="19" customWidth="1"/>
    <col min="7169" max="7169" width="2.81640625" style="19" customWidth="1"/>
    <col min="7170" max="7170" width="3.54296875" style="19" customWidth="1"/>
    <col min="7171" max="7415" width="9.1796875" style="19"/>
    <col min="7416" max="7416" width="8.7265625" style="19" customWidth="1"/>
    <col min="7417" max="7417" width="9.81640625" style="19" customWidth="1"/>
    <col min="7418" max="7418" width="14.453125" style="19" customWidth="1"/>
    <col min="7419" max="7419" width="7.26953125" style="19" customWidth="1"/>
    <col min="7420" max="7420" width="5.54296875" style="19" customWidth="1"/>
    <col min="7421" max="7421" width="9" style="19" customWidth="1"/>
    <col min="7422" max="7423" width="9.81640625" style="19" customWidth="1"/>
    <col min="7424" max="7424" width="11.1796875" style="19" customWidth="1"/>
    <col min="7425" max="7425" width="2.81640625" style="19" customWidth="1"/>
    <col min="7426" max="7426" width="3.54296875" style="19" customWidth="1"/>
    <col min="7427" max="7671" width="9.1796875" style="19"/>
    <col min="7672" max="7672" width="8.7265625" style="19" customWidth="1"/>
    <col min="7673" max="7673" width="9.81640625" style="19" customWidth="1"/>
    <col min="7674" max="7674" width="14.453125" style="19" customWidth="1"/>
    <col min="7675" max="7675" width="7.26953125" style="19" customWidth="1"/>
    <col min="7676" max="7676" width="5.54296875" style="19" customWidth="1"/>
    <col min="7677" max="7677" width="9" style="19" customWidth="1"/>
    <col min="7678" max="7679" width="9.81640625" style="19" customWidth="1"/>
    <col min="7680" max="7680" width="11.1796875" style="19" customWidth="1"/>
    <col min="7681" max="7681" width="2.81640625" style="19" customWidth="1"/>
    <col min="7682" max="7682" width="3.54296875" style="19" customWidth="1"/>
    <col min="7683" max="7927" width="9.1796875" style="19"/>
    <col min="7928" max="7928" width="8.7265625" style="19" customWidth="1"/>
    <col min="7929" max="7929" width="9.81640625" style="19" customWidth="1"/>
    <col min="7930" max="7930" width="14.453125" style="19" customWidth="1"/>
    <col min="7931" max="7931" width="7.26953125" style="19" customWidth="1"/>
    <col min="7932" max="7932" width="5.54296875" style="19" customWidth="1"/>
    <col min="7933" max="7933" width="9" style="19" customWidth="1"/>
    <col min="7934" max="7935" width="9.81640625" style="19" customWidth="1"/>
    <col min="7936" max="7936" width="11.1796875" style="19" customWidth="1"/>
    <col min="7937" max="7937" width="2.81640625" style="19" customWidth="1"/>
    <col min="7938" max="7938" width="3.54296875" style="19" customWidth="1"/>
    <col min="7939" max="8183" width="9.1796875" style="19"/>
    <col min="8184" max="8184" width="8.7265625" style="19" customWidth="1"/>
    <col min="8185" max="8185" width="9.81640625" style="19" customWidth="1"/>
    <col min="8186" max="8186" width="14.453125" style="19" customWidth="1"/>
    <col min="8187" max="8187" width="7.26953125" style="19" customWidth="1"/>
    <col min="8188" max="8188" width="5.54296875" style="19" customWidth="1"/>
    <col min="8189" max="8189" width="9" style="19" customWidth="1"/>
    <col min="8190" max="8191" width="9.81640625" style="19" customWidth="1"/>
    <col min="8192" max="8192" width="11.1796875" style="19" customWidth="1"/>
    <col min="8193" max="8193" width="2.81640625" style="19" customWidth="1"/>
    <col min="8194" max="8194" width="3.54296875" style="19" customWidth="1"/>
    <col min="8195" max="8439" width="9.1796875" style="19"/>
    <col min="8440" max="8440" width="8.7265625" style="19" customWidth="1"/>
    <col min="8441" max="8441" width="9.81640625" style="19" customWidth="1"/>
    <col min="8442" max="8442" width="14.453125" style="19" customWidth="1"/>
    <col min="8443" max="8443" width="7.26953125" style="19" customWidth="1"/>
    <col min="8444" max="8444" width="5.54296875" style="19" customWidth="1"/>
    <col min="8445" max="8445" width="9" style="19" customWidth="1"/>
    <col min="8446" max="8447" width="9.81640625" style="19" customWidth="1"/>
    <col min="8448" max="8448" width="11.1796875" style="19" customWidth="1"/>
    <col min="8449" max="8449" width="2.81640625" style="19" customWidth="1"/>
    <col min="8450" max="8450" width="3.54296875" style="19" customWidth="1"/>
    <col min="8451" max="8695" width="9.1796875" style="19"/>
    <col min="8696" max="8696" width="8.7265625" style="19" customWidth="1"/>
    <col min="8697" max="8697" width="9.81640625" style="19" customWidth="1"/>
    <col min="8698" max="8698" width="14.453125" style="19" customWidth="1"/>
    <col min="8699" max="8699" width="7.26953125" style="19" customWidth="1"/>
    <col min="8700" max="8700" width="5.54296875" style="19" customWidth="1"/>
    <col min="8701" max="8701" width="9" style="19" customWidth="1"/>
    <col min="8702" max="8703" width="9.81640625" style="19" customWidth="1"/>
    <col min="8704" max="8704" width="11.1796875" style="19" customWidth="1"/>
    <col min="8705" max="8705" width="2.81640625" style="19" customWidth="1"/>
    <col min="8706" max="8706" width="3.54296875" style="19" customWidth="1"/>
    <col min="8707" max="8951" width="9.1796875" style="19"/>
    <col min="8952" max="8952" width="8.7265625" style="19" customWidth="1"/>
    <col min="8953" max="8953" width="9.81640625" style="19" customWidth="1"/>
    <col min="8954" max="8954" width="14.453125" style="19" customWidth="1"/>
    <col min="8955" max="8955" width="7.26953125" style="19" customWidth="1"/>
    <col min="8956" max="8956" width="5.54296875" style="19" customWidth="1"/>
    <col min="8957" max="8957" width="9" style="19" customWidth="1"/>
    <col min="8958" max="8959" width="9.81640625" style="19" customWidth="1"/>
    <col min="8960" max="8960" width="11.1796875" style="19" customWidth="1"/>
    <col min="8961" max="8961" width="2.81640625" style="19" customWidth="1"/>
    <col min="8962" max="8962" width="3.54296875" style="19" customWidth="1"/>
    <col min="8963" max="9207" width="9.1796875" style="19"/>
    <col min="9208" max="9208" width="8.7265625" style="19" customWidth="1"/>
    <col min="9209" max="9209" width="9.81640625" style="19" customWidth="1"/>
    <col min="9210" max="9210" width="14.453125" style="19" customWidth="1"/>
    <col min="9211" max="9211" width="7.26953125" style="19" customWidth="1"/>
    <col min="9212" max="9212" width="5.54296875" style="19" customWidth="1"/>
    <col min="9213" max="9213" width="9" style="19" customWidth="1"/>
    <col min="9214" max="9215" width="9.81640625" style="19" customWidth="1"/>
    <col min="9216" max="9216" width="11.1796875" style="19" customWidth="1"/>
    <col min="9217" max="9217" width="2.81640625" style="19" customWidth="1"/>
    <col min="9218" max="9218" width="3.54296875" style="19" customWidth="1"/>
    <col min="9219" max="9463" width="9.1796875" style="19"/>
    <col min="9464" max="9464" width="8.7265625" style="19" customWidth="1"/>
    <col min="9465" max="9465" width="9.81640625" style="19" customWidth="1"/>
    <col min="9466" max="9466" width="14.453125" style="19" customWidth="1"/>
    <col min="9467" max="9467" width="7.26953125" style="19" customWidth="1"/>
    <col min="9468" max="9468" width="5.54296875" style="19" customWidth="1"/>
    <col min="9469" max="9469" width="9" style="19" customWidth="1"/>
    <col min="9470" max="9471" width="9.81640625" style="19" customWidth="1"/>
    <col min="9472" max="9472" width="11.1796875" style="19" customWidth="1"/>
    <col min="9473" max="9473" width="2.81640625" style="19" customWidth="1"/>
    <col min="9474" max="9474" width="3.54296875" style="19" customWidth="1"/>
    <col min="9475" max="9719" width="9.1796875" style="19"/>
    <col min="9720" max="9720" width="8.7265625" style="19" customWidth="1"/>
    <col min="9721" max="9721" width="9.81640625" style="19" customWidth="1"/>
    <col min="9722" max="9722" width="14.453125" style="19" customWidth="1"/>
    <col min="9723" max="9723" width="7.26953125" style="19" customWidth="1"/>
    <col min="9724" max="9724" width="5.54296875" style="19" customWidth="1"/>
    <col min="9725" max="9725" width="9" style="19" customWidth="1"/>
    <col min="9726" max="9727" width="9.81640625" style="19" customWidth="1"/>
    <col min="9728" max="9728" width="11.1796875" style="19" customWidth="1"/>
    <col min="9729" max="9729" width="2.81640625" style="19" customWidth="1"/>
    <col min="9730" max="9730" width="3.54296875" style="19" customWidth="1"/>
    <col min="9731" max="9975" width="9.1796875" style="19"/>
    <col min="9976" max="9976" width="8.7265625" style="19" customWidth="1"/>
    <col min="9977" max="9977" width="9.81640625" style="19" customWidth="1"/>
    <col min="9978" max="9978" width="14.453125" style="19" customWidth="1"/>
    <col min="9979" max="9979" width="7.26953125" style="19" customWidth="1"/>
    <col min="9980" max="9980" width="5.54296875" style="19" customWidth="1"/>
    <col min="9981" max="9981" width="9" style="19" customWidth="1"/>
    <col min="9982" max="9983" width="9.81640625" style="19" customWidth="1"/>
    <col min="9984" max="9984" width="11.1796875" style="19" customWidth="1"/>
    <col min="9985" max="9985" width="2.81640625" style="19" customWidth="1"/>
    <col min="9986" max="9986" width="3.54296875" style="19" customWidth="1"/>
    <col min="9987" max="10231" width="9.1796875" style="19"/>
    <col min="10232" max="10232" width="8.7265625" style="19" customWidth="1"/>
    <col min="10233" max="10233" width="9.81640625" style="19" customWidth="1"/>
    <col min="10234" max="10234" width="14.453125" style="19" customWidth="1"/>
    <col min="10235" max="10235" width="7.26953125" style="19" customWidth="1"/>
    <col min="10236" max="10236" width="5.54296875" style="19" customWidth="1"/>
    <col min="10237" max="10237" width="9" style="19" customWidth="1"/>
    <col min="10238" max="10239" width="9.81640625" style="19" customWidth="1"/>
    <col min="10240" max="10240" width="11.1796875" style="19" customWidth="1"/>
    <col min="10241" max="10241" width="2.81640625" style="19" customWidth="1"/>
    <col min="10242" max="10242" width="3.54296875" style="19" customWidth="1"/>
    <col min="10243" max="10487" width="9.1796875" style="19"/>
    <col min="10488" max="10488" width="8.7265625" style="19" customWidth="1"/>
    <col min="10489" max="10489" width="9.81640625" style="19" customWidth="1"/>
    <col min="10490" max="10490" width="14.453125" style="19" customWidth="1"/>
    <col min="10491" max="10491" width="7.26953125" style="19" customWidth="1"/>
    <col min="10492" max="10492" width="5.54296875" style="19" customWidth="1"/>
    <col min="10493" max="10493" width="9" style="19" customWidth="1"/>
    <col min="10494" max="10495" width="9.81640625" style="19" customWidth="1"/>
    <col min="10496" max="10496" width="11.1796875" style="19" customWidth="1"/>
    <col min="10497" max="10497" width="2.81640625" style="19" customWidth="1"/>
    <col min="10498" max="10498" width="3.54296875" style="19" customWidth="1"/>
    <col min="10499" max="10743" width="9.1796875" style="19"/>
    <col min="10744" max="10744" width="8.7265625" style="19" customWidth="1"/>
    <col min="10745" max="10745" width="9.81640625" style="19" customWidth="1"/>
    <col min="10746" max="10746" width="14.453125" style="19" customWidth="1"/>
    <col min="10747" max="10747" width="7.26953125" style="19" customWidth="1"/>
    <col min="10748" max="10748" width="5.54296875" style="19" customWidth="1"/>
    <col min="10749" max="10749" width="9" style="19" customWidth="1"/>
    <col min="10750" max="10751" width="9.81640625" style="19" customWidth="1"/>
    <col min="10752" max="10752" width="11.1796875" style="19" customWidth="1"/>
    <col min="10753" max="10753" width="2.81640625" style="19" customWidth="1"/>
    <col min="10754" max="10754" width="3.54296875" style="19" customWidth="1"/>
    <col min="10755" max="10999" width="9.1796875" style="19"/>
    <col min="11000" max="11000" width="8.7265625" style="19" customWidth="1"/>
    <col min="11001" max="11001" width="9.81640625" style="19" customWidth="1"/>
    <col min="11002" max="11002" width="14.453125" style="19" customWidth="1"/>
    <col min="11003" max="11003" width="7.26953125" style="19" customWidth="1"/>
    <col min="11004" max="11004" width="5.54296875" style="19" customWidth="1"/>
    <col min="11005" max="11005" width="9" style="19" customWidth="1"/>
    <col min="11006" max="11007" width="9.81640625" style="19" customWidth="1"/>
    <col min="11008" max="11008" width="11.1796875" style="19" customWidth="1"/>
    <col min="11009" max="11009" width="2.81640625" style="19" customWidth="1"/>
    <col min="11010" max="11010" width="3.54296875" style="19" customWidth="1"/>
    <col min="11011" max="11255" width="9.1796875" style="19"/>
    <col min="11256" max="11256" width="8.7265625" style="19" customWidth="1"/>
    <col min="11257" max="11257" width="9.81640625" style="19" customWidth="1"/>
    <col min="11258" max="11258" width="14.453125" style="19" customWidth="1"/>
    <col min="11259" max="11259" width="7.26953125" style="19" customWidth="1"/>
    <col min="11260" max="11260" width="5.54296875" style="19" customWidth="1"/>
    <col min="11261" max="11261" width="9" style="19" customWidth="1"/>
    <col min="11262" max="11263" width="9.81640625" style="19" customWidth="1"/>
    <col min="11264" max="11264" width="11.1796875" style="19" customWidth="1"/>
    <col min="11265" max="11265" width="2.81640625" style="19" customWidth="1"/>
    <col min="11266" max="11266" width="3.54296875" style="19" customWidth="1"/>
    <col min="11267" max="11511" width="9.1796875" style="19"/>
    <col min="11512" max="11512" width="8.7265625" style="19" customWidth="1"/>
    <col min="11513" max="11513" width="9.81640625" style="19" customWidth="1"/>
    <col min="11514" max="11514" width="14.453125" style="19" customWidth="1"/>
    <col min="11515" max="11515" width="7.26953125" style="19" customWidth="1"/>
    <col min="11516" max="11516" width="5.54296875" style="19" customWidth="1"/>
    <col min="11517" max="11517" width="9" style="19" customWidth="1"/>
    <col min="11518" max="11519" width="9.81640625" style="19" customWidth="1"/>
    <col min="11520" max="11520" width="11.1796875" style="19" customWidth="1"/>
    <col min="11521" max="11521" width="2.81640625" style="19" customWidth="1"/>
    <col min="11522" max="11522" width="3.54296875" style="19" customWidth="1"/>
    <col min="11523" max="11767" width="9.1796875" style="19"/>
    <col min="11768" max="11768" width="8.7265625" style="19" customWidth="1"/>
    <col min="11769" max="11769" width="9.81640625" style="19" customWidth="1"/>
    <col min="11770" max="11770" width="14.453125" style="19" customWidth="1"/>
    <col min="11771" max="11771" width="7.26953125" style="19" customWidth="1"/>
    <col min="11772" max="11772" width="5.54296875" style="19" customWidth="1"/>
    <col min="11773" max="11773" width="9" style="19" customWidth="1"/>
    <col min="11774" max="11775" width="9.81640625" style="19" customWidth="1"/>
    <col min="11776" max="11776" width="11.1796875" style="19" customWidth="1"/>
    <col min="11777" max="11777" width="2.81640625" style="19" customWidth="1"/>
    <col min="11778" max="11778" width="3.54296875" style="19" customWidth="1"/>
    <col min="11779" max="12023" width="9.1796875" style="19"/>
    <col min="12024" max="12024" width="8.7265625" style="19" customWidth="1"/>
    <col min="12025" max="12025" width="9.81640625" style="19" customWidth="1"/>
    <col min="12026" max="12026" width="14.453125" style="19" customWidth="1"/>
    <col min="12027" max="12027" width="7.26953125" style="19" customWidth="1"/>
    <col min="12028" max="12028" width="5.54296875" style="19" customWidth="1"/>
    <col min="12029" max="12029" width="9" style="19" customWidth="1"/>
    <col min="12030" max="12031" width="9.81640625" style="19" customWidth="1"/>
    <col min="12032" max="12032" width="11.1796875" style="19" customWidth="1"/>
    <col min="12033" max="12033" width="2.81640625" style="19" customWidth="1"/>
    <col min="12034" max="12034" width="3.54296875" style="19" customWidth="1"/>
    <col min="12035" max="12279" width="9.1796875" style="19"/>
    <col min="12280" max="12280" width="8.7265625" style="19" customWidth="1"/>
    <col min="12281" max="12281" width="9.81640625" style="19" customWidth="1"/>
    <col min="12282" max="12282" width="14.453125" style="19" customWidth="1"/>
    <col min="12283" max="12283" width="7.26953125" style="19" customWidth="1"/>
    <col min="12284" max="12284" width="5.54296875" style="19" customWidth="1"/>
    <col min="12285" max="12285" width="9" style="19" customWidth="1"/>
    <col min="12286" max="12287" width="9.81640625" style="19" customWidth="1"/>
    <col min="12288" max="12288" width="11.1796875" style="19" customWidth="1"/>
    <col min="12289" max="12289" width="2.81640625" style="19" customWidth="1"/>
    <col min="12290" max="12290" width="3.54296875" style="19" customWidth="1"/>
    <col min="12291" max="12535" width="9.1796875" style="19"/>
    <col min="12536" max="12536" width="8.7265625" style="19" customWidth="1"/>
    <col min="12537" max="12537" width="9.81640625" style="19" customWidth="1"/>
    <col min="12538" max="12538" width="14.453125" style="19" customWidth="1"/>
    <col min="12539" max="12539" width="7.26953125" style="19" customWidth="1"/>
    <col min="12540" max="12540" width="5.54296875" style="19" customWidth="1"/>
    <col min="12541" max="12541" width="9" style="19" customWidth="1"/>
    <col min="12542" max="12543" width="9.81640625" style="19" customWidth="1"/>
    <col min="12544" max="12544" width="11.1796875" style="19" customWidth="1"/>
    <col min="12545" max="12545" width="2.81640625" style="19" customWidth="1"/>
    <col min="12546" max="12546" width="3.54296875" style="19" customWidth="1"/>
    <col min="12547" max="12791" width="9.1796875" style="19"/>
    <col min="12792" max="12792" width="8.7265625" style="19" customWidth="1"/>
    <col min="12793" max="12793" width="9.81640625" style="19" customWidth="1"/>
    <col min="12794" max="12794" width="14.453125" style="19" customWidth="1"/>
    <col min="12795" max="12795" width="7.26953125" style="19" customWidth="1"/>
    <col min="12796" max="12796" width="5.54296875" style="19" customWidth="1"/>
    <col min="12797" max="12797" width="9" style="19" customWidth="1"/>
    <col min="12798" max="12799" width="9.81640625" style="19" customWidth="1"/>
    <col min="12800" max="12800" width="11.1796875" style="19" customWidth="1"/>
    <col min="12801" max="12801" width="2.81640625" style="19" customWidth="1"/>
    <col min="12802" max="12802" width="3.54296875" style="19" customWidth="1"/>
    <col min="12803" max="13047" width="9.1796875" style="19"/>
    <col min="13048" max="13048" width="8.7265625" style="19" customWidth="1"/>
    <col min="13049" max="13049" width="9.81640625" style="19" customWidth="1"/>
    <col min="13050" max="13050" width="14.453125" style="19" customWidth="1"/>
    <col min="13051" max="13051" width="7.26953125" style="19" customWidth="1"/>
    <col min="13052" max="13052" width="5.54296875" style="19" customWidth="1"/>
    <col min="13053" max="13053" width="9" style="19" customWidth="1"/>
    <col min="13054" max="13055" width="9.81640625" style="19" customWidth="1"/>
    <col min="13056" max="13056" width="11.1796875" style="19" customWidth="1"/>
    <col min="13057" max="13057" width="2.81640625" style="19" customWidth="1"/>
    <col min="13058" max="13058" width="3.54296875" style="19" customWidth="1"/>
    <col min="13059" max="13303" width="9.1796875" style="19"/>
    <col min="13304" max="13304" width="8.7265625" style="19" customWidth="1"/>
    <col min="13305" max="13305" width="9.81640625" style="19" customWidth="1"/>
    <col min="13306" max="13306" width="14.453125" style="19" customWidth="1"/>
    <col min="13307" max="13307" width="7.26953125" style="19" customWidth="1"/>
    <col min="13308" max="13308" width="5.54296875" style="19" customWidth="1"/>
    <col min="13309" max="13309" width="9" style="19" customWidth="1"/>
    <col min="13310" max="13311" width="9.81640625" style="19" customWidth="1"/>
    <col min="13312" max="13312" width="11.1796875" style="19" customWidth="1"/>
    <col min="13313" max="13313" width="2.81640625" style="19" customWidth="1"/>
    <col min="13314" max="13314" width="3.54296875" style="19" customWidth="1"/>
    <col min="13315" max="13559" width="9.1796875" style="19"/>
    <col min="13560" max="13560" width="8.7265625" style="19" customWidth="1"/>
    <col min="13561" max="13561" width="9.81640625" style="19" customWidth="1"/>
    <col min="13562" max="13562" width="14.453125" style="19" customWidth="1"/>
    <col min="13563" max="13563" width="7.26953125" style="19" customWidth="1"/>
    <col min="13564" max="13564" width="5.54296875" style="19" customWidth="1"/>
    <col min="13565" max="13565" width="9" style="19" customWidth="1"/>
    <col min="13566" max="13567" width="9.81640625" style="19" customWidth="1"/>
    <col min="13568" max="13568" width="11.1796875" style="19" customWidth="1"/>
    <col min="13569" max="13569" width="2.81640625" style="19" customWidth="1"/>
    <col min="13570" max="13570" width="3.54296875" style="19" customWidth="1"/>
    <col min="13571" max="13815" width="9.1796875" style="19"/>
    <col min="13816" max="13816" width="8.7265625" style="19" customWidth="1"/>
    <col min="13817" max="13817" width="9.81640625" style="19" customWidth="1"/>
    <col min="13818" max="13818" width="14.453125" style="19" customWidth="1"/>
    <col min="13819" max="13819" width="7.26953125" style="19" customWidth="1"/>
    <col min="13820" max="13820" width="5.54296875" style="19" customWidth="1"/>
    <col min="13821" max="13821" width="9" style="19" customWidth="1"/>
    <col min="13822" max="13823" width="9.81640625" style="19" customWidth="1"/>
    <col min="13824" max="13824" width="11.1796875" style="19" customWidth="1"/>
    <col min="13825" max="13825" width="2.81640625" style="19" customWidth="1"/>
    <col min="13826" max="13826" width="3.54296875" style="19" customWidth="1"/>
    <col min="13827" max="14071" width="9.1796875" style="19"/>
    <col min="14072" max="14072" width="8.7265625" style="19" customWidth="1"/>
    <col min="14073" max="14073" width="9.81640625" style="19" customWidth="1"/>
    <col min="14074" max="14074" width="14.453125" style="19" customWidth="1"/>
    <col min="14075" max="14075" width="7.26953125" style="19" customWidth="1"/>
    <col min="14076" max="14076" width="5.54296875" style="19" customWidth="1"/>
    <col min="14077" max="14077" width="9" style="19" customWidth="1"/>
    <col min="14078" max="14079" width="9.81640625" style="19" customWidth="1"/>
    <col min="14080" max="14080" width="11.1796875" style="19" customWidth="1"/>
    <col min="14081" max="14081" width="2.81640625" style="19" customWidth="1"/>
    <col min="14082" max="14082" width="3.54296875" style="19" customWidth="1"/>
    <col min="14083" max="14327" width="9.1796875" style="19"/>
    <col min="14328" max="14328" width="8.7265625" style="19" customWidth="1"/>
    <col min="14329" max="14329" width="9.81640625" style="19" customWidth="1"/>
    <col min="14330" max="14330" width="14.453125" style="19" customWidth="1"/>
    <col min="14331" max="14331" width="7.26953125" style="19" customWidth="1"/>
    <col min="14332" max="14332" width="5.54296875" style="19" customWidth="1"/>
    <col min="14333" max="14333" width="9" style="19" customWidth="1"/>
    <col min="14334" max="14335" width="9.81640625" style="19" customWidth="1"/>
    <col min="14336" max="14336" width="11.1796875" style="19" customWidth="1"/>
    <col min="14337" max="14337" width="2.81640625" style="19" customWidth="1"/>
    <col min="14338" max="14338" width="3.54296875" style="19" customWidth="1"/>
    <col min="14339" max="14583" width="9.1796875" style="19"/>
    <col min="14584" max="14584" width="8.7265625" style="19" customWidth="1"/>
    <col min="14585" max="14585" width="9.81640625" style="19" customWidth="1"/>
    <col min="14586" max="14586" width="14.453125" style="19" customWidth="1"/>
    <col min="14587" max="14587" width="7.26953125" style="19" customWidth="1"/>
    <col min="14588" max="14588" width="5.54296875" style="19" customWidth="1"/>
    <col min="14589" max="14589" width="9" style="19" customWidth="1"/>
    <col min="14590" max="14591" width="9.81640625" style="19" customWidth="1"/>
    <col min="14592" max="14592" width="11.1796875" style="19" customWidth="1"/>
    <col min="14593" max="14593" width="2.81640625" style="19" customWidth="1"/>
    <col min="14594" max="14594" width="3.54296875" style="19" customWidth="1"/>
    <col min="14595" max="14839" width="9.1796875" style="19"/>
    <col min="14840" max="14840" width="8.7265625" style="19" customWidth="1"/>
    <col min="14841" max="14841" width="9.81640625" style="19" customWidth="1"/>
    <col min="14842" max="14842" width="14.453125" style="19" customWidth="1"/>
    <col min="14843" max="14843" width="7.26953125" style="19" customWidth="1"/>
    <col min="14844" max="14844" width="5.54296875" style="19" customWidth="1"/>
    <col min="14845" max="14845" width="9" style="19" customWidth="1"/>
    <col min="14846" max="14847" width="9.81640625" style="19" customWidth="1"/>
    <col min="14848" max="14848" width="11.1796875" style="19" customWidth="1"/>
    <col min="14849" max="14849" width="2.81640625" style="19" customWidth="1"/>
    <col min="14850" max="14850" width="3.54296875" style="19" customWidth="1"/>
    <col min="14851" max="15095" width="9.1796875" style="19"/>
    <col min="15096" max="15096" width="8.7265625" style="19" customWidth="1"/>
    <col min="15097" max="15097" width="9.81640625" style="19" customWidth="1"/>
    <col min="15098" max="15098" width="14.453125" style="19" customWidth="1"/>
    <col min="15099" max="15099" width="7.26953125" style="19" customWidth="1"/>
    <col min="15100" max="15100" width="5.54296875" style="19" customWidth="1"/>
    <col min="15101" max="15101" width="9" style="19" customWidth="1"/>
    <col min="15102" max="15103" width="9.81640625" style="19" customWidth="1"/>
    <col min="15104" max="15104" width="11.1796875" style="19" customWidth="1"/>
    <col min="15105" max="15105" width="2.81640625" style="19" customWidth="1"/>
    <col min="15106" max="15106" width="3.54296875" style="19" customWidth="1"/>
    <col min="15107" max="15351" width="9.1796875" style="19"/>
    <col min="15352" max="15352" width="8.7265625" style="19" customWidth="1"/>
    <col min="15353" max="15353" width="9.81640625" style="19" customWidth="1"/>
    <col min="15354" max="15354" width="14.453125" style="19" customWidth="1"/>
    <col min="15355" max="15355" width="7.26953125" style="19" customWidth="1"/>
    <col min="15356" max="15356" width="5.54296875" style="19" customWidth="1"/>
    <col min="15357" max="15357" width="9" style="19" customWidth="1"/>
    <col min="15358" max="15359" width="9.81640625" style="19" customWidth="1"/>
    <col min="15360" max="15360" width="11.1796875" style="19" customWidth="1"/>
    <col min="15361" max="15361" width="2.81640625" style="19" customWidth="1"/>
    <col min="15362" max="15362" width="3.54296875" style="19" customWidth="1"/>
    <col min="15363" max="15607" width="9.1796875" style="19"/>
    <col min="15608" max="15608" width="8.7265625" style="19" customWidth="1"/>
    <col min="15609" max="15609" width="9.81640625" style="19" customWidth="1"/>
    <col min="15610" max="15610" width="14.453125" style="19" customWidth="1"/>
    <col min="15611" max="15611" width="7.26953125" style="19" customWidth="1"/>
    <col min="15612" max="15612" width="5.54296875" style="19" customWidth="1"/>
    <col min="15613" max="15613" width="9" style="19" customWidth="1"/>
    <col min="15614" max="15615" width="9.81640625" style="19" customWidth="1"/>
    <col min="15616" max="15616" width="11.1796875" style="19" customWidth="1"/>
    <col min="15617" max="15617" width="2.81640625" style="19" customWidth="1"/>
    <col min="15618" max="15618" width="3.54296875" style="19" customWidth="1"/>
    <col min="15619" max="15863" width="9.1796875" style="19"/>
    <col min="15864" max="15864" width="8.7265625" style="19" customWidth="1"/>
    <col min="15865" max="15865" width="9.81640625" style="19" customWidth="1"/>
    <col min="15866" max="15866" width="14.453125" style="19" customWidth="1"/>
    <col min="15867" max="15867" width="7.26953125" style="19" customWidth="1"/>
    <col min="15868" max="15868" width="5.54296875" style="19" customWidth="1"/>
    <col min="15869" max="15869" width="9" style="19" customWidth="1"/>
    <col min="15870" max="15871" width="9.81640625" style="19" customWidth="1"/>
    <col min="15872" max="15872" width="11.1796875" style="19" customWidth="1"/>
    <col min="15873" max="15873" width="2.81640625" style="19" customWidth="1"/>
    <col min="15874" max="15874" width="3.54296875" style="19" customWidth="1"/>
    <col min="15875" max="16119" width="9.1796875" style="19"/>
    <col min="16120" max="16120" width="8.7265625" style="19" customWidth="1"/>
    <col min="16121" max="16121" width="9.81640625" style="19" customWidth="1"/>
    <col min="16122" max="16122" width="14.453125" style="19" customWidth="1"/>
    <col min="16123" max="16123" width="7.26953125" style="19" customWidth="1"/>
    <col min="16124" max="16124" width="5.54296875" style="19" customWidth="1"/>
    <col min="16125" max="16125" width="9" style="19" customWidth="1"/>
    <col min="16126" max="16127" width="9.81640625" style="19" customWidth="1"/>
    <col min="16128" max="16128" width="11.1796875" style="19" customWidth="1"/>
    <col min="16129" max="16129" width="2.81640625" style="19" customWidth="1"/>
    <col min="16130" max="16130" width="3.54296875" style="19" customWidth="1"/>
    <col min="16131" max="16384" width="9.1796875" style="19"/>
  </cols>
  <sheetData>
    <row r="1" spans="1:8" ht="46.5" customHeight="1" x14ac:dyDescent="0.35">
      <c r="A1" s="116" t="s">
        <v>212</v>
      </c>
      <c r="B1" s="116"/>
      <c r="C1" s="116"/>
      <c r="D1" s="116"/>
      <c r="E1" s="116"/>
      <c r="F1" s="116"/>
      <c r="G1" s="116"/>
      <c r="H1" s="116"/>
    </row>
    <row r="2" spans="1:8" ht="16.5" customHeight="1" x14ac:dyDescent="0.35">
      <c r="A2" s="113" t="s">
        <v>0</v>
      </c>
      <c r="B2" s="113"/>
      <c r="C2" s="113"/>
      <c r="D2" s="113"/>
      <c r="E2" s="113"/>
      <c r="F2" s="113"/>
      <c r="G2" s="113"/>
      <c r="H2" s="113"/>
    </row>
    <row r="3" spans="1:8" x14ac:dyDescent="0.35">
      <c r="A3" s="117" t="s">
        <v>1</v>
      </c>
      <c r="B3" s="117"/>
      <c r="C3" s="117"/>
      <c r="D3" s="117"/>
      <c r="E3" s="117" t="str">
        <f ca="1">TEXT(TODAY(),"DD/MM/YYYY")</f>
        <v>16/07/2025</v>
      </c>
      <c r="F3" s="117"/>
      <c r="G3" s="117"/>
      <c r="H3" s="117"/>
    </row>
    <row r="4" spans="1:8" ht="15" customHeight="1" x14ac:dyDescent="0.35">
      <c r="A4" s="117" t="s">
        <v>2</v>
      </c>
      <c r="B4" s="117"/>
      <c r="C4" s="117"/>
      <c r="D4" s="117"/>
      <c r="E4" s="117" t="s">
        <v>222</v>
      </c>
      <c r="F4" s="117"/>
      <c r="G4" s="117"/>
      <c r="H4" s="117"/>
    </row>
    <row r="5" spans="1:8" x14ac:dyDescent="0.35">
      <c r="A5" s="117" t="s">
        <v>3</v>
      </c>
      <c r="B5" s="117"/>
      <c r="C5" s="117"/>
      <c r="D5" s="117"/>
      <c r="E5" s="119">
        <v>45853</v>
      </c>
      <c r="F5" s="117"/>
      <c r="G5" s="117"/>
      <c r="H5" s="117"/>
    </row>
    <row r="6" spans="1:8" ht="16.5" customHeight="1" x14ac:dyDescent="0.35">
      <c r="A6" s="117" t="s">
        <v>4</v>
      </c>
      <c r="B6" s="117"/>
      <c r="C6" s="117"/>
      <c r="D6" s="117"/>
      <c r="E6" s="117" t="s">
        <v>165</v>
      </c>
      <c r="F6" s="117"/>
      <c r="G6" s="117"/>
      <c r="H6" s="117"/>
    </row>
    <row r="7" spans="1:8" ht="15" customHeight="1" x14ac:dyDescent="0.35">
      <c r="A7" s="117" t="s">
        <v>5</v>
      </c>
      <c r="B7" s="117"/>
      <c r="C7" s="117"/>
      <c r="D7" s="117"/>
      <c r="E7" s="117" t="str">
        <f>E6</f>
        <v>Vishesh Greenscape LLP</v>
      </c>
      <c r="F7" s="117"/>
      <c r="G7" s="117"/>
      <c r="H7" s="117"/>
    </row>
    <row r="8" spans="1:8" x14ac:dyDescent="0.35">
      <c r="A8" s="117" t="s">
        <v>6</v>
      </c>
      <c r="B8" s="117"/>
      <c r="C8" s="117"/>
      <c r="D8" s="117"/>
      <c r="E8" s="118" t="s">
        <v>166</v>
      </c>
      <c r="F8" s="118"/>
      <c r="G8" s="118"/>
      <c r="H8" s="118"/>
    </row>
    <row r="9" spans="1:8" x14ac:dyDescent="0.35">
      <c r="A9" s="117" t="s">
        <v>167</v>
      </c>
      <c r="B9" s="117"/>
      <c r="C9" s="117"/>
      <c r="D9" s="117"/>
      <c r="E9" s="117" t="s">
        <v>168</v>
      </c>
      <c r="F9" s="117"/>
      <c r="G9" s="117"/>
      <c r="H9" s="117"/>
    </row>
    <row r="10" spans="1:8" x14ac:dyDescent="0.35">
      <c r="A10" s="117" t="s">
        <v>162</v>
      </c>
      <c r="B10" s="117"/>
      <c r="C10" s="117"/>
      <c r="D10" s="117"/>
      <c r="E10" s="117">
        <v>9167252497</v>
      </c>
      <c r="F10" s="117"/>
      <c r="G10" s="117"/>
      <c r="H10" s="117"/>
    </row>
    <row r="11" spans="1:8" hidden="1" x14ac:dyDescent="0.35">
      <c r="A11" s="117" t="s">
        <v>163</v>
      </c>
      <c r="B11" s="117"/>
      <c r="C11" s="117"/>
      <c r="D11" s="117"/>
      <c r="E11" s="117" t="s">
        <v>204</v>
      </c>
      <c r="F11" s="117"/>
      <c r="G11" s="117"/>
      <c r="H11" s="117"/>
    </row>
    <row r="12" spans="1:8" ht="34.5" customHeight="1" x14ac:dyDescent="0.35">
      <c r="A12" s="117" t="s">
        <v>7</v>
      </c>
      <c r="B12" s="117"/>
      <c r="C12" s="117"/>
      <c r="D12" s="117"/>
      <c r="E12" s="87" t="s">
        <v>195</v>
      </c>
      <c r="F12" s="117"/>
      <c r="G12" s="117"/>
      <c r="H12" s="117"/>
    </row>
    <row r="13" spans="1:8" ht="32.25" customHeight="1" x14ac:dyDescent="0.35">
      <c r="A13" s="89" t="s">
        <v>8</v>
      </c>
      <c r="B13" s="89"/>
      <c r="C13" s="89"/>
      <c r="D13" s="89"/>
      <c r="E13" s="87" t="s">
        <v>104</v>
      </c>
      <c r="F13" s="87"/>
      <c r="G13" s="87"/>
      <c r="H13" s="87"/>
    </row>
    <row r="14" spans="1:8" x14ac:dyDescent="0.35">
      <c r="A14" s="89" t="s">
        <v>9</v>
      </c>
      <c r="B14" s="89"/>
      <c r="C14" s="89"/>
      <c r="D14" s="89"/>
      <c r="E14" s="87" t="s">
        <v>169</v>
      </c>
      <c r="F14" s="117"/>
      <c r="G14" s="117"/>
      <c r="H14" s="117"/>
    </row>
    <row r="15" spans="1:8" ht="51" customHeight="1" x14ac:dyDescent="0.35">
      <c r="A15" s="101" t="s">
        <v>10</v>
      </c>
      <c r="B15" s="101"/>
      <c r="C15" s="101" t="str">
        <f>CONCATENATE((IF(OR(E8="",E8="NA"),"",E8)),", ",(IF(OR(A16="",A16="NA"),"",A16)),".",(IF(OR(C16="",C16="NA"),"",C16)),", near ",(IF(OR(C21="",C21="NA"),"",C21)),", ",(IF(OR(C18="",C18="NA"),"",C18)),", ",(IF(OR(C17="",C17="NA"),"",C17)),", ",(IF(OR(G18="",G18="NA"),"",G18)),", ",(IF(OR(C19="",C19="NA"),"",C19)),", ",(IF(OR(C20="",C20="NA"),"",C20)),", ",(IF(OR(G19="",G19="NA"),"",G19))," - ",(IF(OR(G20="",G20="NA"),"",G20)),".")</f>
        <v>Balaji Avvante, Gut No.139/3, 139/6, 139/7, 139/10, 139/12, 139/14A, 139/14B, 140/1(2), 140/1(4), 140/2, 141, 142, 143 &amp; 146/2, near Vastusiddhi Alps CHS, Swapna Nagari Road, , Wakadi, Panvel East, Panvel, Raigad - 410206.</v>
      </c>
      <c r="D15" s="101"/>
      <c r="E15" s="101"/>
      <c r="F15" s="101"/>
      <c r="G15" s="101"/>
      <c r="H15" s="101"/>
    </row>
    <row r="16" spans="1:8" ht="31.5" customHeight="1" x14ac:dyDescent="0.35">
      <c r="A16" s="87" t="s">
        <v>171</v>
      </c>
      <c r="B16" s="87"/>
      <c r="C16" s="87" t="s">
        <v>170</v>
      </c>
      <c r="D16" s="87"/>
      <c r="E16" s="87"/>
      <c r="F16" s="87"/>
      <c r="G16" s="87"/>
      <c r="H16" s="87"/>
    </row>
    <row r="17" spans="1:8" ht="15.75" hidden="1" customHeight="1" x14ac:dyDescent="0.35">
      <c r="A17" s="87" t="s">
        <v>161</v>
      </c>
      <c r="B17" s="87"/>
      <c r="C17" s="87"/>
      <c r="D17" s="87"/>
      <c r="E17" s="87"/>
      <c r="F17" s="87"/>
      <c r="G17" s="87"/>
      <c r="H17" s="87"/>
    </row>
    <row r="18" spans="1:8" ht="15.75" customHeight="1" x14ac:dyDescent="0.35">
      <c r="A18" s="101" t="s">
        <v>11</v>
      </c>
      <c r="B18" s="101"/>
      <c r="C18" s="117" t="s">
        <v>172</v>
      </c>
      <c r="D18" s="117"/>
      <c r="E18" s="101" t="s">
        <v>76</v>
      </c>
      <c r="F18" s="101"/>
      <c r="G18" s="87" t="s">
        <v>201</v>
      </c>
      <c r="H18" s="87"/>
    </row>
    <row r="19" spans="1:8" x14ac:dyDescent="0.35">
      <c r="A19" s="89" t="s">
        <v>13</v>
      </c>
      <c r="B19" s="89"/>
      <c r="C19" s="120" t="s">
        <v>174</v>
      </c>
      <c r="D19" s="120"/>
      <c r="E19" s="101" t="s">
        <v>12</v>
      </c>
      <c r="F19" s="101"/>
      <c r="G19" s="120" t="s">
        <v>202</v>
      </c>
      <c r="H19" s="120"/>
    </row>
    <row r="20" spans="1:8" x14ac:dyDescent="0.35">
      <c r="A20" s="89" t="s">
        <v>77</v>
      </c>
      <c r="B20" s="89"/>
      <c r="C20" s="120" t="s">
        <v>173</v>
      </c>
      <c r="D20" s="120"/>
      <c r="E20" s="101" t="s">
        <v>14</v>
      </c>
      <c r="F20" s="101"/>
      <c r="G20" s="87">
        <v>410206</v>
      </c>
      <c r="H20" s="87"/>
    </row>
    <row r="21" spans="1:8" ht="32.25" customHeight="1" x14ac:dyDescent="0.35">
      <c r="A21" s="89" t="s">
        <v>123</v>
      </c>
      <c r="B21" s="89"/>
      <c r="C21" s="87" t="s">
        <v>175</v>
      </c>
      <c r="D21" s="87"/>
      <c r="E21" s="101" t="s">
        <v>15</v>
      </c>
      <c r="F21" s="101"/>
      <c r="G21" s="87" t="s">
        <v>176</v>
      </c>
      <c r="H21" s="87"/>
    </row>
    <row r="22" spans="1:8" ht="15" customHeight="1" x14ac:dyDescent="0.35">
      <c r="A22" s="101" t="s">
        <v>80</v>
      </c>
      <c r="B22" s="101"/>
      <c r="C22" s="101"/>
      <c r="D22" s="101"/>
      <c r="E22" s="117" t="s">
        <v>16</v>
      </c>
      <c r="F22" s="117"/>
      <c r="G22" s="117"/>
      <c r="H22" s="117"/>
    </row>
    <row r="23" spans="1:8" ht="18.75" customHeight="1" x14ac:dyDescent="0.35">
      <c r="A23" s="101"/>
      <c r="B23" s="101"/>
      <c r="C23" s="101"/>
      <c r="D23" s="101"/>
      <c r="E23" s="117"/>
      <c r="F23" s="117"/>
      <c r="G23" s="117"/>
      <c r="H23" s="117"/>
    </row>
    <row r="24" spans="1:8" ht="15" customHeight="1" x14ac:dyDescent="0.35">
      <c r="A24" s="101" t="s">
        <v>17</v>
      </c>
      <c r="B24" s="101"/>
      <c r="C24" s="101"/>
      <c r="D24" s="101"/>
      <c r="E24" s="87" t="s">
        <v>18</v>
      </c>
      <c r="F24" s="87"/>
      <c r="G24" s="87"/>
      <c r="H24" s="87"/>
    </row>
    <row r="25" spans="1:8" ht="15" customHeight="1" x14ac:dyDescent="0.35">
      <c r="A25" s="89" t="s">
        <v>19</v>
      </c>
      <c r="B25" s="89"/>
      <c r="C25" s="89"/>
      <c r="D25" s="89"/>
      <c r="E25" s="87" t="str">
        <f>IF(AND(G19="Mumbai"),"Upper Class","Middle Class")</f>
        <v>Middle Class</v>
      </c>
      <c r="F25" s="87"/>
      <c r="G25" s="87"/>
      <c r="H25" s="87"/>
    </row>
    <row r="26" spans="1:8" x14ac:dyDescent="0.35">
      <c r="A26" s="89" t="s">
        <v>20</v>
      </c>
      <c r="B26" s="89"/>
      <c r="C26" s="89"/>
      <c r="D26" s="89"/>
      <c r="E26" s="87" t="s">
        <v>21</v>
      </c>
      <c r="F26" s="87"/>
      <c r="G26" s="87"/>
      <c r="H26" s="87"/>
    </row>
    <row r="27" spans="1:8" ht="15.75" customHeight="1" x14ac:dyDescent="0.35">
      <c r="A27" s="89" t="s">
        <v>22</v>
      </c>
      <c r="B27" s="89"/>
      <c r="C27" s="89"/>
      <c r="D27" s="89"/>
      <c r="E27" s="87" t="str">
        <f>IF(AND(G19="Mumbai"),"Developed","Developing")</f>
        <v>Developing</v>
      </c>
      <c r="F27" s="87"/>
      <c r="G27" s="87"/>
      <c r="H27" s="87"/>
    </row>
    <row r="28" spans="1:8" x14ac:dyDescent="0.35">
      <c r="A28" s="89" t="s">
        <v>23</v>
      </c>
      <c r="B28" s="89"/>
      <c r="C28" s="89"/>
      <c r="D28" s="89"/>
      <c r="E28" s="87" t="s">
        <v>24</v>
      </c>
      <c r="F28" s="87"/>
      <c r="G28" s="87"/>
      <c r="H28" s="87"/>
    </row>
    <row r="29" spans="1:8" ht="15.75" customHeight="1" x14ac:dyDescent="0.35">
      <c r="A29" s="89" t="s">
        <v>85</v>
      </c>
      <c r="B29" s="89"/>
      <c r="C29" s="89"/>
      <c r="D29" s="89"/>
      <c r="E29" s="87" t="s">
        <v>86</v>
      </c>
      <c r="F29" s="87"/>
      <c r="G29" s="87"/>
      <c r="H29" s="87"/>
    </row>
    <row r="30" spans="1:8" ht="15" customHeight="1" x14ac:dyDescent="0.35">
      <c r="A30" s="89" t="s">
        <v>35</v>
      </c>
      <c r="B30" s="89"/>
      <c r="C30" s="89"/>
      <c r="D30" s="89"/>
      <c r="E30" s="87" t="s">
        <v>214</v>
      </c>
      <c r="F30" s="87"/>
      <c r="G30" s="87"/>
      <c r="H30" s="87"/>
    </row>
    <row r="31" spans="1:8" ht="15.75" customHeight="1" x14ac:dyDescent="0.35">
      <c r="A31" s="89" t="s">
        <v>97</v>
      </c>
      <c r="B31" s="89"/>
      <c r="C31" s="89"/>
      <c r="D31" s="89"/>
      <c r="E31" s="87" t="s">
        <v>36</v>
      </c>
      <c r="F31" s="87"/>
      <c r="G31" s="87"/>
      <c r="H31" s="87"/>
    </row>
    <row r="32" spans="1:8" s="20" customFormat="1" x14ac:dyDescent="0.35">
      <c r="A32" s="124" t="s">
        <v>98</v>
      </c>
      <c r="B32" s="124"/>
      <c r="C32" s="123" t="s">
        <v>29</v>
      </c>
      <c r="D32" s="123"/>
      <c r="E32" s="123"/>
      <c r="F32" s="123" t="s">
        <v>31</v>
      </c>
      <c r="G32" s="123"/>
      <c r="H32" s="123"/>
    </row>
    <row r="33" spans="1:8" s="20" customFormat="1" x14ac:dyDescent="0.35">
      <c r="A33" s="121" t="s">
        <v>25</v>
      </c>
      <c r="B33" s="121" t="s">
        <v>30</v>
      </c>
      <c r="C33" s="122" t="s">
        <v>30</v>
      </c>
      <c r="D33" s="122"/>
      <c r="E33" s="122"/>
      <c r="F33" s="122" t="s">
        <v>172</v>
      </c>
      <c r="G33" s="122"/>
      <c r="H33" s="122"/>
    </row>
    <row r="34" spans="1:8" x14ac:dyDescent="0.35">
      <c r="A34" s="121" t="s">
        <v>26</v>
      </c>
      <c r="B34" s="121" t="s">
        <v>30</v>
      </c>
      <c r="C34" s="122" t="s">
        <v>30</v>
      </c>
      <c r="D34" s="122"/>
      <c r="E34" s="122"/>
      <c r="F34" s="122" t="s">
        <v>177</v>
      </c>
      <c r="G34" s="122"/>
      <c r="H34" s="122"/>
    </row>
    <row r="35" spans="1:8" s="20" customFormat="1" x14ac:dyDescent="0.35">
      <c r="A35" s="121" t="s">
        <v>28</v>
      </c>
      <c r="B35" s="121" t="s">
        <v>30</v>
      </c>
      <c r="C35" s="122" t="s">
        <v>30</v>
      </c>
      <c r="D35" s="122"/>
      <c r="E35" s="122"/>
      <c r="F35" s="122" t="s">
        <v>177</v>
      </c>
      <c r="G35" s="122"/>
      <c r="H35" s="122"/>
    </row>
    <row r="36" spans="1:8" x14ac:dyDescent="0.35">
      <c r="A36" s="121" t="s">
        <v>27</v>
      </c>
      <c r="B36" s="121" t="s">
        <v>30</v>
      </c>
      <c r="C36" s="122" t="s">
        <v>30</v>
      </c>
      <c r="D36" s="122"/>
      <c r="E36" s="122"/>
      <c r="F36" s="122" t="s">
        <v>172</v>
      </c>
      <c r="G36" s="122"/>
      <c r="H36" s="122"/>
    </row>
    <row r="37" spans="1:8" x14ac:dyDescent="0.35">
      <c r="A37" s="89" t="s">
        <v>32</v>
      </c>
      <c r="B37" s="89"/>
      <c r="C37" s="89"/>
      <c r="D37" s="89"/>
      <c r="E37" s="89"/>
      <c r="F37" s="89"/>
      <c r="G37" s="89"/>
      <c r="H37" s="89"/>
    </row>
    <row r="38" spans="1:8" ht="15.75" customHeight="1" x14ac:dyDescent="0.35">
      <c r="A38" s="113" t="s">
        <v>33</v>
      </c>
      <c r="B38" s="113"/>
      <c r="C38" s="127">
        <v>19.027083999999999</v>
      </c>
      <c r="D38" s="127"/>
      <c r="E38" s="113" t="s">
        <v>34</v>
      </c>
      <c r="F38" s="113"/>
      <c r="G38" s="128">
        <v>73.165363999999997</v>
      </c>
      <c r="H38" s="128"/>
    </row>
    <row r="39" spans="1:8" x14ac:dyDescent="0.35">
      <c r="A39" s="113" t="s">
        <v>160</v>
      </c>
      <c r="B39" s="113"/>
      <c r="C39" s="153" t="s">
        <v>219</v>
      </c>
      <c r="D39" s="87"/>
      <c r="E39" s="87"/>
      <c r="F39" s="87"/>
      <c r="G39" s="87"/>
      <c r="H39" s="87"/>
    </row>
    <row r="40" spans="1:8" x14ac:dyDescent="0.35">
      <c r="A40" s="126" t="s">
        <v>37</v>
      </c>
      <c r="B40" s="126"/>
      <c r="C40" s="126"/>
      <c r="D40" s="126"/>
      <c r="E40" s="126"/>
      <c r="F40" s="126"/>
      <c r="G40" s="126"/>
      <c r="H40" s="126"/>
    </row>
    <row r="41" spans="1:8" x14ac:dyDescent="0.35">
      <c r="A41" s="89" t="s">
        <v>38</v>
      </c>
      <c r="B41" s="89"/>
      <c r="C41" s="89"/>
      <c r="D41" s="89"/>
      <c r="E41" s="125">
        <v>35644.28</v>
      </c>
      <c r="F41" s="125"/>
      <c r="G41" s="125"/>
      <c r="H41" s="125"/>
    </row>
    <row r="42" spans="1:8" x14ac:dyDescent="0.35">
      <c r="A42" s="89" t="s">
        <v>39</v>
      </c>
      <c r="B42" s="89"/>
      <c r="C42" s="89"/>
      <c r="D42" s="89"/>
      <c r="E42" s="88">
        <v>1</v>
      </c>
      <c r="F42" s="88"/>
      <c r="G42" s="88"/>
      <c r="H42" s="88"/>
    </row>
    <row r="43" spans="1:8" x14ac:dyDescent="0.35">
      <c r="A43" s="89" t="s">
        <v>40</v>
      </c>
      <c r="B43" s="89"/>
      <c r="C43" s="89"/>
      <c r="D43" s="89"/>
      <c r="E43" s="88">
        <f>E45/E41-E42</f>
        <v>-4.5870754017194315E-2</v>
      </c>
      <c r="F43" s="88"/>
      <c r="G43" s="88"/>
      <c r="H43" s="88"/>
    </row>
    <row r="44" spans="1:8" x14ac:dyDescent="0.35">
      <c r="A44" s="89" t="s">
        <v>41</v>
      </c>
      <c r="B44" s="89"/>
      <c r="C44" s="89"/>
      <c r="D44" s="89"/>
      <c r="E44" s="88">
        <f>E42+E43</f>
        <v>0.95412924598280568</v>
      </c>
      <c r="F44" s="88"/>
      <c r="G44" s="88"/>
      <c r="H44" s="88"/>
    </row>
    <row r="45" spans="1:8" x14ac:dyDescent="0.35">
      <c r="A45" s="89" t="s">
        <v>96</v>
      </c>
      <c r="B45" s="89"/>
      <c r="C45" s="89"/>
      <c r="D45" s="89"/>
      <c r="E45" s="157">
        <v>34009.25</v>
      </c>
      <c r="F45" s="157"/>
      <c r="G45" s="157"/>
      <c r="H45" s="157"/>
    </row>
    <row r="46" spans="1:8" x14ac:dyDescent="0.35">
      <c r="A46" s="117" t="s">
        <v>42</v>
      </c>
      <c r="B46" s="117"/>
      <c r="C46" s="117"/>
      <c r="D46" s="117"/>
      <c r="E46" s="117" t="s">
        <v>205</v>
      </c>
      <c r="F46" s="117"/>
      <c r="G46" s="117"/>
      <c r="H46" s="117"/>
    </row>
    <row r="47" spans="1:8" x14ac:dyDescent="0.35">
      <c r="A47" s="118" t="s">
        <v>43</v>
      </c>
      <c r="B47" s="118"/>
      <c r="C47" s="118"/>
      <c r="D47" s="118"/>
      <c r="E47" s="118"/>
      <c r="F47" s="118"/>
      <c r="G47" s="118"/>
      <c r="H47" s="118"/>
    </row>
    <row r="48" spans="1:8" ht="33.75" customHeight="1" x14ac:dyDescent="0.35">
      <c r="A48" s="154" t="s">
        <v>150</v>
      </c>
      <c r="B48" s="155"/>
      <c r="C48" s="170" t="s">
        <v>178</v>
      </c>
      <c r="D48" s="171"/>
      <c r="E48" s="171"/>
      <c r="F48" s="171"/>
      <c r="G48" s="171"/>
      <c r="H48" s="172"/>
    </row>
    <row r="49" spans="1:14" ht="29.25" customHeight="1" x14ac:dyDescent="0.35">
      <c r="A49" s="96" t="s">
        <v>44</v>
      </c>
      <c r="B49" s="97"/>
      <c r="C49" s="96" t="s">
        <v>224</v>
      </c>
      <c r="D49" s="98"/>
      <c r="E49" s="97"/>
      <c r="F49" s="18" t="s">
        <v>45</v>
      </c>
      <c r="G49" s="134">
        <v>44806</v>
      </c>
      <c r="H49" s="97"/>
    </row>
    <row r="50" spans="1:14" ht="35.25" customHeight="1" x14ac:dyDescent="0.35">
      <c r="A50" s="96" t="s">
        <v>46</v>
      </c>
      <c r="B50" s="97"/>
      <c r="C50" s="96" t="str">
        <f>C49</f>
        <v>CIDCO/NAINA/PANVEL/Vakadi/BP00223/ACC 2022/0236</v>
      </c>
      <c r="D50" s="98"/>
      <c r="E50" s="97"/>
      <c r="F50" s="18" t="s">
        <v>45</v>
      </c>
      <c r="G50" s="134">
        <f>G49</f>
        <v>44806</v>
      </c>
      <c r="H50" s="135"/>
    </row>
    <row r="51" spans="1:14" s="21" customFormat="1" ht="33.75" customHeight="1" x14ac:dyDescent="0.35">
      <c r="A51" s="136" t="s">
        <v>154</v>
      </c>
      <c r="B51" s="137"/>
      <c r="C51" s="96" t="s">
        <v>179</v>
      </c>
      <c r="D51" s="98"/>
      <c r="E51" s="97"/>
      <c r="F51" s="18" t="s">
        <v>45</v>
      </c>
      <c r="G51" s="134">
        <v>44806</v>
      </c>
      <c r="H51" s="97"/>
    </row>
    <row r="52" spans="1:14" s="21" customFormat="1" ht="33.75" customHeight="1" x14ac:dyDescent="0.35">
      <c r="A52" s="138"/>
      <c r="B52" s="139"/>
      <c r="C52" s="96" t="s">
        <v>192</v>
      </c>
      <c r="D52" s="98"/>
      <c r="E52" s="98"/>
      <c r="F52" s="98"/>
      <c r="G52" s="98"/>
      <c r="H52" s="97"/>
    </row>
    <row r="53" spans="1:14" x14ac:dyDescent="0.35">
      <c r="A53" s="148" t="s">
        <v>47</v>
      </c>
      <c r="B53" s="149"/>
      <c r="C53" s="148" t="s">
        <v>105</v>
      </c>
      <c r="D53" s="150"/>
      <c r="E53" s="149"/>
      <c r="F53" s="42" t="s">
        <v>45</v>
      </c>
      <c r="G53" s="151" t="s">
        <v>30</v>
      </c>
      <c r="H53" s="152"/>
    </row>
    <row r="54" spans="1:14" x14ac:dyDescent="0.35">
      <c r="A54" s="108" t="s">
        <v>49</v>
      </c>
      <c r="B54" s="108"/>
      <c r="C54" s="108"/>
      <c r="D54" s="108"/>
      <c r="E54" s="108"/>
      <c r="F54" s="108"/>
      <c r="G54" s="108"/>
      <c r="H54" s="108"/>
    </row>
    <row r="55" spans="1:14" hidden="1" x14ac:dyDescent="0.35">
      <c r="A55" s="101" t="s">
        <v>95</v>
      </c>
      <c r="B55" s="101"/>
      <c r="C55" s="101"/>
      <c r="D55" s="89">
        <f>E45</f>
        <v>34009.25</v>
      </c>
      <c r="E55" s="89"/>
      <c r="F55" s="89"/>
      <c r="G55" s="89"/>
      <c r="H55" s="89"/>
    </row>
    <row r="56" spans="1:14" hidden="1" x14ac:dyDescent="0.35">
      <c r="A56" s="87" t="s">
        <v>50</v>
      </c>
      <c r="B56" s="117"/>
      <c r="C56" s="117"/>
      <c r="D56" s="117" t="s">
        <v>30</v>
      </c>
      <c r="E56" s="117"/>
      <c r="F56" s="117"/>
      <c r="G56" s="117"/>
      <c r="H56" s="117"/>
      <c r="I56" s="22"/>
    </row>
    <row r="57" spans="1:14" ht="35.25" customHeight="1" x14ac:dyDescent="0.35">
      <c r="A57" s="131" t="s">
        <v>213</v>
      </c>
      <c r="B57" s="132"/>
      <c r="C57" s="133"/>
      <c r="D57" s="129" t="s">
        <v>192</v>
      </c>
      <c r="E57" s="130"/>
      <c r="F57" s="130"/>
      <c r="G57" s="130"/>
      <c r="H57" s="130"/>
    </row>
    <row r="58" spans="1:14" ht="15.75" customHeight="1" x14ac:dyDescent="0.35">
      <c r="A58" s="131" t="s">
        <v>93</v>
      </c>
      <c r="B58" s="132"/>
      <c r="C58" s="132"/>
      <c r="D58" s="142" t="s">
        <v>193</v>
      </c>
      <c r="E58" s="143"/>
      <c r="F58" s="143"/>
      <c r="G58" s="143"/>
      <c r="H58" s="144"/>
    </row>
    <row r="59" spans="1:14" ht="15.75" customHeight="1" x14ac:dyDescent="0.35">
      <c r="A59" s="140"/>
      <c r="B59" s="141"/>
      <c r="C59" s="141"/>
      <c r="D59" s="145" t="s">
        <v>194</v>
      </c>
      <c r="E59" s="146"/>
      <c r="F59" s="146"/>
      <c r="G59" s="146"/>
      <c r="H59" s="147"/>
    </row>
    <row r="60" spans="1:14" ht="15.75" customHeight="1" x14ac:dyDescent="0.35">
      <c r="A60" s="89" t="s">
        <v>48</v>
      </c>
      <c r="B60" s="89"/>
      <c r="C60" s="89"/>
      <c r="D60" s="158" t="s">
        <v>180</v>
      </c>
      <c r="E60" s="158"/>
      <c r="F60" s="158"/>
      <c r="G60" s="158"/>
      <c r="H60" s="158"/>
      <c r="J60" s="23"/>
      <c r="K60" s="22"/>
      <c r="N60" s="22"/>
    </row>
    <row r="61" spans="1:14" ht="15.75" customHeight="1" x14ac:dyDescent="0.35">
      <c r="A61" s="89" t="s">
        <v>91</v>
      </c>
      <c r="B61" s="89"/>
      <c r="C61" s="89"/>
      <c r="D61" s="159" t="str">
        <f>(IF(G53="NA","60 Years After Completion",IF(G53&lt;&gt;"NA",""&amp;60-ROUNDDOWN((E3-G53)/360,0)&amp;" Years"," ")))</f>
        <v>60 Years After Completion</v>
      </c>
      <c r="E61" s="159"/>
      <c r="F61" s="159"/>
      <c r="G61" s="159"/>
      <c r="H61" s="159"/>
      <c r="N61" s="22"/>
    </row>
    <row r="62" spans="1:14" ht="15.75" customHeight="1" x14ac:dyDescent="0.35">
      <c r="A62" s="89" t="s">
        <v>92</v>
      </c>
      <c r="B62" s="89"/>
      <c r="C62" s="89"/>
      <c r="D62" s="101" t="s">
        <v>24</v>
      </c>
      <c r="E62" s="101"/>
      <c r="F62" s="101"/>
      <c r="G62" s="101"/>
      <c r="H62" s="101"/>
      <c r="J62" s="24"/>
      <c r="K62" s="24"/>
    </row>
    <row r="63" spans="1:14" ht="33" customHeight="1" x14ac:dyDescent="0.35">
      <c r="A63" s="89" t="s">
        <v>78</v>
      </c>
      <c r="B63" s="89"/>
      <c r="C63" s="89"/>
      <c r="D63" s="87" t="s">
        <v>207</v>
      </c>
      <c r="E63" s="101"/>
      <c r="F63" s="101"/>
      <c r="G63" s="101"/>
      <c r="H63" s="101"/>
    </row>
    <row r="64" spans="1:14" x14ac:dyDescent="0.35">
      <c r="A64" s="101" t="s">
        <v>147</v>
      </c>
      <c r="B64" s="101"/>
      <c r="C64" s="101"/>
      <c r="D64" s="101" t="s">
        <v>30</v>
      </c>
      <c r="E64" s="101"/>
      <c r="F64" s="101"/>
      <c r="G64" s="101"/>
      <c r="H64" s="101"/>
      <c r="I64" s="25"/>
      <c r="J64" s="25"/>
      <c r="K64" s="25"/>
      <c r="L64" s="25"/>
      <c r="M64" s="25"/>
      <c r="N64" s="25"/>
    </row>
    <row r="65" spans="1:10" ht="15.75" customHeight="1" x14ac:dyDescent="0.35">
      <c r="A65" s="160" t="s">
        <v>90</v>
      </c>
      <c r="B65" s="160"/>
      <c r="C65" s="160"/>
      <c r="D65" s="129" t="str">
        <f ca="1">(IF(E71&gt;95%,"Nothing",IF(E71&gt;0%,"Cement, Aggregate, Steel, etc",IF(E71=0%,"Work not yet Started"))))</f>
        <v>Cement, Aggregate, Steel, etc</v>
      </c>
      <c r="E65" s="129"/>
      <c r="F65" s="129"/>
      <c r="G65" s="129"/>
      <c r="H65" s="129"/>
      <c r="J65" s="24"/>
    </row>
    <row r="66" spans="1:10" ht="33.75" customHeight="1" thickBot="1" x14ac:dyDescent="0.4">
      <c r="A66" s="101" t="s">
        <v>118</v>
      </c>
      <c r="B66" s="101"/>
      <c r="C66" s="101"/>
      <c r="D66" s="87" t="str">
        <f ca="1">(IF(D65="Nothing","Yes",IF(D65="Cement, Aggregate, Steel, etc","Under Construction",IF(D65="Work not yet Started","Work not yet Started"))))</f>
        <v>Under Construction</v>
      </c>
      <c r="E66" s="87"/>
      <c r="F66" s="87" t="str">
        <f ca="1">(IF(D65="Nothing","Yes",IF(D65="Cement, Aggregate, Steel, etc","Under Construction",IF(D65="Work not yet Started","Work not yet Started"))))</f>
        <v>Under Construction</v>
      </c>
      <c r="G66" s="87"/>
      <c r="H66" s="87"/>
    </row>
    <row r="67" spans="1:10" ht="15.75" customHeight="1" x14ac:dyDescent="0.35">
      <c r="A67" s="156" t="s">
        <v>139</v>
      </c>
      <c r="B67" s="156"/>
      <c r="C67" s="156" t="str">
        <f>D58</f>
        <v>(Building No. 11) Wing A, B, C &amp; D = G + 1st to 4th Floor</v>
      </c>
      <c r="D67" s="156"/>
      <c r="E67" s="156"/>
      <c r="F67" s="156"/>
      <c r="G67" s="156"/>
      <c r="H67" s="156"/>
      <c r="I67" s="66" t="str">
        <f ca="1">IF(D80=100%,"All work Completed. Possession granted to the Building.",IF(D79=100%,"All work Completed, Waiting for OC",I68&amp;""&amp;I69&amp;""&amp;J68&amp;""&amp;J67&amp;" "&amp;J69))</f>
        <v>Excavation, Plinth, RCC Slab, Brickwork, Internal Plaster, External Plaster Completed, Flooring upto 3.5 Floor, Electric work upto 3 Floor, Painting upto 3 Floor Completed</v>
      </c>
      <c r="J67" s="45" t="str">
        <f ca="1">(IF(C73=(D68+F68+H68),"",IF(C73&gt;0,", RCC upto "&amp;C73&amp;" Slab","")))&amp;(IF(C74=H68,"",IF(C74&gt;0,", Brickwork upto "&amp;C74&amp;" Floor","")))&amp;(IF(C75=H68,"",IF(C75&gt;0,", Internal Plaster upto "&amp;C75&amp;" Floor","")))&amp;(IF(C76=H68,"",IF(C76&gt;0,", External Plaster upto "&amp;C76&amp;" Floor","")))&amp;(IF(C77=H68,"",IF(C77&gt;0,", Flooring upto "&amp;C77&amp;" Floor","")))&amp;(IF(C78=H68,"",IF(C78&gt;0,", Electric work upto "&amp;C78&amp;" Floor","")))&amp;(IF(C79=H68,"",IF(C79&gt;0,", Painting upto "&amp;C79&amp;" Floor","")))&amp;(IF(C80=H68,"",IF(C80&gt;0,", Possession upto "&amp;C80&amp;" Floor","")))</f>
        <v>, Flooring upto 3.5 Floor, Electric work upto 3 Floor, Painting upto 3 Floor</v>
      </c>
    </row>
    <row r="68" spans="1:10" x14ac:dyDescent="0.35">
      <c r="A68" s="62" t="s">
        <v>141</v>
      </c>
      <c r="B68" s="62">
        <v>0</v>
      </c>
      <c r="C68" s="62" t="s">
        <v>75</v>
      </c>
      <c r="D68" s="62">
        <v>1</v>
      </c>
      <c r="E68" s="62" t="s">
        <v>74</v>
      </c>
      <c r="F68" s="62">
        <v>0</v>
      </c>
      <c r="G68" s="62" t="s">
        <v>84</v>
      </c>
      <c r="H68" s="62">
        <f ca="1">--TRIM(RIGHT(SUBSTITUTE(LEFT(C67,_xlfn.AGGREGATE(16,6,FIND({0,1,2,3,4,5,6,7,8,9},C67,ROW(INDIRECT("1:"&amp;LEN(C67)))),1))," ",REPT(" ",LEN(C67))),LEN(C67)))</f>
        <v>4</v>
      </c>
      <c r="I68" s="63" t="str">
        <f ca="1">IF(D71=100%,"Excavation","")&amp;IF(D72=100%,", Plinth","")&amp;IF(D73=100%,", RCC Slab","")&amp;IF(D74=100%,", Brickwork","")&amp;IF(D75=100%,", Internal Plaster","")&amp;IF(D76=100%,", External Plaster","")&amp;IF(D77=100%,", Flooring","")&amp;IF(D78=100%,", Electric work","")&amp;IF(D79=100%,", Painting &amp; Wodden work","")</f>
        <v>Excavation, Plinth, RCC Slab, Brickwork, Internal Plaster, External Plaster</v>
      </c>
      <c r="J68" s="47" t="str">
        <f ca="1">(IF(C71=0,"Work not yet Started.",IF(D71=25%,"Piling work in process",IF(D71=50%,"Excavation work in process",IF(D71=100%,"","0")))))&amp;(IF(C72=0%,"",IF(C72=J73,", Footing work is process",IF(C72=J74,", Footing work Completed",IF(C72=J75,", 1st Basement Completed",IF(C72=J76,", 1st &amp; 2nd Basement Completed",IF(C72=J77,", 1st to 3rd Basement Completed",IF(C72=J78,", 1st to 4th Basement Completed",IF(C72=J79,", Plinth work is process",IF(C72=J80,"","0"))))))))))</f>
        <v/>
      </c>
    </row>
    <row r="69" spans="1:10" ht="34.5" customHeight="1" x14ac:dyDescent="0.35">
      <c r="A69" s="118" t="s">
        <v>94</v>
      </c>
      <c r="B69" s="118"/>
      <c r="C69" s="156" t="str">
        <f ca="1">I67</f>
        <v>Excavation, Plinth, RCC Slab, Brickwork, Internal Plaster, External Plaster Completed, Flooring upto 3.5 Floor, Electric work upto 3 Floor, Painting upto 3 Floor Completed</v>
      </c>
      <c r="D69" s="156"/>
      <c r="E69" s="156"/>
      <c r="F69" s="156"/>
      <c r="G69" s="156"/>
      <c r="H69" s="156"/>
      <c r="I69" s="63" t="str">
        <f ca="1">IF(I68&lt;&gt;""," Completed","")</f>
        <v xml:space="preserve"> Completed</v>
      </c>
      <c r="J69" s="47" t="str">
        <f ca="1">IF(J67&lt;&gt;"","Completed","")</f>
        <v>Completed</v>
      </c>
    </row>
    <row r="70" spans="1:10" ht="15.75" customHeight="1" x14ac:dyDescent="0.35">
      <c r="A70" s="105" t="s">
        <v>51</v>
      </c>
      <c r="B70" s="105"/>
      <c r="C70" s="61" t="s">
        <v>138</v>
      </c>
      <c r="D70" s="61" t="s">
        <v>87</v>
      </c>
      <c r="E70" s="105" t="s">
        <v>89</v>
      </c>
      <c r="F70" s="105"/>
      <c r="G70" s="105" t="s">
        <v>88</v>
      </c>
      <c r="H70" s="105"/>
      <c r="I70" s="14" t="s">
        <v>140</v>
      </c>
      <c r="J70" s="26">
        <f ca="1">H68*25%</f>
        <v>1</v>
      </c>
    </row>
    <row r="71" spans="1:10" x14ac:dyDescent="0.35">
      <c r="A71" s="105" t="s">
        <v>129</v>
      </c>
      <c r="B71" s="105"/>
      <c r="C71" s="61">
        <v>4</v>
      </c>
      <c r="D71" s="55">
        <f ca="1">((100/H68)*C71)/100</f>
        <v>1</v>
      </c>
      <c r="E71" s="106">
        <f ca="1">(((C72/H68*10)+(50/(D68+F68+H68)*C73)+(5/(H68)*C74)+(5/(H68)*C75)+(5/H68*C76)+(10/H68*C77)+(5/H68*C78)+(5/H68*C79)+(5/H68*C80))/100)</f>
        <v>0.91249999999999998</v>
      </c>
      <c r="F71" s="106"/>
      <c r="G71" s="106">
        <f ca="1">((((C71/H68)*20)+((C72/H68)*25)+(30/(H68+F68+D68)*C73)+(5/H68*C74)+(5/H68*C75)+(5/H68*C76)+(5/H68*C77)+(0/H68*C78)+(5/H68*C79)+(0/H68*C80))/100)</f>
        <v>0.98124999999999996</v>
      </c>
      <c r="H71" s="106"/>
      <c r="I71" s="14" t="s">
        <v>99</v>
      </c>
      <c r="J71" s="27">
        <f ca="1">H68*50%</f>
        <v>2</v>
      </c>
    </row>
    <row r="72" spans="1:10" x14ac:dyDescent="0.35">
      <c r="A72" s="105" t="s">
        <v>52</v>
      </c>
      <c r="B72" s="105"/>
      <c r="C72" s="58">
        <v>4</v>
      </c>
      <c r="D72" s="55">
        <f ca="1">((100/H68)*C72)/100</f>
        <v>1</v>
      </c>
      <c r="E72" s="106"/>
      <c r="F72" s="106"/>
      <c r="G72" s="106"/>
      <c r="H72" s="106"/>
      <c r="I72" s="14" t="s">
        <v>100</v>
      </c>
      <c r="J72" s="27">
        <f ca="1">H68</f>
        <v>4</v>
      </c>
    </row>
    <row r="73" spans="1:10" ht="15.75" customHeight="1" x14ac:dyDescent="0.35">
      <c r="A73" s="105" t="s">
        <v>130</v>
      </c>
      <c r="B73" s="105"/>
      <c r="C73" s="61">
        <v>5</v>
      </c>
      <c r="D73" s="55">
        <f ca="1">((100/(D68+F68+H68))*C73)/100</f>
        <v>1</v>
      </c>
      <c r="E73" s="106"/>
      <c r="F73" s="106"/>
      <c r="G73" s="106"/>
      <c r="H73" s="106"/>
      <c r="I73" s="14" t="s">
        <v>101</v>
      </c>
      <c r="J73" s="28">
        <f ca="1">(IF(B68&gt;1,(H68/(B68+2)),H68/4))</f>
        <v>1</v>
      </c>
    </row>
    <row r="74" spans="1:10" ht="15.75" customHeight="1" x14ac:dyDescent="0.35">
      <c r="A74" s="105" t="s">
        <v>135</v>
      </c>
      <c r="B74" s="105" t="s">
        <v>131</v>
      </c>
      <c r="C74" s="61">
        <v>4</v>
      </c>
      <c r="D74" s="55">
        <f ca="1">((100/H68)*C74)/100</f>
        <v>1</v>
      </c>
      <c r="E74" s="106"/>
      <c r="F74" s="106"/>
      <c r="G74" s="106"/>
      <c r="H74" s="106"/>
      <c r="I74" s="14" t="s">
        <v>102</v>
      </c>
      <c r="J74" s="28">
        <f ca="1">(IF(B68&gt;1,(H68/(B68+2)+J73),H68/4+J73))</f>
        <v>2</v>
      </c>
    </row>
    <row r="75" spans="1:10" ht="15.75" customHeight="1" x14ac:dyDescent="0.35">
      <c r="A75" s="105" t="s">
        <v>136</v>
      </c>
      <c r="B75" s="105" t="s">
        <v>131</v>
      </c>
      <c r="C75" s="61">
        <v>4</v>
      </c>
      <c r="D75" s="55">
        <f ca="1">((100/H68)*C75)/100</f>
        <v>1</v>
      </c>
      <c r="E75" s="106"/>
      <c r="F75" s="106"/>
      <c r="G75" s="106"/>
      <c r="H75" s="106"/>
      <c r="I75" s="14" t="s">
        <v>145</v>
      </c>
      <c r="J75" s="28">
        <f>(IF(B68&gt;1,(H68/(B68+2)+J74),0))</f>
        <v>0</v>
      </c>
    </row>
    <row r="76" spans="1:10" ht="15" customHeight="1" x14ac:dyDescent="0.35">
      <c r="A76" s="105" t="s">
        <v>220</v>
      </c>
      <c r="B76" s="105" t="s">
        <v>133</v>
      </c>
      <c r="C76" s="61">
        <v>4</v>
      </c>
      <c r="D76" s="55">
        <f ca="1">((100/(H68))*C76)/100</f>
        <v>1</v>
      </c>
      <c r="E76" s="106"/>
      <c r="F76" s="106"/>
      <c r="G76" s="106"/>
      <c r="H76" s="106"/>
      <c r="I76" s="14" t="s">
        <v>142</v>
      </c>
      <c r="J76" s="28">
        <f>(IF(B68&gt;2,(H68/(B68+2)+J75),0))</f>
        <v>0</v>
      </c>
    </row>
    <row r="77" spans="1:10" ht="15.75" customHeight="1" x14ac:dyDescent="0.35">
      <c r="A77" s="105" t="s">
        <v>132</v>
      </c>
      <c r="B77" s="105" t="s">
        <v>132</v>
      </c>
      <c r="C77" s="61">
        <v>3.5</v>
      </c>
      <c r="D77" s="55">
        <f ca="1">((100/H68)*C77)/100</f>
        <v>0.875</v>
      </c>
      <c r="E77" s="106"/>
      <c r="F77" s="106"/>
      <c r="G77" s="106"/>
      <c r="H77" s="106"/>
      <c r="I77" s="14" t="s">
        <v>143</v>
      </c>
      <c r="J77" s="29">
        <f>(IF(B68&gt;3,(H68/(B68+2)+J76),0))</f>
        <v>0</v>
      </c>
    </row>
    <row r="78" spans="1:10" ht="15.75" customHeight="1" x14ac:dyDescent="0.35">
      <c r="A78" s="105" t="s">
        <v>221</v>
      </c>
      <c r="B78" s="105"/>
      <c r="C78" s="61">
        <v>3</v>
      </c>
      <c r="D78" s="55">
        <f ca="1">((100/H68)*C78)/100</f>
        <v>0.75</v>
      </c>
      <c r="E78" s="106"/>
      <c r="F78" s="106"/>
      <c r="G78" s="106"/>
      <c r="H78" s="106"/>
      <c r="I78" s="14" t="s">
        <v>144</v>
      </c>
      <c r="J78" s="28">
        <f>(IF(B68&gt;4,(H68/(B68+2)+J77),0))</f>
        <v>0</v>
      </c>
    </row>
    <row r="79" spans="1:10" ht="15.75" customHeight="1" x14ac:dyDescent="0.35">
      <c r="A79" s="105" t="s">
        <v>137</v>
      </c>
      <c r="B79" s="105"/>
      <c r="C79" s="61">
        <v>3</v>
      </c>
      <c r="D79" s="55">
        <f ca="1">((100/(H68))*C79)/100</f>
        <v>0.75</v>
      </c>
      <c r="E79" s="106"/>
      <c r="F79" s="106"/>
      <c r="G79" s="106"/>
      <c r="H79" s="106"/>
      <c r="I79" s="14" t="s">
        <v>146</v>
      </c>
      <c r="J79" s="28">
        <f ca="1">(IF(B68=1,(H68/(B68+3)+J74),IF(B68=0,(H68/4+J74),IF(B68&gt;1,0))))</f>
        <v>3</v>
      </c>
    </row>
    <row r="80" spans="1:10" ht="16" thickBot="1" x14ac:dyDescent="0.4">
      <c r="A80" s="105" t="s">
        <v>134</v>
      </c>
      <c r="B80" s="105"/>
      <c r="C80" s="61">
        <v>0</v>
      </c>
      <c r="D80" s="55">
        <f ca="1">((100/(H68))*C80)/100</f>
        <v>0</v>
      </c>
      <c r="E80" s="106"/>
      <c r="F80" s="106"/>
      <c r="G80" s="106"/>
      <c r="H80" s="106"/>
      <c r="I80" s="15" t="s">
        <v>103</v>
      </c>
      <c r="J80" s="30">
        <f ca="1">(IF(B68&gt;1.5,(H68/(B68+2)+J74+MAX(0,J75-J74)+MAX(0,J76-J75)+MAX(0,J77-J76)+MAX(0,J78-J77)+MAX(0,J79-J78)),IF(B68=1,(H68/(B68+3)+J79),IF(B68=0,H68/4+J79))))</f>
        <v>4</v>
      </c>
    </row>
    <row r="81" spans="1:10" ht="15.75" hidden="1" customHeight="1" x14ac:dyDescent="0.35">
      <c r="A81" s="199" t="s">
        <v>139</v>
      </c>
      <c r="B81" s="200"/>
      <c r="C81" s="201" t="s">
        <v>211</v>
      </c>
      <c r="D81" s="202"/>
      <c r="E81" s="202"/>
      <c r="F81" s="202"/>
      <c r="G81" s="202"/>
      <c r="H81" s="203"/>
      <c r="I81" s="44" t="str">
        <f ca="1">IF(D94=100%,"All work Completed. Possession granted to the Building.",IF(D93=100%,"All work Completed, Waiting for OC",I82&amp;""&amp;I83&amp;""&amp;J82&amp;""&amp;J81&amp;" "&amp;J83))</f>
        <v xml:space="preserve">Excavation, Plinth Completed </v>
      </c>
      <c r="J81" s="45" t="str">
        <f ca="1">(IF(C87=(D82+F82+H82),"",IF(C87&gt;0,", RCC upto "&amp;C87&amp;" Slab","")))&amp;(IF(C88=H82,"",IF(C88&gt;0,", Brickwork upto "&amp;C88&amp;" Floor","")))&amp;(IF(C89=H82,"",IF(C89&gt;0,", Internal Plaster upto "&amp;C89&amp;" Floor","")))&amp;(IF(C90=H82,"",IF(C90&gt;0,", External Plaster upto "&amp;C90&amp;" Floor","")))&amp;(IF(C91=H82,"",IF(C91&gt;0,", Flooring upto "&amp;C91&amp;" Floor","")))&amp;(IF(C92=H82,"",IF(C92&gt;0,", Electric work upto "&amp;C92&amp;" Floor","")))&amp;(IF(C93=H82,"",IF(C93&gt;0,", Painting upto "&amp;C93&amp;" Floor","")))&amp;(IF(C94=H82,"",IF(C94&gt;0,", Possession upto "&amp;C94&amp;" Floor","")))</f>
        <v/>
      </c>
    </row>
    <row r="82" spans="1:10" hidden="1" x14ac:dyDescent="0.35">
      <c r="A82" s="16" t="s">
        <v>141</v>
      </c>
      <c r="B82" s="53">
        <v>0</v>
      </c>
      <c r="C82" s="53" t="s">
        <v>75</v>
      </c>
      <c r="D82" s="53">
        <v>1</v>
      </c>
      <c r="E82" s="53" t="s">
        <v>74</v>
      </c>
      <c r="F82" s="53">
        <v>0</v>
      </c>
      <c r="G82" s="53" t="s">
        <v>84</v>
      </c>
      <c r="H82" s="17">
        <f ca="1">--TRIM(RIGHT(SUBSTITUTE(LEFT(C81,_xlfn.AGGREGATE(16,6,FIND({0,1,2,3,4,5,6,7,8,9},C81,ROW(INDIRECT("1:"&amp;LEN(C81)))),1))," ",REPT(" ",LEN(C81))),LEN(C81)))</f>
        <v>4</v>
      </c>
      <c r="I82" s="46" t="str">
        <f ca="1">IF(D85=100%,"Excavation","")&amp;IF(D86=100%,", Plinth","")&amp;IF(D87=100%,", RCC Slab","")&amp;IF(D88=100%,", Brickwork","")&amp;IF(D89=100%,", Internal Plaster","")&amp;IF(D90=100%,", External Plaster","")&amp;IF(D91=100%,", Flooring","")&amp;IF(D92=100%,", Electric work","")&amp;IF(D93=100%,", Painting &amp; Wodden work","")</f>
        <v>Excavation, Plinth</v>
      </c>
      <c r="J82" s="47" t="str">
        <f ca="1">(IF(C85=0,"Work not yet Started.",IF(D85=25%,"Piling work in process",IF(D85=50%,"Excavation work in process",IF(D85=100%,"","0")))))&amp;(IF(C86=0%,"",IF(C86=J87,", Footing work is process",IF(C86=J88,", Footing work Completed",IF(C86=J89,", 1st Basement Completed",IF(C86=J90,", 1st &amp; 2nd Basement Completed",IF(C86=J91,", 1st to 3rd Basement Completed",IF(C86=J92,", 1st to 4th Basement Completed",IF(C86=J93,", Plinth work is process",IF(C86=J94,"","0"))))))))))</f>
        <v/>
      </c>
    </row>
    <row r="83" spans="1:10" hidden="1" x14ac:dyDescent="0.35">
      <c r="A83" s="186" t="s">
        <v>94</v>
      </c>
      <c r="B83" s="118"/>
      <c r="C83" s="156" t="str">
        <f ca="1">I81</f>
        <v xml:space="preserve">Excavation, Plinth Completed </v>
      </c>
      <c r="D83" s="156"/>
      <c r="E83" s="156"/>
      <c r="F83" s="156"/>
      <c r="G83" s="156"/>
      <c r="H83" s="187"/>
      <c r="I83" s="46" t="str">
        <f ca="1">IF(I82&lt;&gt;""," Completed","")</f>
        <v xml:space="preserve"> Completed</v>
      </c>
      <c r="J83" s="47" t="str">
        <f ca="1">IF(J81&lt;&gt;"","Completed","")</f>
        <v/>
      </c>
    </row>
    <row r="84" spans="1:10" ht="15.75" hidden="1" customHeight="1" x14ac:dyDescent="0.35">
      <c r="A84" s="178" t="s">
        <v>51</v>
      </c>
      <c r="B84" s="105"/>
      <c r="C84" s="54" t="s">
        <v>138</v>
      </c>
      <c r="D84" s="54" t="s">
        <v>87</v>
      </c>
      <c r="E84" s="105" t="s">
        <v>89</v>
      </c>
      <c r="F84" s="105"/>
      <c r="G84" s="105" t="s">
        <v>88</v>
      </c>
      <c r="H84" s="188"/>
      <c r="I84" s="14" t="s">
        <v>140</v>
      </c>
      <c r="J84" s="26">
        <f ca="1">H82*25%</f>
        <v>1</v>
      </c>
    </row>
    <row r="85" spans="1:10" hidden="1" x14ac:dyDescent="0.35">
      <c r="A85" s="178" t="s">
        <v>129</v>
      </c>
      <c r="B85" s="105"/>
      <c r="C85" s="54">
        <v>4</v>
      </c>
      <c r="D85" s="55">
        <f ca="1">((100/H82)*C85)/100</f>
        <v>1</v>
      </c>
      <c r="E85" s="189">
        <f ca="1">(((C86/H82*10)+(50/(D82+F82+H82)*C87)+(5/(H82)*C88)+(5/(H82)*C89)+(5/H82*C90)+(10/H82*C91)+(5/H82*C92)+(5/H82*C93)+(5/H82*C94))/100)</f>
        <v>0.1</v>
      </c>
      <c r="F85" s="190"/>
      <c r="G85" s="189">
        <f ca="1">((((C85/H82)*20)+((C86/H82)*25)+(30/(H82+F82+D82)*C87)+(5/H82*C88)+(5/H82*C89)+(5/H82*C90)+(5/H82*C91)+(0/H82*C92)+(5/H82*C93)+(0/H82*C94))/100)</f>
        <v>0.45</v>
      </c>
      <c r="H85" s="195"/>
      <c r="I85" s="14" t="s">
        <v>99</v>
      </c>
      <c r="J85" s="27">
        <f ca="1">H82*50%</f>
        <v>2</v>
      </c>
    </row>
    <row r="86" spans="1:10" hidden="1" x14ac:dyDescent="0.35">
      <c r="A86" s="178" t="s">
        <v>52</v>
      </c>
      <c r="B86" s="105"/>
      <c r="C86" s="54">
        <v>4</v>
      </c>
      <c r="D86" s="55">
        <f ca="1">((100/H82)*C86)/100</f>
        <v>1</v>
      </c>
      <c r="E86" s="191"/>
      <c r="F86" s="192"/>
      <c r="G86" s="191"/>
      <c r="H86" s="196"/>
      <c r="I86" s="14" t="s">
        <v>100</v>
      </c>
      <c r="J86" s="27">
        <f ca="1">H82</f>
        <v>4</v>
      </c>
    </row>
    <row r="87" spans="1:10" ht="15.75" hidden="1" customHeight="1" x14ac:dyDescent="0.35">
      <c r="A87" s="178" t="s">
        <v>130</v>
      </c>
      <c r="B87" s="105"/>
      <c r="C87" s="54">
        <v>0</v>
      </c>
      <c r="D87" s="55">
        <f ca="1">((100/(D82+F82+H82))*C87)/100</f>
        <v>0</v>
      </c>
      <c r="E87" s="191"/>
      <c r="F87" s="192"/>
      <c r="G87" s="191"/>
      <c r="H87" s="196"/>
      <c r="I87" s="14" t="s">
        <v>101</v>
      </c>
      <c r="J87" s="28">
        <f ca="1">(IF(B82&gt;1,(H82/(B82+2)),H82/4))</f>
        <v>1</v>
      </c>
    </row>
    <row r="88" spans="1:10" ht="15.75" hidden="1" customHeight="1" x14ac:dyDescent="0.35">
      <c r="A88" s="178" t="s">
        <v>135</v>
      </c>
      <c r="B88" s="105" t="s">
        <v>131</v>
      </c>
      <c r="C88" s="54">
        <v>0</v>
      </c>
      <c r="D88" s="55">
        <f ca="1">((100/H82)*C88)/100</f>
        <v>0</v>
      </c>
      <c r="E88" s="191"/>
      <c r="F88" s="192"/>
      <c r="G88" s="191"/>
      <c r="H88" s="196"/>
      <c r="I88" s="14" t="s">
        <v>102</v>
      </c>
      <c r="J88" s="28">
        <f ca="1">(IF(B82&gt;1,(H82/(B82+2)+J87),H82/4+J87))</f>
        <v>2</v>
      </c>
    </row>
    <row r="89" spans="1:10" ht="15.75" hidden="1" customHeight="1" x14ac:dyDescent="0.35">
      <c r="A89" s="178" t="s">
        <v>136</v>
      </c>
      <c r="B89" s="105" t="s">
        <v>131</v>
      </c>
      <c r="C89" s="54">
        <v>0</v>
      </c>
      <c r="D89" s="55">
        <f ca="1">((100/H82)*C89)/100</f>
        <v>0</v>
      </c>
      <c r="E89" s="191"/>
      <c r="F89" s="192"/>
      <c r="G89" s="191"/>
      <c r="H89" s="196"/>
      <c r="I89" s="14" t="s">
        <v>145</v>
      </c>
      <c r="J89" s="28">
        <f>(IF(B82&gt;1,(H82/(B82+2)+J88),0))</f>
        <v>0</v>
      </c>
    </row>
    <row r="90" spans="1:10" ht="15" hidden="1" customHeight="1" x14ac:dyDescent="0.35">
      <c r="A90" s="178" t="s">
        <v>220</v>
      </c>
      <c r="B90" s="105" t="s">
        <v>133</v>
      </c>
      <c r="C90" s="54">
        <v>0</v>
      </c>
      <c r="D90" s="55">
        <f ca="1">((100/(H82))*C90)/100</f>
        <v>0</v>
      </c>
      <c r="E90" s="191"/>
      <c r="F90" s="192"/>
      <c r="G90" s="191"/>
      <c r="H90" s="196"/>
      <c r="I90" s="14" t="s">
        <v>142</v>
      </c>
      <c r="J90" s="28">
        <f>(IF(B82&gt;2,(H82/(B82+2)+J89),0))</f>
        <v>0</v>
      </c>
    </row>
    <row r="91" spans="1:10" ht="15.75" hidden="1" customHeight="1" x14ac:dyDescent="0.35">
      <c r="A91" s="178" t="s">
        <v>132</v>
      </c>
      <c r="B91" s="105" t="s">
        <v>132</v>
      </c>
      <c r="C91" s="54">
        <v>0</v>
      </c>
      <c r="D91" s="55">
        <f ca="1">((100/H82)*C91)/100</f>
        <v>0</v>
      </c>
      <c r="E91" s="191"/>
      <c r="F91" s="192"/>
      <c r="G91" s="191"/>
      <c r="H91" s="196"/>
      <c r="I91" s="14" t="s">
        <v>143</v>
      </c>
      <c r="J91" s="29">
        <f>(IF(B82&gt;3,(H82/(B82+2)+J90),0))</f>
        <v>0</v>
      </c>
    </row>
    <row r="92" spans="1:10" ht="15.75" hidden="1" customHeight="1" x14ac:dyDescent="0.35">
      <c r="A92" s="178" t="s">
        <v>221</v>
      </c>
      <c r="B92" s="105"/>
      <c r="C92" s="54">
        <v>0</v>
      </c>
      <c r="D92" s="55">
        <f ca="1">((100/H82)*C92)/100</f>
        <v>0</v>
      </c>
      <c r="E92" s="191"/>
      <c r="F92" s="192"/>
      <c r="G92" s="191"/>
      <c r="H92" s="196"/>
      <c r="I92" s="14" t="s">
        <v>144</v>
      </c>
      <c r="J92" s="28">
        <f>(IF(B82&gt;4,(H82/(B82+2)+J91),0))</f>
        <v>0</v>
      </c>
    </row>
    <row r="93" spans="1:10" ht="15.75" hidden="1" customHeight="1" x14ac:dyDescent="0.35">
      <c r="A93" s="178" t="s">
        <v>137</v>
      </c>
      <c r="B93" s="105"/>
      <c r="C93" s="54">
        <v>0</v>
      </c>
      <c r="D93" s="55">
        <f ca="1">((100/(H82))*C93)/100</f>
        <v>0</v>
      </c>
      <c r="E93" s="191"/>
      <c r="F93" s="192"/>
      <c r="G93" s="191"/>
      <c r="H93" s="196"/>
      <c r="I93" s="14" t="s">
        <v>146</v>
      </c>
      <c r="J93" s="28">
        <f ca="1">(IF(B82=1,(H82/(B82+3)+J88),IF(B82=0,(H82/4+J88),IF(B82&gt;1,0))))</f>
        <v>3</v>
      </c>
    </row>
    <row r="94" spans="1:10" ht="16" hidden="1" thickBot="1" x14ac:dyDescent="0.4">
      <c r="A94" s="179" t="s">
        <v>134</v>
      </c>
      <c r="B94" s="180"/>
      <c r="C94" s="56">
        <v>0</v>
      </c>
      <c r="D94" s="57">
        <f ca="1">((100/(H82))*C94)/100</f>
        <v>0</v>
      </c>
      <c r="E94" s="193"/>
      <c r="F94" s="194"/>
      <c r="G94" s="193"/>
      <c r="H94" s="197"/>
      <c r="I94" s="15" t="s">
        <v>103</v>
      </c>
      <c r="J94" s="30">
        <f ca="1">(IF(B82&gt;1.5,(H82/(B82+2)+J88+MAX(0,J89-J88)+MAX(0,J90-J89)+MAX(0,J91-J90)+MAX(0,J92-J91)+MAX(0,J93-J92)),IF(B82=1,(H82/(B82+3)+J93),IF(B82=0,H82/4+J93))))</f>
        <v>4</v>
      </c>
    </row>
    <row r="95" spans="1:10" ht="33.75" hidden="1" customHeight="1" thickBot="1" x14ac:dyDescent="0.4">
      <c r="A95" s="173" t="s">
        <v>208</v>
      </c>
      <c r="B95" s="174"/>
      <c r="C95" s="177">
        <f ca="1">AVERAGE(E71,E85)</f>
        <v>0.50624999999999998</v>
      </c>
      <c r="D95" s="177"/>
      <c r="E95" s="173" t="s">
        <v>209</v>
      </c>
      <c r="F95" s="174"/>
      <c r="G95" s="175">
        <f ca="1">AVERAGE(G85,G71)</f>
        <v>0.71562499999999996</v>
      </c>
      <c r="H95" s="176"/>
      <c r="I95" s="15" t="s">
        <v>103</v>
      </c>
      <c r="J95" s="30" t="e">
        <f>(IF(#REF!&gt;1.5,(#REF!/(#REF!+2)+#REF!+MAX(0,#REF!-#REF!)+MAX(0,#REF!-#REF!)+MAX(0,#REF!-#REF!)+MAX(0,#REF!-#REF!)+MAX(0,#REF!-#REF!)),IF(#REF!=1,(#REF!/(#REF!+3)+#REF!),IF(#REF!=0,#REF!/4+#REF!))))</f>
        <v>#REF!</v>
      </c>
    </row>
    <row r="96" spans="1:10" ht="15.75" customHeight="1" x14ac:dyDescent="0.35">
      <c r="A96" s="181" t="s">
        <v>139</v>
      </c>
      <c r="B96" s="182"/>
      <c r="C96" s="183" t="str">
        <f>D59</f>
        <v>(Building No. 12) Wing A, B, C &amp; D = G + 1st to 4th Floor</v>
      </c>
      <c r="D96" s="184"/>
      <c r="E96" s="184"/>
      <c r="F96" s="184"/>
      <c r="G96" s="184"/>
      <c r="H96" s="185"/>
      <c r="I96" s="44" t="str">
        <f ca="1">IF(D109=100%,"All work Completed. Possession granted to the Building.",IF(D108=100%,"All work Completed, Waiting for OC",I97&amp;""&amp;I98&amp;""&amp;J97&amp;""&amp;J96&amp;" "&amp;J98))</f>
        <v>Excavation, Plinth, RCC Slab, Brickwork, Internal Plaster, External Plaster Completed, Flooring upto 3.5 Floor, Electric work upto 3 Floor, Painting upto 3 Floor Completed</v>
      </c>
      <c r="J96" s="45" t="str">
        <f ca="1">(IF(C102=(D97+F97+H97),"",IF(C102&gt;0,", RCC upto "&amp;C102&amp;" Slab","")))&amp;(IF(C103=H97,"",IF(C103&gt;0,", Brickwork upto "&amp;C103&amp;" Floor","")))&amp;(IF(C104=H97,"",IF(C104&gt;0,", Internal Plaster upto "&amp;C104&amp;" Floor","")))&amp;(IF(C105=H97,"",IF(C105&gt;0,", External Plaster upto "&amp;C105&amp;" Floor","")))&amp;(IF(C106=H97,"",IF(C106&gt;0,", Flooring upto "&amp;C106&amp;" Floor","")))&amp;(IF(C107=H97,"",IF(C107&gt;0,", Electric work upto "&amp;C107&amp;" Floor","")))&amp;(IF(C108=H97,"",IF(C108&gt;0,", Painting upto "&amp;C108&amp;" Floor","")))&amp;(IF(C109=H97,"",IF(C109&gt;0,", Possession upto "&amp;C109&amp;" Floor","")))</f>
        <v>, Flooring upto 3.5 Floor, Electric work upto 3 Floor, Painting upto 3 Floor</v>
      </c>
    </row>
    <row r="97" spans="1:10" x14ac:dyDescent="0.35">
      <c r="A97" s="16" t="s">
        <v>141</v>
      </c>
      <c r="B97" s="53">
        <v>0</v>
      </c>
      <c r="C97" s="53" t="s">
        <v>75</v>
      </c>
      <c r="D97" s="53">
        <v>1</v>
      </c>
      <c r="E97" s="53" t="s">
        <v>74</v>
      </c>
      <c r="F97" s="53">
        <v>0</v>
      </c>
      <c r="G97" s="53" t="s">
        <v>84</v>
      </c>
      <c r="H97" s="17">
        <f ca="1">--TRIM(RIGHT(SUBSTITUTE(LEFT(C96,_xlfn.AGGREGATE(16,6,FIND({0,1,2,3,4,5,6,7,8,9},C96,ROW(INDIRECT("1:"&amp;LEN(C96)))),1))," ",REPT(" ",LEN(C96))),LEN(C96)))</f>
        <v>4</v>
      </c>
      <c r="I97" s="46" t="str">
        <f ca="1">IF(D100=100%,"Excavation","")&amp;IF(D101=100%,", Plinth","")&amp;IF(D102=100%,", RCC Slab","")&amp;IF(D103=100%,", Brickwork","")&amp;IF(D104=100%,", Internal Plaster","")&amp;IF(D105=100%,", External Plaster","")&amp;IF(D106=100%,", Flooring","")&amp;IF(D107=100%,", Electric work","")&amp;IF(D108=100%,", Painting &amp; Wodden work","")</f>
        <v>Excavation, Plinth, RCC Slab, Brickwork, Internal Plaster, External Plaster</v>
      </c>
      <c r="J97" s="47" t="str">
        <f ca="1">(IF(C100=0,"Work not yet Started.",IF(D100=25%,"Piling work in process",IF(D100=50%,"Excavation work in process",IF(D100=100%,"","0")))))&amp;(IF(C101=0%,"",IF(C101=J102,", Footing work is process",IF(C101=J103,", Footing work Completed",IF(C101=J104,", 1st Basement Completed",IF(C101=J105,", 1st &amp; 2nd Basement Completed",IF(C101=J106,", 1st to 3rd Basement Completed",IF(C101=J107,", 1st to 4th Basement Completed",IF(C101=J108,", Plinth work is process",IF(C101=J109,"","0"))))))))))</f>
        <v/>
      </c>
    </row>
    <row r="98" spans="1:10" ht="35" customHeight="1" x14ac:dyDescent="0.35">
      <c r="A98" s="186" t="s">
        <v>94</v>
      </c>
      <c r="B98" s="118"/>
      <c r="C98" s="156" t="str">
        <f ca="1">I96</f>
        <v>Excavation, Plinth, RCC Slab, Brickwork, Internal Plaster, External Plaster Completed, Flooring upto 3.5 Floor, Electric work upto 3 Floor, Painting upto 3 Floor Completed</v>
      </c>
      <c r="D98" s="156"/>
      <c r="E98" s="156"/>
      <c r="F98" s="156"/>
      <c r="G98" s="156"/>
      <c r="H98" s="187"/>
      <c r="I98" s="46" t="str">
        <f ca="1">IF(I97&lt;&gt;""," Completed","")</f>
        <v xml:space="preserve"> Completed</v>
      </c>
      <c r="J98" s="47" t="str">
        <f ca="1">IF(J96&lt;&gt;"","Completed","")</f>
        <v>Completed</v>
      </c>
    </row>
    <row r="99" spans="1:10" ht="15.75" customHeight="1" x14ac:dyDescent="0.35">
      <c r="A99" s="178" t="s">
        <v>51</v>
      </c>
      <c r="B99" s="105"/>
      <c r="C99" s="54" t="s">
        <v>138</v>
      </c>
      <c r="D99" s="54" t="s">
        <v>87</v>
      </c>
      <c r="E99" s="105" t="s">
        <v>89</v>
      </c>
      <c r="F99" s="105"/>
      <c r="G99" s="105" t="s">
        <v>88</v>
      </c>
      <c r="H99" s="188"/>
      <c r="I99" s="14" t="s">
        <v>140</v>
      </c>
      <c r="J99" s="26">
        <f ca="1">H97*25%</f>
        <v>1</v>
      </c>
    </row>
    <row r="100" spans="1:10" x14ac:dyDescent="0.35">
      <c r="A100" s="178" t="s">
        <v>129</v>
      </c>
      <c r="B100" s="105"/>
      <c r="C100" s="54">
        <v>4</v>
      </c>
      <c r="D100" s="55">
        <f ca="1">((100/H97)*C100)/100</f>
        <v>1</v>
      </c>
      <c r="E100" s="189">
        <f ca="1">(((C101/H97*10)+(50/(D97+F97+H97)*C102)+(5/(H97)*C103)+(5/(H97)*C104)+(5/H97*C105)+(10/H97*C106)+(5/H97*C107)+(5/H97*C108)+(5/H97*C109))/100)</f>
        <v>0.91249999999999998</v>
      </c>
      <c r="F100" s="190"/>
      <c r="G100" s="189">
        <f ca="1">((((C100/H97)*20)+((C101/H97)*25)+(30/(H97+F97+D97)*C102)+(5/H97*C103)+(5/H97*C104)+(5/H97*C105)+(5/H97*C106)+(0/H97*C107)+(5/H97*C108)+(0/H97*C109))/100)</f>
        <v>0.98124999999999996</v>
      </c>
      <c r="H100" s="195"/>
      <c r="I100" s="14" t="s">
        <v>99</v>
      </c>
      <c r="J100" s="27">
        <f ca="1">H97*50%</f>
        <v>2</v>
      </c>
    </row>
    <row r="101" spans="1:10" x14ac:dyDescent="0.35">
      <c r="A101" s="178" t="s">
        <v>52</v>
      </c>
      <c r="B101" s="105"/>
      <c r="C101" s="58">
        <f ca="1">J109</f>
        <v>4</v>
      </c>
      <c r="D101" s="55">
        <f ca="1">((100/H97)*C101)/100</f>
        <v>1</v>
      </c>
      <c r="E101" s="191"/>
      <c r="F101" s="192"/>
      <c r="G101" s="191"/>
      <c r="H101" s="196"/>
      <c r="I101" s="14" t="s">
        <v>100</v>
      </c>
      <c r="J101" s="27">
        <f ca="1">H97</f>
        <v>4</v>
      </c>
    </row>
    <row r="102" spans="1:10" ht="15.75" customHeight="1" x14ac:dyDescent="0.35">
      <c r="A102" s="178" t="s">
        <v>130</v>
      </c>
      <c r="B102" s="105"/>
      <c r="C102" s="54">
        <v>5</v>
      </c>
      <c r="D102" s="55">
        <f ca="1">((100/(D97+F97+H97))*C102)/100</f>
        <v>1</v>
      </c>
      <c r="E102" s="191"/>
      <c r="F102" s="192"/>
      <c r="G102" s="191"/>
      <c r="H102" s="196"/>
      <c r="I102" s="14" t="s">
        <v>101</v>
      </c>
      <c r="J102" s="28">
        <f ca="1">(IF(B97&gt;1,(H97/(B97+2)),H97/4))</f>
        <v>1</v>
      </c>
    </row>
    <row r="103" spans="1:10" ht="15.75" customHeight="1" x14ac:dyDescent="0.35">
      <c r="A103" s="178" t="s">
        <v>135</v>
      </c>
      <c r="B103" s="105" t="s">
        <v>131</v>
      </c>
      <c r="C103" s="54">
        <v>4</v>
      </c>
      <c r="D103" s="55">
        <f ca="1">((100/H97)*C103)/100</f>
        <v>1</v>
      </c>
      <c r="E103" s="191"/>
      <c r="F103" s="192"/>
      <c r="G103" s="191"/>
      <c r="H103" s="196"/>
      <c r="I103" s="14" t="s">
        <v>102</v>
      </c>
      <c r="J103" s="28">
        <f ca="1">(IF(B97&gt;1,(H97/(B97+2)+J102),H97/4+J102))</f>
        <v>2</v>
      </c>
    </row>
    <row r="104" spans="1:10" ht="15.75" customHeight="1" x14ac:dyDescent="0.35">
      <c r="A104" s="178" t="s">
        <v>136</v>
      </c>
      <c r="B104" s="105" t="s">
        <v>131</v>
      </c>
      <c r="C104" s="54">
        <v>4</v>
      </c>
      <c r="D104" s="55">
        <f ca="1">((100/H97)*C104)/100</f>
        <v>1</v>
      </c>
      <c r="E104" s="191"/>
      <c r="F104" s="192"/>
      <c r="G104" s="191"/>
      <c r="H104" s="196"/>
      <c r="I104" s="14" t="s">
        <v>145</v>
      </c>
      <c r="J104" s="28">
        <f>(IF(B97&gt;1,(H97/(B97+2)+J103),0))</f>
        <v>0</v>
      </c>
    </row>
    <row r="105" spans="1:10" ht="15" customHeight="1" x14ac:dyDescent="0.35">
      <c r="A105" s="178" t="s">
        <v>220</v>
      </c>
      <c r="B105" s="105" t="s">
        <v>133</v>
      </c>
      <c r="C105" s="54">
        <v>4</v>
      </c>
      <c r="D105" s="55">
        <f ca="1">((100/(H97))*C105)/100</f>
        <v>1</v>
      </c>
      <c r="E105" s="191"/>
      <c r="F105" s="192"/>
      <c r="G105" s="191"/>
      <c r="H105" s="196"/>
      <c r="I105" s="14" t="s">
        <v>142</v>
      </c>
      <c r="J105" s="28">
        <f>(IF(B97&gt;2,(H97/(B97+2)+J104),0))</f>
        <v>0</v>
      </c>
    </row>
    <row r="106" spans="1:10" ht="15.75" customHeight="1" x14ac:dyDescent="0.35">
      <c r="A106" s="178" t="s">
        <v>132</v>
      </c>
      <c r="B106" s="105" t="s">
        <v>132</v>
      </c>
      <c r="C106" s="54">
        <v>3.5</v>
      </c>
      <c r="D106" s="55">
        <f ca="1">((100/H97)*C106)/100</f>
        <v>0.875</v>
      </c>
      <c r="E106" s="191"/>
      <c r="F106" s="192"/>
      <c r="G106" s="191"/>
      <c r="H106" s="196"/>
      <c r="I106" s="14" t="s">
        <v>143</v>
      </c>
      <c r="J106" s="29">
        <f>(IF(B97&gt;3,(H97/(B97+2)+J105),0))</f>
        <v>0</v>
      </c>
    </row>
    <row r="107" spans="1:10" ht="15.75" customHeight="1" x14ac:dyDescent="0.35">
      <c r="A107" s="178" t="s">
        <v>221</v>
      </c>
      <c r="B107" s="105"/>
      <c r="C107" s="54">
        <v>3</v>
      </c>
      <c r="D107" s="55">
        <f ca="1">((100/H97)*C107)/100</f>
        <v>0.75</v>
      </c>
      <c r="E107" s="191"/>
      <c r="F107" s="192"/>
      <c r="G107" s="191"/>
      <c r="H107" s="196"/>
      <c r="I107" s="14" t="s">
        <v>144</v>
      </c>
      <c r="J107" s="28">
        <f>(IF(B97&gt;4,(H97/(B97+2)+J106),0))</f>
        <v>0</v>
      </c>
    </row>
    <row r="108" spans="1:10" ht="15.75" customHeight="1" x14ac:dyDescent="0.35">
      <c r="A108" s="178" t="s">
        <v>137</v>
      </c>
      <c r="B108" s="105"/>
      <c r="C108" s="54">
        <v>3</v>
      </c>
      <c r="D108" s="55">
        <f ca="1">((100/(H97))*C108)/100</f>
        <v>0.75</v>
      </c>
      <c r="E108" s="191"/>
      <c r="F108" s="192"/>
      <c r="G108" s="191"/>
      <c r="H108" s="196"/>
      <c r="I108" s="14" t="s">
        <v>146</v>
      </c>
      <c r="J108" s="28">
        <f ca="1">(IF(B97=1,(H97/(B97+3)+J103),IF(B97=0,(H97/4+J103),IF(B97&gt;1,0))))</f>
        <v>3</v>
      </c>
    </row>
    <row r="109" spans="1:10" ht="16" thickBot="1" x14ac:dyDescent="0.4">
      <c r="A109" s="179" t="s">
        <v>134</v>
      </c>
      <c r="B109" s="180"/>
      <c r="C109" s="56">
        <v>0</v>
      </c>
      <c r="D109" s="57">
        <f ca="1">((100/(H97))*C109)/100</f>
        <v>0</v>
      </c>
      <c r="E109" s="193"/>
      <c r="F109" s="194"/>
      <c r="G109" s="193"/>
      <c r="H109" s="197"/>
      <c r="I109" s="15" t="s">
        <v>103</v>
      </c>
      <c r="J109" s="30">
        <f ca="1">(IF(B97&gt;1.5,(H97/(B97+2)+J103+MAX(0,J104-J103)+MAX(0,J105-J104)+MAX(0,J106-J105)+MAX(0,J107-J106)+MAX(0,J108-J107)),IF(B97=1,(H97/(B97+3)+J108),IF(B97=0,H97/4+J108))))</f>
        <v>4</v>
      </c>
    </row>
    <row r="110" spans="1:10" x14ac:dyDescent="0.35">
      <c r="A110" s="198" t="s">
        <v>156</v>
      </c>
      <c r="B110" s="198"/>
      <c r="C110" s="198"/>
      <c r="D110" s="198"/>
      <c r="E110" s="198"/>
      <c r="F110" s="161" t="s">
        <v>159</v>
      </c>
      <c r="G110" s="161"/>
      <c r="H110" s="161"/>
    </row>
    <row r="111" spans="1:10" x14ac:dyDescent="0.35">
      <c r="A111" s="89" t="s">
        <v>158</v>
      </c>
      <c r="B111" s="89"/>
      <c r="C111" s="89"/>
      <c r="D111" s="89"/>
      <c r="E111" s="89"/>
      <c r="F111" s="93">
        <v>5000</v>
      </c>
      <c r="G111" s="93"/>
      <c r="H111" s="93"/>
    </row>
    <row r="112" spans="1:10" x14ac:dyDescent="0.35">
      <c r="A112" s="89" t="s">
        <v>157</v>
      </c>
      <c r="B112" s="89"/>
      <c r="C112" s="89"/>
      <c r="D112" s="89"/>
      <c r="E112" s="89"/>
      <c r="F112" s="162">
        <v>9000</v>
      </c>
      <c r="G112" s="162"/>
      <c r="H112" s="162"/>
    </row>
    <row r="113" spans="1:10" s="31" customFormat="1" x14ac:dyDescent="0.3">
      <c r="A113" s="89" t="s">
        <v>215</v>
      </c>
      <c r="B113" s="89"/>
      <c r="C113" s="89"/>
      <c r="D113" s="89"/>
      <c r="E113" s="89"/>
      <c r="F113" s="162">
        <v>200</v>
      </c>
      <c r="G113" s="162"/>
      <c r="H113" s="162"/>
      <c r="J113" s="31">
        <f>200000/980</f>
        <v>204.08163265306123</v>
      </c>
    </row>
    <row r="114" spans="1:10" s="31" customFormat="1" x14ac:dyDescent="0.3">
      <c r="A114" s="89" t="s">
        <v>216</v>
      </c>
      <c r="B114" s="89"/>
      <c r="C114" s="89"/>
      <c r="D114" s="89"/>
      <c r="E114" s="89"/>
      <c r="F114" s="162">
        <v>50</v>
      </c>
      <c r="G114" s="162"/>
      <c r="H114" s="162"/>
      <c r="J114" s="31">
        <f>25600/980</f>
        <v>26.122448979591837</v>
      </c>
    </row>
    <row r="115" spans="1:10" s="31" customFormat="1" x14ac:dyDescent="0.3">
      <c r="A115" s="89" t="s">
        <v>217</v>
      </c>
      <c r="B115" s="89"/>
      <c r="C115" s="89"/>
      <c r="D115" s="89"/>
      <c r="E115" s="89"/>
      <c r="F115" s="162">
        <v>100</v>
      </c>
      <c r="G115" s="162"/>
      <c r="H115" s="162"/>
      <c r="J115" s="31">
        <f>100000/980</f>
        <v>102.04081632653062</v>
      </c>
    </row>
    <row r="116" spans="1:10" s="31" customFormat="1" x14ac:dyDescent="0.3">
      <c r="A116" s="89" t="s">
        <v>218</v>
      </c>
      <c r="B116" s="89"/>
      <c r="C116" s="89"/>
      <c r="D116" s="89"/>
      <c r="E116" s="89"/>
      <c r="F116" s="162">
        <v>35</v>
      </c>
      <c r="G116" s="162"/>
      <c r="H116" s="162"/>
      <c r="J116" s="31">
        <f>30000/980</f>
        <v>30.612244897959183</v>
      </c>
    </row>
    <row r="117" spans="1:10" x14ac:dyDescent="0.35">
      <c r="A117" s="89" t="s">
        <v>53</v>
      </c>
      <c r="B117" s="89"/>
      <c r="C117" s="89"/>
      <c r="D117" s="89"/>
      <c r="E117" s="89"/>
      <c r="F117" s="162">
        <v>150000</v>
      </c>
      <c r="G117" s="162"/>
      <c r="H117" s="162"/>
    </row>
    <row r="118" spans="1:10" s="32" customFormat="1" x14ac:dyDescent="0.35">
      <c r="A118" s="126" t="s">
        <v>54</v>
      </c>
      <c r="B118" s="126"/>
      <c r="C118" s="126"/>
      <c r="D118" s="126"/>
      <c r="E118" s="126"/>
      <c r="F118" s="162">
        <f>F111*0.8</f>
        <v>4000</v>
      </c>
      <c r="G118" s="162"/>
      <c r="H118" s="162"/>
    </row>
    <row r="119" spans="1:10" s="33" customFormat="1" ht="15.75" customHeight="1" x14ac:dyDescent="0.35">
      <c r="A119" s="77" t="s">
        <v>79</v>
      </c>
      <c r="B119" s="77"/>
      <c r="C119" s="77"/>
      <c r="D119" s="77"/>
      <c r="E119" s="77"/>
      <c r="F119" s="77"/>
      <c r="G119" s="77"/>
      <c r="H119" s="77"/>
    </row>
    <row r="120" spans="1:10" s="33" customFormat="1" ht="15.75" customHeight="1" x14ac:dyDescent="0.35">
      <c r="A120" s="91" t="s">
        <v>55</v>
      </c>
      <c r="B120" s="91"/>
      <c r="C120" s="79" t="s">
        <v>82</v>
      </c>
      <c r="D120" s="79"/>
      <c r="E120" s="109" t="s">
        <v>56</v>
      </c>
      <c r="F120" s="109"/>
      <c r="G120" s="91" t="s">
        <v>57</v>
      </c>
      <c r="H120" s="91"/>
    </row>
    <row r="121" spans="1:10" s="33" customFormat="1" ht="33.75" customHeight="1" x14ac:dyDescent="0.35">
      <c r="A121" s="107" t="s">
        <v>198</v>
      </c>
      <c r="B121" s="107"/>
      <c r="C121" s="114">
        <f>COUNT(D143:D150)</f>
        <v>8</v>
      </c>
      <c r="D121" s="115"/>
      <c r="E121" s="94">
        <f>SUM(D143:D150)</f>
        <v>785.23379999999997</v>
      </c>
      <c r="F121" s="95"/>
      <c r="G121" s="94">
        <f>SUM(F143:F150)</f>
        <v>1177.8507</v>
      </c>
      <c r="H121" s="95"/>
    </row>
    <row r="122" spans="1:10" s="33" customFormat="1" ht="33.75" customHeight="1" x14ac:dyDescent="0.35">
      <c r="A122" s="107" t="s">
        <v>199</v>
      </c>
      <c r="B122" s="107"/>
      <c r="C122" s="114">
        <f>COUNT(D154:D174)</f>
        <v>21</v>
      </c>
      <c r="D122" s="115"/>
      <c r="E122" s="94">
        <f t="shared" ref="E122" si="0">SUM(D154:D174)</f>
        <v>1932.7838399999996</v>
      </c>
      <c r="F122" s="95"/>
      <c r="G122" s="94">
        <f>SUM(F154:F174)</f>
        <v>2899.1757599999996</v>
      </c>
      <c r="H122" s="95"/>
    </row>
    <row r="123" spans="1:10" s="33" customFormat="1" x14ac:dyDescent="0.35">
      <c r="A123" s="77" t="s">
        <v>149</v>
      </c>
      <c r="B123" s="77"/>
      <c r="C123" s="78">
        <f>SUM(C121:D122)</f>
        <v>29</v>
      </c>
      <c r="D123" s="79"/>
      <c r="E123" s="78">
        <f t="shared" ref="E123" si="1">SUM(E121:F122)</f>
        <v>2718.0176399999996</v>
      </c>
      <c r="F123" s="79"/>
      <c r="G123" s="78">
        <f t="shared" ref="G123" si="2">SUM(G121:H122)</f>
        <v>4077.0264599999996</v>
      </c>
      <c r="H123" s="79"/>
    </row>
    <row r="124" spans="1:10" s="33" customFormat="1" x14ac:dyDescent="0.35">
      <c r="A124" s="77" t="s">
        <v>73</v>
      </c>
      <c r="B124" s="77"/>
      <c r="C124" s="77"/>
      <c r="D124" s="77"/>
      <c r="E124" s="77"/>
      <c r="F124" s="77"/>
      <c r="G124" s="77"/>
      <c r="H124" s="77"/>
    </row>
    <row r="125" spans="1:10" s="33" customFormat="1" ht="15.75" customHeight="1" x14ac:dyDescent="0.35">
      <c r="A125" s="91" t="s">
        <v>55</v>
      </c>
      <c r="B125" s="91"/>
      <c r="C125" s="79" t="s">
        <v>82</v>
      </c>
      <c r="D125" s="79"/>
      <c r="E125" s="109" t="s">
        <v>56</v>
      </c>
      <c r="F125" s="109"/>
      <c r="G125" s="91" t="s">
        <v>57</v>
      </c>
      <c r="H125" s="91"/>
    </row>
    <row r="126" spans="1:10" s="33" customFormat="1" x14ac:dyDescent="0.35">
      <c r="A126" s="107" t="s">
        <v>196</v>
      </c>
      <c r="B126" s="60" t="s">
        <v>187</v>
      </c>
      <c r="C126" s="115">
        <f>COUNT(D180:D185)*2+COUNT(D187:D192)*2</f>
        <v>24</v>
      </c>
      <c r="D126" s="115"/>
      <c r="E126" s="163">
        <f t="shared" ref="E126" si="3">SUM(D180:D185)*2+SUM(D187:D192)*2</f>
        <v>8411.6354399999982</v>
      </c>
      <c r="F126" s="163"/>
      <c r="G126" s="163">
        <f>SUM(F180:F185)*2+SUM(F187:F192)*2</f>
        <v>14060</v>
      </c>
      <c r="H126" s="163"/>
    </row>
    <row r="127" spans="1:10" s="33" customFormat="1" x14ac:dyDescent="0.35">
      <c r="A127" s="107"/>
      <c r="B127" s="60" t="s">
        <v>188</v>
      </c>
      <c r="C127" s="115">
        <f>COUNT(D195:D200)*2+COUNT(D202:D207)*2</f>
        <v>24</v>
      </c>
      <c r="D127" s="115"/>
      <c r="E127" s="163">
        <f t="shared" ref="E127" si="4">SUM(D195:D200)*2+SUM(D202:D207)*2</f>
        <v>6899.9392799999987</v>
      </c>
      <c r="F127" s="163"/>
      <c r="G127" s="163">
        <f>SUM(F195:F200)*2+SUM(F202:F207)*2</f>
        <v>11470</v>
      </c>
      <c r="H127" s="163"/>
    </row>
    <row r="128" spans="1:10" s="33" customFormat="1" x14ac:dyDescent="0.35">
      <c r="A128" s="107"/>
      <c r="B128" s="60" t="s">
        <v>189</v>
      </c>
      <c r="C128" s="115">
        <f>COUNT(D210:D215)*2+COUNT(D217:D222)*2</f>
        <v>24</v>
      </c>
      <c r="D128" s="115"/>
      <c r="E128" s="163">
        <f t="shared" ref="E128" si="5">SUM(D210:D215)*2+SUM(D217:D222)*2</f>
        <v>9200.6366399999988</v>
      </c>
      <c r="F128" s="163"/>
      <c r="G128" s="163">
        <f>SUM(F210:F215)*2+SUM(F217:F222)*2</f>
        <v>15350</v>
      </c>
      <c r="H128" s="163"/>
    </row>
    <row r="129" spans="1:14" s="33" customFormat="1" x14ac:dyDescent="0.35">
      <c r="A129" s="107"/>
      <c r="B129" s="60" t="s">
        <v>190</v>
      </c>
      <c r="C129" s="115">
        <f>COUNT(D225:D231)*2+COUNT(D233:D239)*2</f>
        <v>28</v>
      </c>
      <c r="D129" s="115"/>
      <c r="E129" s="163">
        <f t="shared" ref="E129" si="6">SUM(D225:D231)*2+SUM(D233:D239)*2</f>
        <v>11068.621200000001</v>
      </c>
      <c r="F129" s="163"/>
      <c r="G129" s="163">
        <f>SUM(F225:F231)*2+SUM(F233:F239)*2</f>
        <v>18380</v>
      </c>
      <c r="H129" s="163"/>
    </row>
    <row r="130" spans="1:14" s="33" customFormat="1" x14ac:dyDescent="0.35">
      <c r="A130" s="107" t="s">
        <v>197</v>
      </c>
      <c r="B130" s="60" t="s">
        <v>187</v>
      </c>
      <c r="C130" s="115">
        <f>COUNT(D243:D248)*2+COUNT(D250:D255)*2</f>
        <v>24</v>
      </c>
      <c r="D130" s="115"/>
      <c r="E130" s="163">
        <f t="shared" ref="E130" si="7">SUM(D243:D248)*2+SUM(D250:D255)*2</f>
        <v>11062.765584000001</v>
      </c>
      <c r="F130" s="163"/>
      <c r="G130" s="163">
        <f>SUM(F243:F248)*2+SUM(F250:F255)*2</f>
        <v>18128</v>
      </c>
      <c r="H130" s="163"/>
    </row>
    <row r="131" spans="1:14" s="33" customFormat="1" x14ac:dyDescent="0.35">
      <c r="A131" s="107"/>
      <c r="B131" s="60" t="s">
        <v>188</v>
      </c>
      <c r="C131" s="115">
        <f>COUNT(D258:D263)*2+COUNT(D265:D270)*2</f>
        <v>24</v>
      </c>
      <c r="D131" s="115"/>
      <c r="E131" s="163">
        <f>SUM(D258:D263)*2+SUM(D265:D270)*2</f>
        <v>11808.107999999998</v>
      </c>
      <c r="F131" s="163"/>
      <c r="G131" s="163">
        <f>SUM(F258:F263)*2+SUM(F265:F270)*2</f>
        <v>19478</v>
      </c>
      <c r="H131" s="163"/>
    </row>
    <row r="132" spans="1:14" s="33" customFormat="1" x14ac:dyDescent="0.35">
      <c r="A132" s="107"/>
      <c r="B132" s="60" t="s">
        <v>189</v>
      </c>
      <c r="C132" s="115">
        <f>COUNT(D273:D276)*2+COUNT(D278:D281)*2</f>
        <v>16</v>
      </c>
      <c r="D132" s="115"/>
      <c r="E132" s="163">
        <f t="shared" ref="E132" si="8">SUM(D273:D276)*2+SUM(D278:D281)*2</f>
        <v>6873.6751199999999</v>
      </c>
      <c r="F132" s="163"/>
      <c r="G132" s="163">
        <f>SUM(F273:F276)*2+SUM(F278:F281)*2</f>
        <v>11360</v>
      </c>
      <c r="H132" s="163"/>
    </row>
    <row r="133" spans="1:14" s="33" customFormat="1" x14ac:dyDescent="0.35">
      <c r="A133" s="107"/>
      <c r="B133" s="60" t="s">
        <v>190</v>
      </c>
      <c r="C133" s="115">
        <f>COUNT(D284:D289)*2+COUNT(D291:D296)*2</f>
        <v>24</v>
      </c>
      <c r="D133" s="115"/>
      <c r="E133" s="163">
        <f>SUM(D284:D289)*2+SUM(D291:D296)*2</f>
        <v>12720.464639999998</v>
      </c>
      <c r="F133" s="163"/>
      <c r="G133" s="163">
        <f>SUM(F284:F289)*2+SUM(F291:F296)*2</f>
        <v>21428</v>
      </c>
      <c r="H133" s="163"/>
    </row>
    <row r="134" spans="1:14" s="33" customFormat="1" x14ac:dyDescent="0.35">
      <c r="A134" s="77" t="s">
        <v>149</v>
      </c>
      <c r="B134" s="77"/>
      <c r="C134" s="79">
        <f>SUM(C126:D133)</f>
        <v>188</v>
      </c>
      <c r="D134" s="79"/>
      <c r="E134" s="78">
        <f t="shared" ref="E134" si="9">SUM(E126:F133)</f>
        <v>78045.845903999987</v>
      </c>
      <c r="F134" s="78"/>
      <c r="G134" s="78">
        <f t="shared" ref="G134" si="10">SUM(G126:H133)</f>
        <v>129654</v>
      </c>
      <c r="H134" s="78"/>
    </row>
    <row r="135" spans="1:14" s="33" customFormat="1" x14ac:dyDescent="0.35">
      <c r="A135" s="77" t="s">
        <v>225</v>
      </c>
      <c r="B135" s="77"/>
      <c r="C135" s="78">
        <f>C134+C123</f>
        <v>217</v>
      </c>
      <c r="D135" s="79"/>
      <c r="E135" s="78">
        <f>E134+E123</f>
        <v>80763.863543999993</v>
      </c>
      <c r="F135" s="78"/>
      <c r="G135" s="78">
        <f>G134+G123</f>
        <v>133731.02645999999</v>
      </c>
      <c r="H135" s="78"/>
    </row>
    <row r="136" spans="1:14" s="32" customFormat="1" x14ac:dyDescent="0.35">
      <c r="A136" s="113" t="s">
        <v>58</v>
      </c>
      <c r="B136" s="113"/>
      <c r="C136" s="113"/>
      <c r="D136" s="113"/>
      <c r="E136" s="113"/>
      <c r="F136" s="113"/>
      <c r="G136" s="113"/>
      <c r="H136" s="113"/>
    </row>
    <row r="137" spans="1:14" x14ac:dyDescent="0.35">
      <c r="A137" s="113" t="s">
        <v>59</v>
      </c>
      <c r="B137" s="113"/>
      <c r="C137" s="113"/>
      <c r="D137" s="113"/>
      <c r="E137" s="113"/>
      <c r="F137" s="113"/>
      <c r="G137" s="113"/>
      <c r="H137" s="113"/>
      <c r="K137" s="49">
        <f>10.764</f>
        <v>10.763999999999999</v>
      </c>
    </row>
    <row r="138" spans="1:14" ht="47.25" customHeight="1" x14ac:dyDescent="0.35">
      <c r="A138" s="111" t="s">
        <v>120</v>
      </c>
      <c r="B138" s="111" t="s">
        <v>119</v>
      </c>
      <c r="C138" s="111" t="s">
        <v>60</v>
      </c>
      <c r="D138" s="111" t="s">
        <v>61</v>
      </c>
      <c r="E138" s="164" t="s">
        <v>155</v>
      </c>
      <c r="F138" s="41" t="s">
        <v>148</v>
      </c>
      <c r="G138" s="166" t="s">
        <v>63</v>
      </c>
      <c r="H138" s="167"/>
    </row>
    <row r="139" spans="1:14" s="35" customFormat="1" x14ac:dyDescent="0.35">
      <c r="A139" s="112"/>
      <c r="B139" s="112"/>
      <c r="C139" s="112"/>
      <c r="D139" s="112"/>
      <c r="E139" s="165"/>
      <c r="F139" s="13">
        <v>0.5</v>
      </c>
      <c r="G139" s="168"/>
      <c r="H139" s="169"/>
    </row>
    <row r="140" spans="1:14" s="35" customFormat="1" x14ac:dyDescent="0.35">
      <c r="A140" s="67" t="s">
        <v>181</v>
      </c>
      <c r="B140" s="68"/>
      <c r="C140" s="68"/>
      <c r="D140" s="68"/>
      <c r="E140" s="68"/>
      <c r="F140" s="68"/>
      <c r="G140" s="68"/>
      <c r="H140" s="69"/>
      <c r="J140" s="34"/>
    </row>
    <row r="141" spans="1:14" s="35" customFormat="1" x14ac:dyDescent="0.35">
      <c r="A141" s="67" t="s">
        <v>203</v>
      </c>
      <c r="B141" s="68"/>
      <c r="C141" s="68"/>
      <c r="D141" s="68"/>
      <c r="E141" s="68"/>
      <c r="F141" s="68"/>
      <c r="G141" s="68"/>
      <c r="H141" s="69"/>
      <c r="J141" s="34"/>
    </row>
    <row r="142" spans="1:14" s="35" customFormat="1" x14ac:dyDescent="0.35">
      <c r="A142" s="67" t="s">
        <v>182</v>
      </c>
      <c r="B142" s="68"/>
      <c r="C142" s="68"/>
      <c r="D142" s="68"/>
      <c r="E142" s="68"/>
      <c r="F142" s="68"/>
      <c r="G142" s="68"/>
      <c r="H142" s="69"/>
      <c r="J142" s="34"/>
    </row>
    <row r="143" spans="1:14" s="35" customFormat="1" ht="15.75" customHeight="1" x14ac:dyDescent="0.35">
      <c r="A143" s="71">
        <v>1</v>
      </c>
      <c r="B143" s="72"/>
      <c r="C143" s="40" t="s">
        <v>183</v>
      </c>
      <c r="D143" s="49">
        <f>(9.01)*(10.764)</f>
        <v>96.983639999999994</v>
      </c>
      <c r="E143" s="40">
        <v>0</v>
      </c>
      <c r="F143" s="40">
        <f>(D143+E143)*(($F$139)+1)</f>
        <v>145.47546</v>
      </c>
      <c r="G143" s="80" t="str">
        <f>A142</f>
        <v>Ground Floor For Commercial &amp; Part Parking</v>
      </c>
      <c r="H143" s="81"/>
      <c r="I143" s="34"/>
      <c r="L143" s="86"/>
      <c r="M143" s="86"/>
      <c r="N143" s="34"/>
    </row>
    <row r="144" spans="1:14" s="35" customFormat="1" ht="15.75" customHeight="1" x14ac:dyDescent="0.35">
      <c r="A144" s="71">
        <f t="shared" ref="A144:A150" si="11">A143+1</f>
        <v>2</v>
      </c>
      <c r="B144" s="72"/>
      <c r="C144" s="40" t="s">
        <v>183</v>
      </c>
      <c r="D144" s="49">
        <f>(8.1)*(10.764)</f>
        <v>87.188399999999987</v>
      </c>
      <c r="E144" s="40">
        <v>0</v>
      </c>
      <c r="F144" s="40">
        <f t="shared" ref="F144:F150" si="12">(D144+E144)*(($F$139)+1)</f>
        <v>130.78259999999997</v>
      </c>
      <c r="G144" s="82"/>
      <c r="H144" s="83"/>
      <c r="I144" s="34"/>
      <c r="L144" s="86"/>
      <c r="M144" s="86"/>
      <c r="N144" s="34"/>
    </row>
    <row r="145" spans="1:14" s="35" customFormat="1" ht="15.75" customHeight="1" x14ac:dyDescent="0.35">
      <c r="A145" s="71">
        <f t="shared" si="11"/>
        <v>3</v>
      </c>
      <c r="B145" s="72"/>
      <c r="C145" s="40" t="s">
        <v>183</v>
      </c>
      <c r="D145" s="49">
        <f>(9.45)*(10.764)</f>
        <v>101.71979999999999</v>
      </c>
      <c r="E145" s="40">
        <v>0</v>
      </c>
      <c r="F145" s="40">
        <f t="shared" si="12"/>
        <v>152.5797</v>
      </c>
      <c r="G145" s="82"/>
      <c r="H145" s="83"/>
      <c r="I145" s="34"/>
      <c r="L145" s="86"/>
      <c r="M145" s="86"/>
      <c r="N145" s="34"/>
    </row>
    <row r="146" spans="1:14" s="35" customFormat="1" ht="15.75" customHeight="1" x14ac:dyDescent="0.35">
      <c r="A146" s="71">
        <f t="shared" si="11"/>
        <v>4</v>
      </c>
      <c r="B146" s="72"/>
      <c r="C146" s="40" t="s">
        <v>183</v>
      </c>
      <c r="D146" s="49">
        <f>(9.19)*(10.764)</f>
        <v>98.921159999999986</v>
      </c>
      <c r="E146" s="40">
        <v>0</v>
      </c>
      <c r="F146" s="40">
        <f t="shared" si="12"/>
        <v>148.38173999999998</v>
      </c>
      <c r="G146" s="82"/>
      <c r="H146" s="83"/>
      <c r="I146" s="34"/>
      <c r="L146" s="86"/>
      <c r="M146" s="86"/>
      <c r="N146" s="34"/>
    </row>
    <row r="147" spans="1:14" s="35" customFormat="1" ht="15.75" customHeight="1" x14ac:dyDescent="0.35">
      <c r="A147" s="71">
        <f t="shared" si="11"/>
        <v>5</v>
      </c>
      <c r="B147" s="72"/>
      <c r="C147" s="40" t="s">
        <v>183</v>
      </c>
      <c r="D147" s="49">
        <f>(8.87)*(10.764)</f>
        <v>95.476679999999988</v>
      </c>
      <c r="E147" s="40">
        <v>0</v>
      </c>
      <c r="F147" s="40">
        <f t="shared" si="12"/>
        <v>143.21501999999998</v>
      </c>
      <c r="G147" s="82"/>
      <c r="H147" s="83"/>
      <c r="I147" s="34"/>
      <c r="L147" s="86"/>
      <c r="M147" s="86"/>
      <c r="N147" s="34"/>
    </row>
    <row r="148" spans="1:14" s="35" customFormat="1" ht="15.75" customHeight="1" x14ac:dyDescent="0.35">
      <c r="A148" s="71">
        <f t="shared" si="11"/>
        <v>6</v>
      </c>
      <c r="B148" s="72"/>
      <c r="C148" s="40" t="s">
        <v>183</v>
      </c>
      <c r="D148" s="49">
        <f>(9.5)*(10.764)</f>
        <v>102.258</v>
      </c>
      <c r="E148" s="40">
        <v>0</v>
      </c>
      <c r="F148" s="40">
        <f t="shared" si="12"/>
        <v>153.387</v>
      </c>
      <c r="G148" s="82"/>
      <c r="H148" s="83"/>
      <c r="I148" s="34"/>
      <c r="L148" s="86"/>
      <c r="M148" s="86"/>
      <c r="N148" s="34"/>
    </row>
    <row r="149" spans="1:14" s="35" customFormat="1" ht="15.75" customHeight="1" x14ac:dyDescent="0.35">
      <c r="A149" s="71">
        <f t="shared" si="11"/>
        <v>7</v>
      </c>
      <c r="B149" s="72"/>
      <c r="C149" s="40" t="s">
        <v>183</v>
      </c>
      <c r="D149" s="49">
        <f>(9.68)*(10.764)</f>
        <v>104.19551999999999</v>
      </c>
      <c r="E149" s="40">
        <v>0</v>
      </c>
      <c r="F149" s="40">
        <f t="shared" si="12"/>
        <v>156.29327999999998</v>
      </c>
      <c r="G149" s="82"/>
      <c r="H149" s="83"/>
      <c r="I149" s="34"/>
      <c r="L149" s="86"/>
      <c r="M149" s="86"/>
      <c r="N149" s="34"/>
    </row>
    <row r="150" spans="1:14" s="35" customFormat="1" ht="15.75" customHeight="1" x14ac:dyDescent="0.35">
      <c r="A150" s="71">
        <f t="shared" si="11"/>
        <v>8</v>
      </c>
      <c r="B150" s="72"/>
      <c r="C150" s="40" t="s">
        <v>183</v>
      </c>
      <c r="D150" s="49">
        <f>(9.15)*(10.764)</f>
        <v>98.490600000000001</v>
      </c>
      <c r="E150" s="40">
        <v>0</v>
      </c>
      <c r="F150" s="40">
        <f t="shared" si="12"/>
        <v>147.73590000000002</v>
      </c>
      <c r="G150" s="84"/>
      <c r="H150" s="85"/>
      <c r="I150" s="34"/>
      <c r="L150" s="86"/>
      <c r="M150" s="86"/>
      <c r="N150" s="34"/>
    </row>
    <row r="151" spans="1:14" s="35" customFormat="1" x14ac:dyDescent="0.35">
      <c r="A151" s="67" t="s">
        <v>184</v>
      </c>
      <c r="B151" s="68"/>
      <c r="C151" s="68"/>
      <c r="D151" s="68"/>
      <c r="E151" s="68"/>
      <c r="F151" s="68"/>
      <c r="G151" s="68"/>
      <c r="H151" s="69"/>
      <c r="J151" s="34"/>
    </row>
    <row r="152" spans="1:14" s="35" customFormat="1" x14ac:dyDescent="0.35">
      <c r="A152" s="67" t="s">
        <v>200</v>
      </c>
      <c r="B152" s="68"/>
      <c r="C152" s="68"/>
      <c r="D152" s="68"/>
      <c r="E152" s="68"/>
      <c r="F152" s="68"/>
      <c r="G152" s="68"/>
      <c r="H152" s="69"/>
      <c r="J152" s="34"/>
    </row>
    <row r="153" spans="1:14" s="35" customFormat="1" ht="15.75" customHeight="1" x14ac:dyDescent="0.35">
      <c r="A153" s="67" t="s">
        <v>182</v>
      </c>
      <c r="B153" s="68"/>
      <c r="C153" s="68"/>
      <c r="D153" s="68"/>
      <c r="E153" s="68"/>
      <c r="F153" s="68"/>
      <c r="G153" s="68"/>
      <c r="H153" s="69"/>
      <c r="J153" s="34"/>
    </row>
    <row r="154" spans="1:14" s="35" customFormat="1" ht="15.75" customHeight="1" x14ac:dyDescent="0.35">
      <c r="A154" s="71">
        <v>1</v>
      </c>
      <c r="B154" s="72"/>
      <c r="C154" s="40" t="s">
        <v>183</v>
      </c>
      <c r="D154" s="49">
        <f>(8.44)*(10.764)</f>
        <v>90.848159999999993</v>
      </c>
      <c r="E154" s="40">
        <v>0</v>
      </c>
      <c r="F154" s="40">
        <f>(D154+E154)*(($F$139)+1)</f>
        <v>136.27223999999998</v>
      </c>
      <c r="G154" s="80" t="str">
        <f>A153</f>
        <v>Ground Floor For Commercial &amp; Part Parking</v>
      </c>
      <c r="H154" s="81"/>
      <c r="I154" s="34"/>
      <c r="L154" s="86"/>
      <c r="M154" s="86"/>
      <c r="N154" s="34"/>
    </row>
    <row r="155" spans="1:14" s="35" customFormat="1" ht="15.75" customHeight="1" x14ac:dyDescent="0.35">
      <c r="A155" s="71">
        <f t="shared" ref="A155:A174" si="13">A154+1</f>
        <v>2</v>
      </c>
      <c r="B155" s="72"/>
      <c r="C155" s="40" t="s">
        <v>183</v>
      </c>
      <c r="D155" s="49">
        <f>(8.77)*(10.764)</f>
        <v>94.400279999999995</v>
      </c>
      <c r="E155" s="40">
        <v>0</v>
      </c>
      <c r="F155" s="40">
        <f t="shared" ref="F155:F157" si="14">(D155+E155)*(($F$139)+1)</f>
        <v>141.60041999999999</v>
      </c>
      <c r="G155" s="82"/>
      <c r="H155" s="83"/>
      <c r="I155" s="34"/>
      <c r="L155" s="86"/>
      <c r="M155" s="86"/>
      <c r="N155" s="34"/>
    </row>
    <row r="156" spans="1:14" s="35" customFormat="1" ht="15.75" customHeight="1" x14ac:dyDescent="0.35">
      <c r="A156" s="71">
        <f t="shared" si="13"/>
        <v>3</v>
      </c>
      <c r="B156" s="72"/>
      <c r="C156" s="40" t="s">
        <v>183</v>
      </c>
      <c r="D156" s="49">
        <f>(9.51)*(10.764)</f>
        <v>102.36563999999998</v>
      </c>
      <c r="E156" s="40">
        <v>0</v>
      </c>
      <c r="F156" s="40">
        <f t="shared" si="14"/>
        <v>153.54845999999998</v>
      </c>
      <c r="G156" s="82"/>
      <c r="H156" s="83"/>
      <c r="I156" s="34"/>
      <c r="L156" s="86"/>
      <c r="M156" s="86"/>
      <c r="N156" s="34"/>
    </row>
    <row r="157" spans="1:14" s="35" customFormat="1" ht="15.75" customHeight="1" x14ac:dyDescent="0.35">
      <c r="A157" s="71">
        <f t="shared" si="13"/>
        <v>4</v>
      </c>
      <c r="B157" s="72"/>
      <c r="C157" s="40" t="s">
        <v>183</v>
      </c>
      <c r="D157" s="49">
        <f>(5.14)*(10.764)</f>
        <v>55.326959999999993</v>
      </c>
      <c r="E157" s="40">
        <v>0</v>
      </c>
      <c r="F157" s="40">
        <f t="shared" si="14"/>
        <v>82.990439999999992</v>
      </c>
      <c r="G157" s="82"/>
      <c r="H157" s="83"/>
      <c r="I157" s="34"/>
      <c r="L157" s="86"/>
      <c r="M157" s="86"/>
      <c r="N157" s="34"/>
    </row>
    <row r="158" spans="1:14" s="35" customFormat="1" ht="15.75" customHeight="1" x14ac:dyDescent="0.35">
      <c r="A158" s="71">
        <f t="shared" si="13"/>
        <v>5</v>
      </c>
      <c r="B158" s="72"/>
      <c r="C158" s="40" t="s">
        <v>183</v>
      </c>
      <c r="D158" s="49">
        <f>(9.04)*(10.764)</f>
        <v>97.30655999999999</v>
      </c>
      <c r="E158" s="40">
        <v>0</v>
      </c>
      <c r="F158" s="40">
        <f t="shared" ref="F158:F160" si="15">(D158+E158)*(($F$139)+1)</f>
        <v>145.95983999999999</v>
      </c>
      <c r="G158" s="82"/>
      <c r="H158" s="83"/>
      <c r="I158" s="34"/>
      <c r="L158" s="86"/>
      <c r="M158" s="86"/>
      <c r="N158" s="34"/>
    </row>
    <row r="159" spans="1:14" s="35" customFormat="1" ht="15.75" customHeight="1" x14ac:dyDescent="0.35">
      <c r="A159" s="71">
        <f t="shared" si="13"/>
        <v>6</v>
      </c>
      <c r="B159" s="72"/>
      <c r="C159" s="40" t="s">
        <v>183</v>
      </c>
      <c r="D159" s="49">
        <f>(7.89)*(10.764)</f>
        <v>84.927959999999985</v>
      </c>
      <c r="E159" s="40">
        <v>0</v>
      </c>
      <c r="F159" s="40">
        <f t="shared" si="15"/>
        <v>127.39193999999998</v>
      </c>
      <c r="G159" s="82"/>
      <c r="H159" s="83"/>
      <c r="I159" s="34"/>
      <c r="L159" s="86"/>
      <c r="M159" s="86"/>
      <c r="N159" s="34"/>
    </row>
    <row r="160" spans="1:14" s="35" customFormat="1" ht="15.75" customHeight="1" x14ac:dyDescent="0.35">
      <c r="A160" s="71">
        <f t="shared" si="13"/>
        <v>7</v>
      </c>
      <c r="B160" s="72"/>
      <c r="C160" s="40" t="s">
        <v>183</v>
      </c>
      <c r="D160" s="49">
        <f>(9.55)*(10.764)</f>
        <v>102.7962</v>
      </c>
      <c r="E160" s="40">
        <v>0</v>
      </c>
      <c r="F160" s="40">
        <f t="shared" si="15"/>
        <v>154.1943</v>
      </c>
      <c r="G160" s="82"/>
      <c r="H160" s="83"/>
      <c r="I160" s="34"/>
      <c r="L160" s="86"/>
      <c r="M160" s="86"/>
      <c r="N160" s="34"/>
    </row>
    <row r="161" spans="1:14" s="35" customFormat="1" ht="15.75" customHeight="1" x14ac:dyDescent="0.35">
      <c r="A161" s="71">
        <f t="shared" si="13"/>
        <v>8</v>
      </c>
      <c r="B161" s="72"/>
      <c r="C161" s="40" t="s">
        <v>183</v>
      </c>
      <c r="D161" s="49">
        <f>(9.57)*(10.764)</f>
        <v>103.01147999999999</v>
      </c>
      <c r="E161" s="40">
        <v>0</v>
      </c>
      <c r="F161" s="40">
        <f t="shared" ref="F161:F167" si="16">(D161+E161)*(($F$139)+1)</f>
        <v>154.51721999999998</v>
      </c>
      <c r="G161" s="82"/>
      <c r="H161" s="83"/>
      <c r="I161" s="34"/>
      <c r="L161" s="86"/>
      <c r="M161" s="86"/>
      <c r="N161" s="34"/>
    </row>
    <row r="162" spans="1:14" s="35" customFormat="1" ht="15.75" customHeight="1" x14ac:dyDescent="0.35">
      <c r="A162" s="71">
        <f t="shared" si="13"/>
        <v>9</v>
      </c>
      <c r="B162" s="72"/>
      <c r="C162" s="40" t="s">
        <v>183</v>
      </c>
      <c r="D162" s="49">
        <f>(8.01)*(10.764)</f>
        <v>86.219639999999998</v>
      </c>
      <c r="E162" s="40">
        <v>0</v>
      </c>
      <c r="F162" s="40">
        <f t="shared" si="16"/>
        <v>129.32945999999998</v>
      </c>
      <c r="G162" s="82"/>
      <c r="H162" s="83"/>
      <c r="I162" s="34"/>
      <c r="L162" s="86"/>
      <c r="M162" s="86"/>
      <c r="N162" s="34"/>
    </row>
    <row r="163" spans="1:14" s="35" customFormat="1" ht="15.75" customHeight="1" x14ac:dyDescent="0.35">
      <c r="A163" s="71">
        <f t="shared" si="13"/>
        <v>10</v>
      </c>
      <c r="B163" s="72"/>
      <c r="C163" s="40" t="s">
        <v>183</v>
      </c>
      <c r="D163" s="49">
        <f>(6.47)*(10.764)</f>
        <v>69.643079999999998</v>
      </c>
      <c r="E163" s="40">
        <v>0</v>
      </c>
      <c r="F163" s="40">
        <f t="shared" si="16"/>
        <v>104.46462</v>
      </c>
      <c r="G163" s="82"/>
      <c r="H163" s="83"/>
      <c r="I163" s="34"/>
      <c r="L163" s="86"/>
      <c r="M163" s="86"/>
      <c r="N163" s="34"/>
    </row>
    <row r="164" spans="1:14" s="35" customFormat="1" ht="15.75" customHeight="1" x14ac:dyDescent="0.35">
      <c r="A164" s="71">
        <f t="shared" si="13"/>
        <v>11</v>
      </c>
      <c r="B164" s="72"/>
      <c r="C164" s="40" t="s">
        <v>183</v>
      </c>
      <c r="D164" s="49">
        <f>(6.44)*(10.764)</f>
        <v>69.320160000000001</v>
      </c>
      <c r="E164" s="40">
        <v>0</v>
      </c>
      <c r="F164" s="40">
        <f t="shared" si="16"/>
        <v>103.98024000000001</v>
      </c>
      <c r="G164" s="82"/>
      <c r="H164" s="83"/>
      <c r="I164" s="34"/>
      <c r="L164" s="86"/>
      <c r="M164" s="86"/>
      <c r="N164" s="34"/>
    </row>
    <row r="165" spans="1:14" s="35" customFormat="1" ht="15.75" customHeight="1" x14ac:dyDescent="0.35">
      <c r="A165" s="71">
        <f t="shared" si="13"/>
        <v>12</v>
      </c>
      <c r="B165" s="72"/>
      <c r="C165" s="40" t="s">
        <v>183</v>
      </c>
      <c r="D165" s="49">
        <f>(9.05)*(10.764)</f>
        <v>97.414200000000008</v>
      </c>
      <c r="E165" s="40">
        <v>0</v>
      </c>
      <c r="F165" s="40">
        <f t="shared" si="16"/>
        <v>146.12130000000002</v>
      </c>
      <c r="G165" s="82"/>
      <c r="H165" s="83"/>
      <c r="I165" s="34"/>
      <c r="L165" s="86"/>
      <c r="M165" s="86"/>
      <c r="N165" s="34"/>
    </row>
    <row r="166" spans="1:14" s="35" customFormat="1" ht="15.75" customHeight="1" x14ac:dyDescent="0.35">
      <c r="A166" s="71">
        <f t="shared" si="13"/>
        <v>13</v>
      </c>
      <c r="B166" s="72"/>
      <c r="C166" s="40" t="s">
        <v>183</v>
      </c>
      <c r="D166" s="49">
        <f>(8.52)*(10.764)</f>
        <v>91.709279999999993</v>
      </c>
      <c r="E166" s="40">
        <v>0</v>
      </c>
      <c r="F166" s="40">
        <f t="shared" si="16"/>
        <v>137.56392</v>
      </c>
      <c r="G166" s="82"/>
      <c r="H166" s="83"/>
      <c r="I166" s="34"/>
      <c r="L166" s="86"/>
      <c r="M166" s="86"/>
      <c r="N166" s="34"/>
    </row>
    <row r="167" spans="1:14" s="35" customFormat="1" ht="15.75" customHeight="1" x14ac:dyDescent="0.35">
      <c r="A167" s="71">
        <f t="shared" si="13"/>
        <v>14</v>
      </c>
      <c r="B167" s="72"/>
      <c r="C167" s="40" t="s">
        <v>183</v>
      </c>
      <c r="D167" s="49">
        <f>(9.99)*(10.764)</f>
        <v>107.53236</v>
      </c>
      <c r="E167" s="40">
        <v>0</v>
      </c>
      <c r="F167" s="40">
        <f t="shared" si="16"/>
        <v>161.29854</v>
      </c>
      <c r="G167" s="82"/>
      <c r="H167" s="83"/>
      <c r="I167" s="34"/>
      <c r="L167" s="86"/>
      <c r="M167" s="86"/>
      <c r="N167" s="34"/>
    </row>
    <row r="168" spans="1:14" s="35" customFormat="1" ht="15.75" customHeight="1" x14ac:dyDescent="0.35">
      <c r="A168" s="71">
        <f t="shared" si="13"/>
        <v>15</v>
      </c>
      <c r="B168" s="72"/>
      <c r="C168" s="40" t="s">
        <v>183</v>
      </c>
      <c r="D168" s="49">
        <f>(8.51)*(10.764)</f>
        <v>91.601639999999989</v>
      </c>
      <c r="E168" s="40">
        <v>0</v>
      </c>
      <c r="F168" s="40">
        <f t="shared" ref="F168:F173" si="17">(D168+E168)*(($F$139)+1)</f>
        <v>137.40245999999999</v>
      </c>
      <c r="G168" s="82"/>
      <c r="H168" s="83"/>
      <c r="I168" s="34"/>
      <c r="L168" s="86"/>
      <c r="M168" s="86"/>
      <c r="N168" s="34"/>
    </row>
    <row r="169" spans="1:14" s="35" customFormat="1" ht="15.75" customHeight="1" x14ac:dyDescent="0.35">
      <c r="A169" s="71">
        <f t="shared" si="13"/>
        <v>16</v>
      </c>
      <c r="B169" s="72"/>
      <c r="C169" s="40" t="s">
        <v>183</v>
      </c>
      <c r="D169" s="49">
        <f>(8.97)*(10.764)</f>
        <v>96.553079999999994</v>
      </c>
      <c r="E169" s="40">
        <v>0</v>
      </c>
      <c r="F169" s="40">
        <f t="shared" si="17"/>
        <v>144.82961999999998</v>
      </c>
      <c r="G169" s="82"/>
      <c r="H169" s="83"/>
      <c r="I169" s="34"/>
      <c r="L169" s="86"/>
      <c r="M169" s="86"/>
      <c r="N169" s="34"/>
    </row>
    <row r="170" spans="1:14" s="35" customFormat="1" ht="15.75" customHeight="1" x14ac:dyDescent="0.35">
      <c r="A170" s="71">
        <f t="shared" si="13"/>
        <v>17</v>
      </c>
      <c r="B170" s="72"/>
      <c r="C170" s="40" t="s">
        <v>183</v>
      </c>
      <c r="D170" s="49">
        <f>(9.14)*(10.764)</f>
        <v>98.382959999999997</v>
      </c>
      <c r="E170" s="40">
        <v>0</v>
      </c>
      <c r="F170" s="40">
        <f t="shared" si="17"/>
        <v>147.57443999999998</v>
      </c>
      <c r="G170" s="82"/>
      <c r="H170" s="83"/>
      <c r="I170" s="34"/>
      <c r="L170" s="86"/>
      <c r="M170" s="86"/>
      <c r="N170" s="34"/>
    </row>
    <row r="171" spans="1:14" s="35" customFormat="1" ht="15.75" customHeight="1" x14ac:dyDescent="0.35">
      <c r="A171" s="71">
        <f t="shared" si="13"/>
        <v>18</v>
      </c>
      <c r="B171" s="72"/>
      <c r="C171" s="40" t="s">
        <v>183</v>
      </c>
      <c r="D171" s="49">
        <f>(8.98)*(10.764)</f>
        <v>96.660719999999998</v>
      </c>
      <c r="E171" s="40">
        <v>0</v>
      </c>
      <c r="F171" s="40">
        <f t="shared" si="17"/>
        <v>144.99108000000001</v>
      </c>
      <c r="G171" s="82"/>
      <c r="H171" s="83"/>
      <c r="I171" s="34"/>
      <c r="L171" s="86"/>
      <c r="M171" s="86"/>
      <c r="N171" s="34"/>
    </row>
    <row r="172" spans="1:14" s="35" customFormat="1" ht="15.75" customHeight="1" x14ac:dyDescent="0.35">
      <c r="A172" s="71">
        <f t="shared" si="13"/>
        <v>19</v>
      </c>
      <c r="B172" s="72"/>
      <c r="C172" s="40" t="s">
        <v>183</v>
      </c>
      <c r="D172" s="49">
        <f>(9.18)*(10.764)</f>
        <v>98.813519999999997</v>
      </c>
      <c r="E172" s="40">
        <v>0</v>
      </c>
      <c r="F172" s="40">
        <f t="shared" si="17"/>
        <v>148.22028</v>
      </c>
      <c r="G172" s="82"/>
      <c r="H172" s="83"/>
      <c r="I172" s="34"/>
      <c r="L172" s="86"/>
      <c r="M172" s="86"/>
      <c r="N172" s="34"/>
    </row>
    <row r="173" spans="1:14" s="35" customFormat="1" ht="15.75" customHeight="1" x14ac:dyDescent="0.35">
      <c r="A173" s="71">
        <f t="shared" si="13"/>
        <v>20</v>
      </c>
      <c r="B173" s="72"/>
      <c r="C173" s="40" t="s">
        <v>183</v>
      </c>
      <c r="D173" s="49">
        <f>(9.21)*(10.764)</f>
        <v>99.136440000000007</v>
      </c>
      <c r="E173" s="40">
        <v>0</v>
      </c>
      <c r="F173" s="40">
        <f t="shared" si="17"/>
        <v>148.70466000000002</v>
      </c>
      <c r="G173" s="82"/>
      <c r="H173" s="83"/>
      <c r="I173" s="34"/>
      <c r="L173" s="86"/>
      <c r="M173" s="86"/>
      <c r="N173" s="34"/>
    </row>
    <row r="174" spans="1:14" s="35" customFormat="1" ht="15.75" customHeight="1" x14ac:dyDescent="0.35">
      <c r="A174" s="71">
        <f t="shared" si="13"/>
        <v>21</v>
      </c>
      <c r="B174" s="72"/>
      <c r="C174" s="40" t="s">
        <v>183</v>
      </c>
      <c r="D174" s="49">
        <f>(9.18)*(10.764)</f>
        <v>98.813519999999997</v>
      </c>
      <c r="E174" s="40">
        <v>0</v>
      </c>
      <c r="F174" s="40">
        <f t="shared" ref="F174" si="18">(D174+E174)*(($F$139)+1)</f>
        <v>148.22028</v>
      </c>
      <c r="G174" s="84"/>
      <c r="H174" s="85"/>
      <c r="I174" s="34"/>
      <c r="L174" s="86"/>
      <c r="M174" s="86"/>
      <c r="N174" s="34"/>
    </row>
    <row r="175" spans="1:14" s="35" customFormat="1" x14ac:dyDescent="0.35">
      <c r="A175" s="73"/>
      <c r="B175" s="73"/>
      <c r="C175" s="73"/>
      <c r="D175" s="73"/>
      <c r="E175" s="73"/>
      <c r="F175" s="73"/>
      <c r="G175" s="73"/>
      <c r="H175" s="73"/>
      <c r="I175" s="34"/>
      <c r="N175" s="34"/>
    </row>
    <row r="176" spans="1:14" ht="47.25" customHeight="1" x14ac:dyDescent="0.35">
      <c r="A176" s="64" t="s">
        <v>121</v>
      </c>
      <c r="B176" s="64" t="s">
        <v>122</v>
      </c>
      <c r="C176" s="64" t="s">
        <v>60</v>
      </c>
      <c r="D176" s="64" t="s">
        <v>61</v>
      </c>
      <c r="E176" s="65" t="s">
        <v>62</v>
      </c>
      <c r="F176" s="64" t="s">
        <v>191</v>
      </c>
      <c r="G176" s="92" t="s">
        <v>63</v>
      </c>
      <c r="H176" s="92"/>
      <c r="I176" s="34"/>
    </row>
    <row r="177" spans="1:13" s="35" customFormat="1" x14ac:dyDescent="0.35">
      <c r="A177" s="70" t="s">
        <v>181</v>
      </c>
      <c r="B177" s="70"/>
      <c r="C177" s="70"/>
      <c r="D177" s="70"/>
      <c r="E177" s="70"/>
      <c r="F177" s="70"/>
      <c r="G177" s="70"/>
      <c r="H177" s="70"/>
      <c r="J177" s="34"/>
    </row>
    <row r="178" spans="1:13" s="35" customFormat="1" x14ac:dyDescent="0.35">
      <c r="A178" s="70" t="s">
        <v>187</v>
      </c>
      <c r="B178" s="70"/>
      <c r="C178" s="70"/>
      <c r="D178" s="70"/>
      <c r="E178" s="70"/>
      <c r="F178" s="70"/>
      <c r="G178" s="70"/>
      <c r="H178" s="70"/>
      <c r="J178" s="34"/>
    </row>
    <row r="179" spans="1:13" s="35" customFormat="1" x14ac:dyDescent="0.35">
      <c r="A179" s="70" t="s">
        <v>185</v>
      </c>
      <c r="B179" s="70"/>
      <c r="C179" s="70"/>
      <c r="D179" s="70"/>
      <c r="E179" s="70"/>
      <c r="F179" s="70"/>
      <c r="G179" s="70"/>
      <c r="H179" s="70"/>
      <c r="I179" s="34"/>
    </row>
    <row r="180" spans="1:13" s="35" customFormat="1" ht="15.75" customHeight="1" x14ac:dyDescent="0.35">
      <c r="A180" s="73" t="str">
        <f ca="1">(SUMPRODUCT(MID(0&amp;(LEFT(A179,SUM(LEN(A179)-LEN(SUBSTITUTE(A179,{"0","1","2"},""))))), LARGE(INDEX(ISNUMBER(--MID((LEFT(A179,SUM(LEN(A179)-LEN(SUBSTITUTE(A179,{"0","1","2"},""))))), ROW(INDIRECT("1:"&amp;LEN((LEFT(A179,SUM(LEN(A179)-LEN(SUBSTITUTE(A179,{"0","1","2"},"")))))))), 1)) * ROW(INDIRECT("1:"&amp;LEN((LEFT(A179,SUM(LEN(A179)-LEN(SUBSTITUTE(A179,{"0","1","2"},"")))))))), 0), ROW(INDIRECT("1:"&amp;LEN((LEFT(A179,SUM(LEN(A179)-LEN(SUBSTITUTE(A179,{"0","1","2"},"")))))))))+1, 1) * 10^ROW(INDIRECT("1:"&amp;LEN((LEFT(A179,SUM(LEN(A179)-LEN(SUBSTITUTE(A179,{"0","1","2"},""))))))))/10))*100+1&amp;""&amp;" &amp; "&amp;""&amp;(SUMPRODUCT(MID(0&amp;(--TRIM(RIGHT(SUBSTITUTE(LEFT(A179,_xlfn.AGGREGATE(16,6,FIND({0,1,2,3,4,5,6,7,8,9},A179,ROW(INDIRECT("1:"&amp;LEN(A179)))),1))," ",REPT(" ",LEN(A179))),LEN(A179)))), LARGE(INDEX(ISNUMBER(--MID((--TRIM(RIGHT(SUBSTITUTE(LEFT(A179,_xlfn.AGGREGATE(16,6,FIND({0,1,2,3,4,5,6,7,8,9},A179,ROW(INDIRECT("1:"&amp;LEN(A179)))),1))," ",REPT(" ",LEN(A179))),LEN(A179)))), ROW(INDIRECT("1:"&amp;LEN((--TRIM(RIGHT(SUBSTITUTE(LEFT(A179,_xlfn.AGGREGATE(16,6,FIND({0,1,2,3,4,5,6,7,8,9},A179,ROW(INDIRECT("1:"&amp;LEN(A179)))),1))," ",REPT(" ",LEN(A179))),LEN(A179))))))), 1)) * ROW(INDIRECT("1:"&amp;LEN((--TRIM(RIGHT(SUBSTITUTE(LEFT(A179,_xlfn.AGGREGATE(16,6,FIND({0,1,2,3,4,5,6,7,8,9},A179,ROW(INDIRECT("1:"&amp;LEN(A179)))),1))," ",REPT(" ",LEN(A179))),LEN(A179))))))), 0), ROW(INDIRECT("1:"&amp;LEN((--TRIM(RIGHT(SUBSTITUTE(LEFT(A179,_xlfn.AGGREGATE(16,6,FIND({0,1,2,3,4,5,6,7,8,9},A179,ROW(INDIRECT("1:"&amp;LEN(A179)))),1))," ",REPT(" ",LEN(A179))),LEN(A179))))))))+1, 1) * 10^ROW(INDIRECT("1:"&amp;LEN((--TRIM(RIGHT(SUBSTITUTE(LEFT(A179,_xlfn.AGGREGATE(16,6,FIND({0,1,2,3,4,5,6,7,8,9},A179,ROW(INDIRECT("1:"&amp;LEN(A179)))),1))," ",REPT(" ",LEN(A179))),LEN(A179)))))))/10))*100+1</f>
        <v>101 &amp; 301</v>
      </c>
      <c r="B180" s="73"/>
      <c r="C180" s="48">
        <v>1</v>
      </c>
      <c r="D180" s="49">
        <f>(32.84+1.08)*(10.764)</f>
        <v>365.11487999999997</v>
      </c>
      <c r="E180" s="49">
        <f>(4.2)*(10.764)</f>
        <v>45.208799999999997</v>
      </c>
      <c r="F180" s="40">
        <v>660</v>
      </c>
      <c r="G180" s="73" t="str">
        <f>A179</f>
        <v>1st &amp; 3rd Floor</v>
      </c>
      <c r="H180" s="73"/>
      <c r="I180" s="34">
        <f>500*F180</f>
        <v>330000</v>
      </c>
      <c r="L180" s="35">
        <f>4900*F180</f>
        <v>3234000</v>
      </c>
      <c r="M180" s="35">
        <f>5000*F180</f>
        <v>3300000</v>
      </c>
    </row>
    <row r="181" spans="1:13" s="35" customFormat="1" ht="15.75" customHeight="1" x14ac:dyDescent="0.35">
      <c r="A181" s="73" t="str">
        <f ca="1">(SUMPRODUCT(MID(0&amp;(LEFT(A180,SUM(LEN(A180)-LEN(SUBSTITUTE(A180,{"0","1","2"},""))))), LARGE(INDEX(ISNUMBER(--MID((LEFT(A180,SUM(LEN(A180)-LEN(SUBSTITUTE(A180,{"0","1","2"},""))))), ROW(INDIRECT("1:"&amp;LEN((LEFT(A180,SUM(LEN(A180)-LEN(SUBSTITUTE(A180,{"0","1","2"},"")))))))), 1)) * ROW(INDIRECT("1:"&amp;LEN((LEFT(A180,SUM(LEN(A180)-LEN(SUBSTITUTE(A180,{"0","1","2"},"")))))))), 0), ROW(INDIRECT("1:"&amp;LEN((LEFT(A180,SUM(LEN(A180)-LEN(SUBSTITUTE(A180,{"0","1","2"},"")))))))))+1, 1) * 10^ROW(INDIRECT("1:"&amp;LEN((LEFT(A180,SUM(LEN(A180)-LEN(SUBSTITUTE(A180,{"0","1","2"},""))))))))/10))*1+1&amp;""&amp;" &amp; "&amp;""&amp;(SUMPRODUCT(MID(0&amp;(--TRIM(RIGHT(SUBSTITUTE(LEFT(A180,_xlfn.AGGREGATE(16,6,FIND({0,1,2,3,4,5,6,7,8,9},A180,ROW(INDIRECT("1:"&amp;LEN(A180)))),1))," ",REPT(" ",LEN(A180))),LEN(A180)))), LARGE(INDEX(ISNUMBER(--MID((--TRIM(RIGHT(SUBSTITUTE(LEFT(A180,_xlfn.AGGREGATE(16,6,FIND({0,1,2,3,4,5,6,7,8,9},A180,ROW(INDIRECT("1:"&amp;LEN(A180)))),1))," ",REPT(" ",LEN(A180))),LEN(A180)))), ROW(INDIRECT("1:"&amp;LEN((--TRIM(RIGHT(SUBSTITUTE(LEFT(A180,_xlfn.AGGREGATE(16,6,FIND({0,1,2,3,4,5,6,7,8,9},A180,ROW(INDIRECT("1:"&amp;LEN(A180)))),1))," ",REPT(" ",LEN(A180))),LEN(A180))))))), 1)) * ROW(INDIRECT("1:"&amp;LEN((--TRIM(RIGHT(SUBSTITUTE(LEFT(A180,_xlfn.AGGREGATE(16,6,FIND({0,1,2,3,4,5,6,7,8,9},A180,ROW(INDIRECT("1:"&amp;LEN(A180)))),1))," ",REPT(" ",LEN(A180))),LEN(A180))))))), 0), ROW(INDIRECT("1:"&amp;LEN((--TRIM(RIGHT(SUBSTITUTE(LEFT(A180,_xlfn.AGGREGATE(16,6,FIND({0,1,2,3,4,5,6,7,8,9},A180,ROW(INDIRECT("1:"&amp;LEN(A180)))),1))," ",REPT(" ",LEN(A180))),LEN(A180))))))))+1, 1) * 10^ROW(INDIRECT("1:"&amp;LEN((--TRIM(RIGHT(SUBSTITUTE(LEFT(A180,_xlfn.AGGREGATE(16,6,FIND({0,1,2,3,4,5,6,7,8,9},A180,ROW(INDIRECT("1:"&amp;LEN(A180)))),1))," ",REPT(" ",LEN(A180))),LEN(A180)))))))/10))*1+1</f>
        <v>102 &amp; 302</v>
      </c>
      <c r="B181" s="73"/>
      <c r="C181" s="48">
        <v>1</v>
      </c>
      <c r="D181" s="49">
        <f>(32.01+2.5+1.08)*(10.764)</f>
        <v>383.09075999999993</v>
      </c>
      <c r="E181" s="49">
        <f>(7.65)*(10.764)</f>
        <v>82.3446</v>
      </c>
      <c r="F181" s="40">
        <v>730</v>
      </c>
      <c r="G181" s="73"/>
      <c r="H181" s="73"/>
      <c r="I181" s="34">
        <f t="shared" ref="I181:I185" si="19">500*F181</f>
        <v>365000</v>
      </c>
      <c r="L181" s="35">
        <f t="shared" ref="L181:L185" si="20">4900*F181</f>
        <v>3577000</v>
      </c>
      <c r="M181" s="35">
        <f t="shared" ref="M181:M185" si="21">5000*F181</f>
        <v>3650000</v>
      </c>
    </row>
    <row r="182" spans="1:13" s="35" customFormat="1" ht="15.75" customHeight="1" x14ac:dyDescent="0.35">
      <c r="A182" s="73" t="str">
        <f ca="1">(SUMPRODUCT(MID(0&amp;(LEFT(A181,SUM(LEN(A181)-LEN(SUBSTITUTE(A181,{"0","1","2"},""))))), LARGE(INDEX(ISNUMBER(--MID((LEFT(A181,SUM(LEN(A181)-LEN(SUBSTITUTE(A181,{"0","1","2"},""))))), ROW(INDIRECT("1:"&amp;LEN((LEFT(A181,SUM(LEN(A181)-LEN(SUBSTITUTE(A181,{"0","1","2"},"")))))))), 1)) * ROW(INDIRECT("1:"&amp;LEN((LEFT(A181,SUM(LEN(A181)-LEN(SUBSTITUTE(A181,{"0","1","2"},"")))))))), 0), ROW(INDIRECT("1:"&amp;LEN((LEFT(A181,SUM(LEN(A181)-LEN(SUBSTITUTE(A181,{"0","1","2"},"")))))))))+1, 1) * 10^ROW(INDIRECT("1:"&amp;LEN((LEFT(A181,SUM(LEN(A181)-LEN(SUBSTITUTE(A181,{"0","1","2"},""))))))))/10))*1+1&amp;""&amp;" &amp; "&amp;""&amp;(SUMPRODUCT(MID(0&amp;(--TRIM(RIGHT(SUBSTITUTE(LEFT(A181,_xlfn.AGGREGATE(16,6,FIND({0,1,2,3,4,5,6,7,8,9},A181,ROW(INDIRECT("1:"&amp;LEN(A181)))),1))," ",REPT(" ",LEN(A181))),LEN(A181)))), LARGE(INDEX(ISNUMBER(--MID((--TRIM(RIGHT(SUBSTITUTE(LEFT(A181,_xlfn.AGGREGATE(16,6,FIND({0,1,2,3,4,5,6,7,8,9},A181,ROW(INDIRECT("1:"&amp;LEN(A181)))),1))," ",REPT(" ",LEN(A181))),LEN(A181)))), ROW(INDIRECT("1:"&amp;LEN((--TRIM(RIGHT(SUBSTITUTE(LEFT(A181,_xlfn.AGGREGATE(16,6,FIND({0,1,2,3,4,5,6,7,8,9},A181,ROW(INDIRECT("1:"&amp;LEN(A181)))),1))," ",REPT(" ",LEN(A181))),LEN(A181))))))), 1)) * ROW(INDIRECT("1:"&amp;LEN((--TRIM(RIGHT(SUBSTITUTE(LEFT(A181,_xlfn.AGGREGATE(16,6,FIND({0,1,2,3,4,5,6,7,8,9},A181,ROW(INDIRECT("1:"&amp;LEN(A181)))),1))," ",REPT(" ",LEN(A181))),LEN(A181))))))), 0), ROW(INDIRECT("1:"&amp;LEN((--TRIM(RIGHT(SUBSTITUTE(LEFT(A181,_xlfn.AGGREGATE(16,6,FIND({0,1,2,3,4,5,6,7,8,9},A181,ROW(INDIRECT("1:"&amp;LEN(A181)))),1))," ",REPT(" ",LEN(A181))),LEN(A181))))))))+1, 1) * 10^ROW(INDIRECT("1:"&amp;LEN((--TRIM(RIGHT(SUBSTITUTE(LEFT(A181,_xlfn.AGGREGATE(16,6,FIND({0,1,2,3,4,5,6,7,8,9},A181,ROW(INDIRECT("1:"&amp;LEN(A181)))),1))," ",REPT(" ",LEN(A181))),LEN(A181)))))))/10))*1+1</f>
        <v>103 &amp; 303</v>
      </c>
      <c r="B182" s="73"/>
      <c r="C182" s="48">
        <v>1</v>
      </c>
      <c r="D182" s="49">
        <f>(29.51+2.5+3.56)*(10.764)</f>
        <v>382.87548000000004</v>
      </c>
      <c r="E182" s="40">
        <v>0</v>
      </c>
      <c r="F182" s="40">
        <v>615</v>
      </c>
      <c r="G182" s="73"/>
      <c r="H182" s="73"/>
      <c r="I182" s="34">
        <f t="shared" si="19"/>
        <v>307500</v>
      </c>
      <c r="J182" s="35">
        <f>3400000/F182</f>
        <v>5528.4552845528451</v>
      </c>
      <c r="L182" s="35">
        <f t="shared" si="20"/>
        <v>3013500</v>
      </c>
      <c r="M182" s="35">
        <f t="shared" si="21"/>
        <v>3075000</v>
      </c>
    </row>
    <row r="183" spans="1:13" s="35" customFormat="1" ht="15.75" customHeight="1" x14ac:dyDescent="0.35">
      <c r="A183" s="73" t="str">
        <f ca="1">(SUMPRODUCT(MID(0&amp;(LEFT(A182,SUM(LEN(A182)-LEN(SUBSTITUTE(A182,{"0","1","2"},""))))), LARGE(INDEX(ISNUMBER(--MID((LEFT(A182,SUM(LEN(A182)-LEN(SUBSTITUTE(A182,{"0","1","2"},""))))), ROW(INDIRECT("1:"&amp;LEN((LEFT(A182,SUM(LEN(A182)-LEN(SUBSTITUTE(A182,{"0","1","2"},"")))))))), 1)) * ROW(INDIRECT("1:"&amp;LEN((LEFT(A182,SUM(LEN(A182)-LEN(SUBSTITUTE(A182,{"0","1","2"},"")))))))), 0), ROW(INDIRECT("1:"&amp;LEN((LEFT(A182,SUM(LEN(A182)-LEN(SUBSTITUTE(A182,{"0","1","2"},"")))))))))+1, 1) * 10^ROW(INDIRECT("1:"&amp;LEN((LEFT(A182,SUM(LEN(A182)-LEN(SUBSTITUTE(A182,{"0","1","2"},""))))))))/10))*1+1&amp;""&amp;" &amp; "&amp;""&amp;(SUMPRODUCT(MID(0&amp;(--TRIM(RIGHT(SUBSTITUTE(LEFT(A182,_xlfn.AGGREGATE(16,6,FIND({0,1,2,3,4,5,6,7,8,9},A182,ROW(INDIRECT("1:"&amp;LEN(A182)))),1))," ",REPT(" ",LEN(A182))),LEN(A182)))), LARGE(INDEX(ISNUMBER(--MID((--TRIM(RIGHT(SUBSTITUTE(LEFT(A182,_xlfn.AGGREGATE(16,6,FIND({0,1,2,3,4,5,6,7,8,9},A182,ROW(INDIRECT("1:"&amp;LEN(A182)))),1))," ",REPT(" ",LEN(A182))),LEN(A182)))), ROW(INDIRECT("1:"&amp;LEN((--TRIM(RIGHT(SUBSTITUTE(LEFT(A182,_xlfn.AGGREGATE(16,6,FIND({0,1,2,3,4,5,6,7,8,9},A182,ROW(INDIRECT("1:"&amp;LEN(A182)))),1))," ",REPT(" ",LEN(A182))),LEN(A182))))))), 1)) * ROW(INDIRECT("1:"&amp;LEN((--TRIM(RIGHT(SUBSTITUTE(LEFT(A182,_xlfn.AGGREGATE(16,6,FIND({0,1,2,3,4,5,6,7,8,9},A182,ROW(INDIRECT("1:"&amp;LEN(A182)))),1))," ",REPT(" ",LEN(A182))),LEN(A182))))))), 0), ROW(INDIRECT("1:"&amp;LEN((--TRIM(RIGHT(SUBSTITUTE(LEFT(A182,_xlfn.AGGREGATE(16,6,FIND({0,1,2,3,4,5,6,7,8,9},A182,ROW(INDIRECT("1:"&amp;LEN(A182)))),1))," ",REPT(" ",LEN(A182))),LEN(A182))))))))+1, 1) * 10^ROW(INDIRECT("1:"&amp;LEN((--TRIM(RIGHT(SUBSTITUTE(LEFT(A182,_xlfn.AGGREGATE(16,6,FIND({0,1,2,3,4,5,6,7,8,9},A182,ROW(INDIRECT("1:"&amp;LEN(A182)))),1))," ",REPT(" ",LEN(A182))),LEN(A182)))))))/10))*1+1</f>
        <v>104 &amp; 304</v>
      </c>
      <c r="B183" s="73"/>
      <c r="C183" s="48">
        <v>1</v>
      </c>
      <c r="D183" s="49">
        <f>(32.6+8.25)*(10.764)</f>
        <v>439.70940000000002</v>
      </c>
      <c r="E183" s="40">
        <v>0</v>
      </c>
      <c r="F183" s="40">
        <v>710</v>
      </c>
      <c r="G183" s="73"/>
      <c r="H183" s="73"/>
      <c r="I183" s="34">
        <f t="shared" si="19"/>
        <v>355000</v>
      </c>
      <c r="L183" s="35">
        <f t="shared" si="20"/>
        <v>3479000</v>
      </c>
      <c r="M183" s="35">
        <f t="shared" si="21"/>
        <v>3550000</v>
      </c>
    </row>
    <row r="184" spans="1:13" s="35" customFormat="1" ht="15.75" customHeight="1" x14ac:dyDescent="0.35">
      <c r="A184" s="73" t="str">
        <f ca="1">(SUMPRODUCT(MID(0&amp;(LEFT(A183,SUM(LEN(A183)-LEN(SUBSTITUTE(A183,{"0","1","2"},""))))), LARGE(INDEX(ISNUMBER(--MID((LEFT(A183,SUM(LEN(A183)-LEN(SUBSTITUTE(A183,{"0","1","2"},""))))), ROW(INDIRECT("1:"&amp;LEN((LEFT(A183,SUM(LEN(A183)-LEN(SUBSTITUTE(A183,{"0","1","2"},"")))))))), 1)) * ROW(INDIRECT("1:"&amp;LEN((LEFT(A183,SUM(LEN(A183)-LEN(SUBSTITUTE(A183,{"0","1","2"},"")))))))), 0), ROW(INDIRECT("1:"&amp;LEN((LEFT(A183,SUM(LEN(A183)-LEN(SUBSTITUTE(A183,{"0","1","2"},"")))))))))+1, 1) * 10^ROW(INDIRECT("1:"&amp;LEN((LEFT(A183,SUM(LEN(A183)-LEN(SUBSTITUTE(A183,{"0","1","2"},""))))))))/10))*1+1&amp;""&amp;" &amp; "&amp;""&amp;(SUMPRODUCT(MID(0&amp;(--TRIM(RIGHT(SUBSTITUTE(LEFT(A183,_xlfn.AGGREGATE(16,6,FIND({0,1,2,3,4,5,6,7,8,9},A183,ROW(INDIRECT("1:"&amp;LEN(A183)))),1))," ",REPT(" ",LEN(A183))),LEN(A183)))), LARGE(INDEX(ISNUMBER(--MID((--TRIM(RIGHT(SUBSTITUTE(LEFT(A183,_xlfn.AGGREGATE(16,6,FIND({0,1,2,3,4,5,6,7,8,9},A183,ROW(INDIRECT("1:"&amp;LEN(A183)))),1))," ",REPT(" ",LEN(A183))),LEN(A183)))), ROW(INDIRECT("1:"&amp;LEN((--TRIM(RIGHT(SUBSTITUTE(LEFT(A183,_xlfn.AGGREGATE(16,6,FIND({0,1,2,3,4,5,6,7,8,9},A183,ROW(INDIRECT("1:"&amp;LEN(A183)))),1))," ",REPT(" ",LEN(A183))),LEN(A183))))))), 1)) * ROW(INDIRECT("1:"&amp;LEN((--TRIM(RIGHT(SUBSTITUTE(LEFT(A183,_xlfn.AGGREGATE(16,6,FIND({0,1,2,3,4,5,6,7,8,9},A183,ROW(INDIRECT("1:"&amp;LEN(A183)))),1))," ",REPT(" ",LEN(A183))),LEN(A183))))))), 0), ROW(INDIRECT("1:"&amp;LEN((--TRIM(RIGHT(SUBSTITUTE(LEFT(A183,_xlfn.AGGREGATE(16,6,FIND({0,1,2,3,4,5,6,7,8,9},A183,ROW(INDIRECT("1:"&amp;LEN(A183)))),1))," ",REPT(" ",LEN(A183))),LEN(A183))))))))+1, 1) * 10^ROW(INDIRECT("1:"&amp;LEN((--TRIM(RIGHT(SUBSTITUTE(LEFT(A183,_xlfn.AGGREGATE(16,6,FIND({0,1,2,3,4,5,6,7,8,9},A183,ROW(INDIRECT("1:"&amp;LEN(A183)))),1))," ",REPT(" ",LEN(A183))),LEN(A183)))))))/10))*1+1</f>
        <v>105 &amp; 305</v>
      </c>
      <c r="B184" s="73"/>
      <c r="C184" s="48">
        <v>0</v>
      </c>
      <c r="D184" s="49">
        <f>(20.72+2.4)*(10.764)</f>
        <v>248.86367999999996</v>
      </c>
      <c r="E184" s="40">
        <v>0</v>
      </c>
      <c r="F184" s="40">
        <v>395</v>
      </c>
      <c r="G184" s="73"/>
      <c r="H184" s="73"/>
      <c r="I184" s="34">
        <f t="shared" si="19"/>
        <v>197500</v>
      </c>
      <c r="L184" s="35">
        <f t="shared" si="20"/>
        <v>1935500</v>
      </c>
      <c r="M184" s="35">
        <f t="shared" si="21"/>
        <v>1975000</v>
      </c>
    </row>
    <row r="185" spans="1:13" s="35" customFormat="1" ht="15.75" customHeight="1" x14ac:dyDescent="0.35">
      <c r="A185" s="73" t="str">
        <f ca="1">(SUMPRODUCT(MID(0&amp;(LEFT(A184,SUM(LEN(A184)-LEN(SUBSTITUTE(A184,{"0","1","2"},""))))), LARGE(INDEX(ISNUMBER(--MID((LEFT(A184,SUM(LEN(A184)-LEN(SUBSTITUTE(A184,{"0","1","2"},""))))), ROW(INDIRECT("1:"&amp;LEN((LEFT(A184,SUM(LEN(A184)-LEN(SUBSTITUTE(A184,{"0","1","2"},"")))))))), 1)) * ROW(INDIRECT("1:"&amp;LEN((LEFT(A184,SUM(LEN(A184)-LEN(SUBSTITUTE(A184,{"0","1","2"},"")))))))), 0), ROW(INDIRECT("1:"&amp;LEN((LEFT(A184,SUM(LEN(A184)-LEN(SUBSTITUTE(A184,{"0","1","2"},"")))))))))+1, 1) * 10^ROW(INDIRECT("1:"&amp;LEN((LEFT(A184,SUM(LEN(A184)-LEN(SUBSTITUTE(A184,{"0","1","2"},""))))))))/10))*1+1&amp;""&amp;" &amp; "&amp;""&amp;(SUMPRODUCT(MID(0&amp;(--TRIM(RIGHT(SUBSTITUTE(LEFT(A184,_xlfn.AGGREGATE(16,6,FIND({0,1,2,3,4,5,6,7,8,9},A184,ROW(INDIRECT("1:"&amp;LEN(A184)))),1))," ",REPT(" ",LEN(A184))),LEN(A184)))), LARGE(INDEX(ISNUMBER(--MID((--TRIM(RIGHT(SUBSTITUTE(LEFT(A184,_xlfn.AGGREGATE(16,6,FIND({0,1,2,3,4,5,6,7,8,9},A184,ROW(INDIRECT("1:"&amp;LEN(A184)))),1))," ",REPT(" ",LEN(A184))),LEN(A184)))), ROW(INDIRECT("1:"&amp;LEN((--TRIM(RIGHT(SUBSTITUTE(LEFT(A184,_xlfn.AGGREGATE(16,6,FIND({0,1,2,3,4,5,6,7,8,9},A184,ROW(INDIRECT("1:"&amp;LEN(A184)))),1))," ",REPT(" ",LEN(A184))),LEN(A184))))))), 1)) * ROW(INDIRECT("1:"&amp;LEN((--TRIM(RIGHT(SUBSTITUTE(LEFT(A184,_xlfn.AGGREGATE(16,6,FIND({0,1,2,3,4,5,6,7,8,9},A184,ROW(INDIRECT("1:"&amp;LEN(A184)))),1))," ",REPT(" ",LEN(A184))),LEN(A184))))))), 0), ROW(INDIRECT("1:"&amp;LEN((--TRIM(RIGHT(SUBSTITUTE(LEFT(A184,_xlfn.AGGREGATE(16,6,FIND({0,1,2,3,4,5,6,7,8,9},A184,ROW(INDIRECT("1:"&amp;LEN(A184)))),1))," ",REPT(" ",LEN(A184))),LEN(A184))))))))+1, 1) * 10^ROW(INDIRECT("1:"&amp;LEN((--TRIM(RIGHT(SUBSTITUTE(LEFT(A184,_xlfn.AGGREGATE(16,6,FIND({0,1,2,3,4,5,6,7,8,9},A184,ROW(INDIRECT("1:"&amp;LEN(A184)))),1))," ",REPT(" ",LEN(A184))),LEN(A184)))))))/10))*1+1</f>
        <v>106 &amp; 306</v>
      </c>
      <c r="B185" s="73"/>
      <c r="C185" s="48">
        <v>0</v>
      </c>
      <c r="D185" s="49">
        <f>(21.19+2.4+3)*(10.764)</f>
        <v>286.21475999999996</v>
      </c>
      <c r="E185" s="40">
        <v>0</v>
      </c>
      <c r="F185" s="40">
        <v>460</v>
      </c>
      <c r="G185" s="73"/>
      <c r="H185" s="73"/>
      <c r="I185" s="34">
        <f t="shared" si="19"/>
        <v>230000</v>
      </c>
      <c r="L185" s="35">
        <f t="shared" si="20"/>
        <v>2254000</v>
      </c>
      <c r="M185" s="35">
        <f t="shared" si="21"/>
        <v>2300000</v>
      </c>
    </row>
    <row r="186" spans="1:13" s="35" customFormat="1" x14ac:dyDescent="0.35">
      <c r="A186" s="67" t="s">
        <v>186</v>
      </c>
      <c r="B186" s="68"/>
      <c r="C186" s="68"/>
      <c r="D186" s="68"/>
      <c r="E186" s="68"/>
      <c r="F186" s="68"/>
      <c r="G186" s="68"/>
      <c r="H186" s="69"/>
      <c r="I186" s="34"/>
    </row>
    <row r="187" spans="1:13" s="35" customFormat="1" ht="15.75" customHeight="1" x14ac:dyDescent="0.35">
      <c r="A187" s="71" t="str">
        <f ca="1">(SUMPRODUCT(MID(0&amp;(LEFT(A186,SUM(LEN(A186)-LEN(SUBSTITUTE(A186,{"0","1","2"},""))))), LARGE(INDEX(ISNUMBER(--MID((LEFT(A186,SUM(LEN(A186)-LEN(SUBSTITUTE(A186,{"0","1","2"},""))))), ROW(INDIRECT("1:"&amp;LEN((LEFT(A186,SUM(LEN(A186)-LEN(SUBSTITUTE(A186,{"0","1","2"},"")))))))), 1)) * ROW(INDIRECT("1:"&amp;LEN((LEFT(A186,SUM(LEN(A186)-LEN(SUBSTITUTE(A186,{"0","1","2"},"")))))))), 0), ROW(INDIRECT("1:"&amp;LEN((LEFT(A186,SUM(LEN(A186)-LEN(SUBSTITUTE(A186,{"0","1","2"},"")))))))))+1, 1) * 10^ROW(INDIRECT("1:"&amp;LEN((LEFT(A186,SUM(LEN(A186)-LEN(SUBSTITUTE(A186,{"0","1","2"},""))))))))/10))*100+1&amp;""&amp;" &amp; "&amp;""&amp;(SUMPRODUCT(MID(0&amp;(--TRIM(RIGHT(SUBSTITUTE(LEFT(A186,_xlfn.AGGREGATE(16,6,FIND({0,1,2,3,4,5,6,7,8,9},A186,ROW(INDIRECT("1:"&amp;LEN(A186)))),1))," ",REPT(" ",LEN(A186))),LEN(A186)))), LARGE(INDEX(ISNUMBER(--MID((--TRIM(RIGHT(SUBSTITUTE(LEFT(A186,_xlfn.AGGREGATE(16,6,FIND({0,1,2,3,4,5,6,7,8,9},A186,ROW(INDIRECT("1:"&amp;LEN(A186)))),1))," ",REPT(" ",LEN(A186))),LEN(A186)))), ROW(INDIRECT("1:"&amp;LEN((--TRIM(RIGHT(SUBSTITUTE(LEFT(A186,_xlfn.AGGREGATE(16,6,FIND({0,1,2,3,4,5,6,7,8,9},A186,ROW(INDIRECT("1:"&amp;LEN(A186)))),1))," ",REPT(" ",LEN(A186))),LEN(A186))))))), 1)) * ROW(INDIRECT("1:"&amp;LEN((--TRIM(RIGHT(SUBSTITUTE(LEFT(A186,_xlfn.AGGREGATE(16,6,FIND({0,1,2,3,4,5,6,7,8,9},A186,ROW(INDIRECT("1:"&amp;LEN(A186)))),1))," ",REPT(" ",LEN(A186))),LEN(A186))))))), 0), ROW(INDIRECT("1:"&amp;LEN((--TRIM(RIGHT(SUBSTITUTE(LEFT(A186,_xlfn.AGGREGATE(16,6,FIND({0,1,2,3,4,5,6,7,8,9},A186,ROW(INDIRECT("1:"&amp;LEN(A186)))),1))," ",REPT(" ",LEN(A186))),LEN(A186))))))))+1, 1) * 10^ROW(INDIRECT("1:"&amp;LEN((--TRIM(RIGHT(SUBSTITUTE(LEFT(A186,_xlfn.AGGREGATE(16,6,FIND({0,1,2,3,4,5,6,7,8,9},A186,ROW(INDIRECT("1:"&amp;LEN(A186)))),1))," ",REPT(" ",LEN(A186))),LEN(A186)))))))/10))*100+1</f>
        <v>201 &amp; 401</v>
      </c>
      <c r="B187" s="72"/>
      <c r="C187" s="48">
        <v>1</v>
      </c>
      <c r="D187" s="49">
        <f>(32.42+1.08)*(10.764)</f>
        <v>360.59399999999999</v>
      </c>
      <c r="E187" s="40">
        <v>0</v>
      </c>
      <c r="F187" s="40">
        <v>585</v>
      </c>
      <c r="G187" s="80" t="str">
        <f>A186</f>
        <v>2nd &amp; 4th Floor</v>
      </c>
      <c r="H187" s="81"/>
      <c r="I187" s="34"/>
      <c r="J187" s="35">
        <f>3400000/F187</f>
        <v>5811.9658119658116</v>
      </c>
      <c r="M187" s="35">
        <f>5200*F187</f>
        <v>3042000</v>
      </c>
    </row>
    <row r="188" spans="1:13" s="35" customFormat="1" ht="15.75" customHeight="1" x14ac:dyDescent="0.35">
      <c r="A188" s="71" t="str">
        <f ca="1">(SUMPRODUCT(MID(0&amp;(LEFT(A187,SUM(LEN(A187)-LEN(SUBSTITUTE(A187,{"0","1","2"},""))))), LARGE(INDEX(ISNUMBER(--MID((LEFT(A187,SUM(LEN(A187)-LEN(SUBSTITUTE(A187,{"0","1","2"},""))))), ROW(INDIRECT("1:"&amp;LEN((LEFT(A187,SUM(LEN(A187)-LEN(SUBSTITUTE(A187,{"0","1","2"},"")))))))), 1)) * ROW(INDIRECT("1:"&amp;LEN((LEFT(A187,SUM(LEN(A187)-LEN(SUBSTITUTE(A187,{"0","1","2"},"")))))))), 0), ROW(INDIRECT("1:"&amp;LEN((LEFT(A187,SUM(LEN(A187)-LEN(SUBSTITUTE(A187,{"0","1","2"},"")))))))))+1, 1) * 10^ROW(INDIRECT("1:"&amp;LEN((LEFT(A187,SUM(LEN(A187)-LEN(SUBSTITUTE(A187,{"0","1","2"},""))))))))/10))*1+1&amp;""&amp;" &amp; "&amp;""&amp;(SUMPRODUCT(MID(0&amp;(--TRIM(RIGHT(SUBSTITUTE(LEFT(A187,_xlfn.AGGREGATE(16,6,FIND({0,1,2,3,4,5,6,7,8,9},A187,ROW(INDIRECT("1:"&amp;LEN(A187)))),1))," ",REPT(" ",LEN(A187))),LEN(A187)))), LARGE(INDEX(ISNUMBER(--MID((--TRIM(RIGHT(SUBSTITUTE(LEFT(A187,_xlfn.AGGREGATE(16,6,FIND({0,1,2,3,4,5,6,7,8,9},A187,ROW(INDIRECT("1:"&amp;LEN(A187)))),1))," ",REPT(" ",LEN(A187))),LEN(A187)))), ROW(INDIRECT("1:"&amp;LEN((--TRIM(RIGHT(SUBSTITUTE(LEFT(A187,_xlfn.AGGREGATE(16,6,FIND({0,1,2,3,4,5,6,7,8,9},A187,ROW(INDIRECT("1:"&amp;LEN(A187)))),1))," ",REPT(" ",LEN(A187))),LEN(A187))))))), 1)) * ROW(INDIRECT("1:"&amp;LEN((--TRIM(RIGHT(SUBSTITUTE(LEFT(A187,_xlfn.AGGREGATE(16,6,FIND({0,1,2,3,4,5,6,7,8,9},A187,ROW(INDIRECT("1:"&amp;LEN(A187)))),1))," ",REPT(" ",LEN(A187))),LEN(A187))))))), 0), ROW(INDIRECT("1:"&amp;LEN((--TRIM(RIGHT(SUBSTITUTE(LEFT(A187,_xlfn.AGGREGATE(16,6,FIND({0,1,2,3,4,5,6,7,8,9},A187,ROW(INDIRECT("1:"&amp;LEN(A187)))),1))," ",REPT(" ",LEN(A187))),LEN(A187))))))))+1, 1) * 10^ROW(INDIRECT("1:"&amp;LEN((--TRIM(RIGHT(SUBSTITUTE(LEFT(A187,_xlfn.AGGREGATE(16,6,FIND({0,1,2,3,4,5,6,7,8,9},A187,ROW(INDIRECT("1:"&amp;LEN(A187)))),1))," ",REPT(" ",LEN(A187))),LEN(A187)))))))/10))*1+1</f>
        <v>202 &amp; 402</v>
      </c>
      <c r="B188" s="72"/>
      <c r="C188" s="48">
        <v>1</v>
      </c>
      <c r="D188" s="49">
        <f>(31.43+2.5+1.08)*(10.764)</f>
        <v>376.84763999999996</v>
      </c>
      <c r="E188" s="40">
        <v>0</v>
      </c>
      <c r="F188" s="40">
        <v>585</v>
      </c>
      <c r="G188" s="82"/>
      <c r="H188" s="83"/>
      <c r="I188" s="34"/>
      <c r="M188" s="35">
        <f t="shared" ref="M188:M192" si="22">5200*F188</f>
        <v>3042000</v>
      </c>
    </row>
    <row r="189" spans="1:13" s="35" customFormat="1" ht="15.75" customHeight="1" x14ac:dyDescent="0.35">
      <c r="A189" s="71" t="str">
        <f ca="1">(SUMPRODUCT(MID(0&amp;(LEFT(A188,SUM(LEN(A188)-LEN(SUBSTITUTE(A188,{"0","1","2"},""))))), LARGE(INDEX(ISNUMBER(--MID((LEFT(A188,SUM(LEN(A188)-LEN(SUBSTITUTE(A188,{"0","1","2"},""))))), ROW(INDIRECT("1:"&amp;LEN((LEFT(A188,SUM(LEN(A188)-LEN(SUBSTITUTE(A188,{"0","1","2"},"")))))))), 1)) * ROW(INDIRECT("1:"&amp;LEN((LEFT(A188,SUM(LEN(A188)-LEN(SUBSTITUTE(A188,{"0","1","2"},"")))))))), 0), ROW(INDIRECT("1:"&amp;LEN((LEFT(A188,SUM(LEN(A188)-LEN(SUBSTITUTE(A188,{"0","1","2"},"")))))))))+1, 1) * 10^ROW(INDIRECT("1:"&amp;LEN((LEFT(A188,SUM(LEN(A188)-LEN(SUBSTITUTE(A188,{"0","1","2"},""))))))))/10))*1+1&amp;""&amp;" &amp; "&amp;""&amp;(SUMPRODUCT(MID(0&amp;(--TRIM(RIGHT(SUBSTITUTE(LEFT(A188,_xlfn.AGGREGATE(16,6,FIND({0,1,2,3,4,5,6,7,8,9},A188,ROW(INDIRECT("1:"&amp;LEN(A188)))),1))," ",REPT(" ",LEN(A188))),LEN(A188)))), LARGE(INDEX(ISNUMBER(--MID((--TRIM(RIGHT(SUBSTITUTE(LEFT(A188,_xlfn.AGGREGATE(16,6,FIND({0,1,2,3,4,5,6,7,8,9},A188,ROW(INDIRECT("1:"&amp;LEN(A188)))),1))," ",REPT(" ",LEN(A188))),LEN(A188)))), ROW(INDIRECT("1:"&amp;LEN((--TRIM(RIGHT(SUBSTITUTE(LEFT(A188,_xlfn.AGGREGATE(16,6,FIND({0,1,2,3,4,5,6,7,8,9},A188,ROW(INDIRECT("1:"&amp;LEN(A188)))),1))," ",REPT(" ",LEN(A188))),LEN(A188))))))), 1)) * ROW(INDIRECT("1:"&amp;LEN((--TRIM(RIGHT(SUBSTITUTE(LEFT(A188,_xlfn.AGGREGATE(16,6,FIND({0,1,2,3,4,5,6,7,8,9},A188,ROW(INDIRECT("1:"&amp;LEN(A188)))),1))," ",REPT(" ",LEN(A188))),LEN(A188))))))), 0), ROW(INDIRECT("1:"&amp;LEN((--TRIM(RIGHT(SUBSTITUTE(LEFT(A188,_xlfn.AGGREGATE(16,6,FIND({0,1,2,3,4,5,6,7,8,9},A188,ROW(INDIRECT("1:"&amp;LEN(A188)))),1))," ",REPT(" ",LEN(A188))),LEN(A188))))))))+1, 1) * 10^ROW(INDIRECT("1:"&amp;LEN((--TRIM(RIGHT(SUBSTITUTE(LEFT(A188,_xlfn.AGGREGATE(16,6,FIND({0,1,2,3,4,5,6,7,8,9},A188,ROW(INDIRECT("1:"&amp;LEN(A188)))),1))," ",REPT(" ",LEN(A188))),LEN(A188)))))))/10))*1+1</f>
        <v>203 &amp; 403</v>
      </c>
      <c r="B189" s="72"/>
      <c r="C189" s="48">
        <v>1</v>
      </c>
      <c r="D189" s="49">
        <f>(29.51+2.5+3.56)*(10.764)</f>
        <v>382.87548000000004</v>
      </c>
      <c r="E189" s="40">
        <v>0</v>
      </c>
      <c r="F189" s="40">
        <v>610</v>
      </c>
      <c r="G189" s="82"/>
      <c r="H189" s="83"/>
      <c r="I189" s="34"/>
      <c r="M189" s="35">
        <f t="shared" si="22"/>
        <v>3172000</v>
      </c>
    </row>
    <row r="190" spans="1:13" s="35" customFormat="1" ht="15.75" customHeight="1" x14ac:dyDescent="0.35">
      <c r="A190" s="71" t="str">
        <f ca="1">(SUMPRODUCT(MID(0&amp;(LEFT(A189,SUM(LEN(A189)-LEN(SUBSTITUTE(A189,{"0","1","2"},""))))), LARGE(INDEX(ISNUMBER(--MID((LEFT(A189,SUM(LEN(A189)-LEN(SUBSTITUTE(A189,{"0","1","2"},""))))), ROW(INDIRECT("1:"&amp;LEN((LEFT(A189,SUM(LEN(A189)-LEN(SUBSTITUTE(A189,{"0","1","2"},"")))))))), 1)) * ROW(INDIRECT("1:"&amp;LEN((LEFT(A189,SUM(LEN(A189)-LEN(SUBSTITUTE(A189,{"0","1","2"},"")))))))), 0), ROW(INDIRECT("1:"&amp;LEN((LEFT(A189,SUM(LEN(A189)-LEN(SUBSTITUTE(A189,{"0","1","2"},"")))))))))+1, 1) * 10^ROW(INDIRECT("1:"&amp;LEN((LEFT(A189,SUM(LEN(A189)-LEN(SUBSTITUTE(A189,{"0","1","2"},""))))))))/10))*1+1&amp;""&amp;" &amp; "&amp;""&amp;(SUMPRODUCT(MID(0&amp;(--TRIM(RIGHT(SUBSTITUTE(LEFT(A189,_xlfn.AGGREGATE(16,6,FIND({0,1,2,3,4,5,6,7,8,9},A189,ROW(INDIRECT("1:"&amp;LEN(A189)))),1))," ",REPT(" ",LEN(A189))),LEN(A189)))), LARGE(INDEX(ISNUMBER(--MID((--TRIM(RIGHT(SUBSTITUTE(LEFT(A189,_xlfn.AGGREGATE(16,6,FIND({0,1,2,3,4,5,6,7,8,9},A189,ROW(INDIRECT("1:"&amp;LEN(A189)))),1))," ",REPT(" ",LEN(A189))),LEN(A189)))), ROW(INDIRECT("1:"&amp;LEN((--TRIM(RIGHT(SUBSTITUTE(LEFT(A189,_xlfn.AGGREGATE(16,6,FIND({0,1,2,3,4,5,6,7,8,9},A189,ROW(INDIRECT("1:"&amp;LEN(A189)))),1))," ",REPT(" ",LEN(A189))),LEN(A189))))))), 1)) * ROW(INDIRECT("1:"&amp;LEN((--TRIM(RIGHT(SUBSTITUTE(LEFT(A189,_xlfn.AGGREGATE(16,6,FIND({0,1,2,3,4,5,6,7,8,9},A189,ROW(INDIRECT("1:"&amp;LEN(A189)))),1))," ",REPT(" ",LEN(A189))),LEN(A189))))))), 0), ROW(INDIRECT("1:"&amp;LEN((--TRIM(RIGHT(SUBSTITUTE(LEFT(A189,_xlfn.AGGREGATE(16,6,FIND({0,1,2,3,4,5,6,7,8,9},A189,ROW(INDIRECT("1:"&amp;LEN(A189)))),1))," ",REPT(" ",LEN(A189))),LEN(A189))))))))+1, 1) * 10^ROW(INDIRECT("1:"&amp;LEN((--TRIM(RIGHT(SUBSTITUTE(LEFT(A189,_xlfn.AGGREGATE(16,6,FIND({0,1,2,3,4,5,6,7,8,9},A189,ROW(INDIRECT("1:"&amp;LEN(A189)))),1))," ",REPT(" ",LEN(A189))),LEN(A189)))))))/10))*1+1</f>
        <v>204 &amp; 404</v>
      </c>
      <c r="B190" s="72"/>
      <c r="C190" s="48">
        <v>1</v>
      </c>
      <c r="D190" s="49">
        <f>(33.05+8.25)*(10.764)</f>
        <v>444.55319999999995</v>
      </c>
      <c r="E190" s="49">
        <f>(6.15)*(10.764)</f>
        <v>66.198599999999999</v>
      </c>
      <c r="F190" s="40">
        <v>825</v>
      </c>
      <c r="G190" s="82"/>
      <c r="H190" s="83"/>
      <c r="I190" s="34"/>
      <c r="M190" s="35">
        <f t="shared" si="22"/>
        <v>4290000</v>
      </c>
    </row>
    <row r="191" spans="1:13" s="35" customFormat="1" ht="15.75" customHeight="1" x14ac:dyDescent="0.35">
      <c r="A191" s="71" t="str">
        <f ca="1">(SUMPRODUCT(MID(0&amp;(LEFT(A190,SUM(LEN(A190)-LEN(SUBSTITUTE(A190,{"0","1","2"},""))))), LARGE(INDEX(ISNUMBER(--MID((LEFT(A190,SUM(LEN(A190)-LEN(SUBSTITUTE(A190,{"0","1","2"},""))))), ROW(INDIRECT("1:"&amp;LEN((LEFT(A190,SUM(LEN(A190)-LEN(SUBSTITUTE(A190,{"0","1","2"},"")))))))), 1)) * ROW(INDIRECT("1:"&amp;LEN((LEFT(A190,SUM(LEN(A190)-LEN(SUBSTITUTE(A190,{"0","1","2"},"")))))))), 0), ROW(INDIRECT("1:"&amp;LEN((LEFT(A190,SUM(LEN(A190)-LEN(SUBSTITUTE(A190,{"0","1","2"},"")))))))))+1, 1) * 10^ROW(INDIRECT("1:"&amp;LEN((LEFT(A190,SUM(LEN(A190)-LEN(SUBSTITUTE(A190,{"0","1","2"},""))))))))/10))*1+1&amp;""&amp;" &amp; "&amp;""&amp;(SUMPRODUCT(MID(0&amp;(--TRIM(RIGHT(SUBSTITUTE(LEFT(A190,_xlfn.AGGREGATE(16,6,FIND({0,1,2,3,4,5,6,7,8,9},A190,ROW(INDIRECT("1:"&amp;LEN(A190)))),1))," ",REPT(" ",LEN(A190))),LEN(A190)))), LARGE(INDEX(ISNUMBER(--MID((--TRIM(RIGHT(SUBSTITUTE(LEFT(A190,_xlfn.AGGREGATE(16,6,FIND({0,1,2,3,4,5,6,7,8,9},A190,ROW(INDIRECT("1:"&amp;LEN(A190)))),1))," ",REPT(" ",LEN(A190))),LEN(A190)))), ROW(INDIRECT("1:"&amp;LEN((--TRIM(RIGHT(SUBSTITUTE(LEFT(A190,_xlfn.AGGREGATE(16,6,FIND({0,1,2,3,4,5,6,7,8,9},A190,ROW(INDIRECT("1:"&amp;LEN(A190)))),1))," ",REPT(" ",LEN(A190))),LEN(A190))))))), 1)) * ROW(INDIRECT("1:"&amp;LEN((--TRIM(RIGHT(SUBSTITUTE(LEFT(A190,_xlfn.AGGREGATE(16,6,FIND({0,1,2,3,4,5,6,7,8,9},A190,ROW(INDIRECT("1:"&amp;LEN(A190)))),1))," ",REPT(" ",LEN(A190))),LEN(A190))))))), 0), ROW(INDIRECT("1:"&amp;LEN((--TRIM(RIGHT(SUBSTITUTE(LEFT(A190,_xlfn.AGGREGATE(16,6,FIND({0,1,2,3,4,5,6,7,8,9},A190,ROW(INDIRECT("1:"&amp;LEN(A190)))),1))," ",REPT(" ",LEN(A190))),LEN(A190))))))))+1, 1) * 10^ROW(INDIRECT("1:"&amp;LEN((--TRIM(RIGHT(SUBSTITUTE(LEFT(A190,_xlfn.AGGREGATE(16,6,FIND({0,1,2,3,4,5,6,7,8,9},A190,ROW(INDIRECT("1:"&amp;LEN(A190)))),1))," ",REPT(" ",LEN(A190))),LEN(A190)))))))/10))*1+1</f>
        <v>205 &amp; 405</v>
      </c>
      <c r="B191" s="72"/>
      <c r="C191" s="48">
        <v>0</v>
      </c>
      <c r="D191" s="49">
        <f>(20.72+2.4)*(10.764)</f>
        <v>248.86367999999996</v>
      </c>
      <c r="E191" s="40">
        <v>0</v>
      </c>
      <c r="F191" s="40">
        <v>395</v>
      </c>
      <c r="G191" s="82"/>
      <c r="H191" s="83"/>
      <c r="I191" s="34"/>
      <c r="M191" s="35">
        <f t="shared" si="22"/>
        <v>2054000</v>
      </c>
    </row>
    <row r="192" spans="1:13" s="35" customFormat="1" ht="15.75" customHeight="1" x14ac:dyDescent="0.35">
      <c r="A192" s="71" t="str">
        <f ca="1">(SUMPRODUCT(MID(0&amp;(LEFT(A191,SUM(LEN(A191)-LEN(SUBSTITUTE(A191,{"0","1","2"},""))))), LARGE(INDEX(ISNUMBER(--MID((LEFT(A191,SUM(LEN(A191)-LEN(SUBSTITUTE(A191,{"0","1","2"},""))))), ROW(INDIRECT("1:"&amp;LEN((LEFT(A191,SUM(LEN(A191)-LEN(SUBSTITUTE(A191,{"0","1","2"},"")))))))), 1)) * ROW(INDIRECT("1:"&amp;LEN((LEFT(A191,SUM(LEN(A191)-LEN(SUBSTITUTE(A191,{"0","1","2"},"")))))))), 0), ROW(INDIRECT("1:"&amp;LEN((LEFT(A191,SUM(LEN(A191)-LEN(SUBSTITUTE(A191,{"0","1","2"},"")))))))))+1, 1) * 10^ROW(INDIRECT("1:"&amp;LEN((LEFT(A191,SUM(LEN(A191)-LEN(SUBSTITUTE(A191,{"0","1","2"},""))))))))/10))*1+1&amp;""&amp;" &amp; "&amp;""&amp;(SUMPRODUCT(MID(0&amp;(--TRIM(RIGHT(SUBSTITUTE(LEFT(A191,_xlfn.AGGREGATE(16,6,FIND({0,1,2,3,4,5,6,7,8,9},A191,ROW(INDIRECT("1:"&amp;LEN(A191)))),1))," ",REPT(" ",LEN(A191))),LEN(A191)))), LARGE(INDEX(ISNUMBER(--MID((--TRIM(RIGHT(SUBSTITUTE(LEFT(A191,_xlfn.AGGREGATE(16,6,FIND({0,1,2,3,4,5,6,7,8,9},A191,ROW(INDIRECT("1:"&amp;LEN(A191)))),1))," ",REPT(" ",LEN(A191))),LEN(A191)))), ROW(INDIRECT("1:"&amp;LEN((--TRIM(RIGHT(SUBSTITUTE(LEFT(A191,_xlfn.AGGREGATE(16,6,FIND({0,1,2,3,4,5,6,7,8,9},A191,ROW(INDIRECT("1:"&amp;LEN(A191)))),1))," ",REPT(" ",LEN(A191))),LEN(A191))))))), 1)) * ROW(INDIRECT("1:"&amp;LEN((--TRIM(RIGHT(SUBSTITUTE(LEFT(A191,_xlfn.AGGREGATE(16,6,FIND({0,1,2,3,4,5,6,7,8,9},A191,ROW(INDIRECT("1:"&amp;LEN(A191)))),1))," ",REPT(" ",LEN(A191))),LEN(A191))))))), 0), ROW(INDIRECT("1:"&amp;LEN((--TRIM(RIGHT(SUBSTITUTE(LEFT(A191,_xlfn.AGGREGATE(16,6,FIND({0,1,2,3,4,5,6,7,8,9},A191,ROW(INDIRECT("1:"&amp;LEN(A191)))),1))," ",REPT(" ",LEN(A191))),LEN(A191))))))))+1, 1) * 10^ROW(INDIRECT("1:"&amp;LEN((--TRIM(RIGHT(SUBSTITUTE(LEFT(A191,_xlfn.AGGREGATE(16,6,FIND({0,1,2,3,4,5,6,7,8,9},A191,ROW(INDIRECT("1:"&amp;LEN(A191)))),1))," ",REPT(" ",LEN(A191))),LEN(A191)))))))/10))*1+1</f>
        <v>206 &amp; 406</v>
      </c>
      <c r="B192" s="72"/>
      <c r="C192" s="48">
        <v>0</v>
      </c>
      <c r="D192" s="49">
        <f>(21.19+2.4+3)*(10.764)</f>
        <v>286.21475999999996</v>
      </c>
      <c r="E192" s="40">
        <v>0</v>
      </c>
      <c r="F192" s="40">
        <v>460</v>
      </c>
      <c r="G192" s="84"/>
      <c r="H192" s="85"/>
      <c r="I192" s="34"/>
      <c r="M192" s="35">
        <f t="shared" si="22"/>
        <v>2392000</v>
      </c>
    </row>
    <row r="193" spans="1:10" s="35" customFormat="1" x14ac:dyDescent="0.35">
      <c r="A193" s="67" t="s">
        <v>188</v>
      </c>
      <c r="B193" s="68"/>
      <c r="C193" s="68"/>
      <c r="D193" s="68"/>
      <c r="E193" s="68"/>
      <c r="F193" s="68"/>
      <c r="G193" s="68"/>
      <c r="H193" s="69"/>
      <c r="J193" s="34"/>
    </row>
    <row r="194" spans="1:10" s="35" customFormat="1" x14ac:dyDescent="0.35">
      <c r="A194" s="67" t="s">
        <v>185</v>
      </c>
      <c r="B194" s="68"/>
      <c r="C194" s="68"/>
      <c r="D194" s="68"/>
      <c r="E194" s="68"/>
      <c r="F194" s="68"/>
      <c r="G194" s="68"/>
      <c r="H194" s="69"/>
      <c r="I194" s="34"/>
    </row>
    <row r="195" spans="1:10" s="35" customFormat="1" ht="15.75" customHeight="1" x14ac:dyDescent="0.35">
      <c r="A195" s="71" t="str">
        <f ca="1">(SUMPRODUCT(MID(0&amp;(LEFT(A194,SUM(LEN(A194)-LEN(SUBSTITUTE(A194,{"0","1","2"},""))))), LARGE(INDEX(ISNUMBER(--MID((LEFT(A194,SUM(LEN(A194)-LEN(SUBSTITUTE(A194,{"0","1","2"},""))))), ROW(INDIRECT("1:"&amp;LEN((LEFT(A194,SUM(LEN(A194)-LEN(SUBSTITUTE(A194,{"0","1","2"},"")))))))), 1)) * ROW(INDIRECT("1:"&amp;LEN((LEFT(A194,SUM(LEN(A194)-LEN(SUBSTITUTE(A194,{"0","1","2"},"")))))))), 0), ROW(INDIRECT("1:"&amp;LEN((LEFT(A194,SUM(LEN(A194)-LEN(SUBSTITUTE(A194,{"0","1","2"},"")))))))))+1, 1) * 10^ROW(INDIRECT("1:"&amp;LEN((LEFT(A194,SUM(LEN(A194)-LEN(SUBSTITUTE(A194,{"0","1","2"},""))))))))/10))*100+1&amp;""&amp;" &amp; "&amp;""&amp;(SUMPRODUCT(MID(0&amp;(--TRIM(RIGHT(SUBSTITUTE(LEFT(A194,_xlfn.AGGREGATE(16,6,FIND({0,1,2,3,4,5,6,7,8,9},A194,ROW(INDIRECT("1:"&amp;LEN(A194)))),1))," ",REPT(" ",LEN(A194))),LEN(A194)))), LARGE(INDEX(ISNUMBER(--MID((--TRIM(RIGHT(SUBSTITUTE(LEFT(A194,_xlfn.AGGREGATE(16,6,FIND({0,1,2,3,4,5,6,7,8,9},A194,ROW(INDIRECT("1:"&amp;LEN(A194)))),1))," ",REPT(" ",LEN(A194))),LEN(A194)))), ROW(INDIRECT("1:"&amp;LEN((--TRIM(RIGHT(SUBSTITUTE(LEFT(A194,_xlfn.AGGREGATE(16,6,FIND({0,1,2,3,4,5,6,7,8,9},A194,ROW(INDIRECT("1:"&amp;LEN(A194)))),1))," ",REPT(" ",LEN(A194))),LEN(A194))))))), 1)) * ROW(INDIRECT("1:"&amp;LEN((--TRIM(RIGHT(SUBSTITUTE(LEFT(A194,_xlfn.AGGREGATE(16,6,FIND({0,1,2,3,4,5,6,7,8,9},A194,ROW(INDIRECT("1:"&amp;LEN(A194)))),1))," ",REPT(" ",LEN(A194))),LEN(A194))))))), 0), ROW(INDIRECT("1:"&amp;LEN((--TRIM(RIGHT(SUBSTITUTE(LEFT(A194,_xlfn.AGGREGATE(16,6,FIND({0,1,2,3,4,5,6,7,8,9},A194,ROW(INDIRECT("1:"&amp;LEN(A194)))),1))," ",REPT(" ",LEN(A194))),LEN(A194))))))))+1, 1) * 10^ROW(INDIRECT("1:"&amp;LEN((--TRIM(RIGHT(SUBSTITUTE(LEFT(A194,_xlfn.AGGREGATE(16,6,FIND({0,1,2,3,4,5,6,7,8,9},A194,ROW(INDIRECT("1:"&amp;LEN(A194)))),1))," ",REPT(" ",LEN(A194))),LEN(A194)))))))/10))*100+1</f>
        <v>101 &amp; 301</v>
      </c>
      <c r="B195" s="72"/>
      <c r="C195" s="48">
        <v>1</v>
      </c>
      <c r="D195" s="49">
        <f>(20.76+2.4+3.87)*(10.764)</f>
        <v>290.95092</v>
      </c>
      <c r="E195" s="40">
        <v>0</v>
      </c>
      <c r="F195" s="40">
        <v>460</v>
      </c>
      <c r="G195" s="80" t="str">
        <f>A194</f>
        <v>1st &amp; 3rd Floor</v>
      </c>
      <c r="H195" s="81"/>
      <c r="I195" s="34"/>
    </row>
    <row r="196" spans="1:10" s="35" customFormat="1" ht="15.75" customHeight="1" x14ac:dyDescent="0.35">
      <c r="A196" s="71" t="str">
        <f ca="1">(SUMPRODUCT(MID(0&amp;(LEFT(A195,SUM(LEN(A195)-LEN(SUBSTITUTE(A195,{"0","1","2"},""))))), LARGE(INDEX(ISNUMBER(--MID((LEFT(A195,SUM(LEN(A195)-LEN(SUBSTITUTE(A195,{"0","1","2"},""))))), ROW(INDIRECT("1:"&amp;LEN((LEFT(A195,SUM(LEN(A195)-LEN(SUBSTITUTE(A195,{"0","1","2"},"")))))))), 1)) * ROW(INDIRECT("1:"&amp;LEN((LEFT(A195,SUM(LEN(A195)-LEN(SUBSTITUTE(A195,{"0","1","2"},"")))))))), 0), ROW(INDIRECT("1:"&amp;LEN((LEFT(A195,SUM(LEN(A195)-LEN(SUBSTITUTE(A195,{"0","1","2"},"")))))))))+1, 1) * 10^ROW(INDIRECT("1:"&amp;LEN((LEFT(A195,SUM(LEN(A195)-LEN(SUBSTITUTE(A195,{"0","1","2"},""))))))))/10))*1+1&amp;""&amp;" &amp; "&amp;""&amp;(SUMPRODUCT(MID(0&amp;(--TRIM(RIGHT(SUBSTITUTE(LEFT(A195,_xlfn.AGGREGATE(16,6,FIND({0,1,2,3,4,5,6,7,8,9},A195,ROW(INDIRECT("1:"&amp;LEN(A195)))),1))," ",REPT(" ",LEN(A195))),LEN(A195)))), LARGE(INDEX(ISNUMBER(--MID((--TRIM(RIGHT(SUBSTITUTE(LEFT(A195,_xlfn.AGGREGATE(16,6,FIND({0,1,2,3,4,5,6,7,8,9},A195,ROW(INDIRECT("1:"&amp;LEN(A195)))),1))," ",REPT(" ",LEN(A195))),LEN(A195)))), ROW(INDIRECT("1:"&amp;LEN((--TRIM(RIGHT(SUBSTITUTE(LEFT(A195,_xlfn.AGGREGATE(16,6,FIND({0,1,2,3,4,5,6,7,8,9},A195,ROW(INDIRECT("1:"&amp;LEN(A195)))),1))," ",REPT(" ",LEN(A195))),LEN(A195))))))), 1)) * ROW(INDIRECT("1:"&amp;LEN((--TRIM(RIGHT(SUBSTITUTE(LEFT(A195,_xlfn.AGGREGATE(16,6,FIND({0,1,2,3,4,5,6,7,8,9},A195,ROW(INDIRECT("1:"&amp;LEN(A195)))),1))," ",REPT(" ",LEN(A195))),LEN(A195))))))), 0), ROW(INDIRECT("1:"&amp;LEN((--TRIM(RIGHT(SUBSTITUTE(LEFT(A195,_xlfn.AGGREGATE(16,6,FIND({0,1,2,3,4,5,6,7,8,9},A195,ROW(INDIRECT("1:"&amp;LEN(A195)))),1))," ",REPT(" ",LEN(A195))),LEN(A195))))))))+1, 1) * 10^ROW(INDIRECT("1:"&amp;LEN((--TRIM(RIGHT(SUBSTITUTE(LEFT(A195,_xlfn.AGGREGATE(16,6,FIND({0,1,2,3,4,5,6,7,8,9},A195,ROW(INDIRECT("1:"&amp;LEN(A195)))),1))," ",REPT(" ",LEN(A195))),LEN(A195)))))))/10))*1+1</f>
        <v>102 &amp; 302</v>
      </c>
      <c r="B196" s="72"/>
      <c r="C196" s="48">
        <v>0</v>
      </c>
      <c r="D196" s="49">
        <f>(19.72+2.4)*(10.764)</f>
        <v>238.09967999999995</v>
      </c>
      <c r="E196" s="49">
        <f>(4.64)*(10.764)</f>
        <v>49.944959999999995</v>
      </c>
      <c r="F196" s="40">
        <v>460</v>
      </c>
      <c r="G196" s="82"/>
      <c r="H196" s="83"/>
      <c r="I196" s="34"/>
    </row>
    <row r="197" spans="1:10" s="35" customFormat="1" ht="15.75" customHeight="1" x14ac:dyDescent="0.35">
      <c r="A197" s="71" t="str">
        <f ca="1">(SUMPRODUCT(MID(0&amp;(LEFT(A196,SUM(LEN(A196)-LEN(SUBSTITUTE(A196,{"0","1","2"},""))))), LARGE(INDEX(ISNUMBER(--MID((LEFT(A196,SUM(LEN(A196)-LEN(SUBSTITUTE(A196,{"0","1","2"},""))))), ROW(INDIRECT("1:"&amp;LEN((LEFT(A196,SUM(LEN(A196)-LEN(SUBSTITUTE(A196,{"0","1","2"},"")))))))), 1)) * ROW(INDIRECT("1:"&amp;LEN((LEFT(A196,SUM(LEN(A196)-LEN(SUBSTITUTE(A196,{"0","1","2"},"")))))))), 0), ROW(INDIRECT("1:"&amp;LEN((LEFT(A196,SUM(LEN(A196)-LEN(SUBSTITUTE(A196,{"0","1","2"},"")))))))))+1, 1) * 10^ROW(INDIRECT("1:"&amp;LEN((LEFT(A196,SUM(LEN(A196)-LEN(SUBSTITUTE(A196,{"0","1","2"},""))))))))/10))*1+1&amp;""&amp;" &amp; "&amp;""&amp;(SUMPRODUCT(MID(0&amp;(--TRIM(RIGHT(SUBSTITUTE(LEFT(A196,_xlfn.AGGREGATE(16,6,FIND({0,1,2,3,4,5,6,7,8,9},A196,ROW(INDIRECT("1:"&amp;LEN(A196)))),1))," ",REPT(" ",LEN(A196))),LEN(A196)))), LARGE(INDEX(ISNUMBER(--MID((--TRIM(RIGHT(SUBSTITUTE(LEFT(A196,_xlfn.AGGREGATE(16,6,FIND({0,1,2,3,4,5,6,7,8,9},A196,ROW(INDIRECT("1:"&amp;LEN(A196)))),1))," ",REPT(" ",LEN(A196))),LEN(A196)))), ROW(INDIRECT("1:"&amp;LEN((--TRIM(RIGHT(SUBSTITUTE(LEFT(A196,_xlfn.AGGREGATE(16,6,FIND({0,1,2,3,4,5,6,7,8,9},A196,ROW(INDIRECT("1:"&amp;LEN(A196)))),1))," ",REPT(" ",LEN(A196))),LEN(A196))))))), 1)) * ROW(INDIRECT("1:"&amp;LEN((--TRIM(RIGHT(SUBSTITUTE(LEFT(A196,_xlfn.AGGREGATE(16,6,FIND({0,1,2,3,4,5,6,7,8,9},A196,ROW(INDIRECT("1:"&amp;LEN(A196)))),1))," ",REPT(" ",LEN(A196))),LEN(A196))))))), 0), ROW(INDIRECT("1:"&amp;LEN((--TRIM(RIGHT(SUBSTITUTE(LEFT(A196,_xlfn.AGGREGATE(16,6,FIND({0,1,2,3,4,5,6,7,8,9},A196,ROW(INDIRECT("1:"&amp;LEN(A196)))),1))," ",REPT(" ",LEN(A196))),LEN(A196))))))))+1, 1) * 10^ROW(INDIRECT("1:"&amp;LEN((--TRIM(RIGHT(SUBSTITUTE(LEFT(A196,_xlfn.AGGREGATE(16,6,FIND({0,1,2,3,4,5,6,7,8,9},A196,ROW(INDIRECT("1:"&amp;LEN(A196)))),1))," ",REPT(" ",LEN(A196))),LEN(A196)))))))/10))*1+1</f>
        <v>103 &amp; 303</v>
      </c>
      <c r="B197" s="72"/>
      <c r="C197" s="48">
        <v>0</v>
      </c>
      <c r="D197" s="49">
        <f>(21.88+5.9)*(10.764)</f>
        <v>299.02391999999998</v>
      </c>
      <c r="E197" s="40">
        <v>0</v>
      </c>
      <c r="F197" s="40">
        <v>480</v>
      </c>
      <c r="G197" s="82"/>
      <c r="H197" s="83"/>
      <c r="I197" s="34"/>
    </row>
    <row r="198" spans="1:10" s="35" customFormat="1" ht="15.75" customHeight="1" x14ac:dyDescent="0.35">
      <c r="A198" s="71" t="str">
        <f ca="1">(SUMPRODUCT(MID(0&amp;(LEFT(A197,SUM(LEN(A197)-LEN(SUBSTITUTE(A197,{"0","1","2"},""))))), LARGE(INDEX(ISNUMBER(--MID((LEFT(A197,SUM(LEN(A197)-LEN(SUBSTITUTE(A197,{"0","1","2"},""))))), ROW(INDIRECT("1:"&amp;LEN((LEFT(A197,SUM(LEN(A197)-LEN(SUBSTITUTE(A197,{"0","1","2"},"")))))))), 1)) * ROW(INDIRECT("1:"&amp;LEN((LEFT(A197,SUM(LEN(A197)-LEN(SUBSTITUTE(A197,{"0","1","2"},"")))))))), 0), ROW(INDIRECT("1:"&amp;LEN((LEFT(A197,SUM(LEN(A197)-LEN(SUBSTITUTE(A197,{"0","1","2"},"")))))))))+1, 1) * 10^ROW(INDIRECT("1:"&amp;LEN((LEFT(A197,SUM(LEN(A197)-LEN(SUBSTITUTE(A197,{"0","1","2"},""))))))))/10))*1+1&amp;""&amp;" &amp; "&amp;""&amp;(SUMPRODUCT(MID(0&amp;(--TRIM(RIGHT(SUBSTITUTE(LEFT(A197,_xlfn.AGGREGATE(16,6,FIND({0,1,2,3,4,5,6,7,8,9},A197,ROW(INDIRECT("1:"&amp;LEN(A197)))),1))," ",REPT(" ",LEN(A197))),LEN(A197)))), LARGE(INDEX(ISNUMBER(--MID((--TRIM(RIGHT(SUBSTITUTE(LEFT(A197,_xlfn.AGGREGATE(16,6,FIND({0,1,2,3,4,5,6,7,8,9},A197,ROW(INDIRECT("1:"&amp;LEN(A197)))),1))," ",REPT(" ",LEN(A197))),LEN(A197)))), ROW(INDIRECT("1:"&amp;LEN((--TRIM(RIGHT(SUBSTITUTE(LEFT(A197,_xlfn.AGGREGATE(16,6,FIND({0,1,2,3,4,5,6,7,8,9},A197,ROW(INDIRECT("1:"&amp;LEN(A197)))),1))," ",REPT(" ",LEN(A197))),LEN(A197))))))), 1)) * ROW(INDIRECT("1:"&amp;LEN((--TRIM(RIGHT(SUBSTITUTE(LEFT(A197,_xlfn.AGGREGATE(16,6,FIND({0,1,2,3,4,5,6,7,8,9},A197,ROW(INDIRECT("1:"&amp;LEN(A197)))),1))," ",REPT(" ",LEN(A197))),LEN(A197))))))), 0), ROW(INDIRECT("1:"&amp;LEN((--TRIM(RIGHT(SUBSTITUTE(LEFT(A197,_xlfn.AGGREGATE(16,6,FIND({0,1,2,3,4,5,6,7,8,9},A197,ROW(INDIRECT("1:"&amp;LEN(A197)))),1))," ",REPT(" ",LEN(A197))),LEN(A197))))))))+1, 1) * 10^ROW(INDIRECT("1:"&amp;LEN((--TRIM(RIGHT(SUBSTITUTE(LEFT(A197,_xlfn.AGGREGATE(16,6,FIND({0,1,2,3,4,5,6,7,8,9},A197,ROW(INDIRECT("1:"&amp;LEN(A197)))),1))," ",REPT(" ",LEN(A197))),LEN(A197)))))))/10))*1+1</f>
        <v>104 &amp; 304</v>
      </c>
      <c r="B198" s="72"/>
      <c r="C198" s="48">
        <v>0</v>
      </c>
      <c r="D198" s="49">
        <f>(20.22+5.16)*(10.764)</f>
        <v>273.19031999999999</v>
      </c>
      <c r="E198" s="40">
        <v>0</v>
      </c>
      <c r="F198" s="40">
        <v>445</v>
      </c>
      <c r="G198" s="82"/>
      <c r="H198" s="83"/>
      <c r="I198" s="34"/>
    </row>
    <row r="199" spans="1:10" s="35" customFormat="1" ht="15.75" customHeight="1" x14ac:dyDescent="0.35">
      <c r="A199" s="71" t="str">
        <f ca="1">(SUMPRODUCT(MID(0&amp;(LEFT(A198,SUM(LEN(A198)-LEN(SUBSTITUTE(A198,{"0","1","2"},""))))), LARGE(INDEX(ISNUMBER(--MID((LEFT(A198,SUM(LEN(A198)-LEN(SUBSTITUTE(A198,{"0","1","2"},""))))), ROW(INDIRECT("1:"&amp;LEN((LEFT(A198,SUM(LEN(A198)-LEN(SUBSTITUTE(A198,{"0","1","2"},"")))))))), 1)) * ROW(INDIRECT("1:"&amp;LEN((LEFT(A198,SUM(LEN(A198)-LEN(SUBSTITUTE(A198,{"0","1","2"},"")))))))), 0), ROW(INDIRECT("1:"&amp;LEN((LEFT(A198,SUM(LEN(A198)-LEN(SUBSTITUTE(A198,{"0","1","2"},"")))))))))+1, 1) * 10^ROW(INDIRECT("1:"&amp;LEN((LEFT(A198,SUM(LEN(A198)-LEN(SUBSTITUTE(A198,{"0","1","2"},""))))))))/10))*1+1&amp;""&amp;" &amp; "&amp;""&amp;(SUMPRODUCT(MID(0&amp;(--TRIM(RIGHT(SUBSTITUTE(LEFT(A198,_xlfn.AGGREGATE(16,6,FIND({0,1,2,3,4,5,6,7,8,9},A198,ROW(INDIRECT("1:"&amp;LEN(A198)))),1))," ",REPT(" ",LEN(A198))),LEN(A198)))), LARGE(INDEX(ISNUMBER(--MID((--TRIM(RIGHT(SUBSTITUTE(LEFT(A198,_xlfn.AGGREGATE(16,6,FIND({0,1,2,3,4,5,6,7,8,9},A198,ROW(INDIRECT("1:"&amp;LEN(A198)))),1))," ",REPT(" ",LEN(A198))),LEN(A198)))), ROW(INDIRECT("1:"&amp;LEN((--TRIM(RIGHT(SUBSTITUTE(LEFT(A198,_xlfn.AGGREGATE(16,6,FIND({0,1,2,3,4,5,6,7,8,9},A198,ROW(INDIRECT("1:"&amp;LEN(A198)))),1))," ",REPT(" ",LEN(A198))),LEN(A198))))))), 1)) * ROW(INDIRECT("1:"&amp;LEN((--TRIM(RIGHT(SUBSTITUTE(LEFT(A198,_xlfn.AGGREGATE(16,6,FIND({0,1,2,3,4,5,6,7,8,9},A198,ROW(INDIRECT("1:"&amp;LEN(A198)))),1))," ",REPT(" ",LEN(A198))),LEN(A198))))))), 0), ROW(INDIRECT("1:"&amp;LEN((--TRIM(RIGHT(SUBSTITUTE(LEFT(A198,_xlfn.AGGREGATE(16,6,FIND({0,1,2,3,4,5,6,7,8,9},A198,ROW(INDIRECT("1:"&amp;LEN(A198)))),1))," ",REPT(" ",LEN(A198))),LEN(A198))))))))+1, 1) * 10^ROW(INDIRECT("1:"&amp;LEN((--TRIM(RIGHT(SUBSTITUTE(LEFT(A198,_xlfn.AGGREGATE(16,6,FIND({0,1,2,3,4,5,6,7,8,9},A198,ROW(INDIRECT("1:"&amp;LEN(A198)))),1))," ",REPT(" ",LEN(A198))),LEN(A198)))))))/10))*1+1</f>
        <v>105 &amp; 305</v>
      </c>
      <c r="B199" s="72"/>
      <c r="C199" s="48">
        <v>0</v>
      </c>
      <c r="D199" s="49">
        <f>(22.38+2.59)*(10.764)</f>
        <v>268.77707999999996</v>
      </c>
      <c r="E199" s="49">
        <f>(6.5)*(10.764)</f>
        <v>69.965999999999994</v>
      </c>
      <c r="F199" s="40">
        <v>545</v>
      </c>
      <c r="G199" s="82"/>
      <c r="H199" s="83"/>
      <c r="I199" s="34"/>
    </row>
    <row r="200" spans="1:10" s="35" customFormat="1" ht="15.75" customHeight="1" x14ac:dyDescent="0.35">
      <c r="A200" s="71" t="str">
        <f ca="1">(SUMPRODUCT(MID(0&amp;(LEFT(A199,SUM(LEN(A199)-LEN(SUBSTITUTE(A199,{"0","1","2"},""))))), LARGE(INDEX(ISNUMBER(--MID((LEFT(A199,SUM(LEN(A199)-LEN(SUBSTITUTE(A199,{"0","1","2"},""))))), ROW(INDIRECT("1:"&amp;LEN((LEFT(A199,SUM(LEN(A199)-LEN(SUBSTITUTE(A199,{"0","1","2"},"")))))))), 1)) * ROW(INDIRECT("1:"&amp;LEN((LEFT(A199,SUM(LEN(A199)-LEN(SUBSTITUTE(A199,{"0","1","2"},"")))))))), 0), ROW(INDIRECT("1:"&amp;LEN((LEFT(A199,SUM(LEN(A199)-LEN(SUBSTITUTE(A199,{"0","1","2"},"")))))))))+1, 1) * 10^ROW(INDIRECT("1:"&amp;LEN((LEFT(A199,SUM(LEN(A199)-LEN(SUBSTITUTE(A199,{"0","1","2"},""))))))))/10))*1+1&amp;""&amp;" &amp; "&amp;""&amp;(SUMPRODUCT(MID(0&amp;(--TRIM(RIGHT(SUBSTITUTE(LEFT(A199,_xlfn.AGGREGATE(16,6,FIND({0,1,2,3,4,5,6,7,8,9},A199,ROW(INDIRECT("1:"&amp;LEN(A199)))),1))," ",REPT(" ",LEN(A199))),LEN(A199)))), LARGE(INDEX(ISNUMBER(--MID((--TRIM(RIGHT(SUBSTITUTE(LEFT(A199,_xlfn.AGGREGATE(16,6,FIND({0,1,2,3,4,5,6,7,8,9},A199,ROW(INDIRECT("1:"&amp;LEN(A199)))),1))," ",REPT(" ",LEN(A199))),LEN(A199)))), ROW(INDIRECT("1:"&amp;LEN((--TRIM(RIGHT(SUBSTITUTE(LEFT(A199,_xlfn.AGGREGATE(16,6,FIND({0,1,2,3,4,5,6,7,8,9},A199,ROW(INDIRECT("1:"&amp;LEN(A199)))),1))," ",REPT(" ",LEN(A199))),LEN(A199))))))), 1)) * ROW(INDIRECT("1:"&amp;LEN((--TRIM(RIGHT(SUBSTITUTE(LEFT(A199,_xlfn.AGGREGATE(16,6,FIND({0,1,2,3,4,5,6,7,8,9},A199,ROW(INDIRECT("1:"&amp;LEN(A199)))),1))," ",REPT(" ",LEN(A199))),LEN(A199))))))), 0), ROW(INDIRECT("1:"&amp;LEN((--TRIM(RIGHT(SUBSTITUTE(LEFT(A199,_xlfn.AGGREGATE(16,6,FIND({0,1,2,3,4,5,6,7,8,9},A199,ROW(INDIRECT("1:"&amp;LEN(A199)))),1))," ",REPT(" ",LEN(A199))),LEN(A199))))))))+1, 1) * 10^ROW(INDIRECT("1:"&amp;LEN((--TRIM(RIGHT(SUBSTITUTE(LEFT(A199,_xlfn.AGGREGATE(16,6,FIND({0,1,2,3,4,5,6,7,8,9},A199,ROW(INDIRECT("1:"&amp;LEN(A199)))),1))," ",REPT(" ",LEN(A199))),LEN(A199)))))))/10))*1+1</f>
        <v>106 &amp; 306</v>
      </c>
      <c r="B200" s="72"/>
      <c r="C200" s="48">
        <v>1</v>
      </c>
      <c r="D200" s="49">
        <f>(28.88+4.6)*(10.764)</f>
        <v>360.37871999999993</v>
      </c>
      <c r="E200" s="40">
        <v>0</v>
      </c>
      <c r="F200" s="40">
        <v>585</v>
      </c>
      <c r="G200" s="84"/>
      <c r="H200" s="85"/>
      <c r="I200" s="34"/>
    </row>
    <row r="201" spans="1:10" s="35" customFormat="1" x14ac:dyDescent="0.35">
      <c r="A201" s="67" t="s">
        <v>186</v>
      </c>
      <c r="B201" s="68"/>
      <c r="C201" s="68"/>
      <c r="D201" s="68"/>
      <c r="E201" s="68"/>
      <c r="F201" s="68"/>
      <c r="G201" s="68"/>
      <c r="H201" s="69"/>
      <c r="I201" s="34"/>
    </row>
    <row r="202" spans="1:10" s="35" customFormat="1" ht="15.75" customHeight="1" x14ac:dyDescent="0.35">
      <c r="A202" s="71" t="str">
        <f ca="1">(SUMPRODUCT(MID(0&amp;(LEFT(A201,SUM(LEN(A201)-LEN(SUBSTITUTE(A201,{"0","1","2"},""))))), LARGE(INDEX(ISNUMBER(--MID((LEFT(A201,SUM(LEN(A201)-LEN(SUBSTITUTE(A201,{"0","1","2"},""))))), ROW(INDIRECT("1:"&amp;LEN((LEFT(A201,SUM(LEN(A201)-LEN(SUBSTITUTE(A201,{"0","1","2"},"")))))))), 1)) * ROW(INDIRECT("1:"&amp;LEN((LEFT(A201,SUM(LEN(A201)-LEN(SUBSTITUTE(A201,{"0","1","2"},"")))))))), 0), ROW(INDIRECT("1:"&amp;LEN((LEFT(A201,SUM(LEN(A201)-LEN(SUBSTITUTE(A201,{"0","1","2"},"")))))))))+1, 1) * 10^ROW(INDIRECT("1:"&amp;LEN((LEFT(A201,SUM(LEN(A201)-LEN(SUBSTITUTE(A201,{"0","1","2"},""))))))))/10))*100+1&amp;""&amp;" &amp; "&amp;""&amp;(SUMPRODUCT(MID(0&amp;(--TRIM(RIGHT(SUBSTITUTE(LEFT(A201,_xlfn.AGGREGATE(16,6,FIND({0,1,2,3,4,5,6,7,8,9},A201,ROW(INDIRECT("1:"&amp;LEN(A201)))),1))," ",REPT(" ",LEN(A201))),LEN(A201)))), LARGE(INDEX(ISNUMBER(--MID((--TRIM(RIGHT(SUBSTITUTE(LEFT(A201,_xlfn.AGGREGATE(16,6,FIND({0,1,2,3,4,5,6,7,8,9},A201,ROW(INDIRECT("1:"&amp;LEN(A201)))),1))," ",REPT(" ",LEN(A201))),LEN(A201)))), ROW(INDIRECT("1:"&amp;LEN((--TRIM(RIGHT(SUBSTITUTE(LEFT(A201,_xlfn.AGGREGATE(16,6,FIND({0,1,2,3,4,5,6,7,8,9},A201,ROW(INDIRECT("1:"&amp;LEN(A201)))),1))," ",REPT(" ",LEN(A201))),LEN(A201))))))), 1)) * ROW(INDIRECT("1:"&amp;LEN((--TRIM(RIGHT(SUBSTITUTE(LEFT(A201,_xlfn.AGGREGATE(16,6,FIND({0,1,2,3,4,5,6,7,8,9},A201,ROW(INDIRECT("1:"&amp;LEN(A201)))),1))," ",REPT(" ",LEN(A201))),LEN(A201))))))), 0), ROW(INDIRECT("1:"&amp;LEN((--TRIM(RIGHT(SUBSTITUTE(LEFT(A201,_xlfn.AGGREGATE(16,6,FIND({0,1,2,3,4,5,6,7,8,9},A201,ROW(INDIRECT("1:"&amp;LEN(A201)))),1))," ",REPT(" ",LEN(A201))),LEN(A201))))))))+1, 1) * 10^ROW(INDIRECT("1:"&amp;LEN((--TRIM(RIGHT(SUBSTITUTE(LEFT(A201,_xlfn.AGGREGATE(16,6,FIND({0,1,2,3,4,5,6,7,8,9},A201,ROW(INDIRECT("1:"&amp;LEN(A201)))),1))," ",REPT(" ",LEN(A201))),LEN(A201)))))))/10))*100+1</f>
        <v>201 &amp; 401</v>
      </c>
      <c r="B202" s="72"/>
      <c r="C202" s="48">
        <v>1</v>
      </c>
      <c r="D202" s="49">
        <f>(20.76+2.4+3.87)*(10.764)</f>
        <v>290.95092</v>
      </c>
      <c r="E202" s="40">
        <v>0</v>
      </c>
      <c r="F202" s="40">
        <v>460</v>
      </c>
      <c r="G202" s="80" t="str">
        <f>A201</f>
        <v>2nd &amp; 4th Floor</v>
      </c>
      <c r="H202" s="81"/>
      <c r="I202" s="34"/>
    </row>
    <row r="203" spans="1:10" s="35" customFormat="1" ht="15.75" customHeight="1" x14ac:dyDescent="0.35">
      <c r="A203" s="71" t="str">
        <f ca="1">(SUMPRODUCT(MID(0&amp;(LEFT(A202,SUM(LEN(A202)-LEN(SUBSTITUTE(A202,{"0","1","2"},""))))), LARGE(INDEX(ISNUMBER(--MID((LEFT(A202,SUM(LEN(A202)-LEN(SUBSTITUTE(A202,{"0","1","2"},""))))), ROW(INDIRECT("1:"&amp;LEN((LEFT(A202,SUM(LEN(A202)-LEN(SUBSTITUTE(A202,{"0","1","2"},"")))))))), 1)) * ROW(INDIRECT("1:"&amp;LEN((LEFT(A202,SUM(LEN(A202)-LEN(SUBSTITUTE(A202,{"0","1","2"},"")))))))), 0), ROW(INDIRECT("1:"&amp;LEN((LEFT(A202,SUM(LEN(A202)-LEN(SUBSTITUTE(A202,{"0","1","2"},"")))))))))+1, 1) * 10^ROW(INDIRECT("1:"&amp;LEN((LEFT(A202,SUM(LEN(A202)-LEN(SUBSTITUTE(A202,{"0","1","2"},""))))))))/10))*1+1&amp;""&amp;" &amp; "&amp;""&amp;(SUMPRODUCT(MID(0&amp;(--TRIM(RIGHT(SUBSTITUTE(LEFT(A202,_xlfn.AGGREGATE(16,6,FIND({0,1,2,3,4,5,6,7,8,9},A202,ROW(INDIRECT("1:"&amp;LEN(A202)))),1))," ",REPT(" ",LEN(A202))),LEN(A202)))), LARGE(INDEX(ISNUMBER(--MID((--TRIM(RIGHT(SUBSTITUTE(LEFT(A202,_xlfn.AGGREGATE(16,6,FIND({0,1,2,3,4,5,6,7,8,9},A202,ROW(INDIRECT("1:"&amp;LEN(A202)))),1))," ",REPT(" ",LEN(A202))),LEN(A202)))), ROW(INDIRECT("1:"&amp;LEN((--TRIM(RIGHT(SUBSTITUTE(LEFT(A202,_xlfn.AGGREGATE(16,6,FIND({0,1,2,3,4,5,6,7,8,9},A202,ROW(INDIRECT("1:"&amp;LEN(A202)))),1))," ",REPT(" ",LEN(A202))),LEN(A202))))))), 1)) * ROW(INDIRECT("1:"&amp;LEN((--TRIM(RIGHT(SUBSTITUTE(LEFT(A202,_xlfn.AGGREGATE(16,6,FIND({0,1,2,3,4,5,6,7,8,9},A202,ROW(INDIRECT("1:"&amp;LEN(A202)))),1))," ",REPT(" ",LEN(A202))),LEN(A202))))))), 0), ROW(INDIRECT("1:"&amp;LEN((--TRIM(RIGHT(SUBSTITUTE(LEFT(A202,_xlfn.AGGREGATE(16,6,FIND({0,1,2,3,4,5,6,7,8,9},A202,ROW(INDIRECT("1:"&amp;LEN(A202)))),1))," ",REPT(" ",LEN(A202))),LEN(A202))))))))+1, 1) * 10^ROW(INDIRECT("1:"&amp;LEN((--TRIM(RIGHT(SUBSTITUTE(LEFT(A202,_xlfn.AGGREGATE(16,6,FIND({0,1,2,3,4,5,6,7,8,9},A202,ROW(INDIRECT("1:"&amp;LEN(A202)))),1))," ",REPT(" ",LEN(A202))),LEN(A202)))))))/10))*1+1</f>
        <v>202 &amp; 402</v>
      </c>
      <c r="B203" s="72"/>
      <c r="C203" s="48">
        <v>0</v>
      </c>
      <c r="D203" s="49">
        <f>(19.3+2.4)*(10.764)</f>
        <v>233.57879999999997</v>
      </c>
      <c r="E203" s="40">
        <v>0</v>
      </c>
      <c r="F203" s="40">
        <v>370</v>
      </c>
      <c r="G203" s="82"/>
      <c r="H203" s="83"/>
      <c r="I203" s="34"/>
    </row>
    <row r="204" spans="1:10" s="35" customFormat="1" ht="15.75" customHeight="1" x14ac:dyDescent="0.35">
      <c r="A204" s="71" t="str">
        <f ca="1">(SUMPRODUCT(MID(0&amp;(LEFT(A203,SUM(LEN(A203)-LEN(SUBSTITUTE(A203,{"0","1","2"},""))))), LARGE(INDEX(ISNUMBER(--MID((LEFT(A203,SUM(LEN(A203)-LEN(SUBSTITUTE(A203,{"0","1","2"},""))))), ROW(INDIRECT("1:"&amp;LEN((LEFT(A203,SUM(LEN(A203)-LEN(SUBSTITUTE(A203,{"0","1","2"},"")))))))), 1)) * ROW(INDIRECT("1:"&amp;LEN((LEFT(A203,SUM(LEN(A203)-LEN(SUBSTITUTE(A203,{"0","1","2"},"")))))))), 0), ROW(INDIRECT("1:"&amp;LEN((LEFT(A203,SUM(LEN(A203)-LEN(SUBSTITUTE(A203,{"0","1","2"},"")))))))))+1, 1) * 10^ROW(INDIRECT("1:"&amp;LEN((LEFT(A203,SUM(LEN(A203)-LEN(SUBSTITUTE(A203,{"0","1","2"},""))))))))/10))*1+1&amp;""&amp;" &amp; "&amp;""&amp;(SUMPRODUCT(MID(0&amp;(--TRIM(RIGHT(SUBSTITUTE(LEFT(A203,_xlfn.AGGREGATE(16,6,FIND({0,1,2,3,4,5,6,7,8,9},A203,ROW(INDIRECT("1:"&amp;LEN(A203)))),1))," ",REPT(" ",LEN(A203))),LEN(A203)))), LARGE(INDEX(ISNUMBER(--MID((--TRIM(RIGHT(SUBSTITUTE(LEFT(A203,_xlfn.AGGREGATE(16,6,FIND({0,1,2,3,4,5,6,7,8,9},A203,ROW(INDIRECT("1:"&amp;LEN(A203)))),1))," ",REPT(" ",LEN(A203))),LEN(A203)))), ROW(INDIRECT("1:"&amp;LEN((--TRIM(RIGHT(SUBSTITUTE(LEFT(A203,_xlfn.AGGREGATE(16,6,FIND({0,1,2,3,4,5,6,7,8,9},A203,ROW(INDIRECT("1:"&amp;LEN(A203)))),1))," ",REPT(" ",LEN(A203))),LEN(A203))))))), 1)) * ROW(INDIRECT("1:"&amp;LEN((--TRIM(RIGHT(SUBSTITUTE(LEFT(A203,_xlfn.AGGREGATE(16,6,FIND({0,1,2,3,4,5,6,7,8,9},A203,ROW(INDIRECT("1:"&amp;LEN(A203)))),1))," ",REPT(" ",LEN(A203))),LEN(A203))))))), 0), ROW(INDIRECT("1:"&amp;LEN((--TRIM(RIGHT(SUBSTITUTE(LEFT(A203,_xlfn.AGGREGATE(16,6,FIND({0,1,2,3,4,5,6,7,8,9},A203,ROW(INDIRECT("1:"&amp;LEN(A203)))),1))," ",REPT(" ",LEN(A203))),LEN(A203))))))))+1, 1) * 10^ROW(INDIRECT("1:"&amp;LEN((--TRIM(RIGHT(SUBSTITUTE(LEFT(A203,_xlfn.AGGREGATE(16,6,FIND({0,1,2,3,4,5,6,7,8,9},A203,ROW(INDIRECT("1:"&amp;LEN(A203)))),1))," ",REPT(" ",LEN(A203))),LEN(A203)))))))/10))*1+1</f>
        <v>203 &amp; 403</v>
      </c>
      <c r="B204" s="72"/>
      <c r="C204" s="48">
        <v>0</v>
      </c>
      <c r="D204" s="49">
        <f>(21.88+5.9)*(10.764)</f>
        <v>299.02391999999998</v>
      </c>
      <c r="E204" s="40">
        <v>0</v>
      </c>
      <c r="F204" s="40">
        <v>480</v>
      </c>
      <c r="G204" s="82"/>
      <c r="H204" s="83"/>
      <c r="I204" s="34"/>
    </row>
    <row r="205" spans="1:10" s="35" customFormat="1" ht="15.75" customHeight="1" x14ac:dyDescent="0.35">
      <c r="A205" s="71" t="str">
        <f ca="1">(SUMPRODUCT(MID(0&amp;(LEFT(A204,SUM(LEN(A204)-LEN(SUBSTITUTE(A204,{"0","1","2"},""))))), LARGE(INDEX(ISNUMBER(--MID((LEFT(A204,SUM(LEN(A204)-LEN(SUBSTITUTE(A204,{"0","1","2"},""))))), ROW(INDIRECT("1:"&amp;LEN((LEFT(A204,SUM(LEN(A204)-LEN(SUBSTITUTE(A204,{"0","1","2"},"")))))))), 1)) * ROW(INDIRECT("1:"&amp;LEN((LEFT(A204,SUM(LEN(A204)-LEN(SUBSTITUTE(A204,{"0","1","2"},"")))))))), 0), ROW(INDIRECT("1:"&amp;LEN((LEFT(A204,SUM(LEN(A204)-LEN(SUBSTITUTE(A204,{"0","1","2"},"")))))))))+1, 1) * 10^ROW(INDIRECT("1:"&amp;LEN((LEFT(A204,SUM(LEN(A204)-LEN(SUBSTITUTE(A204,{"0","1","2"},""))))))))/10))*1+1&amp;""&amp;" &amp; "&amp;""&amp;(SUMPRODUCT(MID(0&amp;(--TRIM(RIGHT(SUBSTITUTE(LEFT(A204,_xlfn.AGGREGATE(16,6,FIND({0,1,2,3,4,5,6,7,8,9},A204,ROW(INDIRECT("1:"&amp;LEN(A204)))),1))," ",REPT(" ",LEN(A204))),LEN(A204)))), LARGE(INDEX(ISNUMBER(--MID((--TRIM(RIGHT(SUBSTITUTE(LEFT(A204,_xlfn.AGGREGATE(16,6,FIND({0,1,2,3,4,5,6,7,8,9},A204,ROW(INDIRECT("1:"&amp;LEN(A204)))),1))," ",REPT(" ",LEN(A204))),LEN(A204)))), ROW(INDIRECT("1:"&amp;LEN((--TRIM(RIGHT(SUBSTITUTE(LEFT(A204,_xlfn.AGGREGATE(16,6,FIND({0,1,2,3,4,5,6,7,8,9},A204,ROW(INDIRECT("1:"&amp;LEN(A204)))),1))," ",REPT(" ",LEN(A204))),LEN(A204))))))), 1)) * ROW(INDIRECT("1:"&amp;LEN((--TRIM(RIGHT(SUBSTITUTE(LEFT(A204,_xlfn.AGGREGATE(16,6,FIND({0,1,2,3,4,5,6,7,8,9},A204,ROW(INDIRECT("1:"&amp;LEN(A204)))),1))," ",REPT(" ",LEN(A204))),LEN(A204))))))), 0), ROW(INDIRECT("1:"&amp;LEN((--TRIM(RIGHT(SUBSTITUTE(LEFT(A204,_xlfn.AGGREGATE(16,6,FIND({0,1,2,3,4,5,6,7,8,9},A204,ROW(INDIRECT("1:"&amp;LEN(A204)))),1))," ",REPT(" ",LEN(A204))),LEN(A204))))))))+1, 1) * 10^ROW(INDIRECT("1:"&amp;LEN((--TRIM(RIGHT(SUBSTITUTE(LEFT(A204,_xlfn.AGGREGATE(16,6,FIND({0,1,2,3,4,5,6,7,8,9},A204,ROW(INDIRECT("1:"&amp;LEN(A204)))),1))," ",REPT(" ",LEN(A204))),LEN(A204)))))))/10))*1+1</f>
        <v>204 &amp; 404</v>
      </c>
      <c r="B205" s="72"/>
      <c r="C205" s="48">
        <v>0</v>
      </c>
      <c r="D205" s="49">
        <f>(20.22+5.16)*(10.764)</f>
        <v>273.19031999999999</v>
      </c>
      <c r="E205" s="40">
        <v>0</v>
      </c>
      <c r="F205" s="40">
        <v>445</v>
      </c>
      <c r="G205" s="82"/>
      <c r="H205" s="83"/>
      <c r="I205" s="34"/>
    </row>
    <row r="206" spans="1:10" s="35" customFormat="1" ht="15.75" customHeight="1" x14ac:dyDescent="0.35">
      <c r="A206" s="71" t="str">
        <f ca="1">(SUMPRODUCT(MID(0&amp;(LEFT(A205,SUM(LEN(A205)-LEN(SUBSTITUTE(A205,{"0","1","2"},""))))), LARGE(INDEX(ISNUMBER(--MID((LEFT(A205,SUM(LEN(A205)-LEN(SUBSTITUTE(A205,{"0","1","2"},""))))), ROW(INDIRECT("1:"&amp;LEN((LEFT(A205,SUM(LEN(A205)-LEN(SUBSTITUTE(A205,{"0","1","2"},"")))))))), 1)) * ROW(INDIRECT("1:"&amp;LEN((LEFT(A205,SUM(LEN(A205)-LEN(SUBSTITUTE(A205,{"0","1","2"},"")))))))), 0), ROW(INDIRECT("1:"&amp;LEN((LEFT(A205,SUM(LEN(A205)-LEN(SUBSTITUTE(A205,{"0","1","2"},"")))))))))+1, 1) * 10^ROW(INDIRECT("1:"&amp;LEN((LEFT(A205,SUM(LEN(A205)-LEN(SUBSTITUTE(A205,{"0","1","2"},""))))))))/10))*1+1&amp;""&amp;" &amp; "&amp;""&amp;(SUMPRODUCT(MID(0&amp;(--TRIM(RIGHT(SUBSTITUTE(LEFT(A205,_xlfn.AGGREGATE(16,6,FIND({0,1,2,3,4,5,6,7,8,9},A205,ROW(INDIRECT("1:"&amp;LEN(A205)))),1))," ",REPT(" ",LEN(A205))),LEN(A205)))), LARGE(INDEX(ISNUMBER(--MID((--TRIM(RIGHT(SUBSTITUTE(LEFT(A205,_xlfn.AGGREGATE(16,6,FIND({0,1,2,3,4,5,6,7,8,9},A205,ROW(INDIRECT("1:"&amp;LEN(A205)))),1))," ",REPT(" ",LEN(A205))),LEN(A205)))), ROW(INDIRECT("1:"&amp;LEN((--TRIM(RIGHT(SUBSTITUTE(LEFT(A205,_xlfn.AGGREGATE(16,6,FIND({0,1,2,3,4,5,6,7,8,9},A205,ROW(INDIRECT("1:"&amp;LEN(A205)))),1))," ",REPT(" ",LEN(A205))),LEN(A205))))))), 1)) * ROW(INDIRECT("1:"&amp;LEN((--TRIM(RIGHT(SUBSTITUTE(LEFT(A205,_xlfn.AGGREGATE(16,6,FIND({0,1,2,3,4,5,6,7,8,9},A205,ROW(INDIRECT("1:"&amp;LEN(A205)))),1))," ",REPT(" ",LEN(A205))),LEN(A205))))))), 0), ROW(INDIRECT("1:"&amp;LEN((--TRIM(RIGHT(SUBSTITUTE(LEFT(A205,_xlfn.AGGREGATE(16,6,FIND({0,1,2,3,4,5,6,7,8,9},A205,ROW(INDIRECT("1:"&amp;LEN(A205)))),1))," ",REPT(" ",LEN(A205))),LEN(A205))))))))+1, 1) * 10^ROW(INDIRECT("1:"&amp;LEN((--TRIM(RIGHT(SUBSTITUTE(LEFT(A205,_xlfn.AGGREGATE(16,6,FIND({0,1,2,3,4,5,6,7,8,9},A205,ROW(INDIRECT("1:"&amp;LEN(A205)))),1))," ",REPT(" ",LEN(A205))),LEN(A205)))))))/10))*1+1</f>
        <v>205 &amp; 405</v>
      </c>
      <c r="B206" s="72"/>
      <c r="C206" s="48">
        <v>0</v>
      </c>
      <c r="D206" s="49">
        <f>(21.79+2.59)*(10.764)</f>
        <v>262.42631999999998</v>
      </c>
      <c r="E206" s="40">
        <v>0</v>
      </c>
      <c r="F206" s="40">
        <v>425</v>
      </c>
      <c r="G206" s="82"/>
      <c r="H206" s="83"/>
      <c r="I206" s="34"/>
    </row>
    <row r="207" spans="1:10" s="35" customFormat="1" ht="15.75" customHeight="1" x14ac:dyDescent="0.35">
      <c r="A207" s="71" t="str">
        <f ca="1">(SUMPRODUCT(MID(0&amp;(LEFT(A206,SUM(LEN(A206)-LEN(SUBSTITUTE(A206,{"0","1","2"},""))))), LARGE(INDEX(ISNUMBER(--MID((LEFT(A206,SUM(LEN(A206)-LEN(SUBSTITUTE(A206,{"0","1","2"},""))))), ROW(INDIRECT("1:"&amp;LEN((LEFT(A206,SUM(LEN(A206)-LEN(SUBSTITUTE(A206,{"0","1","2"},"")))))))), 1)) * ROW(INDIRECT("1:"&amp;LEN((LEFT(A206,SUM(LEN(A206)-LEN(SUBSTITUTE(A206,{"0","1","2"},"")))))))), 0), ROW(INDIRECT("1:"&amp;LEN((LEFT(A206,SUM(LEN(A206)-LEN(SUBSTITUTE(A206,{"0","1","2"},"")))))))))+1, 1) * 10^ROW(INDIRECT("1:"&amp;LEN((LEFT(A206,SUM(LEN(A206)-LEN(SUBSTITUTE(A206,{"0","1","2"},""))))))))/10))*1+1&amp;""&amp;" &amp; "&amp;""&amp;(SUMPRODUCT(MID(0&amp;(--TRIM(RIGHT(SUBSTITUTE(LEFT(A206,_xlfn.AGGREGATE(16,6,FIND({0,1,2,3,4,5,6,7,8,9},A206,ROW(INDIRECT("1:"&amp;LEN(A206)))),1))," ",REPT(" ",LEN(A206))),LEN(A206)))), LARGE(INDEX(ISNUMBER(--MID((--TRIM(RIGHT(SUBSTITUTE(LEFT(A206,_xlfn.AGGREGATE(16,6,FIND({0,1,2,3,4,5,6,7,8,9},A206,ROW(INDIRECT("1:"&amp;LEN(A206)))),1))," ",REPT(" ",LEN(A206))),LEN(A206)))), ROW(INDIRECT("1:"&amp;LEN((--TRIM(RIGHT(SUBSTITUTE(LEFT(A206,_xlfn.AGGREGATE(16,6,FIND({0,1,2,3,4,5,6,7,8,9},A206,ROW(INDIRECT("1:"&amp;LEN(A206)))),1))," ",REPT(" ",LEN(A206))),LEN(A206))))))), 1)) * ROW(INDIRECT("1:"&amp;LEN((--TRIM(RIGHT(SUBSTITUTE(LEFT(A206,_xlfn.AGGREGATE(16,6,FIND({0,1,2,3,4,5,6,7,8,9},A206,ROW(INDIRECT("1:"&amp;LEN(A206)))),1))," ",REPT(" ",LEN(A206))),LEN(A206))))))), 0), ROW(INDIRECT("1:"&amp;LEN((--TRIM(RIGHT(SUBSTITUTE(LEFT(A206,_xlfn.AGGREGATE(16,6,FIND({0,1,2,3,4,5,6,7,8,9},A206,ROW(INDIRECT("1:"&amp;LEN(A206)))),1))," ",REPT(" ",LEN(A206))),LEN(A206))))))))+1, 1) * 10^ROW(INDIRECT("1:"&amp;LEN((--TRIM(RIGHT(SUBSTITUTE(LEFT(A206,_xlfn.AGGREGATE(16,6,FIND({0,1,2,3,4,5,6,7,8,9},A206,ROW(INDIRECT("1:"&amp;LEN(A206)))),1))," ",REPT(" ",LEN(A206))),LEN(A206)))))))/10))*1+1</f>
        <v>206 &amp; 406</v>
      </c>
      <c r="B207" s="72"/>
      <c r="C207" s="48">
        <v>1</v>
      </c>
      <c r="D207" s="49">
        <f>(28.88+4.6)*(10.764)</f>
        <v>360.37871999999993</v>
      </c>
      <c r="E207" s="40">
        <v>0</v>
      </c>
      <c r="F207" s="40">
        <v>580</v>
      </c>
      <c r="G207" s="84"/>
      <c r="H207" s="85"/>
      <c r="I207" s="34"/>
    </row>
    <row r="208" spans="1:10" s="35" customFormat="1" x14ac:dyDescent="0.35">
      <c r="A208" s="67" t="s">
        <v>189</v>
      </c>
      <c r="B208" s="68"/>
      <c r="C208" s="68"/>
      <c r="D208" s="68"/>
      <c r="E208" s="68"/>
      <c r="F208" s="68"/>
      <c r="G208" s="68"/>
      <c r="H208" s="69"/>
      <c r="J208" s="34"/>
    </row>
    <row r="209" spans="1:11" s="35" customFormat="1" x14ac:dyDescent="0.35">
      <c r="A209" s="67" t="s">
        <v>185</v>
      </c>
      <c r="B209" s="68"/>
      <c r="C209" s="68"/>
      <c r="D209" s="68"/>
      <c r="E209" s="68"/>
      <c r="F209" s="68"/>
      <c r="G209" s="68"/>
      <c r="H209" s="69"/>
      <c r="I209" s="34"/>
    </row>
    <row r="210" spans="1:11" s="35" customFormat="1" ht="15.75" customHeight="1" x14ac:dyDescent="0.35">
      <c r="A210" s="71" t="str">
        <f ca="1">(SUMPRODUCT(MID(0&amp;(LEFT(A209,SUM(LEN(A209)-LEN(SUBSTITUTE(A209,{"0","1","2"},""))))), LARGE(INDEX(ISNUMBER(--MID((LEFT(A209,SUM(LEN(A209)-LEN(SUBSTITUTE(A209,{"0","1","2"},""))))), ROW(INDIRECT("1:"&amp;LEN((LEFT(A209,SUM(LEN(A209)-LEN(SUBSTITUTE(A209,{"0","1","2"},"")))))))), 1)) * ROW(INDIRECT("1:"&amp;LEN((LEFT(A209,SUM(LEN(A209)-LEN(SUBSTITUTE(A209,{"0","1","2"},"")))))))), 0), ROW(INDIRECT("1:"&amp;LEN((LEFT(A209,SUM(LEN(A209)-LEN(SUBSTITUTE(A209,{"0","1","2"},"")))))))))+1, 1) * 10^ROW(INDIRECT("1:"&amp;LEN((LEFT(A209,SUM(LEN(A209)-LEN(SUBSTITUTE(A209,{"0","1","2"},""))))))))/10))*100+1&amp;""&amp;" &amp; "&amp;""&amp;(SUMPRODUCT(MID(0&amp;(--TRIM(RIGHT(SUBSTITUTE(LEFT(A209,_xlfn.AGGREGATE(16,6,FIND({0,1,2,3,4,5,6,7,8,9},A209,ROW(INDIRECT("1:"&amp;LEN(A209)))),1))," ",REPT(" ",LEN(A209))),LEN(A209)))), LARGE(INDEX(ISNUMBER(--MID((--TRIM(RIGHT(SUBSTITUTE(LEFT(A209,_xlfn.AGGREGATE(16,6,FIND({0,1,2,3,4,5,6,7,8,9},A209,ROW(INDIRECT("1:"&amp;LEN(A209)))),1))," ",REPT(" ",LEN(A209))),LEN(A209)))), ROW(INDIRECT("1:"&amp;LEN((--TRIM(RIGHT(SUBSTITUTE(LEFT(A209,_xlfn.AGGREGATE(16,6,FIND({0,1,2,3,4,5,6,7,8,9},A209,ROW(INDIRECT("1:"&amp;LEN(A209)))),1))," ",REPT(" ",LEN(A209))),LEN(A209))))))), 1)) * ROW(INDIRECT("1:"&amp;LEN((--TRIM(RIGHT(SUBSTITUTE(LEFT(A209,_xlfn.AGGREGATE(16,6,FIND({0,1,2,3,4,5,6,7,8,9},A209,ROW(INDIRECT("1:"&amp;LEN(A209)))),1))," ",REPT(" ",LEN(A209))),LEN(A209))))))), 0), ROW(INDIRECT("1:"&amp;LEN((--TRIM(RIGHT(SUBSTITUTE(LEFT(A209,_xlfn.AGGREGATE(16,6,FIND({0,1,2,3,4,5,6,7,8,9},A209,ROW(INDIRECT("1:"&amp;LEN(A209)))),1))," ",REPT(" ",LEN(A209))),LEN(A209))))))))+1, 1) * 10^ROW(INDIRECT("1:"&amp;LEN((--TRIM(RIGHT(SUBSTITUTE(LEFT(A209,_xlfn.AGGREGATE(16,6,FIND({0,1,2,3,4,5,6,7,8,9},A209,ROW(INDIRECT("1:"&amp;LEN(A209)))),1))," ",REPT(" ",LEN(A209))),LEN(A209)))))))/10))*100+1</f>
        <v>101 &amp; 301</v>
      </c>
      <c r="B210" s="72"/>
      <c r="C210" s="48">
        <v>0</v>
      </c>
      <c r="D210" s="49">
        <f>(20.36+2.1)*(10.764)</f>
        <v>241.75943999999998</v>
      </c>
      <c r="E210" s="40">
        <v>0</v>
      </c>
      <c r="F210" s="40">
        <v>395</v>
      </c>
      <c r="G210" s="80" t="str">
        <f>A209</f>
        <v>1st &amp; 3rd Floor</v>
      </c>
      <c r="H210" s="81"/>
      <c r="I210" s="34"/>
    </row>
    <row r="211" spans="1:11" s="35" customFormat="1" ht="15.75" customHeight="1" x14ac:dyDescent="0.35">
      <c r="A211" s="71" t="str">
        <f ca="1">(SUMPRODUCT(MID(0&amp;(LEFT(A210,SUM(LEN(A210)-LEN(SUBSTITUTE(A210,{"0","1","2"},""))))), LARGE(INDEX(ISNUMBER(--MID((LEFT(A210,SUM(LEN(A210)-LEN(SUBSTITUTE(A210,{"0","1","2"},""))))), ROW(INDIRECT("1:"&amp;LEN((LEFT(A210,SUM(LEN(A210)-LEN(SUBSTITUTE(A210,{"0","1","2"},"")))))))), 1)) * ROW(INDIRECT("1:"&amp;LEN((LEFT(A210,SUM(LEN(A210)-LEN(SUBSTITUTE(A210,{"0","1","2"},"")))))))), 0), ROW(INDIRECT("1:"&amp;LEN((LEFT(A210,SUM(LEN(A210)-LEN(SUBSTITUTE(A210,{"0","1","2"},"")))))))))+1, 1) * 10^ROW(INDIRECT("1:"&amp;LEN((LEFT(A210,SUM(LEN(A210)-LEN(SUBSTITUTE(A210,{"0","1","2"},""))))))))/10))*1+1&amp;""&amp;" &amp; "&amp;""&amp;(SUMPRODUCT(MID(0&amp;(--TRIM(RIGHT(SUBSTITUTE(LEFT(A210,_xlfn.AGGREGATE(16,6,FIND({0,1,2,3,4,5,6,7,8,9},A210,ROW(INDIRECT("1:"&amp;LEN(A210)))),1))," ",REPT(" ",LEN(A210))),LEN(A210)))), LARGE(INDEX(ISNUMBER(--MID((--TRIM(RIGHT(SUBSTITUTE(LEFT(A210,_xlfn.AGGREGATE(16,6,FIND({0,1,2,3,4,5,6,7,8,9},A210,ROW(INDIRECT("1:"&amp;LEN(A210)))),1))," ",REPT(" ",LEN(A210))),LEN(A210)))), ROW(INDIRECT("1:"&amp;LEN((--TRIM(RIGHT(SUBSTITUTE(LEFT(A210,_xlfn.AGGREGATE(16,6,FIND({0,1,2,3,4,5,6,7,8,9},A210,ROW(INDIRECT("1:"&amp;LEN(A210)))),1))," ",REPT(" ",LEN(A210))),LEN(A210))))))), 1)) * ROW(INDIRECT("1:"&amp;LEN((--TRIM(RIGHT(SUBSTITUTE(LEFT(A210,_xlfn.AGGREGATE(16,6,FIND({0,1,2,3,4,5,6,7,8,9},A210,ROW(INDIRECT("1:"&amp;LEN(A210)))),1))," ",REPT(" ",LEN(A210))),LEN(A210))))))), 0), ROW(INDIRECT("1:"&amp;LEN((--TRIM(RIGHT(SUBSTITUTE(LEFT(A210,_xlfn.AGGREGATE(16,6,FIND({0,1,2,3,4,5,6,7,8,9},A210,ROW(INDIRECT("1:"&amp;LEN(A210)))),1))," ",REPT(" ",LEN(A210))),LEN(A210))))))))+1, 1) * 10^ROW(INDIRECT("1:"&amp;LEN((--TRIM(RIGHT(SUBSTITUTE(LEFT(A210,_xlfn.AGGREGATE(16,6,FIND({0,1,2,3,4,5,6,7,8,9},A210,ROW(INDIRECT("1:"&amp;LEN(A210)))),1))," ",REPT(" ",LEN(A210))),LEN(A210)))))))/10))*1+1</f>
        <v>102 &amp; 302</v>
      </c>
      <c r="B211" s="72"/>
      <c r="C211" s="48">
        <v>0</v>
      </c>
      <c r="D211" s="49">
        <f>(23.54+2.6)*(10.764)</f>
        <v>281.37095999999997</v>
      </c>
      <c r="E211" s="49">
        <f>(4.58)*(10.764)</f>
        <v>49.299119999999995</v>
      </c>
      <c r="F211" s="40">
        <v>530</v>
      </c>
      <c r="G211" s="82"/>
      <c r="H211" s="83"/>
      <c r="I211" s="34"/>
    </row>
    <row r="212" spans="1:11" s="35" customFormat="1" ht="15.75" customHeight="1" x14ac:dyDescent="0.35">
      <c r="A212" s="71" t="str">
        <f ca="1">(SUMPRODUCT(MID(0&amp;(LEFT(A211,SUM(LEN(A211)-LEN(SUBSTITUTE(A211,{"0","1","2"},""))))), LARGE(INDEX(ISNUMBER(--MID((LEFT(A211,SUM(LEN(A211)-LEN(SUBSTITUTE(A211,{"0","1","2"},""))))), ROW(INDIRECT("1:"&amp;LEN((LEFT(A211,SUM(LEN(A211)-LEN(SUBSTITUTE(A211,{"0","1","2"},"")))))))), 1)) * ROW(INDIRECT("1:"&amp;LEN((LEFT(A211,SUM(LEN(A211)-LEN(SUBSTITUTE(A211,{"0","1","2"},"")))))))), 0), ROW(INDIRECT("1:"&amp;LEN((LEFT(A211,SUM(LEN(A211)-LEN(SUBSTITUTE(A211,{"0","1","2"},"")))))))))+1, 1) * 10^ROW(INDIRECT("1:"&amp;LEN((LEFT(A211,SUM(LEN(A211)-LEN(SUBSTITUTE(A211,{"0","1","2"},""))))))))/10))*1+1&amp;""&amp;" &amp; "&amp;""&amp;(SUMPRODUCT(MID(0&amp;(--TRIM(RIGHT(SUBSTITUTE(LEFT(A211,_xlfn.AGGREGATE(16,6,FIND({0,1,2,3,4,5,6,7,8,9},A211,ROW(INDIRECT("1:"&amp;LEN(A211)))),1))," ",REPT(" ",LEN(A211))),LEN(A211)))), LARGE(INDEX(ISNUMBER(--MID((--TRIM(RIGHT(SUBSTITUTE(LEFT(A211,_xlfn.AGGREGATE(16,6,FIND({0,1,2,3,4,5,6,7,8,9},A211,ROW(INDIRECT("1:"&amp;LEN(A211)))),1))," ",REPT(" ",LEN(A211))),LEN(A211)))), ROW(INDIRECT("1:"&amp;LEN((--TRIM(RIGHT(SUBSTITUTE(LEFT(A211,_xlfn.AGGREGATE(16,6,FIND({0,1,2,3,4,5,6,7,8,9},A211,ROW(INDIRECT("1:"&amp;LEN(A211)))),1))," ",REPT(" ",LEN(A211))),LEN(A211))))))), 1)) * ROW(INDIRECT("1:"&amp;LEN((--TRIM(RIGHT(SUBSTITUTE(LEFT(A211,_xlfn.AGGREGATE(16,6,FIND({0,1,2,3,4,5,6,7,8,9},A211,ROW(INDIRECT("1:"&amp;LEN(A211)))),1))," ",REPT(" ",LEN(A211))),LEN(A211))))))), 0), ROW(INDIRECT("1:"&amp;LEN((--TRIM(RIGHT(SUBSTITUTE(LEFT(A211,_xlfn.AGGREGATE(16,6,FIND({0,1,2,3,4,5,6,7,8,9},A211,ROW(INDIRECT("1:"&amp;LEN(A211)))),1))," ",REPT(" ",LEN(A211))),LEN(A211))))))))+1, 1) * 10^ROW(INDIRECT("1:"&amp;LEN((--TRIM(RIGHT(SUBSTITUTE(LEFT(A211,_xlfn.AGGREGATE(16,6,FIND({0,1,2,3,4,5,6,7,8,9},A211,ROW(INDIRECT("1:"&amp;LEN(A211)))),1))," ",REPT(" ",LEN(A211))),LEN(A211)))))))/10))*1+1</f>
        <v>103 &amp; 303</v>
      </c>
      <c r="B212" s="72"/>
      <c r="C212" s="48">
        <v>2</v>
      </c>
      <c r="D212" s="49">
        <f>(50.8+10.87)*(10.764)</f>
        <v>663.81587999999988</v>
      </c>
      <c r="E212" s="40">
        <v>0</v>
      </c>
      <c r="F212" s="40">
        <v>1080</v>
      </c>
      <c r="G212" s="82"/>
      <c r="H212" s="83"/>
      <c r="I212" s="51">
        <f>500*F212</f>
        <v>540000</v>
      </c>
      <c r="J212" s="35">
        <f>3*12*F212</f>
        <v>38880</v>
      </c>
      <c r="K212" s="35">
        <f>5300000/F212</f>
        <v>4907.4074074074078</v>
      </c>
    </row>
    <row r="213" spans="1:11" s="35" customFormat="1" ht="15.75" customHeight="1" x14ac:dyDescent="0.35">
      <c r="A213" s="71" t="str">
        <f ca="1">(SUMPRODUCT(MID(0&amp;(LEFT(A212,SUM(LEN(A212)-LEN(SUBSTITUTE(A212,{"0","1","2"},""))))), LARGE(INDEX(ISNUMBER(--MID((LEFT(A212,SUM(LEN(A212)-LEN(SUBSTITUTE(A212,{"0","1","2"},""))))), ROW(INDIRECT("1:"&amp;LEN((LEFT(A212,SUM(LEN(A212)-LEN(SUBSTITUTE(A212,{"0","1","2"},"")))))))), 1)) * ROW(INDIRECT("1:"&amp;LEN((LEFT(A212,SUM(LEN(A212)-LEN(SUBSTITUTE(A212,{"0","1","2"},"")))))))), 0), ROW(INDIRECT("1:"&amp;LEN((LEFT(A212,SUM(LEN(A212)-LEN(SUBSTITUTE(A212,{"0","1","2"},"")))))))))+1, 1) * 10^ROW(INDIRECT("1:"&amp;LEN((LEFT(A212,SUM(LEN(A212)-LEN(SUBSTITUTE(A212,{"0","1","2"},""))))))))/10))*1+1&amp;""&amp;" &amp; "&amp;""&amp;(SUMPRODUCT(MID(0&amp;(--TRIM(RIGHT(SUBSTITUTE(LEFT(A212,_xlfn.AGGREGATE(16,6,FIND({0,1,2,3,4,5,6,7,8,9},A212,ROW(INDIRECT("1:"&amp;LEN(A212)))),1))," ",REPT(" ",LEN(A212))),LEN(A212)))), LARGE(INDEX(ISNUMBER(--MID((--TRIM(RIGHT(SUBSTITUTE(LEFT(A212,_xlfn.AGGREGATE(16,6,FIND({0,1,2,3,4,5,6,7,8,9},A212,ROW(INDIRECT("1:"&amp;LEN(A212)))),1))," ",REPT(" ",LEN(A212))),LEN(A212)))), ROW(INDIRECT("1:"&amp;LEN((--TRIM(RIGHT(SUBSTITUTE(LEFT(A212,_xlfn.AGGREGATE(16,6,FIND({0,1,2,3,4,5,6,7,8,9},A212,ROW(INDIRECT("1:"&amp;LEN(A212)))),1))," ",REPT(" ",LEN(A212))),LEN(A212))))))), 1)) * ROW(INDIRECT("1:"&amp;LEN((--TRIM(RIGHT(SUBSTITUTE(LEFT(A212,_xlfn.AGGREGATE(16,6,FIND({0,1,2,3,4,5,6,7,8,9},A212,ROW(INDIRECT("1:"&amp;LEN(A212)))),1))," ",REPT(" ",LEN(A212))),LEN(A212))))))), 0), ROW(INDIRECT("1:"&amp;LEN((--TRIM(RIGHT(SUBSTITUTE(LEFT(A212,_xlfn.AGGREGATE(16,6,FIND({0,1,2,3,4,5,6,7,8,9},A212,ROW(INDIRECT("1:"&amp;LEN(A212)))),1))," ",REPT(" ",LEN(A212))),LEN(A212))))))))+1, 1) * 10^ROW(INDIRECT("1:"&amp;LEN((--TRIM(RIGHT(SUBSTITUTE(LEFT(A212,_xlfn.AGGREGATE(16,6,FIND({0,1,2,3,4,5,6,7,8,9},A212,ROW(INDIRECT("1:"&amp;LEN(A212)))),1))," ",REPT(" ",LEN(A212))),LEN(A212)))))))/10))*1+1</f>
        <v>104 &amp; 304</v>
      </c>
      <c r="B213" s="72"/>
      <c r="C213" s="48">
        <v>1</v>
      </c>
      <c r="D213" s="49">
        <f>(32.17)*(10.764)</f>
        <v>346.27787999999998</v>
      </c>
      <c r="E213" s="40">
        <v>0</v>
      </c>
      <c r="F213" s="40">
        <v>565</v>
      </c>
      <c r="G213" s="82"/>
      <c r="H213" s="83"/>
      <c r="I213" s="34">
        <f>2900000/F213</f>
        <v>5132.7433628318586</v>
      </c>
    </row>
    <row r="214" spans="1:11" s="35" customFormat="1" ht="15.75" customHeight="1" x14ac:dyDescent="0.35">
      <c r="A214" s="71" t="str">
        <f ca="1">(SUMPRODUCT(MID(0&amp;(LEFT(A213,SUM(LEN(A213)-LEN(SUBSTITUTE(A213,{"0","1","2"},""))))), LARGE(INDEX(ISNUMBER(--MID((LEFT(A213,SUM(LEN(A213)-LEN(SUBSTITUTE(A213,{"0","1","2"},""))))), ROW(INDIRECT("1:"&amp;LEN((LEFT(A213,SUM(LEN(A213)-LEN(SUBSTITUTE(A213,{"0","1","2"},"")))))))), 1)) * ROW(INDIRECT("1:"&amp;LEN((LEFT(A213,SUM(LEN(A213)-LEN(SUBSTITUTE(A213,{"0","1","2"},"")))))))), 0), ROW(INDIRECT("1:"&amp;LEN((LEFT(A213,SUM(LEN(A213)-LEN(SUBSTITUTE(A213,{"0","1","2"},"")))))))))+1, 1) * 10^ROW(INDIRECT("1:"&amp;LEN((LEFT(A213,SUM(LEN(A213)-LEN(SUBSTITUTE(A213,{"0","1","2"},""))))))))/10))*1+1&amp;""&amp;" &amp; "&amp;""&amp;(SUMPRODUCT(MID(0&amp;(--TRIM(RIGHT(SUBSTITUTE(LEFT(A213,_xlfn.AGGREGATE(16,6,FIND({0,1,2,3,4,5,6,7,8,9},A213,ROW(INDIRECT("1:"&amp;LEN(A213)))),1))," ",REPT(" ",LEN(A213))),LEN(A213)))), LARGE(INDEX(ISNUMBER(--MID((--TRIM(RIGHT(SUBSTITUTE(LEFT(A213,_xlfn.AGGREGATE(16,6,FIND({0,1,2,3,4,5,6,7,8,9},A213,ROW(INDIRECT("1:"&amp;LEN(A213)))),1))," ",REPT(" ",LEN(A213))),LEN(A213)))), ROW(INDIRECT("1:"&amp;LEN((--TRIM(RIGHT(SUBSTITUTE(LEFT(A213,_xlfn.AGGREGATE(16,6,FIND({0,1,2,3,4,5,6,7,8,9},A213,ROW(INDIRECT("1:"&amp;LEN(A213)))),1))," ",REPT(" ",LEN(A213))),LEN(A213))))))), 1)) * ROW(INDIRECT("1:"&amp;LEN((--TRIM(RIGHT(SUBSTITUTE(LEFT(A213,_xlfn.AGGREGATE(16,6,FIND({0,1,2,3,4,5,6,7,8,9},A213,ROW(INDIRECT("1:"&amp;LEN(A213)))),1))," ",REPT(" ",LEN(A213))),LEN(A213))))))), 0), ROW(INDIRECT("1:"&amp;LEN((--TRIM(RIGHT(SUBSTITUTE(LEFT(A213,_xlfn.AGGREGATE(16,6,FIND({0,1,2,3,4,5,6,7,8,9},A213,ROW(INDIRECT("1:"&amp;LEN(A213)))),1))," ",REPT(" ",LEN(A213))),LEN(A213))))))))+1, 1) * 10^ROW(INDIRECT("1:"&amp;LEN((--TRIM(RIGHT(SUBSTITUTE(LEFT(A213,_xlfn.AGGREGATE(16,6,FIND({0,1,2,3,4,5,6,7,8,9},A213,ROW(INDIRECT("1:"&amp;LEN(A213)))),1))," ",REPT(" ",LEN(A213))),LEN(A213)))))))/10))*1+1</f>
        <v>105 &amp; 305</v>
      </c>
      <c r="B214" s="72"/>
      <c r="C214" s="48">
        <v>1</v>
      </c>
      <c r="D214" s="49">
        <f>(32.54+2.5+1.08)*(10.764)</f>
        <v>388.79567999999995</v>
      </c>
      <c r="E214" s="49">
        <f>(7.1)*(10.764)</f>
        <v>76.424399999999991</v>
      </c>
      <c r="F214" s="40">
        <v>740</v>
      </c>
      <c r="G214" s="82"/>
      <c r="H214" s="83"/>
      <c r="I214" s="34"/>
    </row>
    <row r="215" spans="1:11" s="35" customFormat="1" ht="15.75" customHeight="1" x14ac:dyDescent="0.35">
      <c r="A215" s="71" t="str">
        <f ca="1">(SUMPRODUCT(MID(0&amp;(LEFT(A214,SUM(LEN(A214)-LEN(SUBSTITUTE(A214,{"0","1","2"},""))))), LARGE(INDEX(ISNUMBER(--MID((LEFT(A214,SUM(LEN(A214)-LEN(SUBSTITUTE(A214,{"0","1","2"},""))))), ROW(INDIRECT("1:"&amp;LEN((LEFT(A214,SUM(LEN(A214)-LEN(SUBSTITUTE(A214,{"0","1","2"},"")))))))), 1)) * ROW(INDIRECT("1:"&amp;LEN((LEFT(A214,SUM(LEN(A214)-LEN(SUBSTITUTE(A214,{"0","1","2"},"")))))))), 0), ROW(INDIRECT("1:"&amp;LEN((LEFT(A214,SUM(LEN(A214)-LEN(SUBSTITUTE(A214,{"0","1","2"},"")))))))))+1, 1) * 10^ROW(INDIRECT("1:"&amp;LEN((LEFT(A214,SUM(LEN(A214)-LEN(SUBSTITUTE(A214,{"0","1","2"},""))))))))/10))*1+1&amp;""&amp;" &amp; "&amp;""&amp;(SUMPRODUCT(MID(0&amp;(--TRIM(RIGHT(SUBSTITUTE(LEFT(A214,_xlfn.AGGREGATE(16,6,FIND({0,1,2,3,4,5,6,7,8,9},A214,ROW(INDIRECT("1:"&amp;LEN(A214)))),1))," ",REPT(" ",LEN(A214))),LEN(A214)))), LARGE(INDEX(ISNUMBER(--MID((--TRIM(RIGHT(SUBSTITUTE(LEFT(A214,_xlfn.AGGREGATE(16,6,FIND({0,1,2,3,4,5,6,7,8,9},A214,ROW(INDIRECT("1:"&amp;LEN(A214)))),1))," ",REPT(" ",LEN(A214))),LEN(A214)))), ROW(INDIRECT("1:"&amp;LEN((--TRIM(RIGHT(SUBSTITUTE(LEFT(A214,_xlfn.AGGREGATE(16,6,FIND({0,1,2,3,4,5,6,7,8,9},A214,ROW(INDIRECT("1:"&amp;LEN(A214)))),1))," ",REPT(" ",LEN(A214))),LEN(A214))))))), 1)) * ROW(INDIRECT("1:"&amp;LEN((--TRIM(RIGHT(SUBSTITUTE(LEFT(A214,_xlfn.AGGREGATE(16,6,FIND({0,1,2,3,4,5,6,7,8,9},A214,ROW(INDIRECT("1:"&amp;LEN(A214)))),1))," ",REPT(" ",LEN(A214))),LEN(A214))))))), 0), ROW(INDIRECT("1:"&amp;LEN((--TRIM(RIGHT(SUBSTITUTE(LEFT(A214,_xlfn.AGGREGATE(16,6,FIND({0,1,2,3,4,5,6,7,8,9},A214,ROW(INDIRECT("1:"&amp;LEN(A214)))),1))," ",REPT(" ",LEN(A214))),LEN(A214))))))))+1, 1) * 10^ROW(INDIRECT("1:"&amp;LEN((--TRIM(RIGHT(SUBSTITUTE(LEFT(A214,_xlfn.AGGREGATE(16,6,FIND({0,1,2,3,4,5,6,7,8,9},A214,ROW(INDIRECT("1:"&amp;LEN(A214)))),1))," ",REPT(" ",LEN(A214))),LEN(A214)))))))/10))*1+1</f>
        <v>106 &amp; 306</v>
      </c>
      <c r="B215" s="72"/>
      <c r="C215" s="48">
        <v>1</v>
      </c>
      <c r="D215" s="49">
        <f>(32.3+2.5+1.08)*(10.764)</f>
        <v>386.21231999999992</v>
      </c>
      <c r="E215" s="49">
        <f>(4.32)*(10.764)</f>
        <v>46.500480000000003</v>
      </c>
      <c r="F215" s="40">
        <v>680</v>
      </c>
      <c r="G215" s="84"/>
      <c r="H215" s="85"/>
      <c r="I215" s="34"/>
    </row>
    <row r="216" spans="1:11" s="35" customFormat="1" x14ac:dyDescent="0.35">
      <c r="A216" s="70" t="s">
        <v>186</v>
      </c>
      <c r="B216" s="70"/>
      <c r="C216" s="70"/>
      <c r="D216" s="70"/>
      <c r="E216" s="70"/>
      <c r="F216" s="70"/>
      <c r="G216" s="70"/>
      <c r="H216" s="70"/>
      <c r="I216" s="34"/>
    </row>
    <row r="217" spans="1:11" s="35" customFormat="1" ht="15.75" customHeight="1" x14ac:dyDescent="0.35">
      <c r="A217" s="73" t="str">
        <f ca="1">(SUMPRODUCT(MID(0&amp;(LEFT(A216,SUM(LEN(A216)-LEN(SUBSTITUTE(A216,{"0","1","2"},""))))), LARGE(INDEX(ISNUMBER(--MID((LEFT(A216,SUM(LEN(A216)-LEN(SUBSTITUTE(A216,{"0","1","2"},""))))), ROW(INDIRECT("1:"&amp;LEN((LEFT(A216,SUM(LEN(A216)-LEN(SUBSTITUTE(A216,{"0","1","2"},"")))))))), 1)) * ROW(INDIRECT("1:"&amp;LEN((LEFT(A216,SUM(LEN(A216)-LEN(SUBSTITUTE(A216,{"0","1","2"},"")))))))), 0), ROW(INDIRECT("1:"&amp;LEN((LEFT(A216,SUM(LEN(A216)-LEN(SUBSTITUTE(A216,{"0","1","2"},"")))))))))+1, 1) * 10^ROW(INDIRECT("1:"&amp;LEN((LEFT(A216,SUM(LEN(A216)-LEN(SUBSTITUTE(A216,{"0","1","2"},""))))))))/10))*100+1&amp;""&amp;" &amp; "&amp;""&amp;(SUMPRODUCT(MID(0&amp;(--TRIM(RIGHT(SUBSTITUTE(LEFT(A216,_xlfn.AGGREGATE(16,6,FIND({0,1,2,3,4,5,6,7,8,9},A216,ROW(INDIRECT("1:"&amp;LEN(A216)))),1))," ",REPT(" ",LEN(A216))),LEN(A216)))), LARGE(INDEX(ISNUMBER(--MID((--TRIM(RIGHT(SUBSTITUTE(LEFT(A216,_xlfn.AGGREGATE(16,6,FIND({0,1,2,3,4,5,6,7,8,9},A216,ROW(INDIRECT("1:"&amp;LEN(A216)))),1))," ",REPT(" ",LEN(A216))),LEN(A216)))), ROW(INDIRECT("1:"&amp;LEN((--TRIM(RIGHT(SUBSTITUTE(LEFT(A216,_xlfn.AGGREGATE(16,6,FIND({0,1,2,3,4,5,6,7,8,9},A216,ROW(INDIRECT("1:"&amp;LEN(A216)))),1))," ",REPT(" ",LEN(A216))),LEN(A216))))))), 1)) * ROW(INDIRECT("1:"&amp;LEN((--TRIM(RIGHT(SUBSTITUTE(LEFT(A216,_xlfn.AGGREGATE(16,6,FIND({0,1,2,3,4,5,6,7,8,9},A216,ROW(INDIRECT("1:"&amp;LEN(A216)))),1))," ",REPT(" ",LEN(A216))),LEN(A216))))))), 0), ROW(INDIRECT("1:"&amp;LEN((--TRIM(RIGHT(SUBSTITUTE(LEFT(A216,_xlfn.AGGREGATE(16,6,FIND({0,1,2,3,4,5,6,7,8,9},A216,ROW(INDIRECT("1:"&amp;LEN(A216)))),1))," ",REPT(" ",LEN(A216))),LEN(A216))))))))+1, 1) * 10^ROW(INDIRECT("1:"&amp;LEN((--TRIM(RIGHT(SUBSTITUTE(LEFT(A216,_xlfn.AGGREGATE(16,6,FIND({0,1,2,3,4,5,6,7,8,9},A216,ROW(INDIRECT("1:"&amp;LEN(A216)))),1))," ",REPT(" ",LEN(A216))),LEN(A216)))))))/10))*100+1</f>
        <v>201 &amp; 401</v>
      </c>
      <c r="B217" s="73"/>
      <c r="C217" s="48">
        <v>0</v>
      </c>
      <c r="D217" s="49">
        <f>(20.36+2.1)*(10.764)</f>
        <v>241.75943999999998</v>
      </c>
      <c r="E217" s="40">
        <v>0</v>
      </c>
      <c r="F217" s="40">
        <v>395</v>
      </c>
      <c r="G217" s="73" t="str">
        <f>A216</f>
        <v>2nd &amp; 4th Floor</v>
      </c>
      <c r="H217" s="73"/>
      <c r="I217" s="34"/>
    </row>
    <row r="218" spans="1:11" s="35" customFormat="1" ht="15.75" customHeight="1" x14ac:dyDescent="0.35">
      <c r="A218" s="73" t="str">
        <f ca="1">(SUMPRODUCT(MID(0&amp;(LEFT(A217,SUM(LEN(A217)-LEN(SUBSTITUTE(A217,{"0","1","2"},""))))), LARGE(INDEX(ISNUMBER(--MID((LEFT(A217,SUM(LEN(A217)-LEN(SUBSTITUTE(A217,{"0","1","2"},""))))), ROW(INDIRECT("1:"&amp;LEN((LEFT(A217,SUM(LEN(A217)-LEN(SUBSTITUTE(A217,{"0","1","2"},"")))))))), 1)) * ROW(INDIRECT("1:"&amp;LEN((LEFT(A217,SUM(LEN(A217)-LEN(SUBSTITUTE(A217,{"0","1","2"},"")))))))), 0), ROW(INDIRECT("1:"&amp;LEN((LEFT(A217,SUM(LEN(A217)-LEN(SUBSTITUTE(A217,{"0","1","2"},"")))))))))+1, 1) * 10^ROW(INDIRECT("1:"&amp;LEN((LEFT(A217,SUM(LEN(A217)-LEN(SUBSTITUTE(A217,{"0","1","2"},""))))))))/10))*1+1&amp;""&amp;" &amp; "&amp;""&amp;(SUMPRODUCT(MID(0&amp;(--TRIM(RIGHT(SUBSTITUTE(LEFT(A217,_xlfn.AGGREGATE(16,6,FIND({0,1,2,3,4,5,6,7,8,9},A217,ROW(INDIRECT("1:"&amp;LEN(A217)))),1))," ",REPT(" ",LEN(A217))),LEN(A217)))), LARGE(INDEX(ISNUMBER(--MID((--TRIM(RIGHT(SUBSTITUTE(LEFT(A217,_xlfn.AGGREGATE(16,6,FIND({0,1,2,3,4,5,6,7,8,9},A217,ROW(INDIRECT("1:"&amp;LEN(A217)))),1))," ",REPT(" ",LEN(A217))),LEN(A217)))), ROW(INDIRECT("1:"&amp;LEN((--TRIM(RIGHT(SUBSTITUTE(LEFT(A217,_xlfn.AGGREGATE(16,6,FIND({0,1,2,3,4,5,6,7,8,9},A217,ROW(INDIRECT("1:"&amp;LEN(A217)))),1))," ",REPT(" ",LEN(A217))),LEN(A217))))))), 1)) * ROW(INDIRECT("1:"&amp;LEN((--TRIM(RIGHT(SUBSTITUTE(LEFT(A217,_xlfn.AGGREGATE(16,6,FIND({0,1,2,3,4,5,6,7,8,9},A217,ROW(INDIRECT("1:"&amp;LEN(A217)))),1))," ",REPT(" ",LEN(A217))),LEN(A217))))))), 0), ROW(INDIRECT("1:"&amp;LEN((--TRIM(RIGHT(SUBSTITUTE(LEFT(A217,_xlfn.AGGREGATE(16,6,FIND({0,1,2,3,4,5,6,7,8,9},A217,ROW(INDIRECT("1:"&amp;LEN(A217)))),1))," ",REPT(" ",LEN(A217))),LEN(A217))))))))+1, 1) * 10^ROW(INDIRECT("1:"&amp;LEN((--TRIM(RIGHT(SUBSTITUTE(LEFT(A217,_xlfn.AGGREGATE(16,6,FIND({0,1,2,3,4,5,6,7,8,9},A217,ROW(INDIRECT("1:"&amp;LEN(A217)))),1))," ",REPT(" ",LEN(A217))),LEN(A217)))))))/10))*1+1</f>
        <v>202 &amp; 402</v>
      </c>
      <c r="B218" s="73"/>
      <c r="C218" s="48">
        <v>0</v>
      </c>
      <c r="D218" s="49">
        <f>(23.14+2.6)*(10.764)</f>
        <v>277.06536</v>
      </c>
      <c r="E218" s="40">
        <v>0</v>
      </c>
      <c r="F218" s="40">
        <v>445</v>
      </c>
      <c r="G218" s="73"/>
      <c r="H218" s="73"/>
      <c r="I218" s="34"/>
    </row>
    <row r="219" spans="1:11" s="35" customFormat="1" ht="15.75" customHeight="1" x14ac:dyDescent="0.35">
      <c r="A219" s="73" t="str">
        <f ca="1">(SUMPRODUCT(MID(0&amp;(LEFT(A218,SUM(LEN(A218)-LEN(SUBSTITUTE(A218,{"0","1","2"},""))))), LARGE(INDEX(ISNUMBER(--MID((LEFT(A218,SUM(LEN(A218)-LEN(SUBSTITUTE(A218,{"0","1","2"},""))))), ROW(INDIRECT("1:"&amp;LEN((LEFT(A218,SUM(LEN(A218)-LEN(SUBSTITUTE(A218,{"0","1","2"},"")))))))), 1)) * ROW(INDIRECT("1:"&amp;LEN((LEFT(A218,SUM(LEN(A218)-LEN(SUBSTITUTE(A218,{"0","1","2"},"")))))))), 0), ROW(INDIRECT("1:"&amp;LEN((LEFT(A218,SUM(LEN(A218)-LEN(SUBSTITUTE(A218,{"0","1","2"},"")))))))))+1, 1) * 10^ROW(INDIRECT("1:"&amp;LEN((LEFT(A218,SUM(LEN(A218)-LEN(SUBSTITUTE(A218,{"0","1","2"},""))))))))/10))*1+1&amp;""&amp;" &amp; "&amp;""&amp;(SUMPRODUCT(MID(0&amp;(--TRIM(RIGHT(SUBSTITUTE(LEFT(A218,_xlfn.AGGREGATE(16,6,FIND({0,1,2,3,4,5,6,7,8,9},A218,ROW(INDIRECT("1:"&amp;LEN(A218)))),1))," ",REPT(" ",LEN(A218))),LEN(A218)))), LARGE(INDEX(ISNUMBER(--MID((--TRIM(RIGHT(SUBSTITUTE(LEFT(A218,_xlfn.AGGREGATE(16,6,FIND({0,1,2,3,4,5,6,7,8,9},A218,ROW(INDIRECT("1:"&amp;LEN(A218)))),1))," ",REPT(" ",LEN(A218))),LEN(A218)))), ROW(INDIRECT("1:"&amp;LEN((--TRIM(RIGHT(SUBSTITUTE(LEFT(A218,_xlfn.AGGREGATE(16,6,FIND({0,1,2,3,4,5,6,7,8,9},A218,ROW(INDIRECT("1:"&amp;LEN(A218)))),1))," ",REPT(" ",LEN(A218))),LEN(A218))))))), 1)) * ROW(INDIRECT("1:"&amp;LEN((--TRIM(RIGHT(SUBSTITUTE(LEFT(A218,_xlfn.AGGREGATE(16,6,FIND({0,1,2,3,4,5,6,7,8,9},A218,ROW(INDIRECT("1:"&amp;LEN(A218)))),1))," ",REPT(" ",LEN(A218))),LEN(A218))))))), 0), ROW(INDIRECT("1:"&amp;LEN((--TRIM(RIGHT(SUBSTITUTE(LEFT(A218,_xlfn.AGGREGATE(16,6,FIND({0,1,2,3,4,5,6,7,8,9},A218,ROW(INDIRECT("1:"&amp;LEN(A218)))),1))," ",REPT(" ",LEN(A218))),LEN(A218))))))))+1, 1) * 10^ROW(INDIRECT("1:"&amp;LEN((--TRIM(RIGHT(SUBSTITUTE(LEFT(A218,_xlfn.AGGREGATE(16,6,FIND({0,1,2,3,4,5,6,7,8,9},A218,ROW(INDIRECT("1:"&amp;LEN(A218)))),1))," ",REPT(" ",LEN(A218))),LEN(A218)))))))/10))*1+1</f>
        <v>203 &amp; 403</v>
      </c>
      <c r="B219" s="73"/>
      <c r="C219" s="48">
        <v>2</v>
      </c>
      <c r="D219" s="49">
        <f>(50.97+10.87)*(10.764)</f>
        <v>665.64575999999988</v>
      </c>
      <c r="E219" s="40">
        <v>0</v>
      </c>
      <c r="F219" s="40">
        <v>1080</v>
      </c>
      <c r="G219" s="73"/>
      <c r="H219" s="73"/>
      <c r="I219" s="34"/>
    </row>
    <row r="220" spans="1:11" s="35" customFormat="1" ht="15.75" customHeight="1" x14ac:dyDescent="0.35">
      <c r="A220" s="73" t="str">
        <f ca="1">(SUMPRODUCT(MID(0&amp;(LEFT(A219,SUM(LEN(A219)-LEN(SUBSTITUTE(A219,{"0","1","2"},""))))), LARGE(INDEX(ISNUMBER(--MID((LEFT(A219,SUM(LEN(A219)-LEN(SUBSTITUTE(A219,{"0","1","2"},""))))), ROW(INDIRECT("1:"&amp;LEN((LEFT(A219,SUM(LEN(A219)-LEN(SUBSTITUTE(A219,{"0","1","2"},"")))))))), 1)) * ROW(INDIRECT("1:"&amp;LEN((LEFT(A219,SUM(LEN(A219)-LEN(SUBSTITUTE(A219,{"0","1","2"},"")))))))), 0), ROW(INDIRECT("1:"&amp;LEN((LEFT(A219,SUM(LEN(A219)-LEN(SUBSTITUTE(A219,{"0","1","2"},"")))))))))+1, 1) * 10^ROW(INDIRECT("1:"&amp;LEN((LEFT(A219,SUM(LEN(A219)-LEN(SUBSTITUTE(A219,{"0","1","2"},""))))))))/10))*1+1&amp;""&amp;" &amp; "&amp;""&amp;(SUMPRODUCT(MID(0&amp;(--TRIM(RIGHT(SUBSTITUTE(LEFT(A219,_xlfn.AGGREGATE(16,6,FIND({0,1,2,3,4,5,6,7,8,9},A219,ROW(INDIRECT("1:"&amp;LEN(A219)))),1))," ",REPT(" ",LEN(A219))),LEN(A219)))), LARGE(INDEX(ISNUMBER(--MID((--TRIM(RIGHT(SUBSTITUTE(LEFT(A219,_xlfn.AGGREGATE(16,6,FIND({0,1,2,3,4,5,6,7,8,9},A219,ROW(INDIRECT("1:"&amp;LEN(A219)))),1))," ",REPT(" ",LEN(A219))),LEN(A219)))), ROW(INDIRECT("1:"&amp;LEN((--TRIM(RIGHT(SUBSTITUTE(LEFT(A219,_xlfn.AGGREGATE(16,6,FIND({0,1,2,3,4,5,6,7,8,9},A219,ROW(INDIRECT("1:"&amp;LEN(A219)))),1))," ",REPT(" ",LEN(A219))),LEN(A219))))))), 1)) * ROW(INDIRECT("1:"&amp;LEN((--TRIM(RIGHT(SUBSTITUTE(LEFT(A219,_xlfn.AGGREGATE(16,6,FIND({0,1,2,3,4,5,6,7,8,9},A219,ROW(INDIRECT("1:"&amp;LEN(A219)))),1))," ",REPT(" ",LEN(A219))),LEN(A219))))))), 0), ROW(INDIRECT("1:"&amp;LEN((--TRIM(RIGHT(SUBSTITUTE(LEFT(A219,_xlfn.AGGREGATE(16,6,FIND({0,1,2,3,4,5,6,7,8,9},A219,ROW(INDIRECT("1:"&amp;LEN(A219)))),1))," ",REPT(" ",LEN(A219))),LEN(A219))))))))+1, 1) * 10^ROW(INDIRECT("1:"&amp;LEN((--TRIM(RIGHT(SUBSTITUTE(LEFT(A219,_xlfn.AGGREGATE(16,6,FIND({0,1,2,3,4,5,6,7,8,9},A219,ROW(INDIRECT("1:"&amp;LEN(A219)))),1))," ",REPT(" ",LEN(A219))),LEN(A219)))))))/10))*1+1</f>
        <v>204 &amp; 404</v>
      </c>
      <c r="B220" s="73"/>
      <c r="C220" s="48">
        <v>1</v>
      </c>
      <c r="D220" s="49">
        <f>(32.17)*(10.764)</f>
        <v>346.27787999999998</v>
      </c>
      <c r="E220" s="40">
        <v>0</v>
      </c>
      <c r="F220" s="40">
        <v>565</v>
      </c>
      <c r="G220" s="73"/>
      <c r="H220" s="73"/>
      <c r="I220" s="34"/>
    </row>
    <row r="221" spans="1:11" s="35" customFormat="1" ht="15.75" customHeight="1" x14ac:dyDescent="0.35">
      <c r="A221" s="73" t="str">
        <f ca="1">(SUMPRODUCT(MID(0&amp;(LEFT(A220,SUM(LEN(A220)-LEN(SUBSTITUTE(A220,{"0","1","2"},""))))), LARGE(INDEX(ISNUMBER(--MID((LEFT(A220,SUM(LEN(A220)-LEN(SUBSTITUTE(A220,{"0","1","2"},""))))), ROW(INDIRECT("1:"&amp;LEN((LEFT(A220,SUM(LEN(A220)-LEN(SUBSTITUTE(A220,{"0","1","2"},"")))))))), 1)) * ROW(INDIRECT("1:"&amp;LEN((LEFT(A220,SUM(LEN(A220)-LEN(SUBSTITUTE(A220,{"0","1","2"},"")))))))), 0), ROW(INDIRECT("1:"&amp;LEN((LEFT(A220,SUM(LEN(A220)-LEN(SUBSTITUTE(A220,{"0","1","2"},"")))))))))+1, 1) * 10^ROW(INDIRECT("1:"&amp;LEN((LEFT(A220,SUM(LEN(A220)-LEN(SUBSTITUTE(A220,{"0","1","2"},""))))))))/10))*1+1&amp;""&amp;" &amp; "&amp;""&amp;(SUMPRODUCT(MID(0&amp;(--TRIM(RIGHT(SUBSTITUTE(LEFT(A220,_xlfn.AGGREGATE(16,6,FIND({0,1,2,3,4,5,6,7,8,9},A220,ROW(INDIRECT("1:"&amp;LEN(A220)))),1))," ",REPT(" ",LEN(A220))),LEN(A220)))), LARGE(INDEX(ISNUMBER(--MID((--TRIM(RIGHT(SUBSTITUTE(LEFT(A220,_xlfn.AGGREGATE(16,6,FIND({0,1,2,3,4,5,6,7,8,9},A220,ROW(INDIRECT("1:"&amp;LEN(A220)))),1))," ",REPT(" ",LEN(A220))),LEN(A220)))), ROW(INDIRECT("1:"&amp;LEN((--TRIM(RIGHT(SUBSTITUTE(LEFT(A220,_xlfn.AGGREGATE(16,6,FIND({0,1,2,3,4,5,6,7,8,9},A220,ROW(INDIRECT("1:"&amp;LEN(A220)))),1))," ",REPT(" ",LEN(A220))),LEN(A220))))))), 1)) * ROW(INDIRECT("1:"&amp;LEN((--TRIM(RIGHT(SUBSTITUTE(LEFT(A220,_xlfn.AGGREGATE(16,6,FIND({0,1,2,3,4,5,6,7,8,9},A220,ROW(INDIRECT("1:"&amp;LEN(A220)))),1))," ",REPT(" ",LEN(A220))),LEN(A220))))))), 0), ROW(INDIRECT("1:"&amp;LEN((--TRIM(RIGHT(SUBSTITUTE(LEFT(A220,_xlfn.AGGREGATE(16,6,FIND({0,1,2,3,4,5,6,7,8,9},A220,ROW(INDIRECT("1:"&amp;LEN(A220)))),1))," ",REPT(" ",LEN(A220))),LEN(A220))))))))+1, 1) * 10^ROW(INDIRECT("1:"&amp;LEN((--TRIM(RIGHT(SUBSTITUTE(LEFT(A220,_xlfn.AGGREGATE(16,6,FIND({0,1,2,3,4,5,6,7,8,9},A220,ROW(INDIRECT("1:"&amp;LEN(A220)))),1))," ",REPT(" ",LEN(A220))),LEN(A220)))))))/10))*1+1</f>
        <v>205 &amp; 405</v>
      </c>
      <c r="B221" s="73"/>
      <c r="C221" s="48">
        <v>1</v>
      </c>
      <c r="D221" s="49">
        <f>(31.73+2.5+1.08)*(10.764)</f>
        <v>380.07684</v>
      </c>
      <c r="E221" s="40">
        <v>0</v>
      </c>
      <c r="F221" s="40">
        <v>600</v>
      </c>
      <c r="G221" s="73"/>
      <c r="H221" s="73"/>
      <c r="I221" s="34"/>
    </row>
    <row r="222" spans="1:11" s="35" customFormat="1" ht="15.75" customHeight="1" x14ac:dyDescent="0.35">
      <c r="A222" s="73" t="str">
        <f ca="1">(SUMPRODUCT(MID(0&amp;(LEFT(A221,SUM(LEN(A221)-LEN(SUBSTITUTE(A221,{"0","1","2"},""))))), LARGE(INDEX(ISNUMBER(--MID((LEFT(A221,SUM(LEN(A221)-LEN(SUBSTITUTE(A221,{"0","1","2"},""))))), ROW(INDIRECT("1:"&amp;LEN((LEFT(A221,SUM(LEN(A221)-LEN(SUBSTITUTE(A221,{"0","1","2"},"")))))))), 1)) * ROW(INDIRECT("1:"&amp;LEN((LEFT(A221,SUM(LEN(A221)-LEN(SUBSTITUTE(A221,{"0","1","2"},"")))))))), 0), ROW(INDIRECT("1:"&amp;LEN((LEFT(A221,SUM(LEN(A221)-LEN(SUBSTITUTE(A221,{"0","1","2"},"")))))))))+1, 1) * 10^ROW(INDIRECT("1:"&amp;LEN((LEFT(A221,SUM(LEN(A221)-LEN(SUBSTITUTE(A221,{"0","1","2"},""))))))))/10))*1+1&amp;""&amp;" &amp; "&amp;""&amp;(SUMPRODUCT(MID(0&amp;(--TRIM(RIGHT(SUBSTITUTE(LEFT(A221,_xlfn.AGGREGATE(16,6,FIND({0,1,2,3,4,5,6,7,8,9},A221,ROW(INDIRECT("1:"&amp;LEN(A221)))),1))," ",REPT(" ",LEN(A221))),LEN(A221)))), LARGE(INDEX(ISNUMBER(--MID((--TRIM(RIGHT(SUBSTITUTE(LEFT(A221,_xlfn.AGGREGATE(16,6,FIND({0,1,2,3,4,5,6,7,8,9},A221,ROW(INDIRECT("1:"&amp;LEN(A221)))),1))," ",REPT(" ",LEN(A221))),LEN(A221)))), ROW(INDIRECT("1:"&amp;LEN((--TRIM(RIGHT(SUBSTITUTE(LEFT(A221,_xlfn.AGGREGATE(16,6,FIND({0,1,2,3,4,5,6,7,8,9},A221,ROW(INDIRECT("1:"&amp;LEN(A221)))),1))," ",REPT(" ",LEN(A221))),LEN(A221))))))), 1)) * ROW(INDIRECT("1:"&amp;LEN((--TRIM(RIGHT(SUBSTITUTE(LEFT(A221,_xlfn.AGGREGATE(16,6,FIND({0,1,2,3,4,5,6,7,8,9},A221,ROW(INDIRECT("1:"&amp;LEN(A221)))),1))," ",REPT(" ",LEN(A221))),LEN(A221))))))), 0), ROW(INDIRECT("1:"&amp;LEN((--TRIM(RIGHT(SUBSTITUTE(LEFT(A221,_xlfn.AGGREGATE(16,6,FIND({0,1,2,3,4,5,6,7,8,9},A221,ROW(INDIRECT("1:"&amp;LEN(A221)))),1))," ",REPT(" ",LEN(A221))),LEN(A221))))))))+1, 1) * 10^ROW(INDIRECT("1:"&amp;LEN((--TRIM(RIGHT(SUBSTITUTE(LEFT(A221,_xlfn.AGGREGATE(16,6,FIND({0,1,2,3,4,5,6,7,8,9},A221,ROW(INDIRECT("1:"&amp;LEN(A221)))),1))," ",REPT(" ",LEN(A221))),LEN(A221)))))))/10))*1+1</f>
        <v>206 &amp; 406</v>
      </c>
      <c r="B222" s="73"/>
      <c r="C222" s="48">
        <v>1</v>
      </c>
      <c r="D222" s="49">
        <f>(31.84+2.5+1.08)*(10.764)</f>
        <v>381.26087999999999</v>
      </c>
      <c r="E222" s="40">
        <v>0</v>
      </c>
      <c r="F222" s="40">
        <v>600</v>
      </c>
      <c r="G222" s="73"/>
      <c r="H222" s="73"/>
      <c r="I222" s="34"/>
    </row>
    <row r="223" spans="1:11" s="35" customFormat="1" x14ac:dyDescent="0.35">
      <c r="A223" s="70" t="s">
        <v>190</v>
      </c>
      <c r="B223" s="70"/>
      <c r="C223" s="70"/>
      <c r="D223" s="70"/>
      <c r="E223" s="70"/>
      <c r="F223" s="70"/>
      <c r="G223" s="70"/>
      <c r="H223" s="70"/>
      <c r="J223" s="34"/>
    </row>
    <row r="224" spans="1:11" s="35" customFormat="1" x14ac:dyDescent="0.35">
      <c r="A224" s="67" t="s">
        <v>185</v>
      </c>
      <c r="B224" s="68"/>
      <c r="C224" s="68"/>
      <c r="D224" s="68"/>
      <c r="E224" s="68"/>
      <c r="F224" s="68"/>
      <c r="G224" s="68"/>
      <c r="H224" s="69"/>
      <c r="I224" s="34"/>
    </row>
    <row r="225" spans="1:10" s="35" customFormat="1" ht="15.75" customHeight="1" x14ac:dyDescent="0.35">
      <c r="A225" s="71" t="str">
        <f ca="1">(SUMPRODUCT(MID(0&amp;(LEFT(A224,SUM(LEN(A224)-LEN(SUBSTITUTE(A224,{"0","1","2"},""))))), LARGE(INDEX(ISNUMBER(--MID((LEFT(A224,SUM(LEN(A224)-LEN(SUBSTITUTE(A224,{"0","1","2"},""))))), ROW(INDIRECT("1:"&amp;LEN((LEFT(A224,SUM(LEN(A224)-LEN(SUBSTITUTE(A224,{"0","1","2"},"")))))))), 1)) * ROW(INDIRECT("1:"&amp;LEN((LEFT(A224,SUM(LEN(A224)-LEN(SUBSTITUTE(A224,{"0","1","2"},"")))))))), 0), ROW(INDIRECT("1:"&amp;LEN((LEFT(A224,SUM(LEN(A224)-LEN(SUBSTITUTE(A224,{"0","1","2"},"")))))))))+1, 1) * 10^ROW(INDIRECT("1:"&amp;LEN((LEFT(A224,SUM(LEN(A224)-LEN(SUBSTITUTE(A224,{"0","1","2"},""))))))))/10))*100+1&amp;""&amp;" &amp; "&amp;""&amp;(SUMPRODUCT(MID(0&amp;(--TRIM(RIGHT(SUBSTITUTE(LEFT(A224,_xlfn.AGGREGATE(16,6,FIND({0,1,2,3,4,5,6,7,8,9},A224,ROW(INDIRECT("1:"&amp;LEN(A224)))),1))," ",REPT(" ",LEN(A224))),LEN(A224)))), LARGE(INDEX(ISNUMBER(--MID((--TRIM(RIGHT(SUBSTITUTE(LEFT(A224,_xlfn.AGGREGATE(16,6,FIND({0,1,2,3,4,5,6,7,8,9},A224,ROW(INDIRECT("1:"&amp;LEN(A224)))),1))," ",REPT(" ",LEN(A224))),LEN(A224)))), ROW(INDIRECT("1:"&amp;LEN((--TRIM(RIGHT(SUBSTITUTE(LEFT(A224,_xlfn.AGGREGATE(16,6,FIND({0,1,2,3,4,5,6,7,8,9},A224,ROW(INDIRECT("1:"&amp;LEN(A224)))),1))," ",REPT(" ",LEN(A224))),LEN(A224))))))), 1)) * ROW(INDIRECT("1:"&amp;LEN((--TRIM(RIGHT(SUBSTITUTE(LEFT(A224,_xlfn.AGGREGATE(16,6,FIND({0,1,2,3,4,5,6,7,8,9},A224,ROW(INDIRECT("1:"&amp;LEN(A224)))),1))," ",REPT(" ",LEN(A224))),LEN(A224))))))), 0), ROW(INDIRECT("1:"&amp;LEN((--TRIM(RIGHT(SUBSTITUTE(LEFT(A224,_xlfn.AGGREGATE(16,6,FIND({0,1,2,3,4,5,6,7,8,9},A224,ROW(INDIRECT("1:"&amp;LEN(A224)))),1))," ",REPT(" ",LEN(A224))),LEN(A224))))))))+1, 1) * 10^ROW(INDIRECT("1:"&amp;LEN((--TRIM(RIGHT(SUBSTITUTE(LEFT(A224,_xlfn.AGGREGATE(16,6,FIND({0,1,2,3,4,5,6,7,8,9},A224,ROW(INDIRECT("1:"&amp;LEN(A224)))),1))," ",REPT(" ",LEN(A224))),LEN(A224)))))))/10))*100+1</f>
        <v>101 &amp; 301</v>
      </c>
      <c r="B225" s="72"/>
      <c r="C225" s="48">
        <v>1</v>
      </c>
      <c r="D225" s="49">
        <f>(31.84+1.08)*(10.764)</f>
        <v>354.35088000000002</v>
      </c>
      <c r="E225" s="40">
        <v>0</v>
      </c>
      <c r="F225" s="40">
        <v>565</v>
      </c>
      <c r="G225" s="80" t="str">
        <f>A224</f>
        <v>1st &amp; 3rd Floor</v>
      </c>
      <c r="H225" s="81"/>
      <c r="I225" s="34"/>
    </row>
    <row r="226" spans="1:10" s="35" customFormat="1" ht="15.75" customHeight="1" x14ac:dyDescent="0.35">
      <c r="A226" s="71" t="str">
        <f ca="1">(SUMPRODUCT(MID(0&amp;(LEFT(A225,SUM(LEN(A225)-LEN(SUBSTITUTE(A225,{"0","1","2"},""))))), LARGE(INDEX(ISNUMBER(--MID((LEFT(A225,SUM(LEN(A225)-LEN(SUBSTITUTE(A225,{"0","1","2"},""))))), ROW(INDIRECT("1:"&amp;LEN((LEFT(A225,SUM(LEN(A225)-LEN(SUBSTITUTE(A225,{"0","1","2"},"")))))))), 1)) * ROW(INDIRECT("1:"&amp;LEN((LEFT(A225,SUM(LEN(A225)-LEN(SUBSTITUTE(A225,{"0","1","2"},"")))))))), 0), ROW(INDIRECT("1:"&amp;LEN((LEFT(A225,SUM(LEN(A225)-LEN(SUBSTITUTE(A225,{"0","1","2"},"")))))))))+1, 1) * 10^ROW(INDIRECT("1:"&amp;LEN((LEFT(A225,SUM(LEN(A225)-LEN(SUBSTITUTE(A225,{"0","1","2"},""))))))))/10))*1+1&amp;""&amp;" &amp; "&amp;""&amp;(SUMPRODUCT(MID(0&amp;(--TRIM(RIGHT(SUBSTITUTE(LEFT(A225,_xlfn.AGGREGATE(16,6,FIND({0,1,2,3,4,5,6,7,8,9},A225,ROW(INDIRECT("1:"&amp;LEN(A225)))),1))," ",REPT(" ",LEN(A225))),LEN(A225)))), LARGE(INDEX(ISNUMBER(--MID((--TRIM(RIGHT(SUBSTITUTE(LEFT(A225,_xlfn.AGGREGATE(16,6,FIND({0,1,2,3,4,5,6,7,8,9},A225,ROW(INDIRECT("1:"&amp;LEN(A225)))),1))," ",REPT(" ",LEN(A225))),LEN(A225)))), ROW(INDIRECT("1:"&amp;LEN((--TRIM(RIGHT(SUBSTITUTE(LEFT(A225,_xlfn.AGGREGATE(16,6,FIND({0,1,2,3,4,5,6,7,8,9},A225,ROW(INDIRECT("1:"&amp;LEN(A225)))),1))," ",REPT(" ",LEN(A225))),LEN(A225))))))), 1)) * ROW(INDIRECT("1:"&amp;LEN((--TRIM(RIGHT(SUBSTITUTE(LEFT(A225,_xlfn.AGGREGATE(16,6,FIND({0,1,2,3,4,5,6,7,8,9},A225,ROW(INDIRECT("1:"&amp;LEN(A225)))),1))," ",REPT(" ",LEN(A225))),LEN(A225))))))), 0), ROW(INDIRECT("1:"&amp;LEN((--TRIM(RIGHT(SUBSTITUTE(LEFT(A225,_xlfn.AGGREGATE(16,6,FIND({0,1,2,3,4,5,6,7,8,9},A225,ROW(INDIRECT("1:"&amp;LEN(A225)))),1))," ",REPT(" ",LEN(A225))),LEN(A225))))))))+1, 1) * 10^ROW(INDIRECT("1:"&amp;LEN((--TRIM(RIGHT(SUBSTITUTE(LEFT(A225,_xlfn.AGGREGATE(16,6,FIND({0,1,2,3,4,5,6,7,8,9},A225,ROW(INDIRECT("1:"&amp;LEN(A225)))),1))," ",REPT(" ",LEN(A225))),LEN(A225)))))))/10))*1+1</f>
        <v>102 &amp; 302</v>
      </c>
      <c r="B226" s="72"/>
      <c r="C226" s="48">
        <v>1</v>
      </c>
      <c r="D226" s="49">
        <f>(32.34+2.5+1.08)*(10.764)</f>
        <v>386.64287999999999</v>
      </c>
      <c r="E226" s="49">
        <f>(8.04)*(10.764)</f>
        <v>86.54255999999998</v>
      </c>
      <c r="F226" s="40">
        <v>755</v>
      </c>
      <c r="G226" s="82"/>
      <c r="H226" s="83"/>
      <c r="I226" s="34"/>
    </row>
    <row r="227" spans="1:10" s="35" customFormat="1" ht="15.75" customHeight="1" x14ac:dyDescent="0.35">
      <c r="A227" s="71" t="str">
        <f ca="1">(SUMPRODUCT(MID(0&amp;(LEFT(A226,SUM(LEN(A226)-LEN(SUBSTITUTE(A226,{"0","1","2"},""))))), LARGE(INDEX(ISNUMBER(--MID((LEFT(A226,SUM(LEN(A226)-LEN(SUBSTITUTE(A226,{"0","1","2"},""))))), ROW(INDIRECT("1:"&amp;LEN((LEFT(A226,SUM(LEN(A226)-LEN(SUBSTITUTE(A226,{"0","1","2"},"")))))))), 1)) * ROW(INDIRECT("1:"&amp;LEN((LEFT(A226,SUM(LEN(A226)-LEN(SUBSTITUTE(A226,{"0","1","2"},"")))))))), 0), ROW(INDIRECT("1:"&amp;LEN((LEFT(A226,SUM(LEN(A226)-LEN(SUBSTITUTE(A226,{"0","1","2"},"")))))))))+1, 1) * 10^ROW(INDIRECT("1:"&amp;LEN((LEFT(A226,SUM(LEN(A226)-LEN(SUBSTITUTE(A226,{"0","1","2"},""))))))))/10))*1+1&amp;""&amp;" &amp; "&amp;""&amp;(SUMPRODUCT(MID(0&amp;(--TRIM(RIGHT(SUBSTITUTE(LEFT(A226,_xlfn.AGGREGATE(16,6,FIND({0,1,2,3,4,5,6,7,8,9},A226,ROW(INDIRECT("1:"&amp;LEN(A226)))),1))," ",REPT(" ",LEN(A226))),LEN(A226)))), LARGE(INDEX(ISNUMBER(--MID((--TRIM(RIGHT(SUBSTITUTE(LEFT(A226,_xlfn.AGGREGATE(16,6,FIND({0,1,2,3,4,5,6,7,8,9},A226,ROW(INDIRECT("1:"&amp;LEN(A226)))),1))," ",REPT(" ",LEN(A226))),LEN(A226)))), ROW(INDIRECT("1:"&amp;LEN((--TRIM(RIGHT(SUBSTITUTE(LEFT(A226,_xlfn.AGGREGATE(16,6,FIND({0,1,2,3,4,5,6,7,8,9},A226,ROW(INDIRECT("1:"&amp;LEN(A226)))),1))," ",REPT(" ",LEN(A226))),LEN(A226))))))), 1)) * ROW(INDIRECT("1:"&amp;LEN((--TRIM(RIGHT(SUBSTITUTE(LEFT(A226,_xlfn.AGGREGATE(16,6,FIND({0,1,2,3,4,5,6,7,8,9},A226,ROW(INDIRECT("1:"&amp;LEN(A226)))),1))," ",REPT(" ",LEN(A226))),LEN(A226))))))), 0), ROW(INDIRECT("1:"&amp;LEN((--TRIM(RIGHT(SUBSTITUTE(LEFT(A226,_xlfn.AGGREGATE(16,6,FIND({0,1,2,3,4,5,6,7,8,9},A226,ROW(INDIRECT("1:"&amp;LEN(A226)))),1))," ",REPT(" ",LEN(A226))),LEN(A226))))))))+1, 1) * 10^ROW(INDIRECT("1:"&amp;LEN((--TRIM(RIGHT(SUBSTITUTE(LEFT(A226,_xlfn.AGGREGATE(16,6,FIND({0,1,2,3,4,5,6,7,8,9},A226,ROW(INDIRECT("1:"&amp;LEN(A226)))),1))," ",REPT(" ",LEN(A226))),LEN(A226)))))))/10))*1+1</f>
        <v>103 &amp; 303</v>
      </c>
      <c r="B227" s="72"/>
      <c r="C227" s="48">
        <v>1</v>
      </c>
      <c r="D227" s="49">
        <f>(33.05+5.27+0.95)*(10.764)</f>
        <v>422.70227999999992</v>
      </c>
      <c r="E227" s="49">
        <f>(2.85)*(10.764)</f>
        <v>30.677399999999999</v>
      </c>
      <c r="F227" s="40">
        <v>720</v>
      </c>
      <c r="G227" s="82"/>
      <c r="H227" s="83"/>
      <c r="I227" s="34"/>
    </row>
    <row r="228" spans="1:10" s="35" customFormat="1" ht="15.75" customHeight="1" x14ac:dyDescent="0.35">
      <c r="A228" s="71" t="str">
        <f ca="1">(SUMPRODUCT(MID(0&amp;(LEFT(A227,SUM(LEN(A227)-LEN(SUBSTITUTE(A227,{"0","1","2"},""))))), LARGE(INDEX(ISNUMBER(--MID((LEFT(A227,SUM(LEN(A227)-LEN(SUBSTITUTE(A227,{"0","1","2"},""))))), ROW(INDIRECT("1:"&amp;LEN((LEFT(A227,SUM(LEN(A227)-LEN(SUBSTITUTE(A227,{"0","1","2"},"")))))))), 1)) * ROW(INDIRECT("1:"&amp;LEN((LEFT(A227,SUM(LEN(A227)-LEN(SUBSTITUTE(A227,{"0","1","2"},"")))))))), 0), ROW(INDIRECT("1:"&amp;LEN((LEFT(A227,SUM(LEN(A227)-LEN(SUBSTITUTE(A227,{"0","1","2"},"")))))))))+1, 1) * 10^ROW(INDIRECT("1:"&amp;LEN((LEFT(A227,SUM(LEN(A227)-LEN(SUBSTITUTE(A227,{"0","1","2"},""))))))))/10))*1+1&amp;""&amp;" &amp; "&amp;""&amp;(SUMPRODUCT(MID(0&amp;(--TRIM(RIGHT(SUBSTITUTE(LEFT(A227,_xlfn.AGGREGATE(16,6,FIND({0,1,2,3,4,5,6,7,8,9},A227,ROW(INDIRECT("1:"&amp;LEN(A227)))),1))," ",REPT(" ",LEN(A227))),LEN(A227)))), LARGE(INDEX(ISNUMBER(--MID((--TRIM(RIGHT(SUBSTITUTE(LEFT(A227,_xlfn.AGGREGATE(16,6,FIND({0,1,2,3,4,5,6,7,8,9},A227,ROW(INDIRECT("1:"&amp;LEN(A227)))),1))," ",REPT(" ",LEN(A227))),LEN(A227)))), ROW(INDIRECT("1:"&amp;LEN((--TRIM(RIGHT(SUBSTITUTE(LEFT(A227,_xlfn.AGGREGATE(16,6,FIND({0,1,2,3,4,5,6,7,8,9},A227,ROW(INDIRECT("1:"&amp;LEN(A227)))),1))," ",REPT(" ",LEN(A227))),LEN(A227))))))), 1)) * ROW(INDIRECT("1:"&amp;LEN((--TRIM(RIGHT(SUBSTITUTE(LEFT(A227,_xlfn.AGGREGATE(16,6,FIND({0,1,2,3,4,5,6,7,8,9},A227,ROW(INDIRECT("1:"&amp;LEN(A227)))),1))," ",REPT(" ",LEN(A227))),LEN(A227))))))), 0), ROW(INDIRECT("1:"&amp;LEN((--TRIM(RIGHT(SUBSTITUTE(LEFT(A227,_xlfn.AGGREGATE(16,6,FIND({0,1,2,3,4,5,6,7,8,9},A227,ROW(INDIRECT("1:"&amp;LEN(A227)))),1))," ",REPT(" ",LEN(A227))),LEN(A227))))))))+1, 1) * 10^ROW(INDIRECT("1:"&amp;LEN((--TRIM(RIGHT(SUBSTITUTE(LEFT(A227,_xlfn.AGGREGATE(16,6,FIND({0,1,2,3,4,5,6,7,8,9},A227,ROW(INDIRECT("1:"&amp;LEN(A227)))),1))," ",REPT(" ",LEN(A227))),LEN(A227)))))))/10))*1+1</f>
        <v>104 &amp; 304</v>
      </c>
      <c r="B228" s="72"/>
      <c r="C228" s="48">
        <v>2</v>
      </c>
      <c r="D228" s="49">
        <f>(45.47+2.88+7.93+1.01)*(10.764)</f>
        <v>616.66955999999993</v>
      </c>
      <c r="E228" s="40">
        <v>0</v>
      </c>
      <c r="F228" s="40">
        <v>980</v>
      </c>
      <c r="G228" s="82"/>
      <c r="H228" s="83"/>
      <c r="I228" s="34"/>
    </row>
    <row r="229" spans="1:10" s="35" customFormat="1" ht="15.75" customHeight="1" x14ac:dyDescent="0.35">
      <c r="A229" s="71" t="str">
        <f ca="1">(SUMPRODUCT(MID(0&amp;(LEFT(A228,SUM(LEN(A228)-LEN(SUBSTITUTE(A228,{"0","1","2"},""))))), LARGE(INDEX(ISNUMBER(--MID((LEFT(A228,SUM(LEN(A228)-LEN(SUBSTITUTE(A228,{"0","1","2"},""))))), ROW(INDIRECT("1:"&amp;LEN((LEFT(A228,SUM(LEN(A228)-LEN(SUBSTITUTE(A228,{"0","1","2"},"")))))))), 1)) * ROW(INDIRECT("1:"&amp;LEN((LEFT(A228,SUM(LEN(A228)-LEN(SUBSTITUTE(A228,{"0","1","2"},"")))))))), 0), ROW(INDIRECT("1:"&amp;LEN((LEFT(A228,SUM(LEN(A228)-LEN(SUBSTITUTE(A228,{"0","1","2"},"")))))))))+1, 1) * 10^ROW(INDIRECT("1:"&amp;LEN((LEFT(A228,SUM(LEN(A228)-LEN(SUBSTITUTE(A228,{"0","1","2"},""))))))))/10))*1+1&amp;""&amp;" &amp; "&amp;""&amp;(SUMPRODUCT(MID(0&amp;(--TRIM(RIGHT(SUBSTITUTE(LEFT(A228,_xlfn.AGGREGATE(16,6,FIND({0,1,2,3,4,5,6,7,8,9},A228,ROW(INDIRECT("1:"&amp;LEN(A228)))),1))," ",REPT(" ",LEN(A228))),LEN(A228)))), LARGE(INDEX(ISNUMBER(--MID((--TRIM(RIGHT(SUBSTITUTE(LEFT(A228,_xlfn.AGGREGATE(16,6,FIND({0,1,2,3,4,5,6,7,8,9},A228,ROW(INDIRECT("1:"&amp;LEN(A228)))),1))," ",REPT(" ",LEN(A228))),LEN(A228)))), ROW(INDIRECT("1:"&amp;LEN((--TRIM(RIGHT(SUBSTITUTE(LEFT(A228,_xlfn.AGGREGATE(16,6,FIND({0,1,2,3,4,5,6,7,8,9},A228,ROW(INDIRECT("1:"&amp;LEN(A228)))),1))," ",REPT(" ",LEN(A228))),LEN(A228))))))), 1)) * ROW(INDIRECT("1:"&amp;LEN((--TRIM(RIGHT(SUBSTITUTE(LEFT(A228,_xlfn.AGGREGATE(16,6,FIND({0,1,2,3,4,5,6,7,8,9},A228,ROW(INDIRECT("1:"&amp;LEN(A228)))),1))," ",REPT(" ",LEN(A228))),LEN(A228))))))), 0), ROW(INDIRECT("1:"&amp;LEN((--TRIM(RIGHT(SUBSTITUTE(LEFT(A228,_xlfn.AGGREGATE(16,6,FIND({0,1,2,3,4,5,6,7,8,9},A228,ROW(INDIRECT("1:"&amp;LEN(A228)))),1))," ",REPT(" ",LEN(A228))),LEN(A228))))))))+1, 1) * 10^ROW(INDIRECT("1:"&amp;LEN((--TRIM(RIGHT(SUBSTITUTE(LEFT(A228,_xlfn.AGGREGATE(16,6,FIND({0,1,2,3,4,5,6,7,8,9},A228,ROW(INDIRECT("1:"&amp;LEN(A228)))),1))," ",REPT(" ",LEN(A228))),LEN(A228)))))))/10))*1+1</f>
        <v>105 &amp; 305</v>
      </c>
      <c r="B229" s="72"/>
      <c r="C229" s="48">
        <v>0</v>
      </c>
      <c r="D229" s="49">
        <f>(19.37+3.05)*(10.764)</f>
        <v>241.32888</v>
      </c>
      <c r="E229" s="40">
        <v>0</v>
      </c>
      <c r="F229" s="40">
        <v>395</v>
      </c>
      <c r="G229" s="82"/>
      <c r="H229" s="83"/>
      <c r="I229" s="34"/>
    </row>
    <row r="230" spans="1:10" s="35" customFormat="1" ht="15.75" customHeight="1" x14ac:dyDescent="0.35">
      <c r="A230" s="71" t="str">
        <f ca="1">(SUMPRODUCT(MID(0&amp;(LEFT(A229,SUM(LEN(A229)-LEN(SUBSTITUTE(A229,{"0","1","2"},""))))), LARGE(INDEX(ISNUMBER(--MID((LEFT(A229,SUM(LEN(A229)-LEN(SUBSTITUTE(A229,{"0","1","2"},""))))), ROW(INDIRECT("1:"&amp;LEN((LEFT(A229,SUM(LEN(A229)-LEN(SUBSTITUTE(A229,{"0","1","2"},"")))))))), 1)) * ROW(INDIRECT("1:"&amp;LEN((LEFT(A229,SUM(LEN(A229)-LEN(SUBSTITUTE(A229,{"0","1","2"},"")))))))), 0), ROW(INDIRECT("1:"&amp;LEN((LEFT(A229,SUM(LEN(A229)-LEN(SUBSTITUTE(A229,{"0","1","2"},"")))))))))+1, 1) * 10^ROW(INDIRECT("1:"&amp;LEN((LEFT(A229,SUM(LEN(A229)-LEN(SUBSTITUTE(A229,{"0","1","2"},""))))))))/10))*1+1&amp;""&amp;" &amp; "&amp;""&amp;(SUMPRODUCT(MID(0&amp;(--TRIM(RIGHT(SUBSTITUTE(LEFT(A229,_xlfn.AGGREGATE(16,6,FIND({0,1,2,3,4,5,6,7,8,9},A229,ROW(INDIRECT("1:"&amp;LEN(A229)))),1))," ",REPT(" ",LEN(A229))),LEN(A229)))), LARGE(INDEX(ISNUMBER(--MID((--TRIM(RIGHT(SUBSTITUTE(LEFT(A229,_xlfn.AGGREGATE(16,6,FIND({0,1,2,3,4,5,6,7,8,9},A229,ROW(INDIRECT("1:"&amp;LEN(A229)))),1))," ",REPT(" ",LEN(A229))),LEN(A229)))), ROW(INDIRECT("1:"&amp;LEN((--TRIM(RIGHT(SUBSTITUTE(LEFT(A229,_xlfn.AGGREGATE(16,6,FIND({0,1,2,3,4,5,6,7,8,9},A229,ROW(INDIRECT("1:"&amp;LEN(A229)))),1))," ",REPT(" ",LEN(A229))),LEN(A229))))))), 1)) * ROW(INDIRECT("1:"&amp;LEN((--TRIM(RIGHT(SUBSTITUTE(LEFT(A229,_xlfn.AGGREGATE(16,6,FIND({0,1,2,3,4,5,6,7,8,9},A229,ROW(INDIRECT("1:"&amp;LEN(A229)))),1))," ",REPT(" ",LEN(A229))),LEN(A229))))))), 0), ROW(INDIRECT("1:"&amp;LEN((--TRIM(RIGHT(SUBSTITUTE(LEFT(A229,_xlfn.AGGREGATE(16,6,FIND({0,1,2,3,4,5,6,7,8,9},A229,ROW(INDIRECT("1:"&amp;LEN(A229)))),1))," ",REPT(" ",LEN(A229))),LEN(A229))))))))+1, 1) * 10^ROW(INDIRECT("1:"&amp;LEN((--TRIM(RIGHT(SUBSTITUTE(LEFT(A229,_xlfn.AGGREGATE(16,6,FIND({0,1,2,3,4,5,6,7,8,9},A229,ROW(INDIRECT("1:"&amp;LEN(A229)))),1))," ",REPT(" ",LEN(A229))),LEN(A229)))))))/10))*1+1</f>
        <v>106 &amp; 306</v>
      </c>
      <c r="B230" s="72"/>
      <c r="C230" s="48">
        <v>1</v>
      </c>
      <c r="D230" s="49">
        <f>(32.19+2.65+1.08)*(10.764)</f>
        <v>386.64287999999993</v>
      </c>
      <c r="E230" s="49">
        <f>(3.46)*(10.764)</f>
        <v>37.24344</v>
      </c>
      <c r="F230" s="40">
        <v>680</v>
      </c>
      <c r="G230" s="82"/>
      <c r="H230" s="83"/>
      <c r="I230" s="34"/>
    </row>
    <row r="231" spans="1:10" s="35" customFormat="1" ht="15.75" customHeight="1" x14ac:dyDescent="0.35">
      <c r="A231" s="71" t="str">
        <f ca="1">(SUMPRODUCT(MID(0&amp;(LEFT(A230,SUM(LEN(A230)-LEN(SUBSTITUTE(A230,{"0","1","2"},""))))), LARGE(INDEX(ISNUMBER(--MID((LEFT(A230,SUM(LEN(A230)-LEN(SUBSTITUTE(A230,{"0","1","2"},""))))), ROW(INDIRECT("1:"&amp;LEN((LEFT(A230,SUM(LEN(A230)-LEN(SUBSTITUTE(A230,{"0","1","2"},"")))))))), 1)) * ROW(INDIRECT("1:"&amp;LEN((LEFT(A230,SUM(LEN(A230)-LEN(SUBSTITUTE(A230,{"0","1","2"},"")))))))), 0), ROW(INDIRECT("1:"&amp;LEN((LEFT(A230,SUM(LEN(A230)-LEN(SUBSTITUTE(A230,{"0","1","2"},"")))))))))+1, 1) * 10^ROW(INDIRECT("1:"&amp;LEN((LEFT(A230,SUM(LEN(A230)-LEN(SUBSTITUTE(A230,{"0","1","2"},""))))))))/10))*1+1&amp;""&amp;" &amp; "&amp;""&amp;(SUMPRODUCT(MID(0&amp;(--TRIM(RIGHT(SUBSTITUTE(LEFT(A230,_xlfn.AGGREGATE(16,6,FIND({0,1,2,3,4,5,6,7,8,9},A230,ROW(INDIRECT("1:"&amp;LEN(A230)))),1))," ",REPT(" ",LEN(A230))),LEN(A230)))), LARGE(INDEX(ISNUMBER(--MID((--TRIM(RIGHT(SUBSTITUTE(LEFT(A230,_xlfn.AGGREGATE(16,6,FIND({0,1,2,3,4,5,6,7,8,9},A230,ROW(INDIRECT("1:"&amp;LEN(A230)))),1))," ",REPT(" ",LEN(A230))),LEN(A230)))), ROW(INDIRECT("1:"&amp;LEN((--TRIM(RIGHT(SUBSTITUTE(LEFT(A230,_xlfn.AGGREGATE(16,6,FIND({0,1,2,3,4,5,6,7,8,9},A230,ROW(INDIRECT("1:"&amp;LEN(A230)))),1))," ",REPT(" ",LEN(A230))),LEN(A230))))))), 1)) * ROW(INDIRECT("1:"&amp;LEN((--TRIM(RIGHT(SUBSTITUTE(LEFT(A230,_xlfn.AGGREGATE(16,6,FIND({0,1,2,3,4,5,6,7,8,9},A230,ROW(INDIRECT("1:"&amp;LEN(A230)))),1))," ",REPT(" ",LEN(A230))),LEN(A230))))))), 0), ROW(INDIRECT("1:"&amp;LEN((--TRIM(RIGHT(SUBSTITUTE(LEFT(A230,_xlfn.AGGREGATE(16,6,FIND({0,1,2,3,4,5,6,7,8,9},A230,ROW(INDIRECT("1:"&amp;LEN(A230)))),1))," ",REPT(" ",LEN(A230))),LEN(A230))))))))+1, 1) * 10^ROW(INDIRECT("1:"&amp;LEN((--TRIM(RIGHT(SUBSTITUTE(LEFT(A230,_xlfn.AGGREGATE(16,6,FIND({0,1,2,3,4,5,6,7,8,9},A230,ROW(INDIRECT("1:"&amp;LEN(A230)))),1))," ",REPT(" ",LEN(A230))),LEN(A230)))))))/10))*1+1</f>
        <v>107 &amp; 307</v>
      </c>
      <c r="B231" s="72"/>
      <c r="C231" s="48">
        <v>1</v>
      </c>
      <c r="D231" s="49">
        <f>(29.7+3.04+1.08)*(10.764)</f>
        <v>364.03847999999999</v>
      </c>
      <c r="E231" s="40">
        <v>0</v>
      </c>
      <c r="F231" s="40">
        <v>595</v>
      </c>
      <c r="G231" s="84"/>
      <c r="H231" s="85"/>
      <c r="I231" s="34"/>
    </row>
    <row r="232" spans="1:10" s="35" customFormat="1" x14ac:dyDescent="0.35">
      <c r="A232" s="67" t="s">
        <v>186</v>
      </c>
      <c r="B232" s="68"/>
      <c r="C232" s="68"/>
      <c r="D232" s="68"/>
      <c r="E232" s="68"/>
      <c r="F232" s="68"/>
      <c r="G232" s="68"/>
      <c r="H232" s="69"/>
      <c r="I232" s="34"/>
    </row>
    <row r="233" spans="1:10" s="35" customFormat="1" ht="15.75" customHeight="1" x14ac:dyDescent="0.35">
      <c r="A233" s="71" t="str">
        <f ca="1">(SUMPRODUCT(MID(0&amp;(LEFT(A232,SUM(LEN(A232)-LEN(SUBSTITUTE(A232,{"0","1","2"},""))))), LARGE(INDEX(ISNUMBER(--MID((LEFT(A232,SUM(LEN(A232)-LEN(SUBSTITUTE(A232,{"0","1","2"},""))))), ROW(INDIRECT("1:"&amp;LEN((LEFT(A232,SUM(LEN(A232)-LEN(SUBSTITUTE(A232,{"0","1","2"},"")))))))), 1)) * ROW(INDIRECT("1:"&amp;LEN((LEFT(A232,SUM(LEN(A232)-LEN(SUBSTITUTE(A232,{"0","1","2"},"")))))))), 0), ROW(INDIRECT("1:"&amp;LEN((LEFT(A232,SUM(LEN(A232)-LEN(SUBSTITUTE(A232,{"0","1","2"},"")))))))))+1, 1) * 10^ROW(INDIRECT("1:"&amp;LEN((LEFT(A232,SUM(LEN(A232)-LEN(SUBSTITUTE(A232,{"0","1","2"},""))))))))/10))*100+1&amp;""&amp;" &amp; "&amp;""&amp;(SUMPRODUCT(MID(0&amp;(--TRIM(RIGHT(SUBSTITUTE(LEFT(A232,_xlfn.AGGREGATE(16,6,FIND({0,1,2,3,4,5,6,7,8,9},A232,ROW(INDIRECT("1:"&amp;LEN(A232)))),1))," ",REPT(" ",LEN(A232))),LEN(A232)))), LARGE(INDEX(ISNUMBER(--MID((--TRIM(RIGHT(SUBSTITUTE(LEFT(A232,_xlfn.AGGREGATE(16,6,FIND({0,1,2,3,4,5,6,7,8,9},A232,ROW(INDIRECT("1:"&amp;LEN(A232)))),1))," ",REPT(" ",LEN(A232))),LEN(A232)))), ROW(INDIRECT("1:"&amp;LEN((--TRIM(RIGHT(SUBSTITUTE(LEFT(A232,_xlfn.AGGREGATE(16,6,FIND({0,1,2,3,4,5,6,7,8,9},A232,ROW(INDIRECT("1:"&amp;LEN(A232)))),1))," ",REPT(" ",LEN(A232))),LEN(A232))))))), 1)) * ROW(INDIRECT("1:"&amp;LEN((--TRIM(RIGHT(SUBSTITUTE(LEFT(A232,_xlfn.AGGREGATE(16,6,FIND({0,1,2,3,4,5,6,7,8,9},A232,ROW(INDIRECT("1:"&amp;LEN(A232)))),1))," ",REPT(" ",LEN(A232))),LEN(A232))))))), 0), ROW(INDIRECT("1:"&amp;LEN((--TRIM(RIGHT(SUBSTITUTE(LEFT(A232,_xlfn.AGGREGATE(16,6,FIND({0,1,2,3,4,5,6,7,8,9},A232,ROW(INDIRECT("1:"&amp;LEN(A232)))),1))," ",REPT(" ",LEN(A232))),LEN(A232))))))))+1, 1) * 10^ROW(INDIRECT("1:"&amp;LEN((--TRIM(RIGHT(SUBSTITUTE(LEFT(A232,_xlfn.AGGREGATE(16,6,FIND({0,1,2,3,4,5,6,7,8,9},A232,ROW(INDIRECT("1:"&amp;LEN(A232)))),1))," ",REPT(" ",LEN(A232))),LEN(A232)))))))/10))*100+1</f>
        <v>201 &amp; 401</v>
      </c>
      <c r="B233" s="72"/>
      <c r="C233" s="48">
        <v>1</v>
      </c>
      <c r="D233" s="49">
        <f>(32.26+1.08)*(10.764)</f>
        <v>358.87175999999994</v>
      </c>
      <c r="E233" s="49">
        <f>(4.39)*(10.764)</f>
        <v>47.253959999999992</v>
      </c>
      <c r="F233" s="40">
        <v>645</v>
      </c>
      <c r="G233" s="80" t="str">
        <f>A232</f>
        <v>2nd &amp; 4th Floor</v>
      </c>
      <c r="H233" s="81"/>
      <c r="I233" s="34"/>
    </row>
    <row r="234" spans="1:10" s="35" customFormat="1" ht="15.75" customHeight="1" x14ac:dyDescent="0.35">
      <c r="A234" s="71" t="str">
        <f ca="1">(SUMPRODUCT(MID(0&amp;(LEFT(A233,SUM(LEN(A233)-LEN(SUBSTITUTE(A233,{"0","1","2"},""))))), LARGE(INDEX(ISNUMBER(--MID((LEFT(A233,SUM(LEN(A233)-LEN(SUBSTITUTE(A233,{"0","1","2"},""))))), ROW(INDIRECT("1:"&amp;LEN((LEFT(A233,SUM(LEN(A233)-LEN(SUBSTITUTE(A233,{"0","1","2"},"")))))))), 1)) * ROW(INDIRECT("1:"&amp;LEN((LEFT(A233,SUM(LEN(A233)-LEN(SUBSTITUTE(A233,{"0","1","2"},"")))))))), 0), ROW(INDIRECT("1:"&amp;LEN((LEFT(A233,SUM(LEN(A233)-LEN(SUBSTITUTE(A233,{"0","1","2"},"")))))))))+1, 1) * 10^ROW(INDIRECT("1:"&amp;LEN((LEFT(A233,SUM(LEN(A233)-LEN(SUBSTITUTE(A233,{"0","1","2"},""))))))))/10))*1+1&amp;""&amp;" &amp; "&amp;""&amp;(SUMPRODUCT(MID(0&amp;(--TRIM(RIGHT(SUBSTITUTE(LEFT(A233,_xlfn.AGGREGATE(16,6,FIND({0,1,2,3,4,5,6,7,8,9},A233,ROW(INDIRECT("1:"&amp;LEN(A233)))),1))," ",REPT(" ",LEN(A233))),LEN(A233)))), LARGE(INDEX(ISNUMBER(--MID((--TRIM(RIGHT(SUBSTITUTE(LEFT(A233,_xlfn.AGGREGATE(16,6,FIND({0,1,2,3,4,5,6,7,8,9},A233,ROW(INDIRECT("1:"&amp;LEN(A233)))),1))," ",REPT(" ",LEN(A233))),LEN(A233)))), ROW(INDIRECT("1:"&amp;LEN((--TRIM(RIGHT(SUBSTITUTE(LEFT(A233,_xlfn.AGGREGATE(16,6,FIND({0,1,2,3,4,5,6,7,8,9},A233,ROW(INDIRECT("1:"&amp;LEN(A233)))),1))," ",REPT(" ",LEN(A233))),LEN(A233))))))), 1)) * ROW(INDIRECT("1:"&amp;LEN((--TRIM(RIGHT(SUBSTITUTE(LEFT(A233,_xlfn.AGGREGATE(16,6,FIND({0,1,2,3,4,5,6,7,8,9},A233,ROW(INDIRECT("1:"&amp;LEN(A233)))),1))," ",REPT(" ",LEN(A233))),LEN(A233))))))), 0), ROW(INDIRECT("1:"&amp;LEN((--TRIM(RIGHT(SUBSTITUTE(LEFT(A233,_xlfn.AGGREGATE(16,6,FIND({0,1,2,3,4,5,6,7,8,9},A233,ROW(INDIRECT("1:"&amp;LEN(A233)))),1))," ",REPT(" ",LEN(A233))),LEN(A233))))))))+1, 1) * 10^ROW(INDIRECT("1:"&amp;LEN((--TRIM(RIGHT(SUBSTITUTE(LEFT(A233,_xlfn.AGGREGATE(16,6,FIND({0,1,2,3,4,5,6,7,8,9},A233,ROW(INDIRECT("1:"&amp;LEN(A233)))),1))," ",REPT(" ",LEN(A233))),LEN(A233)))))))/10))*1+1</f>
        <v>202 &amp; 402</v>
      </c>
      <c r="B234" s="72"/>
      <c r="C234" s="48">
        <v>1</v>
      </c>
      <c r="D234" s="49">
        <f>(31.5+2.5+1.08)*(10.764)</f>
        <v>377.60111999999998</v>
      </c>
      <c r="E234" s="40">
        <v>0</v>
      </c>
      <c r="F234" s="40">
        <v>600</v>
      </c>
      <c r="G234" s="82"/>
      <c r="H234" s="83"/>
      <c r="I234" s="34"/>
    </row>
    <row r="235" spans="1:10" s="35" customFormat="1" ht="15.75" customHeight="1" x14ac:dyDescent="0.35">
      <c r="A235" s="71" t="str">
        <f ca="1">(SUMPRODUCT(MID(0&amp;(LEFT(A234,SUM(LEN(A234)-LEN(SUBSTITUTE(A234,{"0","1","2"},""))))), LARGE(INDEX(ISNUMBER(--MID((LEFT(A234,SUM(LEN(A234)-LEN(SUBSTITUTE(A234,{"0","1","2"},""))))), ROW(INDIRECT("1:"&amp;LEN((LEFT(A234,SUM(LEN(A234)-LEN(SUBSTITUTE(A234,{"0","1","2"},"")))))))), 1)) * ROW(INDIRECT("1:"&amp;LEN((LEFT(A234,SUM(LEN(A234)-LEN(SUBSTITUTE(A234,{"0","1","2"},"")))))))), 0), ROW(INDIRECT("1:"&amp;LEN((LEFT(A234,SUM(LEN(A234)-LEN(SUBSTITUTE(A234,{"0","1","2"},"")))))))))+1, 1) * 10^ROW(INDIRECT("1:"&amp;LEN((LEFT(A234,SUM(LEN(A234)-LEN(SUBSTITUTE(A234,{"0","1","2"},""))))))))/10))*1+1&amp;""&amp;" &amp; "&amp;""&amp;(SUMPRODUCT(MID(0&amp;(--TRIM(RIGHT(SUBSTITUTE(LEFT(A234,_xlfn.AGGREGATE(16,6,FIND({0,1,2,3,4,5,6,7,8,9},A234,ROW(INDIRECT("1:"&amp;LEN(A234)))),1))," ",REPT(" ",LEN(A234))),LEN(A234)))), LARGE(INDEX(ISNUMBER(--MID((--TRIM(RIGHT(SUBSTITUTE(LEFT(A234,_xlfn.AGGREGATE(16,6,FIND({0,1,2,3,4,5,6,7,8,9},A234,ROW(INDIRECT("1:"&amp;LEN(A234)))),1))," ",REPT(" ",LEN(A234))),LEN(A234)))), ROW(INDIRECT("1:"&amp;LEN((--TRIM(RIGHT(SUBSTITUTE(LEFT(A234,_xlfn.AGGREGATE(16,6,FIND({0,1,2,3,4,5,6,7,8,9},A234,ROW(INDIRECT("1:"&amp;LEN(A234)))),1))," ",REPT(" ",LEN(A234))),LEN(A234))))))), 1)) * ROW(INDIRECT("1:"&amp;LEN((--TRIM(RIGHT(SUBSTITUTE(LEFT(A234,_xlfn.AGGREGATE(16,6,FIND({0,1,2,3,4,5,6,7,8,9},A234,ROW(INDIRECT("1:"&amp;LEN(A234)))),1))," ",REPT(" ",LEN(A234))),LEN(A234))))))), 0), ROW(INDIRECT("1:"&amp;LEN((--TRIM(RIGHT(SUBSTITUTE(LEFT(A234,_xlfn.AGGREGATE(16,6,FIND({0,1,2,3,4,5,6,7,8,9},A234,ROW(INDIRECT("1:"&amp;LEN(A234)))),1))," ",REPT(" ",LEN(A234))),LEN(A234))))))))+1, 1) * 10^ROW(INDIRECT("1:"&amp;LEN((--TRIM(RIGHT(SUBSTITUTE(LEFT(A234,_xlfn.AGGREGATE(16,6,FIND({0,1,2,3,4,5,6,7,8,9},A234,ROW(INDIRECT("1:"&amp;LEN(A234)))),1))," ",REPT(" ",LEN(A234))),LEN(A234)))))))/10))*1+1</f>
        <v>203 &amp; 403</v>
      </c>
      <c r="B235" s="72"/>
      <c r="C235" s="48">
        <v>1</v>
      </c>
      <c r="D235" s="49">
        <f>(32.63+5.27+0.95)*(10.764)</f>
        <v>418.18140000000005</v>
      </c>
      <c r="E235" s="40">
        <v>0</v>
      </c>
      <c r="F235" s="40">
        <v>670</v>
      </c>
      <c r="G235" s="82"/>
      <c r="H235" s="83"/>
      <c r="I235" s="34"/>
    </row>
    <row r="236" spans="1:10" s="35" customFormat="1" ht="15.75" customHeight="1" x14ac:dyDescent="0.35">
      <c r="A236" s="71" t="str">
        <f ca="1">(SUMPRODUCT(MID(0&amp;(LEFT(A235,SUM(LEN(A235)-LEN(SUBSTITUTE(A235,{"0","1","2"},""))))), LARGE(INDEX(ISNUMBER(--MID((LEFT(A235,SUM(LEN(A235)-LEN(SUBSTITUTE(A235,{"0","1","2"},""))))), ROW(INDIRECT("1:"&amp;LEN((LEFT(A235,SUM(LEN(A235)-LEN(SUBSTITUTE(A235,{"0","1","2"},"")))))))), 1)) * ROW(INDIRECT("1:"&amp;LEN((LEFT(A235,SUM(LEN(A235)-LEN(SUBSTITUTE(A235,{"0","1","2"},"")))))))), 0), ROW(INDIRECT("1:"&amp;LEN((LEFT(A235,SUM(LEN(A235)-LEN(SUBSTITUTE(A235,{"0","1","2"},"")))))))))+1, 1) * 10^ROW(INDIRECT("1:"&amp;LEN((LEFT(A235,SUM(LEN(A235)-LEN(SUBSTITUTE(A235,{"0","1","2"},""))))))))/10))*1+1&amp;""&amp;" &amp; "&amp;""&amp;(SUMPRODUCT(MID(0&amp;(--TRIM(RIGHT(SUBSTITUTE(LEFT(A235,_xlfn.AGGREGATE(16,6,FIND({0,1,2,3,4,5,6,7,8,9},A235,ROW(INDIRECT("1:"&amp;LEN(A235)))),1))," ",REPT(" ",LEN(A235))),LEN(A235)))), LARGE(INDEX(ISNUMBER(--MID((--TRIM(RIGHT(SUBSTITUTE(LEFT(A235,_xlfn.AGGREGATE(16,6,FIND({0,1,2,3,4,5,6,7,8,9},A235,ROW(INDIRECT("1:"&amp;LEN(A235)))),1))," ",REPT(" ",LEN(A235))),LEN(A235)))), ROW(INDIRECT("1:"&amp;LEN((--TRIM(RIGHT(SUBSTITUTE(LEFT(A235,_xlfn.AGGREGATE(16,6,FIND({0,1,2,3,4,5,6,7,8,9},A235,ROW(INDIRECT("1:"&amp;LEN(A235)))),1))," ",REPT(" ",LEN(A235))),LEN(A235))))))), 1)) * ROW(INDIRECT("1:"&amp;LEN((--TRIM(RIGHT(SUBSTITUTE(LEFT(A235,_xlfn.AGGREGATE(16,6,FIND({0,1,2,3,4,5,6,7,8,9},A235,ROW(INDIRECT("1:"&amp;LEN(A235)))),1))," ",REPT(" ",LEN(A235))),LEN(A235))))))), 0), ROW(INDIRECT("1:"&amp;LEN((--TRIM(RIGHT(SUBSTITUTE(LEFT(A235,_xlfn.AGGREGATE(16,6,FIND({0,1,2,3,4,5,6,7,8,9},A235,ROW(INDIRECT("1:"&amp;LEN(A235)))),1))," ",REPT(" ",LEN(A235))),LEN(A235))))))))+1, 1) * 10^ROW(INDIRECT("1:"&amp;LEN((--TRIM(RIGHT(SUBSTITUTE(LEFT(A235,_xlfn.AGGREGATE(16,6,FIND({0,1,2,3,4,5,6,7,8,9},A235,ROW(INDIRECT("1:"&amp;LEN(A235)))),1))," ",REPT(" ",LEN(A235))),LEN(A235)))))))/10))*1+1</f>
        <v>204 &amp; 404</v>
      </c>
      <c r="B236" s="72"/>
      <c r="C236" s="48">
        <v>2</v>
      </c>
      <c r="D236" s="49">
        <f>(45.47+2.88+7.93+1.01)*(10.764)</f>
        <v>616.66955999999993</v>
      </c>
      <c r="E236" s="40">
        <v>0</v>
      </c>
      <c r="F236" s="40">
        <v>980</v>
      </c>
      <c r="G236" s="82"/>
      <c r="H236" s="83"/>
      <c r="I236" s="34"/>
    </row>
    <row r="237" spans="1:10" s="35" customFormat="1" ht="15.75" customHeight="1" x14ac:dyDescent="0.35">
      <c r="A237" s="71" t="str">
        <f ca="1">(SUMPRODUCT(MID(0&amp;(LEFT(A236,SUM(LEN(A236)-LEN(SUBSTITUTE(A236,{"0","1","2"},""))))), LARGE(INDEX(ISNUMBER(--MID((LEFT(A236,SUM(LEN(A236)-LEN(SUBSTITUTE(A236,{"0","1","2"},""))))), ROW(INDIRECT("1:"&amp;LEN((LEFT(A236,SUM(LEN(A236)-LEN(SUBSTITUTE(A236,{"0","1","2"},"")))))))), 1)) * ROW(INDIRECT("1:"&amp;LEN((LEFT(A236,SUM(LEN(A236)-LEN(SUBSTITUTE(A236,{"0","1","2"},"")))))))), 0), ROW(INDIRECT("1:"&amp;LEN((LEFT(A236,SUM(LEN(A236)-LEN(SUBSTITUTE(A236,{"0","1","2"},"")))))))))+1, 1) * 10^ROW(INDIRECT("1:"&amp;LEN((LEFT(A236,SUM(LEN(A236)-LEN(SUBSTITUTE(A236,{"0","1","2"},""))))))))/10))*1+1&amp;""&amp;" &amp; "&amp;""&amp;(SUMPRODUCT(MID(0&amp;(--TRIM(RIGHT(SUBSTITUTE(LEFT(A236,_xlfn.AGGREGATE(16,6,FIND({0,1,2,3,4,5,6,7,8,9},A236,ROW(INDIRECT("1:"&amp;LEN(A236)))),1))," ",REPT(" ",LEN(A236))),LEN(A236)))), LARGE(INDEX(ISNUMBER(--MID((--TRIM(RIGHT(SUBSTITUTE(LEFT(A236,_xlfn.AGGREGATE(16,6,FIND({0,1,2,3,4,5,6,7,8,9},A236,ROW(INDIRECT("1:"&amp;LEN(A236)))),1))," ",REPT(" ",LEN(A236))),LEN(A236)))), ROW(INDIRECT("1:"&amp;LEN((--TRIM(RIGHT(SUBSTITUTE(LEFT(A236,_xlfn.AGGREGATE(16,6,FIND({0,1,2,3,4,5,6,7,8,9},A236,ROW(INDIRECT("1:"&amp;LEN(A236)))),1))," ",REPT(" ",LEN(A236))),LEN(A236))))))), 1)) * ROW(INDIRECT("1:"&amp;LEN((--TRIM(RIGHT(SUBSTITUTE(LEFT(A236,_xlfn.AGGREGATE(16,6,FIND({0,1,2,3,4,5,6,7,8,9},A236,ROW(INDIRECT("1:"&amp;LEN(A236)))),1))," ",REPT(" ",LEN(A236))),LEN(A236))))))), 0), ROW(INDIRECT("1:"&amp;LEN((--TRIM(RIGHT(SUBSTITUTE(LEFT(A236,_xlfn.AGGREGATE(16,6,FIND({0,1,2,3,4,5,6,7,8,9},A236,ROW(INDIRECT("1:"&amp;LEN(A236)))),1))," ",REPT(" ",LEN(A236))),LEN(A236))))))))+1, 1) * 10^ROW(INDIRECT("1:"&amp;LEN((--TRIM(RIGHT(SUBSTITUTE(LEFT(A236,_xlfn.AGGREGATE(16,6,FIND({0,1,2,3,4,5,6,7,8,9},A236,ROW(INDIRECT("1:"&amp;LEN(A236)))),1))," ",REPT(" ",LEN(A236))),LEN(A236)))))))/10))*1+1</f>
        <v>205 &amp; 405</v>
      </c>
      <c r="B237" s="72"/>
      <c r="C237" s="48">
        <v>0</v>
      </c>
      <c r="D237" s="49">
        <f>(19.37+3.05)*(10.764)</f>
        <v>241.32888</v>
      </c>
      <c r="E237" s="40">
        <v>0</v>
      </c>
      <c r="F237" s="40">
        <v>395</v>
      </c>
      <c r="G237" s="82"/>
      <c r="H237" s="83"/>
      <c r="I237" s="34"/>
    </row>
    <row r="238" spans="1:10" s="35" customFormat="1" ht="15.75" customHeight="1" x14ac:dyDescent="0.35">
      <c r="A238" s="71" t="str">
        <f ca="1">(SUMPRODUCT(MID(0&amp;(LEFT(A237,SUM(LEN(A237)-LEN(SUBSTITUTE(A237,{"0","1","2"},""))))), LARGE(INDEX(ISNUMBER(--MID((LEFT(A237,SUM(LEN(A237)-LEN(SUBSTITUTE(A237,{"0","1","2"},""))))), ROW(INDIRECT("1:"&amp;LEN((LEFT(A237,SUM(LEN(A237)-LEN(SUBSTITUTE(A237,{"0","1","2"},"")))))))), 1)) * ROW(INDIRECT("1:"&amp;LEN((LEFT(A237,SUM(LEN(A237)-LEN(SUBSTITUTE(A237,{"0","1","2"},"")))))))), 0), ROW(INDIRECT("1:"&amp;LEN((LEFT(A237,SUM(LEN(A237)-LEN(SUBSTITUTE(A237,{"0","1","2"},"")))))))))+1, 1) * 10^ROW(INDIRECT("1:"&amp;LEN((LEFT(A237,SUM(LEN(A237)-LEN(SUBSTITUTE(A237,{"0","1","2"},""))))))))/10))*1+1&amp;""&amp;" &amp; "&amp;""&amp;(SUMPRODUCT(MID(0&amp;(--TRIM(RIGHT(SUBSTITUTE(LEFT(A237,_xlfn.AGGREGATE(16,6,FIND({0,1,2,3,4,5,6,7,8,9},A237,ROW(INDIRECT("1:"&amp;LEN(A237)))),1))," ",REPT(" ",LEN(A237))),LEN(A237)))), LARGE(INDEX(ISNUMBER(--MID((--TRIM(RIGHT(SUBSTITUTE(LEFT(A237,_xlfn.AGGREGATE(16,6,FIND({0,1,2,3,4,5,6,7,8,9},A237,ROW(INDIRECT("1:"&amp;LEN(A237)))),1))," ",REPT(" ",LEN(A237))),LEN(A237)))), ROW(INDIRECT("1:"&amp;LEN((--TRIM(RIGHT(SUBSTITUTE(LEFT(A237,_xlfn.AGGREGATE(16,6,FIND({0,1,2,3,4,5,6,7,8,9},A237,ROW(INDIRECT("1:"&amp;LEN(A237)))),1))," ",REPT(" ",LEN(A237))),LEN(A237))))))), 1)) * ROW(INDIRECT("1:"&amp;LEN((--TRIM(RIGHT(SUBSTITUTE(LEFT(A237,_xlfn.AGGREGATE(16,6,FIND({0,1,2,3,4,5,6,7,8,9},A237,ROW(INDIRECT("1:"&amp;LEN(A237)))),1))," ",REPT(" ",LEN(A237))),LEN(A237))))))), 0), ROW(INDIRECT("1:"&amp;LEN((--TRIM(RIGHT(SUBSTITUTE(LEFT(A237,_xlfn.AGGREGATE(16,6,FIND({0,1,2,3,4,5,6,7,8,9},A237,ROW(INDIRECT("1:"&amp;LEN(A237)))),1))," ",REPT(" ",LEN(A237))),LEN(A237))))))))+1, 1) * 10^ROW(INDIRECT("1:"&amp;LEN((--TRIM(RIGHT(SUBSTITUTE(LEFT(A237,_xlfn.AGGREGATE(16,6,FIND({0,1,2,3,4,5,6,7,8,9},A237,ROW(INDIRECT("1:"&amp;LEN(A237)))),1))," ",REPT(" ",LEN(A237))),LEN(A237)))))))/10))*1+1</f>
        <v>206 &amp; 406</v>
      </c>
      <c r="B238" s="72"/>
      <c r="C238" s="48">
        <v>1</v>
      </c>
      <c r="D238" s="49">
        <f>(31.63+2.65+1.08)*(10.764)</f>
        <v>380.61503999999996</v>
      </c>
      <c r="E238" s="40">
        <v>0</v>
      </c>
      <c r="F238" s="40">
        <v>615</v>
      </c>
      <c r="G238" s="82"/>
      <c r="H238" s="83"/>
      <c r="I238" s="34"/>
    </row>
    <row r="239" spans="1:10" s="35" customFormat="1" ht="15.75" customHeight="1" x14ac:dyDescent="0.35">
      <c r="A239" s="71" t="str">
        <f ca="1">(SUMPRODUCT(MID(0&amp;(LEFT(A238,SUM(LEN(A238)-LEN(SUBSTITUTE(A238,{"0","1","2"},""))))), LARGE(INDEX(ISNUMBER(--MID((LEFT(A238,SUM(LEN(A238)-LEN(SUBSTITUTE(A238,{"0","1","2"},""))))), ROW(INDIRECT("1:"&amp;LEN((LEFT(A238,SUM(LEN(A238)-LEN(SUBSTITUTE(A238,{"0","1","2"},"")))))))), 1)) * ROW(INDIRECT("1:"&amp;LEN((LEFT(A238,SUM(LEN(A238)-LEN(SUBSTITUTE(A238,{"0","1","2"},"")))))))), 0), ROW(INDIRECT("1:"&amp;LEN((LEFT(A238,SUM(LEN(A238)-LEN(SUBSTITUTE(A238,{"0","1","2"},"")))))))))+1, 1) * 10^ROW(INDIRECT("1:"&amp;LEN((LEFT(A238,SUM(LEN(A238)-LEN(SUBSTITUTE(A238,{"0","1","2"},""))))))))/10))*1+1&amp;""&amp;" &amp; "&amp;""&amp;(SUMPRODUCT(MID(0&amp;(--TRIM(RIGHT(SUBSTITUTE(LEFT(A238,_xlfn.AGGREGATE(16,6,FIND({0,1,2,3,4,5,6,7,8,9},A238,ROW(INDIRECT("1:"&amp;LEN(A238)))),1))," ",REPT(" ",LEN(A238))),LEN(A238)))), LARGE(INDEX(ISNUMBER(--MID((--TRIM(RIGHT(SUBSTITUTE(LEFT(A238,_xlfn.AGGREGATE(16,6,FIND({0,1,2,3,4,5,6,7,8,9},A238,ROW(INDIRECT("1:"&amp;LEN(A238)))),1))," ",REPT(" ",LEN(A238))),LEN(A238)))), ROW(INDIRECT("1:"&amp;LEN((--TRIM(RIGHT(SUBSTITUTE(LEFT(A238,_xlfn.AGGREGATE(16,6,FIND({0,1,2,3,4,5,6,7,8,9},A238,ROW(INDIRECT("1:"&amp;LEN(A238)))),1))," ",REPT(" ",LEN(A238))),LEN(A238))))))), 1)) * ROW(INDIRECT("1:"&amp;LEN((--TRIM(RIGHT(SUBSTITUTE(LEFT(A238,_xlfn.AGGREGATE(16,6,FIND({0,1,2,3,4,5,6,7,8,9},A238,ROW(INDIRECT("1:"&amp;LEN(A238)))),1))," ",REPT(" ",LEN(A238))),LEN(A238))))))), 0), ROW(INDIRECT("1:"&amp;LEN((--TRIM(RIGHT(SUBSTITUTE(LEFT(A238,_xlfn.AGGREGATE(16,6,FIND({0,1,2,3,4,5,6,7,8,9},A238,ROW(INDIRECT("1:"&amp;LEN(A238)))),1))," ",REPT(" ",LEN(A238))),LEN(A238))))))))+1, 1) * 10^ROW(INDIRECT("1:"&amp;LEN((--TRIM(RIGHT(SUBSTITUTE(LEFT(A238,_xlfn.AGGREGATE(16,6,FIND({0,1,2,3,4,5,6,7,8,9},A238,ROW(INDIRECT("1:"&amp;LEN(A238)))),1))," ",REPT(" ",LEN(A238))),LEN(A238)))))))/10))*1+1</f>
        <v>207 &amp; 407</v>
      </c>
      <c r="B239" s="72"/>
      <c r="C239" s="48">
        <v>1</v>
      </c>
      <c r="D239" s="49">
        <f>(30.13+3.04+1.08)*(10.764)</f>
        <v>368.66699999999997</v>
      </c>
      <c r="E239" s="40">
        <v>0</v>
      </c>
      <c r="F239" s="40">
        <v>595</v>
      </c>
      <c r="G239" s="84"/>
      <c r="H239" s="85"/>
      <c r="I239" s="34"/>
    </row>
    <row r="240" spans="1:10" s="35" customFormat="1" x14ac:dyDescent="0.35">
      <c r="A240" s="67" t="s">
        <v>184</v>
      </c>
      <c r="B240" s="68"/>
      <c r="C240" s="68"/>
      <c r="D240" s="68"/>
      <c r="E240" s="68"/>
      <c r="F240" s="68"/>
      <c r="G240" s="68"/>
      <c r="H240" s="69"/>
      <c r="J240" s="34"/>
    </row>
    <row r="241" spans="1:12" s="35" customFormat="1" x14ac:dyDescent="0.35">
      <c r="A241" s="67" t="s">
        <v>187</v>
      </c>
      <c r="B241" s="68"/>
      <c r="C241" s="68"/>
      <c r="D241" s="68"/>
      <c r="E241" s="68"/>
      <c r="F241" s="68"/>
      <c r="G241" s="68"/>
      <c r="H241" s="69"/>
      <c r="J241" s="34"/>
    </row>
    <row r="242" spans="1:12" s="35" customFormat="1" x14ac:dyDescent="0.35">
      <c r="A242" s="67" t="s">
        <v>185</v>
      </c>
      <c r="B242" s="68"/>
      <c r="C242" s="68"/>
      <c r="D242" s="68"/>
      <c r="E242" s="68"/>
      <c r="F242" s="68"/>
      <c r="G242" s="68"/>
      <c r="H242" s="69"/>
      <c r="I242" s="34"/>
    </row>
    <row r="243" spans="1:12" s="35" customFormat="1" ht="15.75" customHeight="1" x14ac:dyDescent="0.35">
      <c r="A243" s="71" t="str">
        <f ca="1">(SUMPRODUCT(MID(0&amp;(LEFT(A242,SUM(LEN(A242)-LEN(SUBSTITUTE(A242,{"0","1","2"},""))))), LARGE(INDEX(ISNUMBER(--MID((LEFT(A242,SUM(LEN(A242)-LEN(SUBSTITUTE(A242,{"0","1","2"},""))))), ROW(INDIRECT("1:"&amp;LEN((LEFT(A242,SUM(LEN(A242)-LEN(SUBSTITUTE(A242,{"0","1","2"},"")))))))), 1)) * ROW(INDIRECT("1:"&amp;LEN((LEFT(A242,SUM(LEN(A242)-LEN(SUBSTITUTE(A242,{"0","1","2"},"")))))))), 0), ROW(INDIRECT("1:"&amp;LEN((LEFT(A242,SUM(LEN(A242)-LEN(SUBSTITUTE(A242,{"0","1","2"},"")))))))))+1, 1) * 10^ROW(INDIRECT("1:"&amp;LEN((LEFT(A242,SUM(LEN(A242)-LEN(SUBSTITUTE(A242,{"0","1","2"},""))))))))/10))*100+1&amp;""&amp;" &amp; "&amp;""&amp;(SUMPRODUCT(MID(0&amp;(--TRIM(RIGHT(SUBSTITUTE(LEFT(A242,_xlfn.AGGREGATE(16,6,FIND({0,1,2,3,4,5,6,7,8,9},A242,ROW(INDIRECT("1:"&amp;LEN(A242)))),1))," ",REPT(" ",LEN(A242))),LEN(A242)))), LARGE(INDEX(ISNUMBER(--MID((--TRIM(RIGHT(SUBSTITUTE(LEFT(A242,_xlfn.AGGREGATE(16,6,FIND({0,1,2,3,4,5,6,7,8,9},A242,ROW(INDIRECT("1:"&amp;LEN(A242)))),1))," ",REPT(" ",LEN(A242))),LEN(A242)))), ROW(INDIRECT("1:"&amp;LEN((--TRIM(RIGHT(SUBSTITUTE(LEFT(A242,_xlfn.AGGREGATE(16,6,FIND({0,1,2,3,4,5,6,7,8,9},A242,ROW(INDIRECT("1:"&amp;LEN(A242)))),1))," ",REPT(" ",LEN(A242))),LEN(A242))))))), 1)) * ROW(INDIRECT("1:"&amp;LEN((--TRIM(RIGHT(SUBSTITUTE(LEFT(A242,_xlfn.AGGREGATE(16,6,FIND({0,1,2,3,4,5,6,7,8,9},A242,ROW(INDIRECT("1:"&amp;LEN(A242)))),1))," ",REPT(" ",LEN(A242))),LEN(A242))))))), 0), ROW(INDIRECT("1:"&amp;LEN((--TRIM(RIGHT(SUBSTITUTE(LEFT(A242,_xlfn.AGGREGATE(16,6,FIND({0,1,2,3,4,5,6,7,8,9},A242,ROW(INDIRECT("1:"&amp;LEN(A242)))),1))," ",REPT(" ",LEN(A242))),LEN(A242))))))))+1, 1) * 10^ROW(INDIRECT("1:"&amp;LEN((--TRIM(RIGHT(SUBSTITUTE(LEFT(A242,_xlfn.AGGREGATE(16,6,FIND({0,1,2,3,4,5,6,7,8,9},A242,ROW(INDIRECT("1:"&amp;LEN(A242)))),1))," ",REPT(" ",LEN(A242))),LEN(A242)))))))/10))*100+1</f>
        <v>101 &amp; 301</v>
      </c>
      <c r="B243" s="72"/>
      <c r="C243" s="48">
        <v>1</v>
      </c>
      <c r="D243" s="49">
        <f>(32.95+5.25+0.887)*(10.764)</f>
        <v>420.73246799999998</v>
      </c>
      <c r="E243" s="40">
        <v>0</v>
      </c>
      <c r="F243" s="40">
        <v>675</v>
      </c>
      <c r="G243" s="80" t="str">
        <f>A242</f>
        <v>1st &amp; 3rd Floor</v>
      </c>
      <c r="H243" s="81"/>
      <c r="I243" s="34"/>
      <c r="J243" s="35">
        <f>F243/D243</f>
        <v>1.6043449254313313</v>
      </c>
    </row>
    <row r="244" spans="1:12" s="35" customFormat="1" ht="15.75" customHeight="1" x14ac:dyDescent="0.35">
      <c r="A244" s="71" t="str">
        <f ca="1">(SUMPRODUCT(MID(0&amp;(LEFT(A243,SUM(LEN(A243)-LEN(SUBSTITUTE(A243,{"0","1","2"},""))))), LARGE(INDEX(ISNUMBER(--MID((LEFT(A243,SUM(LEN(A243)-LEN(SUBSTITUTE(A243,{"0","1","2"},""))))), ROW(INDIRECT("1:"&amp;LEN((LEFT(A243,SUM(LEN(A243)-LEN(SUBSTITUTE(A243,{"0","1","2"},"")))))))), 1)) * ROW(INDIRECT("1:"&amp;LEN((LEFT(A243,SUM(LEN(A243)-LEN(SUBSTITUTE(A243,{"0","1","2"},"")))))))), 0), ROW(INDIRECT("1:"&amp;LEN((LEFT(A243,SUM(LEN(A243)-LEN(SUBSTITUTE(A243,{"0","1","2"},"")))))))))+1, 1) * 10^ROW(INDIRECT("1:"&amp;LEN((LEFT(A243,SUM(LEN(A243)-LEN(SUBSTITUTE(A243,{"0","1","2"},""))))))))/10))*1+1&amp;""&amp;" &amp; "&amp;""&amp;(SUMPRODUCT(MID(0&amp;(--TRIM(RIGHT(SUBSTITUTE(LEFT(A243,_xlfn.AGGREGATE(16,6,FIND({0,1,2,3,4,5,6,7,8,9},A243,ROW(INDIRECT("1:"&amp;LEN(A243)))),1))," ",REPT(" ",LEN(A243))),LEN(A243)))), LARGE(INDEX(ISNUMBER(--MID((--TRIM(RIGHT(SUBSTITUTE(LEFT(A243,_xlfn.AGGREGATE(16,6,FIND({0,1,2,3,4,5,6,7,8,9},A243,ROW(INDIRECT("1:"&amp;LEN(A243)))),1))," ",REPT(" ",LEN(A243))),LEN(A243)))), ROW(INDIRECT("1:"&amp;LEN((--TRIM(RIGHT(SUBSTITUTE(LEFT(A243,_xlfn.AGGREGATE(16,6,FIND({0,1,2,3,4,5,6,7,8,9},A243,ROW(INDIRECT("1:"&amp;LEN(A243)))),1))," ",REPT(" ",LEN(A243))),LEN(A243))))))), 1)) * ROW(INDIRECT("1:"&amp;LEN((--TRIM(RIGHT(SUBSTITUTE(LEFT(A243,_xlfn.AGGREGATE(16,6,FIND({0,1,2,3,4,5,6,7,8,9},A243,ROW(INDIRECT("1:"&amp;LEN(A243)))),1))," ",REPT(" ",LEN(A243))),LEN(A243))))))), 0), ROW(INDIRECT("1:"&amp;LEN((--TRIM(RIGHT(SUBSTITUTE(LEFT(A243,_xlfn.AGGREGATE(16,6,FIND({0,1,2,3,4,5,6,7,8,9},A243,ROW(INDIRECT("1:"&amp;LEN(A243)))),1))," ",REPT(" ",LEN(A243))),LEN(A243))))))))+1, 1) * 10^ROW(INDIRECT("1:"&amp;LEN((--TRIM(RIGHT(SUBSTITUTE(LEFT(A243,_xlfn.AGGREGATE(16,6,FIND({0,1,2,3,4,5,6,7,8,9},A243,ROW(INDIRECT("1:"&amp;LEN(A243)))),1))," ",REPT(" ",LEN(A243))),LEN(A243)))))))/10))*1+1</f>
        <v>102 &amp; 302</v>
      </c>
      <c r="B244" s="72"/>
      <c r="C244" s="48">
        <v>1</v>
      </c>
      <c r="D244" s="49">
        <f>(33.79+5.25+0.887)*(10.764)</f>
        <v>429.77422799999999</v>
      </c>
      <c r="E244" s="49">
        <f>(4.59)*(10.764)</f>
        <v>49.406759999999998</v>
      </c>
      <c r="F244" s="40">
        <v>765</v>
      </c>
      <c r="G244" s="82"/>
      <c r="H244" s="83"/>
      <c r="I244" s="34"/>
      <c r="J244" s="35">
        <f t="shared" ref="J244:J248" si="23">F244/D244</f>
        <v>1.7800043608012717</v>
      </c>
    </row>
    <row r="245" spans="1:12" s="35" customFormat="1" ht="15.75" customHeight="1" x14ac:dyDescent="0.35">
      <c r="A245" s="71" t="str">
        <f ca="1">(SUMPRODUCT(MID(0&amp;(LEFT(A244,SUM(LEN(A244)-LEN(SUBSTITUTE(A244,{"0","1","2"},""))))), LARGE(INDEX(ISNUMBER(--MID((LEFT(A244,SUM(LEN(A244)-LEN(SUBSTITUTE(A244,{"0","1","2"},""))))), ROW(INDIRECT("1:"&amp;LEN((LEFT(A244,SUM(LEN(A244)-LEN(SUBSTITUTE(A244,{"0","1","2"},"")))))))), 1)) * ROW(INDIRECT("1:"&amp;LEN((LEFT(A244,SUM(LEN(A244)-LEN(SUBSTITUTE(A244,{"0","1","2"},"")))))))), 0), ROW(INDIRECT("1:"&amp;LEN((LEFT(A244,SUM(LEN(A244)-LEN(SUBSTITUTE(A244,{"0","1","2"},"")))))))))+1, 1) * 10^ROW(INDIRECT("1:"&amp;LEN((LEFT(A244,SUM(LEN(A244)-LEN(SUBSTITUTE(A244,{"0","1","2"},""))))))))/10))*1+1&amp;""&amp;" &amp; "&amp;""&amp;(SUMPRODUCT(MID(0&amp;(--TRIM(RIGHT(SUBSTITUTE(LEFT(A244,_xlfn.AGGREGATE(16,6,FIND({0,1,2,3,4,5,6,7,8,9},A244,ROW(INDIRECT("1:"&amp;LEN(A244)))),1))," ",REPT(" ",LEN(A244))),LEN(A244)))), LARGE(INDEX(ISNUMBER(--MID((--TRIM(RIGHT(SUBSTITUTE(LEFT(A244,_xlfn.AGGREGATE(16,6,FIND({0,1,2,3,4,5,6,7,8,9},A244,ROW(INDIRECT("1:"&amp;LEN(A244)))),1))," ",REPT(" ",LEN(A244))),LEN(A244)))), ROW(INDIRECT("1:"&amp;LEN((--TRIM(RIGHT(SUBSTITUTE(LEFT(A244,_xlfn.AGGREGATE(16,6,FIND({0,1,2,3,4,5,6,7,8,9},A244,ROW(INDIRECT("1:"&amp;LEN(A244)))),1))," ",REPT(" ",LEN(A244))),LEN(A244))))))), 1)) * ROW(INDIRECT("1:"&amp;LEN((--TRIM(RIGHT(SUBSTITUTE(LEFT(A244,_xlfn.AGGREGATE(16,6,FIND({0,1,2,3,4,5,6,7,8,9},A244,ROW(INDIRECT("1:"&amp;LEN(A244)))),1))," ",REPT(" ",LEN(A244))),LEN(A244))))))), 0), ROW(INDIRECT("1:"&amp;LEN((--TRIM(RIGHT(SUBSTITUTE(LEFT(A244,_xlfn.AGGREGATE(16,6,FIND({0,1,2,3,4,5,6,7,8,9},A244,ROW(INDIRECT("1:"&amp;LEN(A244)))),1))," ",REPT(" ",LEN(A244))),LEN(A244))))))))+1, 1) * 10^ROW(INDIRECT("1:"&amp;LEN((--TRIM(RIGHT(SUBSTITUTE(LEFT(A244,_xlfn.AGGREGATE(16,6,FIND({0,1,2,3,4,5,6,7,8,9},A244,ROW(INDIRECT("1:"&amp;LEN(A244)))),1))," ",REPT(" ",LEN(A244))),LEN(A244)))))))/10))*1+1</f>
        <v>103 &amp; 303</v>
      </c>
      <c r="B245" s="72"/>
      <c r="C245" s="48">
        <v>2</v>
      </c>
      <c r="D245" s="49">
        <f>(46.22+8.15)*(10.764)</f>
        <v>585.23867999999993</v>
      </c>
      <c r="E245" s="40">
        <v>0</v>
      </c>
      <c r="F245" s="40">
        <v>1000</v>
      </c>
      <c r="G245" s="82"/>
      <c r="H245" s="83"/>
      <c r="I245" s="34"/>
      <c r="J245" s="35">
        <f t="shared" si="23"/>
        <v>1.7087045579420692</v>
      </c>
    </row>
    <row r="246" spans="1:12" s="35" customFormat="1" ht="15.75" customHeight="1" x14ac:dyDescent="0.35">
      <c r="A246" s="71" t="str">
        <f ca="1">(SUMPRODUCT(MID(0&amp;(LEFT(A245,SUM(LEN(A245)-LEN(SUBSTITUTE(A245,{"0","1","2"},""))))), LARGE(INDEX(ISNUMBER(--MID((LEFT(A245,SUM(LEN(A245)-LEN(SUBSTITUTE(A245,{"0","1","2"},""))))), ROW(INDIRECT("1:"&amp;LEN((LEFT(A245,SUM(LEN(A245)-LEN(SUBSTITUTE(A245,{"0","1","2"},"")))))))), 1)) * ROW(INDIRECT("1:"&amp;LEN((LEFT(A245,SUM(LEN(A245)-LEN(SUBSTITUTE(A245,{"0","1","2"},"")))))))), 0), ROW(INDIRECT("1:"&amp;LEN((LEFT(A245,SUM(LEN(A245)-LEN(SUBSTITUTE(A245,{"0","1","2"},"")))))))))+1, 1) * 10^ROW(INDIRECT("1:"&amp;LEN((LEFT(A245,SUM(LEN(A245)-LEN(SUBSTITUTE(A245,{"0","1","2"},""))))))))/10))*1+1&amp;""&amp;" &amp; "&amp;""&amp;(SUMPRODUCT(MID(0&amp;(--TRIM(RIGHT(SUBSTITUTE(LEFT(A245,_xlfn.AGGREGATE(16,6,FIND({0,1,2,3,4,5,6,7,8,9},A245,ROW(INDIRECT("1:"&amp;LEN(A245)))),1))," ",REPT(" ",LEN(A245))),LEN(A245)))), LARGE(INDEX(ISNUMBER(--MID((--TRIM(RIGHT(SUBSTITUTE(LEFT(A245,_xlfn.AGGREGATE(16,6,FIND({0,1,2,3,4,5,6,7,8,9},A245,ROW(INDIRECT("1:"&amp;LEN(A245)))),1))," ",REPT(" ",LEN(A245))),LEN(A245)))), ROW(INDIRECT("1:"&amp;LEN((--TRIM(RIGHT(SUBSTITUTE(LEFT(A245,_xlfn.AGGREGATE(16,6,FIND({0,1,2,3,4,5,6,7,8,9},A245,ROW(INDIRECT("1:"&amp;LEN(A245)))),1))," ",REPT(" ",LEN(A245))),LEN(A245))))))), 1)) * ROW(INDIRECT("1:"&amp;LEN((--TRIM(RIGHT(SUBSTITUTE(LEFT(A245,_xlfn.AGGREGATE(16,6,FIND({0,1,2,3,4,5,6,7,8,9},A245,ROW(INDIRECT("1:"&amp;LEN(A245)))),1))," ",REPT(" ",LEN(A245))),LEN(A245))))))), 0), ROW(INDIRECT("1:"&amp;LEN((--TRIM(RIGHT(SUBSTITUTE(LEFT(A245,_xlfn.AGGREGATE(16,6,FIND({0,1,2,3,4,5,6,7,8,9},A245,ROW(INDIRECT("1:"&amp;LEN(A245)))),1))," ",REPT(" ",LEN(A245))),LEN(A245))))))))+1, 1) * 10^ROW(INDIRECT("1:"&amp;LEN((--TRIM(RIGHT(SUBSTITUTE(LEFT(A245,_xlfn.AGGREGATE(16,6,FIND({0,1,2,3,4,5,6,7,8,9},A245,ROW(INDIRECT("1:"&amp;LEN(A245)))),1))," ",REPT(" ",LEN(A245))),LEN(A245)))))))/10))*1+1</f>
        <v>104 &amp; 304</v>
      </c>
      <c r="B246" s="72"/>
      <c r="C246" s="48">
        <v>1</v>
      </c>
      <c r="D246" s="49">
        <f>(32.92+11.25)*(10.764)</f>
        <v>475.44587999999999</v>
      </c>
      <c r="E246" s="40">
        <v>0</v>
      </c>
      <c r="F246" s="40">
        <v>712</v>
      </c>
      <c r="G246" s="82"/>
      <c r="H246" s="83"/>
      <c r="I246" s="34"/>
      <c r="J246" s="35">
        <f t="shared" si="23"/>
        <v>1.4975416339710421</v>
      </c>
    </row>
    <row r="247" spans="1:12" s="35" customFormat="1" ht="15.75" customHeight="1" x14ac:dyDescent="0.35">
      <c r="A247" s="71" t="str">
        <f ca="1">(SUMPRODUCT(MID(0&amp;(LEFT(A246,SUM(LEN(A246)-LEN(SUBSTITUTE(A246,{"0","1","2"},""))))), LARGE(INDEX(ISNUMBER(--MID((LEFT(A246,SUM(LEN(A246)-LEN(SUBSTITUTE(A246,{"0","1","2"},""))))), ROW(INDIRECT("1:"&amp;LEN((LEFT(A246,SUM(LEN(A246)-LEN(SUBSTITUTE(A246,{"0","1","2"},"")))))))), 1)) * ROW(INDIRECT("1:"&amp;LEN((LEFT(A246,SUM(LEN(A246)-LEN(SUBSTITUTE(A246,{"0","1","2"},"")))))))), 0), ROW(INDIRECT("1:"&amp;LEN((LEFT(A246,SUM(LEN(A246)-LEN(SUBSTITUTE(A246,{"0","1","2"},"")))))))))+1, 1) * 10^ROW(INDIRECT("1:"&amp;LEN((LEFT(A246,SUM(LEN(A246)-LEN(SUBSTITUTE(A246,{"0","1","2"},""))))))))/10))*1+1&amp;""&amp;" &amp; "&amp;""&amp;(SUMPRODUCT(MID(0&amp;(--TRIM(RIGHT(SUBSTITUTE(LEFT(A246,_xlfn.AGGREGATE(16,6,FIND({0,1,2,3,4,5,6,7,8,9},A246,ROW(INDIRECT("1:"&amp;LEN(A246)))),1))," ",REPT(" ",LEN(A246))),LEN(A246)))), LARGE(INDEX(ISNUMBER(--MID((--TRIM(RIGHT(SUBSTITUTE(LEFT(A246,_xlfn.AGGREGATE(16,6,FIND({0,1,2,3,4,5,6,7,8,9},A246,ROW(INDIRECT("1:"&amp;LEN(A246)))),1))," ",REPT(" ",LEN(A246))),LEN(A246)))), ROW(INDIRECT("1:"&amp;LEN((--TRIM(RIGHT(SUBSTITUTE(LEFT(A246,_xlfn.AGGREGATE(16,6,FIND({0,1,2,3,4,5,6,7,8,9},A246,ROW(INDIRECT("1:"&amp;LEN(A246)))),1))," ",REPT(" ",LEN(A246))),LEN(A246))))))), 1)) * ROW(INDIRECT("1:"&amp;LEN((--TRIM(RIGHT(SUBSTITUTE(LEFT(A246,_xlfn.AGGREGATE(16,6,FIND({0,1,2,3,4,5,6,7,8,9},A246,ROW(INDIRECT("1:"&amp;LEN(A246)))),1))," ",REPT(" ",LEN(A246))),LEN(A246))))))), 0), ROW(INDIRECT("1:"&amp;LEN((--TRIM(RIGHT(SUBSTITUTE(LEFT(A246,_xlfn.AGGREGATE(16,6,FIND({0,1,2,3,4,5,6,7,8,9},A246,ROW(INDIRECT("1:"&amp;LEN(A246)))),1))," ",REPT(" ",LEN(A246))),LEN(A246))))))))+1, 1) * 10^ROW(INDIRECT("1:"&amp;LEN((--TRIM(RIGHT(SUBSTITUTE(LEFT(A246,_xlfn.AGGREGATE(16,6,FIND({0,1,2,3,4,5,6,7,8,9},A246,ROW(INDIRECT("1:"&amp;LEN(A246)))),1))," ",REPT(" ",LEN(A246))),LEN(A246)))))))/10))*1+1</f>
        <v>105 &amp; 305</v>
      </c>
      <c r="B247" s="72"/>
      <c r="C247" s="48">
        <v>1</v>
      </c>
      <c r="D247" s="49">
        <f>(33.43+5.1+0.99)*(10.764)</f>
        <v>425.39328</v>
      </c>
      <c r="E247" s="49">
        <f>(3.19)*(10.764)</f>
        <v>34.337159999999997</v>
      </c>
      <c r="F247" s="40">
        <v>740</v>
      </c>
      <c r="G247" s="82"/>
      <c r="H247" s="83"/>
      <c r="I247" s="34"/>
      <c r="J247" s="35">
        <f t="shared" si="23"/>
        <v>1.7395667369263568</v>
      </c>
    </row>
    <row r="248" spans="1:12" s="35" customFormat="1" ht="15.75" customHeight="1" x14ac:dyDescent="0.35">
      <c r="A248" s="71" t="str">
        <f ca="1">(SUMPRODUCT(MID(0&amp;(LEFT(A247,SUM(LEN(A247)-LEN(SUBSTITUTE(A247,{"0","1","2"},""))))), LARGE(INDEX(ISNUMBER(--MID((LEFT(A247,SUM(LEN(A247)-LEN(SUBSTITUTE(A247,{"0","1","2"},""))))), ROW(INDIRECT("1:"&amp;LEN((LEFT(A247,SUM(LEN(A247)-LEN(SUBSTITUTE(A247,{"0","1","2"},"")))))))), 1)) * ROW(INDIRECT("1:"&amp;LEN((LEFT(A247,SUM(LEN(A247)-LEN(SUBSTITUTE(A247,{"0","1","2"},"")))))))), 0), ROW(INDIRECT("1:"&amp;LEN((LEFT(A247,SUM(LEN(A247)-LEN(SUBSTITUTE(A247,{"0","1","2"},"")))))))))+1, 1) * 10^ROW(INDIRECT("1:"&amp;LEN((LEFT(A247,SUM(LEN(A247)-LEN(SUBSTITUTE(A247,{"0","1","2"},""))))))))/10))*1+1&amp;""&amp;" &amp; "&amp;""&amp;(SUMPRODUCT(MID(0&amp;(--TRIM(RIGHT(SUBSTITUTE(LEFT(A247,_xlfn.AGGREGATE(16,6,FIND({0,1,2,3,4,5,6,7,8,9},A247,ROW(INDIRECT("1:"&amp;LEN(A247)))),1))," ",REPT(" ",LEN(A247))),LEN(A247)))), LARGE(INDEX(ISNUMBER(--MID((--TRIM(RIGHT(SUBSTITUTE(LEFT(A247,_xlfn.AGGREGATE(16,6,FIND({0,1,2,3,4,5,6,7,8,9},A247,ROW(INDIRECT("1:"&amp;LEN(A247)))),1))," ",REPT(" ",LEN(A247))),LEN(A247)))), ROW(INDIRECT("1:"&amp;LEN((--TRIM(RIGHT(SUBSTITUTE(LEFT(A247,_xlfn.AGGREGATE(16,6,FIND({0,1,2,3,4,5,6,7,8,9},A247,ROW(INDIRECT("1:"&amp;LEN(A247)))),1))," ",REPT(" ",LEN(A247))),LEN(A247))))))), 1)) * ROW(INDIRECT("1:"&amp;LEN((--TRIM(RIGHT(SUBSTITUTE(LEFT(A247,_xlfn.AGGREGATE(16,6,FIND({0,1,2,3,4,5,6,7,8,9},A247,ROW(INDIRECT("1:"&amp;LEN(A247)))),1))," ",REPT(" ",LEN(A247))),LEN(A247))))))), 0), ROW(INDIRECT("1:"&amp;LEN((--TRIM(RIGHT(SUBSTITUTE(LEFT(A247,_xlfn.AGGREGATE(16,6,FIND({0,1,2,3,4,5,6,7,8,9},A247,ROW(INDIRECT("1:"&amp;LEN(A247)))),1))," ",REPT(" ",LEN(A247))),LEN(A247))))))))+1, 1) * 10^ROW(INDIRECT("1:"&amp;LEN((--TRIM(RIGHT(SUBSTITUTE(LEFT(A247,_xlfn.AGGREGATE(16,6,FIND({0,1,2,3,4,5,6,7,8,9},A247,ROW(INDIRECT("1:"&amp;LEN(A247)))),1))," ",REPT(" ",LEN(A247))),LEN(A247)))))))/10))*1+1</f>
        <v>106 &amp; 306</v>
      </c>
      <c r="B248" s="72"/>
      <c r="C248" s="48">
        <v>1</v>
      </c>
      <c r="D248" s="49">
        <f>(33.76+5.75+0.99)*(10.764)</f>
        <v>435.94199999999995</v>
      </c>
      <c r="E248" s="49">
        <f>(3.48)*(10.764)</f>
        <v>37.45872</v>
      </c>
      <c r="F248" s="40">
        <v>755</v>
      </c>
      <c r="G248" s="84"/>
      <c r="H248" s="85"/>
      <c r="I248" s="34"/>
      <c r="J248" s="35">
        <f t="shared" si="23"/>
        <v>1.7318817640878834</v>
      </c>
    </row>
    <row r="249" spans="1:12" s="35" customFormat="1" x14ac:dyDescent="0.35">
      <c r="A249" s="67" t="s">
        <v>186</v>
      </c>
      <c r="B249" s="68"/>
      <c r="C249" s="68"/>
      <c r="D249" s="68"/>
      <c r="E249" s="68"/>
      <c r="F249" s="68"/>
      <c r="G249" s="68"/>
      <c r="H249" s="69"/>
      <c r="I249" s="34"/>
    </row>
    <row r="250" spans="1:12" s="35" customFormat="1" ht="15.75" customHeight="1" x14ac:dyDescent="0.35">
      <c r="A250" s="71" t="str">
        <f ca="1">(SUMPRODUCT(MID(0&amp;(LEFT(A249,SUM(LEN(A249)-LEN(SUBSTITUTE(A249,{"0","1","2"},""))))), LARGE(INDEX(ISNUMBER(--MID((LEFT(A249,SUM(LEN(A249)-LEN(SUBSTITUTE(A249,{"0","1","2"},""))))), ROW(INDIRECT("1:"&amp;LEN((LEFT(A249,SUM(LEN(A249)-LEN(SUBSTITUTE(A249,{"0","1","2"},"")))))))), 1)) * ROW(INDIRECT("1:"&amp;LEN((LEFT(A249,SUM(LEN(A249)-LEN(SUBSTITUTE(A249,{"0","1","2"},"")))))))), 0), ROW(INDIRECT("1:"&amp;LEN((LEFT(A249,SUM(LEN(A249)-LEN(SUBSTITUTE(A249,{"0","1","2"},"")))))))))+1, 1) * 10^ROW(INDIRECT("1:"&amp;LEN((LEFT(A249,SUM(LEN(A249)-LEN(SUBSTITUTE(A249,{"0","1","2"},""))))))))/10))*100+1&amp;""&amp;" &amp; "&amp;""&amp;(SUMPRODUCT(MID(0&amp;(--TRIM(RIGHT(SUBSTITUTE(LEFT(A249,_xlfn.AGGREGATE(16,6,FIND({0,1,2,3,4,5,6,7,8,9},A249,ROW(INDIRECT("1:"&amp;LEN(A249)))),1))," ",REPT(" ",LEN(A249))),LEN(A249)))), LARGE(INDEX(ISNUMBER(--MID((--TRIM(RIGHT(SUBSTITUTE(LEFT(A249,_xlfn.AGGREGATE(16,6,FIND({0,1,2,3,4,5,6,7,8,9},A249,ROW(INDIRECT("1:"&amp;LEN(A249)))),1))," ",REPT(" ",LEN(A249))),LEN(A249)))), ROW(INDIRECT("1:"&amp;LEN((--TRIM(RIGHT(SUBSTITUTE(LEFT(A249,_xlfn.AGGREGATE(16,6,FIND({0,1,2,3,4,5,6,7,8,9},A249,ROW(INDIRECT("1:"&amp;LEN(A249)))),1))," ",REPT(" ",LEN(A249))),LEN(A249))))))), 1)) * ROW(INDIRECT("1:"&amp;LEN((--TRIM(RIGHT(SUBSTITUTE(LEFT(A249,_xlfn.AGGREGATE(16,6,FIND({0,1,2,3,4,5,6,7,8,9},A249,ROW(INDIRECT("1:"&amp;LEN(A249)))),1))," ",REPT(" ",LEN(A249))),LEN(A249))))))), 0), ROW(INDIRECT("1:"&amp;LEN((--TRIM(RIGHT(SUBSTITUTE(LEFT(A249,_xlfn.AGGREGATE(16,6,FIND({0,1,2,3,4,5,6,7,8,9},A249,ROW(INDIRECT("1:"&amp;LEN(A249)))),1))," ",REPT(" ",LEN(A249))),LEN(A249))))))))+1, 1) * 10^ROW(INDIRECT("1:"&amp;LEN((--TRIM(RIGHT(SUBSTITUTE(LEFT(A249,_xlfn.AGGREGATE(16,6,FIND({0,1,2,3,4,5,6,7,8,9},A249,ROW(INDIRECT("1:"&amp;LEN(A249)))),1))," ",REPT(" ",LEN(A249))),LEN(A249)))))))/10))*100+1</f>
        <v>201 &amp; 401</v>
      </c>
      <c r="B250" s="72"/>
      <c r="C250" s="48">
        <v>1</v>
      </c>
      <c r="D250" s="49">
        <f>(32.96+5.25+0.887)*(10.764)</f>
        <v>420.84010799999999</v>
      </c>
      <c r="E250" s="40">
        <v>0</v>
      </c>
      <c r="F250" s="40">
        <v>675</v>
      </c>
      <c r="G250" s="80" t="str">
        <f>A249</f>
        <v>2nd &amp; 4th Floor</v>
      </c>
      <c r="H250" s="81"/>
      <c r="I250" s="34"/>
      <c r="J250" s="35">
        <f>F250/D250</f>
        <v>1.6039345755514349</v>
      </c>
    </row>
    <row r="251" spans="1:12" s="35" customFormat="1" ht="15.75" customHeight="1" x14ac:dyDescent="0.35">
      <c r="A251" s="71" t="str">
        <f ca="1">(SUMPRODUCT(MID(0&amp;(LEFT(A250,SUM(LEN(A250)-LEN(SUBSTITUTE(A250,{"0","1","2"},""))))), LARGE(INDEX(ISNUMBER(--MID((LEFT(A250,SUM(LEN(A250)-LEN(SUBSTITUTE(A250,{"0","1","2"},""))))), ROW(INDIRECT("1:"&amp;LEN((LEFT(A250,SUM(LEN(A250)-LEN(SUBSTITUTE(A250,{"0","1","2"},"")))))))), 1)) * ROW(INDIRECT("1:"&amp;LEN((LEFT(A250,SUM(LEN(A250)-LEN(SUBSTITUTE(A250,{"0","1","2"},"")))))))), 0), ROW(INDIRECT("1:"&amp;LEN((LEFT(A250,SUM(LEN(A250)-LEN(SUBSTITUTE(A250,{"0","1","2"},"")))))))))+1, 1) * 10^ROW(INDIRECT("1:"&amp;LEN((LEFT(A250,SUM(LEN(A250)-LEN(SUBSTITUTE(A250,{"0","1","2"},""))))))))/10))*1+1&amp;""&amp;" &amp; "&amp;""&amp;(SUMPRODUCT(MID(0&amp;(--TRIM(RIGHT(SUBSTITUTE(LEFT(A250,_xlfn.AGGREGATE(16,6,FIND({0,1,2,3,4,5,6,7,8,9},A250,ROW(INDIRECT("1:"&amp;LEN(A250)))),1))," ",REPT(" ",LEN(A250))),LEN(A250)))), LARGE(INDEX(ISNUMBER(--MID((--TRIM(RIGHT(SUBSTITUTE(LEFT(A250,_xlfn.AGGREGATE(16,6,FIND({0,1,2,3,4,5,6,7,8,9},A250,ROW(INDIRECT("1:"&amp;LEN(A250)))),1))," ",REPT(" ",LEN(A250))),LEN(A250)))), ROW(INDIRECT("1:"&amp;LEN((--TRIM(RIGHT(SUBSTITUTE(LEFT(A250,_xlfn.AGGREGATE(16,6,FIND({0,1,2,3,4,5,6,7,8,9},A250,ROW(INDIRECT("1:"&amp;LEN(A250)))),1))," ",REPT(" ",LEN(A250))),LEN(A250))))))), 1)) * ROW(INDIRECT("1:"&amp;LEN((--TRIM(RIGHT(SUBSTITUTE(LEFT(A250,_xlfn.AGGREGATE(16,6,FIND({0,1,2,3,4,5,6,7,8,9},A250,ROW(INDIRECT("1:"&amp;LEN(A250)))),1))," ",REPT(" ",LEN(A250))),LEN(A250))))))), 0), ROW(INDIRECT("1:"&amp;LEN((--TRIM(RIGHT(SUBSTITUTE(LEFT(A250,_xlfn.AGGREGATE(16,6,FIND({0,1,2,3,4,5,6,7,8,9},A250,ROW(INDIRECT("1:"&amp;LEN(A250)))),1))," ",REPT(" ",LEN(A250))),LEN(A250))))))))+1, 1) * 10^ROW(INDIRECT("1:"&amp;LEN((--TRIM(RIGHT(SUBSTITUTE(LEFT(A250,_xlfn.AGGREGATE(16,6,FIND({0,1,2,3,4,5,6,7,8,9},A250,ROW(INDIRECT("1:"&amp;LEN(A250)))),1))," ",REPT(" ",LEN(A250))),LEN(A250)))))))/10))*1+1</f>
        <v>202 &amp; 402</v>
      </c>
      <c r="B251" s="72"/>
      <c r="C251" s="48">
        <v>1</v>
      </c>
      <c r="D251" s="49">
        <f>(33.38+5.25+0.887)*(10.764)</f>
        <v>425.36098800000002</v>
      </c>
      <c r="E251" s="40">
        <v>0</v>
      </c>
      <c r="F251" s="40">
        <v>675</v>
      </c>
      <c r="G251" s="82"/>
      <c r="H251" s="83"/>
      <c r="I251" s="34"/>
      <c r="J251" s="35">
        <f t="shared" ref="J251:J296" si="24">F251/D251</f>
        <v>1.5868874180816976</v>
      </c>
      <c r="L251" s="49">
        <f>10.764</f>
        <v>10.763999999999999</v>
      </c>
    </row>
    <row r="252" spans="1:12" s="35" customFormat="1" ht="15.75" customHeight="1" x14ac:dyDescent="0.35">
      <c r="A252" s="71" t="str">
        <f ca="1">(SUMPRODUCT(MID(0&amp;(LEFT(A251,SUM(LEN(A251)-LEN(SUBSTITUTE(A251,{"0","1","2"},""))))), LARGE(INDEX(ISNUMBER(--MID((LEFT(A251,SUM(LEN(A251)-LEN(SUBSTITUTE(A251,{"0","1","2"},""))))), ROW(INDIRECT("1:"&amp;LEN((LEFT(A251,SUM(LEN(A251)-LEN(SUBSTITUTE(A251,{"0","1","2"},"")))))))), 1)) * ROW(INDIRECT("1:"&amp;LEN((LEFT(A251,SUM(LEN(A251)-LEN(SUBSTITUTE(A251,{"0","1","2"},"")))))))), 0), ROW(INDIRECT("1:"&amp;LEN((LEFT(A251,SUM(LEN(A251)-LEN(SUBSTITUTE(A251,{"0","1","2"},"")))))))))+1, 1) * 10^ROW(INDIRECT("1:"&amp;LEN((LEFT(A251,SUM(LEN(A251)-LEN(SUBSTITUTE(A251,{"0","1","2"},""))))))))/10))*1+1&amp;""&amp;" &amp; "&amp;""&amp;(SUMPRODUCT(MID(0&amp;(--TRIM(RIGHT(SUBSTITUTE(LEFT(A251,_xlfn.AGGREGATE(16,6,FIND({0,1,2,3,4,5,6,7,8,9},A251,ROW(INDIRECT("1:"&amp;LEN(A251)))),1))," ",REPT(" ",LEN(A251))),LEN(A251)))), LARGE(INDEX(ISNUMBER(--MID((--TRIM(RIGHT(SUBSTITUTE(LEFT(A251,_xlfn.AGGREGATE(16,6,FIND({0,1,2,3,4,5,6,7,8,9},A251,ROW(INDIRECT("1:"&amp;LEN(A251)))),1))," ",REPT(" ",LEN(A251))),LEN(A251)))), ROW(INDIRECT("1:"&amp;LEN((--TRIM(RIGHT(SUBSTITUTE(LEFT(A251,_xlfn.AGGREGATE(16,6,FIND({0,1,2,3,4,5,6,7,8,9},A251,ROW(INDIRECT("1:"&amp;LEN(A251)))),1))," ",REPT(" ",LEN(A251))),LEN(A251))))))), 1)) * ROW(INDIRECT("1:"&amp;LEN((--TRIM(RIGHT(SUBSTITUTE(LEFT(A251,_xlfn.AGGREGATE(16,6,FIND({0,1,2,3,4,5,6,7,8,9},A251,ROW(INDIRECT("1:"&amp;LEN(A251)))),1))," ",REPT(" ",LEN(A251))),LEN(A251))))))), 0), ROW(INDIRECT("1:"&amp;LEN((--TRIM(RIGHT(SUBSTITUTE(LEFT(A251,_xlfn.AGGREGATE(16,6,FIND({0,1,2,3,4,5,6,7,8,9},A251,ROW(INDIRECT("1:"&amp;LEN(A251)))),1))," ",REPT(" ",LEN(A251))),LEN(A251))))))))+1, 1) * 10^ROW(INDIRECT("1:"&amp;LEN((--TRIM(RIGHT(SUBSTITUTE(LEFT(A251,_xlfn.AGGREGATE(16,6,FIND({0,1,2,3,4,5,6,7,8,9},A251,ROW(INDIRECT("1:"&amp;LEN(A251)))),1))," ",REPT(" ",LEN(A251))),LEN(A251)))))))/10))*1+1</f>
        <v>203 &amp; 403</v>
      </c>
      <c r="B252" s="72"/>
      <c r="C252" s="48">
        <v>2</v>
      </c>
      <c r="D252" s="49">
        <f>(46.22+8.15)*(10.764)</f>
        <v>585.23867999999993</v>
      </c>
      <c r="E252" s="40">
        <v>0</v>
      </c>
      <c r="F252" s="40">
        <v>1000</v>
      </c>
      <c r="G252" s="82"/>
      <c r="H252" s="83"/>
      <c r="I252" s="34"/>
      <c r="J252" s="35">
        <f t="shared" si="24"/>
        <v>1.7087045579420692</v>
      </c>
    </row>
    <row r="253" spans="1:12" s="35" customFormat="1" ht="15.75" customHeight="1" x14ac:dyDescent="0.35">
      <c r="A253" s="71" t="str">
        <f ca="1">(SUMPRODUCT(MID(0&amp;(LEFT(A252,SUM(LEN(A252)-LEN(SUBSTITUTE(A252,{"0","1","2"},""))))), LARGE(INDEX(ISNUMBER(--MID((LEFT(A252,SUM(LEN(A252)-LEN(SUBSTITUTE(A252,{"0","1","2"},""))))), ROW(INDIRECT("1:"&amp;LEN((LEFT(A252,SUM(LEN(A252)-LEN(SUBSTITUTE(A252,{"0","1","2"},"")))))))), 1)) * ROW(INDIRECT("1:"&amp;LEN((LEFT(A252,SUM(LEN(A252)-LEN(SUBSTITUTE(A252,{"0","1","2"},"")))))))), 0), ROW(INDIRECT("1:"&amp;LEN((LEFT(A252,SUM(LEN(A252)-LEN(SUBSTITUTE(A252,{"0","1","2"},"")))))))))+1, 1) * 10^ROW(INDIRECT("1:"&amp;LEN((LEFT(A252,SUM(LEN(A252)-LEN(SUBSTITUTE(A252,{"0","1","2"},""))))))))/10))*1+1&amp;""&amp;" &amp; "&amp;""&amp;(SUMPRODUCT(MID(0&amp;(--TRIM(RIGHT(SUBSTITUTE(LEFT(A252,_xlfn.AGGREGATE(16,6,FIND({0,1,2,3,4,5,6,7,8,9},A252,ROW(INDIRECT("1:"&amp;LEN(A252)))),1))," ",REPT(" ",LEN(A252))),LEN(A252)))), LARGE(INDEX(ISNUMBER(--MID((--TRIM(RIGHT(SUBSTITUTE(LEFT(A252,_xlfn.AGGREGATE(16,6,FIND({0,1,2,3,4,5,6,7,8,9},A252,ROW(INDIRECT("1:"&amp;LEN(A252)))),1))," ",REPT(" ",LEN(A252))),LEN(A252)))), ROW(INDIRECT("1:"&amp;LEN((--TRIM(RIGHT(SUBSTITUTE(LEFT(A252,_xlfn.AGGREGATE(16,6,FIND({0,1,2,3,4,5,6,7,8,9},A252,ROW(INDIRECT("1:"&amp;LEN(A252)))),1))," ",REPT(" ",LEN(A252))),LEN(A252))))))), 1)) * ROW(INDIRECT("1:"&amp;LEN((--TRIM(RIGHT(SUBSTITUTE(LEFT(A252,_xlfn.AGGREGATE(16,6,FIND({0,1,2,3,4,5,6,7,8,9},A252,ROW(INDIRECT("1:"&amp;LEN(A252)))),1))," ",REPT(" ",LEN(A252))),LEN(A252))))))), 0), ROW(INDIRECT("1:"&amp;LEN((--TRIM(RIGHT(SUBSTITUTE(LEFT(A252,_xlfn.AGGREGATE(16,6,FIND({0,1,2,3,4,5,6,7,8,9},A252,ROW(INDIRECT("1:"&amp;LEN(A252)))),1))," ",REPT(" ",LEN(A252))),LEN(A252))))))))+1, 1) * 10^ROW(INDIRECT("1:"&amp;LEN((--TRIM(RIGHT(SUBSTITUTE(LEFT(A252,_xlfn.AGGREGATE(16,6,FIND({0,1,2,3,4,5,6,7,8,9},A252,ROW(INDIRECT("1:"&amp;LEN(A252)))),1))," ",REPT(" ",LEN(A252))),LEN(A252)))))))/10))*1+1</f>
        <v>204 &amp; 404</v>
      </c>
      <c r="B253" s="72"/>
      <c r="C253" s="48">
        <v>1</v>
      </c>
      <c r="D253" s="49">
        <f>(32.92+11.25)*(10.764)</f>
        <v>475.44587999999999</v>
      </c>
      <c r="E253" s="40">
        <v>0</v>
      </c>
      <c r="F253" s="40">
        <v>712</v>
      </c>
      <c r="G253" s="82"/>
      <c r="H253" s="83"/>
      <c r="I253" s="34"/>
      <c r="J253" s="35">
        <f t="shared" si="24"/>
        <v>1.4975416339710421</v>
      </c>
    </row>
    <row r="254" spans="1:12" s="35" customFormat="1" ht="15.75" customHeight="1" x14ac:dyDescent="0.35">
      <c r="A254" s="71" t="str">
        <f ca="1">(SUMPRODUCT(MID(0&amp;(LEFT(A253,SUM(LEN(A253)-LEN(SUBSTITUTE(A253,{"0","1","2"},""))))), LARGE(INDEX(ISNUMBER(--MID((LEFT(A253,SUM(LEN(A253)-LEN(SUBSTITUTE(A253,{"0","1","2"},""))))), ROW(INDIRECT("1:"&amp;LEN((LEFT(A253,SUM(LEN(A253)-LEN(SUBSTITUTE(A253,{"0","1","2"},"")))))))), 1)) * ROW(INDIRECT("1:"&amp;LEN((LEFT(A253,SUM(LEN(A253)-LEN(SUBSTITUTE(A253,{"0","1","2"},"")))))))), 0), ROW(INDIRECT("1:"&amp;LEN((LEFT(A253,SUM(LEN(A253)-LEN(SUBSTITUTE(A253,{"0","1","2"},"")))))))))+1, 1) * 10^ROW(INDIRECT("1:"&amp;LEN((LEFT(A253,SUM(LEN(A253)-LEN(SUBSTITUTE(A253,{"0","1","2"},""))))))))/10))*1+1&amp;""&amp;" &amp; "&amp;""&amp;(SUMPRODUCT(MID(0&amp;(--TRIM(RIGHT(SUBSTITUTE(LEFT(A253,_xlfn.AGGREGATE(16,6,FIND({0,1,2,3,4,5,6,7,8,9},A253,ROW(INDIRECT("1:"&amp;LEN(A253)))),1))," ",REPT(" ",LEN(A253))),LEN(A253)))), LARGE(INDEX(ISNUMBER(--MID((--TRIM(RIGHT(SUBSTITUTE(LEFT(A253,_xlfn.AGGREGATE(16,6,FIND({0,1,2,3,4,5,6,7,8,9},A253,ROW(INDIRECT("1:"&amp;LEN(A253)))),1))," ",REPT(" ",LEN(A253))),LEN(A253)))), ROW(INDIRECT("1:"&amp;LEN((--TRIM(RIGHT(SUBSTITUTE(LEFT(A253,_xlfn.AGGREGATE(16,6,FIND({0,1,2,3,4,5,6,7,8,9},A253,ROW(INDIRECT("1:"&amp;LEN(A253)))),1))," ",REPT(" ",LEN(A253))),LEN(A253))))))), 1)) * ROW(INDIRECT("1:"&amp;LEN((--TRIM(RIGHT(SUBSTITUTE(LEFT(A253,_xlfn.AGGREGATE(16,6,FIND({0,1,2,3,4,5,6,7,8,9},A253,ROW(INDIRECT("1:"&amp;LEN(A253)))),1))," ",REPT(" ",LEN(A253))),LEN(A253))))))), 0), ROW(INDIRECT("1:"&amp;LEN((--TRIM(RIGHT(SUBSTITUTE(LEFT(A253,_xlfn.AGGREGATE(16,6,FIND({0,1,2,3,4,5,6,7,8,9},A253,ROW(INDIRECT("1:"&amp;LEN(A253)))),1))," ",REPT(" ",LEN(A253))),LEN(A253))))))))+1, 1) * 10^ROW(INDIRECT("1:"&amp;LEN((--TRIM(RIGHT(SUBSTITUTE(LEFT(A253,_xlfn.AGGREGATE(16,6,FIND({0,1,2,3,4,5,6,7,8,9},A253,ROW(INDIRECT("1:"&amp;LEN(A253)))),1))," ",REPT(" ",LEN(A253))),LEN(A253)))))))/10))*1+1</f>
        <v>205 &amp; 405</v>
      </c>
      <c r="B254" s="72"/>
      <c r="C254" s="48">
        <v>1</v>
      </c>
      <c r="D254" s="49">
        <f>(33+5.1+0.99)*(10.764)</f>
        <v>420.76476000000002</v>
      </c>
      <c r="E254" s="40">
        <v>0</v>
      </c>
      <c r="F254" s="40">
        <v>670</v>
      </c>
      <c r="G254" s="82"/>
      <c r="H254" s="83"/>
      <c r="I254" s="34"/>
      <c r="J254" s="35">
        <f t="shared" si="24"/>
        <v>1.5923386739897134</v>
      </c>
    </row>
    <row r="255" spans="1:12" s="35" customFormat="1" ht="15.75" customHeight="1" x14ac:dyDescent="0.35">
      <c r="A255" s="71" t="str">
        <f ca="1">(SUMPRODUCT(MID(0&amp;(LEFT(A254,SUM(LEN(A254)-LEN(SUBSTITUTE(A254,{"0","1","2"},""))))), LARGE(INDEX(ISNUMBER(--MID((LEFT(A254,SUM(LEN(A254)-LEN(SUBSTITUTE(A254,{"0","1","2"},""))))), ROW(INDIRECT("1:"&amp;LEN((LEFT(A254,SUM(LEN(A254)-LEN(SUBSTITUTE(A254,{"0","1","2"},"")))))))), 1)) * ROW(INDIRECT("1:"&amp;LEN((LEFT(A254,SUM(LEN(A254)-LEN(SUBSTITUTE(A254,{"0","1","2"},"")))))))), 0), ROW(INDIRECT("1:"&amp;LEN((LEFT(A254,SUM(LEN(A254)-LEN(SUBSTITUTE(A254,{"0","1","2"},"")))))))))+1, 1) * 10^ROW(INDIRECT("1:"&amp;LEN((LEFT(A254,SUM(LEN(A254)-LEN(SUBSTITUTE(A254,{"0","1","2"},""))))))))/10))*1+1&amp;""&amp;" &amp; "&amp;""&amp;(SUMPRODUCT(MID(0&amp;(--TRIM(RIGHT(SUBSTITUTE(LEFT(A254,_xlfn.AGGREGATE(16,6,FIND({0,1,2,3,4,5,6,7,8,9},A254,ROW(INDIRECT("1:"&amp;LEN(A254)))),1))," ",REPT(" ",LEN(A254))),LEN(A254)))), LARGE(INDEX(ISNUMBER(--MID((--TRIM(RIGHT(SUBSTITUTE(LEFT(A254,_xlfn.AGGREGATE(16,6,FIND({0,1,2,3,4,5,6,7,8,9},A254,ROW(INDIRECT("1:"&amp;LEN(A254)))),1))," ",REPT(" ",LEN(A254))),LEN(A254)))), ROW(INDIRECT("1:"&amp;LEN((--TRIM(RIGHT(SUBSTITUTE(LEFT(A254,_xlfn.AGGREGATE(16,6,FIND({0,1,2,3,4,5,6,7,8,9},A254,ROW(INDIRECT("1:"&amp;LEN(A254)))),1))," ",REPT(" ",LEN(A254))),LEN(A254))))))), 1)) * ROW(INDIRECT("1:"&amp;LEN((--TRIM(RIGHT(SUBSTITUTE(LEFT(A254,_xlfn.AGGREGATE(16,6,FIND({0,1,2,3,4,5,6,7,8,9},A254,ROW(INDIRECT("1:"&amp;LEN(A254)))),1))," ",REPT(" ",LEN(A254))),LEN(A254))))))), 0), ROW(INDIRECT("1:"&amp;LEN((--TRIM(RIGHT(SUBSTITUTE(LEFT(A254,_xlfn.AGGREGATE(16,6,FIND({0,1,2,3,4,5,6,7,8,9},A254,ROW(INDIRECT("1:"&amp;LEN(A254)))),1))," ",REPT(" ",LEN(A254))),LEN(A254))))))))+1, 1) * 10^ROW(INDIRECT("1:"&amp;LEN((--TRIM(RIGHT(SUBSTITUTE(LEFT(A254,_xlfn.AGGREGATE(16,6,FIND({0,1,2,3,4,5,6,7,8,9},A254,ROW(INDIRECT("1:"&amp;LEN(A254)))),1))," ",REPT(" ",LEN(A254))),LEN(A254)))))))/10))*1+1</f>
        <v>206 &amp; 406</v>
      </c>
      <c r="B255" s="72"/>
      <c r="C255" s="48">
        <v>1</v>
      </c>
      <c r="D255" s="49">
        <f>(33.32+5.75+0.99)*(10.764)</f>
        <v>431.20584000000002</v>
      </c>
      <c r="E255" s="40">
        <v>0</v>
      </c>
      <c r="F255" s="40">
        <v>685</v>
      </c>
      <c r="G255" s="84"/>
      <c r="H255" s="85"/>
      <c r="I255" s="34"/>
      <c r="J255" s="35">
        <f t="shared" si="24"/>
        <v>1.58856846651242</v>
      </c>
    </row>
    <row r="256" spans="1:12" s="35" customFormat="1" x14ac:dyDescent="0.35">
      <c r="A256" s="67" t="s">
        <v>188</v>
      </c>
      <c r="B256" s="68"/>
      <c r="C256" s="68"/>
      <c r="D256" s="68"/>
      <c r="E256" s="68"/>
      <c r="F256" s="68"/>
      <c r="G256" s="68"/>
      <c r="H256" s="69"/>
      <c r="J256" s="35" t="e">
        <f t="shared" si="24"/>
        <v>#DIV/0!</v>
      </c>
    </row>
    <row r="257" spans="1:10" s="35" customFormat="1" x14ac:dyDescent="0.35">
      <c r="A257" s="67" t="s">
        <v>185</v>
      </c>
      <c r="B257" s="68"/>
      <c r="C257" s="68"/>
      <c r="D257" s="68"/>
      <c r="E257" s="68"/>
      <c r="F257" s="68"/>
      <c r="G257" s="68"/>
      <c r="H257" s="69"/>
      <c r="I257" s="34"/>
      <c r="J257" s="35" t="e">
        <f t="shared" si="24"/>
        <v>#DIV/0!</v>
      </c>
    </row>
    <row r="258" spans="1:10" s="35" customFormat="1" ht="15.75" customHeight="1" x14ac:dyDescent="0.35">
      <c r="A258" s="71" t="str">
        <f ca="1">(SUMPRODUCT(MID(0&amp;(LEFT(A257,SUM(LEN(A257)-LEN(SUBSTITUTE(A257,{"0","1","2"},""))))), LARGE(INDEX(ISNUMBER(--MID((LEFT(A257,SUM(LEN(A257)-LEN(SUBSTITUTE(A257,{"0","1","2"},""))))), ROW(INDIRECT("1:"&amp;LEN((LEFT(A257,SUM(LEN(A257)-LEN(SUBSTITUTE(A257,{"0","1","2"},"")))))))), 1)) * ROW(INDIRECT("1:"&amp;LEN((LEFT(A257,SUM(LEN(A257)-LEN(SUBSTITUTE(A257,{"0","1","2"},"")))))))), 0), ROW(INDIRECT("1:"&amp;LEN((LEFT(A257,SUM(LEN(A257)-LEN(SUBSTITUTE(A257,{"0","1","2"},"")))))))))+1, 1) * 10^ROW(INDIRECT("1:"&amp;LEN((LEFT(A257,SUM(LEN(A257)-LEN(SUBSTITUTE(A257,{"0","1","2"},""))))))))/10))*100+1&amp;""&amp;" &amp; "&amp;""&amp;(SUMPRODUCT(MID(0&amp;(--TRIM(RIGHT(SUBSTITUTE(LEFT(A257,_xlfn.AGGREGATE(16,6,FIND({0,1,2,3,4,5,6,7,8,9},A257,ROW(INDIRECT("1:"&amp;LEN(A257)))),1))," ",REPT(" ",LEN(A257))),LEN(A257)))), LARGE(INDEX(ISNUMBER(--MID((--TRIM(RIGHT(SUBSTITUTE(LEFT(A257,_xlfn.AGGREGATE(16,6,FIND({0,1,2,3,4,5,6,7,8,9},A257,ROW(INDIRECT("1:"&amp;LEN(A257)))),1))," ",REPT(" ",LEN(A257))),LEN(A257)))), ROW(INDIRECT("1:"&amp;LEN((--TRIM(RIGHT(SUBSTITUTE(LEFT(A257,_xlfn.AGGREGATE(16,6,FIND({0,1,2,3,4,5,6,7,8,9},A257,ROW(INDIRECT("1:"&amp;LEN(A257)))),1))," ",REPT(" ",LEN(A257))),LEN(A257))))))), 1)) * ROW(INDIRECT("1:"&amp;LEN((--TRIM(RIGHT(SUBSTITUTE(LEFT(A257,_xlfn.AGGREGATE(16,6,FIND({0,1,2,3,4,5,6,7,8,9},A257,ROW(INDIRECT("1:"&amp;LEN(A257)))),1))," ",REPT(" ",LEN(A257))),LEN(A257))))))), 0), ROW(INDIRECT("1:"&amp;LEN((--TRIM(RIGHT(SUBSTITUTE(LEFT(A257,_xlfn.AGGREGATE(16,6,FIND({0,1,2,3,4,5,6,7,8,9},A257,ROW(INDIRECT("1:"&amp;LEN(A257)))),1))," ",REPT(" ",LEN(A257))),LEN(A257))))))))+1, 1) * 10^ROW(INDIRECT("1:"&amp;LEN((--TRIM(RIGHT(SUBSTITUTE(LEFT(A257,_xlfn.AGGREGATE(16,6,FIND({0,1,2,3,4,5,6,7,8,9},A257,ROW(INDIRECT("1:"&amp;LEN(A257)))),1))," ",REPT(" ",LEN(A257))),LEN(A257)))))))/10))*100+1</f>
        <v>101 &amp; 301</v>
      </c>
      <c r="B258" s="72"/>
      <c r="C258" s="48">
        <v>2</v>
      </c>
      <c r="D258" s="49">
        <f>(48.08+6.2)*(10.764)</f>
        <v>584.26991999999996</v>
      </c>
      <c r="E258" s="40">
        <v>0</v>
      </c>
      <c r="F258" s="40">
        <v>950</v>
      </c>
      <c r="G258" s="80" t="str">
        <f>A257</f>
        <v>1st &amp; 3rd Floor</v>
      </c>
      <c r="H258" s="81"/>
      <c r="I258" s="34"/>
      <c r="J258" s="35">
        <f t="shared" si="24"/>
        <v>1.6259608230387765</v>
      </c>
    </row>
    <row r="259" spans="1:10" s="35" customFormat="1" ht="15.75" customHeight="1" x14ac:dyDescent="0.35">
      <c r="A259" s="71" t="str">
        <f ca="1">(SUMPRODUCT(MID(0&amp;(LEFT(A258,SUM(LEN(A258)-LEN(SUBSTITUTE(A258,{"0","1","2"},""))))), LARGE(INDEX(ISNUMBER(--MID((LEFT(A258,SUM(LEN(A258)-LEN(SUBSTITUTE(A258,{"0","1","2"},""))))), ROW(INDIRECT("1:"&amp;LEN((LEFT(A258,SUM(LEN(A258)-LEN(SUBSTITUTE(A258,{"0","1","2"},"")))))))), 1)) * ROW(INDIRECT("1:"&amp;LEN((LEFT(A258,SUM(LEN(A258)-LEN(SUBSTITUTE(A258,{"0","1","2"},"")))))))), 0), ROW(INDIRECT("1:"&amp;LEN((LEFT(A258,SUM(LEN(A258)-LEN(SUBSTITUTE(A258,{"0","1","2"},"")))))))))+1, 1) * 10^ROW(INDIRECT("1:"&amp;LEN((LEFT(A258,SUM(LEN(A258)-LEN(SUBSTITUTE(A258,{"0","1","2"},""))))))))/10))*1+1&amp;""&amp;" &amp; "&amp;""&amp;(SUMPRODUCT(MID(0&amp;(--TRIM(RIGHT(SUBSTITUTE(LEFT(A258,_xlfn.AGGREGATE(16,6,FIND({0,1,2,3,4,5,6,7,8,9},A258,ROW(INDIRECT("1:"&amp;LEN(A258)))),1))," ",REPT(" ",LEN(A258))),LEN(A258)))), LARGE(INDEX(ISNUMBER(--MID((--TRIM(RIGHT(SUBSTITUTE(LEFT(A258,_xlfn.AGGREGATE(16,6,FIND({0,1,2,3,4,5,6,7,8,9},A258,ROW(INDIRECT("1:"&amp;LEN(A258)))),1))," ",REPT(" ",LEN(A258))),LEN(A258)))), ROW(INDIRECT("1:"&amp;LEN((--TRIM(RIGHT(SUBSTITUTE(LEFT(A258,_xlfn.AGGREGATE(16,6,FIND({0,1,2,3,4,5,6,7,8,9},A258,ROW(INDIRECT("1:"&amp;LEN(A258)))),1))," ",REPT(" ",LEN(A258))),LEN(A258))))))), 1)) * ROW(INDIRECT("1:"&amp;LEN((--TRIM(RIGHT(SUBSTITUTE(LEFT(A258,_xlfn.AGGREGATE(16,6,FIND({0,1,2,3,4,5,6,7,8,9},A258,ROW(INDIRECT("1:"&amp;LEN(A258)))),1))," ",REPT(" ",LEN(A258))),LEN(A258))))))), 0), ROW(INDIRECT("1:"&amp;LEN((--TRIM(RIGHT(SUBSTITUTE(LEFT(A258,_xlfn.AGGREGATE(16,6,FIND({0,1,2,3,4,5,6,7,8,9},A258,ROW(INDIRECT("1:"&amp;LEN(A258)))),1))," ",REPT(" ",LEN(A258))),LEN(A258))))))))+1, 1) * 10^ROW(INDIRECT("1:"&amp;LEN((--TRIM(RIGHT(SUBSTITUTE(LEFT(A258,_xlfn.AGGREGATE(16,6,FIND({0,1,2,3,4,5,6,7,8,9},A258,ROW(INDIRECT("1:"&amp;LEN(A258)))),1))," ",REPT(" ",LEN(A258))),LEN(A258)))))))/10))*1+1</f>
        <v>102 &amp; 302</v>
      </c>
      <c r="B259" s="72"/>
      <c r="C259" s="48">
        <v>2</v>
      </c>
      <c r="D259" s="49">
        <f>(48.12+8.46)*(10.764)</f>
        <v>609.02711999999997</v>
      </c>
      <c r="E259" s="49">
        <f>(3.6)*(10.764)</f>
        <v>38.750399999999999</v>
      </c>
      <c r="F259" s="40">
        <v>1050</v>
      </c>
      <c r="G259" s="82"/>
      <c r="H259" s="83"/>
      <c r="I259" s="34"/>
      <c r="J259" s="35">
        <f t="shared" si="24"/>
        <v>1.7240611551091518</v>
      </c>
    </row>
    <row r="260" spans="1:10" s="35" customFormat="1" ht="15.75" customHeight="1" x14ac:dyDescent="0.35">
      <c r="A260" s="71" t="str">
        <f ca="1">(SUMPRODUCT(MID(0&amp;(LEFT(A259,SUM(LEN(A259)-LEN(SUBSTITUTE(A259,{"0","1","2"},""))))), LARGE(INDEX(ISNUMBER(--MID((LEFT(A259,SUM(LEN(A259)-LEN(SUBSTITUTE(A259,{"0","1","2"},""))))), ROW(INDIRECT("1:"&amp;LEN((LEFT(A259,SUM(LEN(A259)-LEN(SUBSTITUTE(A259,{"0","1","2"},"")))))))), 1)) * ROW(INDIRECT("1:"&amp;LEN((LEFT(A259,SUM(LEN(A259)-LEN(SUBSTITUTE(A259,{"0","1","2"},"")))))))), 0), ROW(INDIRECT("1:"&amp;LEN((LEFT(A259,SUM(LEN(A259)-LEN(SUBSTITUTE(A259,{"0","1","2"},"")))))))))+1, 1) * 10^ROW(INDIRECT("1:"&amp;LEN((LEFT(A259,SUM(LEN(A259)-LEN(SUBSTITUTE(A259,{"0","1","2"},""))))))))/10))*1+1&amp;""&amp;" &amp; "&amp;""&amp;(SUMPRODUCT(MID(0&amp;(--TRIM(RIGHT(SUBSTITUTE(LEFT(A259,_xlfn.AGGREGATE(16,6,FIND({0,1,2,3,4,5,6,7,8,9},A259,ROW(INDIRECT("1:"&amp;LEN(A259)))),1))," ",REPT(" ",LEN(A259))),LEN(A259)))), LARGE(INDEX(ISNUMBER(--MID((--TRIM(RIGHT(SUBSTITUTE(LEFT(A259,_xlfn.AGGREGATE(16,6,FIND({0,1,2,3,4,5,6,7,8,9},A259,ROW(INDIRECT("1:"&amp;LEN(A259)))),1))," ",REPT(" ",LEN(A259))),LEN(A259)))), ROW(INDIRECT("1:"&amp;LEN((--TRIM(RIGHT(SUBSTITUTE(LEFT(A259,_xlfn.AGGREGATE(16,6,FIND({0,1,2,3,4,5,6,7,8,9},A259,ROW(INDIRECT("1:"&amp;LEN(A259)))),1))," ",REPT(" ",LEN(A259))),LEN(A259))))))), 1)) * ROW(INDIRECT("1:"&amp;LEN((--TRIM(RIGHT(SUBSTITUTE(LEFT(A259,_xlfn.AGGREGATE(16,6,FIND({0,1,2,3,4,5,6,7,8,9},A259,ROW(INDIRECT("1:"&amp;LEN(A259)))),1))," ",REPT(" ",LEN(A259))),LEN(A259))))))), 0), ROW(INDIRECT("1:"&amp;LEN((--TRIM(RIGHT(SUBSTITUTE(LEFT(A259,_xlfn.AGGREGATE(16,6,FIND({0,1,2,3,4,5,6,7,8,9},A259,ROW(INDIRECT("1:"&amp;LEN(A259)))),1))," ",REPT(" ",LEN(A259))),LEN(A259))))))))+1, 1) * 10^ROW(INDIRECT("1:"&amp;LEN((--TRIM(RIGHT(SUBSTITUTE(LEFT(A259,_xlfn.AGGREGATE(16,6,FIND({0,1,2,3,4,5,6,7,8,9},A259,ROW(INDIRECT("1:"&amp;LEN(A259)))),1))," ",REPT(" ",LEN(A259))),LEN(A259)))))))/10))*1+1</f>
        <v>103 &amp; 303</v>
      </c>
      <c r="B260" s="72"/>
      <c r="C260" s="48">
        <v>1</v>
      </c>
      <c r="D260" s="49">
        <f>(32.92+8.15)*(10.764)</f>
        <v>442.07747999999998</v>
      </c>
      <c r="E260" s="40">
        <v>0</v>
      </c>
      <c r="F260" s="40">
        <v>712</v>
      </c>
      <c r="G260" s="82"/>
      <c r="H260" s="83"/>
      <c r="I260" s="34"/>
      <c r="J260" s="35">
        <f t="shared" si="24"/>
        <v>1.6105774037618927</v>
      </c>
    </row>
    <row r="261" spans="1:10" s="35" customFormat="1" ht="15.75" customHeight="1" x14ac:dyDescent="0.35">
      <c r="A261" s="71" t="str">
        <f ca="1">(SUMPRODUCT(MID(0&amp;(LEFT(A260,SUM(LEN(A260)-LEN(SUBSTITUTE(A260,{"0","1","2"},""))))), LARGE(INDEX(ISNUMBER(--MID((LEFT(A260,SUM(LEN(A260)-LEN(SUBSTITUTE(A260,{"0","1","2"},""))))), ROW(INDIRECT("1:"&amp;LEN((LEFT(A260,SUM(LEN(A260)-LEN(SUBSTITUTE(A260,{"0","1","2"},"")))))))), 1)) * ROW(INDIRECT("1:"&amp;LEN((LEFT(A260,SUM(LEN(A260)-LEN(SUBSTITUTE(A260,{"0","1","2"},"")))))))), 0), ROW(INDIRECT("1:"&amp;LEN((LEFT(A260,SUM(LEN(A260)-LEN(SUBSTITUTE(A260,{"0","1","2"},"")))))))))+1, 1) * 10^ROW(INDIRECT("1:"&amp;LEN((LEFT(A260,SUM(LEN(A260)-LEN(SUBSTITUTE(A260,{"0","1","2"},""))))))))/10))*1+1&amp;""&amp;" &amp; "&amp;""&amp;(SUMPRODUCT(MID(0&amp;(--TRIM(RIGHT(SUBSTITUTE(LEFT(A260,_xlfn.AGGREGATE(16,6,FIND({0,1,2,3,4,5,6,7,8,9},A260,ROW(INDIRECT("1:"&amp;LEN(A260)))),1))," ",REPT(" ",LEN(A260))),LEN(A260)))), LARGE(INDEX(ISNUMBER(--MID((--TRIM(RIGHT(SUBSTITUTE(LEFT(A260,_xlfn.AGGREGATE(16,6,FIND({0,1,2,3,4,5,6,7,8,9},A260,ROW(INDIRECT("1:"&amp;LEN(A260)))),1))," ",REPT(" ",LEN(A260))),LEN(A260)))), ROW(INDIRECT("1:"&amp;LEN((--TRIM(RIGHT(SUBSTITUTE(LEFT(A260,_xlfn.AGGREGATE(16,6,FIND({0,1,2,3,4,5,6,7,8,9},A260,ROW(INDIRECT("1:"&amp;LEN(A260)))),1))," ",REPT(" ",LEN(A260))),LEN(A260))))))), 1)) * ROW(INDIRECT("1:"&amp;LEN((--TRIM(RIGHT(SUBSTITUTE(LEFT(A260,_xlfn.AGGREGATE(16,6,FIND({0,1,2,3,4,5,6,7,8,9},A260,ROW(INDIRECT("1:"&amp;LEN(A260)))),1))," ",REPT(" ",LEN(A260))),LEN(A260))))))), 0), ROW(INDIRECT("1:"&amp;LEN((--TRIM(RIGHT(SUBSTITUTE(LEFT(A260,_xlfn.AGGREGATE(16,6,FIND({0,1,2,3,4,5,6,7,8,9},A260,ROW(INDIRECT("1:"&amp;LEN(A260)))),1))," ",REPT(" ",LEN(A260))),LEN(A260))))))))+1, 1) * 10^ROW(INDIRECT("1:"&amp;LEN((--TRIM(RIGHT(SUBSTITUTE(LEFT(A260,_xlfn.AGGREGATE(16,6,FIND({0,1,2,3,4,5,6,7,8,9},A260,ROW(INDIRECT("1:"&amp;LEN(A260)))),1))," ",REPT(" ",LEN(A260))),LEN(A260)))))))/10))*1+1</f>
        <v>104 &amp; 304</v>
      </c>
      <c r="B261" s="72"/>
      <c r="C261" s="48">
        <v>2</v>
      </c>
      <c r="D261" s="49">
        <f>(47.43+6.2)*(10.764)</f>
        <v>577.27332000000001</v>
      </c>
      <c r="E261" s="49">
        <f>(3.972)*(10.764)</f>
        <v>42.754607999999998</v>
      </c>
      <c r="F261" s="50">
        <v>950</v>
      </c>
      <c r="G261" s="82"/>
      <c r="H261" s="83"/>
      <c r="I261" s="34"/>
      <c r="J261" s="35">
        <f t="shared" si="24"/>
        <v>1.6456676016137382</v>
      </c>
    </row>
    <row r="262" spans="1:10" s="35" customFormat="1" ht="15.75" customHeight="1" x14ac:dyDescent="0.35">
      <c r="A262" s="71" t="str">
        <f ca="1">(SUMPRODUCT(MID(0&amp;(LEFT(A261,SUM(LEN(A261)-LEN(SUBSTITUTE(A261,{"0","1","2"},""))))), LARGE(INDEX(ISNUMBER(--MID((LEFT(A261,SUM(LEN(A261)-LEN(SUBSTITUTE(A261,{"0","1","2"},""))))), ROW(INDIRECT("1:"&amp;LEN((LEFT(A261,SUM(LEN(A261)-LEN(SUBSTITUTE(A261,{"0","1","2"},"")))))))), 1)) * ROW(INDIRECT("1:"&amp;LEN((LEFT(A261,SUM(LEN(A261)-LEN(SUBSTITUTE(A261,{"0","1","2"},"")))))))), 0), ROW(INDIRECT("1:"&amp;LEN((LEFT(A261,SUM(LEN(A261)-LEN(SUBSTITUTE(A261,{"0","1","2"},"")))))))))+1, 1) * 10^ROW(INDIRECT("1:"&amp;LEN((LEFT(A261,SUM(LEN(A261)-LEN(SUBSTITUTE(A261,{"0","1","2"},""))))))))/10))*1+1&amp;""&amp;" &amp; "&amp;""&amp;(SUMPRODUCT(MID(0&amp;(--TRIM(RIGHT(SUBSTITUTE(LEFT(A261,_xlfn.AGGREGATE(16,6,FIND({0,1,2,3,4,5,6,7,8,9},A261,ROW(INDIRECT("1:"&amp;LEN(A261)))),1))," ",REPT(" ",LEN(A261))),LEN(A261)))), LARGE(INDEX(ISNUMBER(--MID((--TRIM(RIGHT(SUBSTITUTE(LEFT(A261,_xlfn.AGGREGATE(16,6,FIND({0,1,2,3,4,5,6,7,8,9},A261,ROW(INDIRECT("1:"&amp;LEN(A261)))),1))," ",REPT(" ",LEN(A261))),LEN(A261)))), ROW(INDIRECT("1:"&amp;LEN((--TRIM(RIGHT(SUBSTITUTE(LEFT(A261,_xlfn.AGGREGATE(16,6,FIND({0,1,2,3,4,5,6,7,8,9},A261,ROW(INDIRECT("1:"&amp;LEN(A261)))),1))," ",REPT(" ",LEN(A261))),LEN(A261))))))), 1)) * ROW(INDIRECT("1:"&amp;LEN((--TRIM(RIGHT(SUBSTITUTE(LEFT(A261,_xlfn.AGGREGATE(16,6,FIND({0,1,2,3,4,5,6,7,8,9},A261,ROW(INDIRECT("1:"&amp;LEN(A261)))),1))," ",REPT(" ",LEN(A261))),LEN(A261))))))), 0), ROW(INDIRECT("1:"&amp;LEN((--TRIM(RIGHT(SUBSTITUTE(LEFT(A261,_xlfn.AGGREGATE(16,6,FIND({0,1,2,3,4,5,6,7,8,9},A261,ROW(INDIRECT("1:"&amp;LEN(A261)))),1))," ",REPT(" ",LEN(A261))),LEN(A261))))))))+1, 1) * 10^ROW(INDIRECT("1:"&amp;LEN((--TRIM(RIGHT(SUBSTITUTE(LEFT(A261,_xlfn.AGGREGATE(16,6,FIND({0,1,2,3,4,5,6,7,8,9},A261,ROW(INDIRECT("1:"&amp;LEN(A261)))),1))," ",REPT(" ",LEN(A261))),LEN(A261)))))))/10))*1+1</f>
        <v>105 &amp; 305</v>
      </c>
      <c r="B262" s="72"/>
      <c r="C262" s="48">
        <v>1</v>
      </c>
      <c r="D262" s="49">
        <f>(37.48)*(10.764)</f>
        <v>403.43471999999997</v>
      </c>
      <c r="E262" s="49">
        <f>(8.461)*(10.764)</f>
        <v>91.074203999999995</v>
      </c>
      <c r="F262" s="50">
        <v>745</v>
      </c>
      <c r="G262" s="82"/>
      <c r="H262" s="83"/>
      <c r="I262" s="34"/>
      <c r="J262" s="35">
        <f t="shared" si="24"/>
        <v>1.8466432437941882</v>
      </c>
    </row>
    <row r="263" spans="1:10" s="35" customFormat="1" ht="15.75" customHeight="1" x14ac:dyDescent="0.35">
      <c r="A263" s="71" t="str">
        <f ca="1">(SUMPRODUCT(MID(0&amp;(LEFT(A262,SUM(LEN(A262)-LEN(SUBSTITUTE(A262,{"0","1","2"},""))))), LARGE(INDEX(ISNUMBER(--MID((LEFT(A262,SUM(LEN(A262)-LEN(SUBSTITUTE(A262,{"0","1","2"},""))))), ROW(INDIRECT("1:"&amp;LEN((LEFT(A262,SUM(LEN(A262)-LEN(SUBSTITUTE(A262,{"0","1","2"},"")))))))), 1)) * ROW(INDIRECT("1:"&amp;LEN((LEFT(A262,SUM(LEN(A262)-LEN(SUBSTITUTE(A262,{"0","1","2"},"")))))))), 0), ROW(INDIRECT("1:"&amp;LEN((LEFT(A262,SUM(LEN(A262)-LEN(SUBSTITUTE(A262,{"0","1","2"},"")))))))))+1, 1) * 10^ROW(INDIRECT("1:"&amp;LEN((LEFT(A262,SUM(LEN(A262)-LEN(SUBSTITUTE(A262,{"0","1","2"},""))))))))/10))*1+1&amp;""&amp;" &amp; "&amp;""&amp;(SUMPRODUCT(MID(0&amp;(--TRIM(RIGHT(SUBSTITUTE(LEFT(A262,_xlfn.AGGREGATE(16,6,FIND({0,1,2,3,4,5,6,7,8,9},A262,ROW(INDIRECT("1:"&amp;LEN(A262)))),1))," ",REPT(" ",LEN(A262))),LEN(A262)))), LARGE(INDEX(ISNUMBER(--MID((--TRIM(RIGHT(SUBSTITUTE(LEFT(A262,_xlfn.AGGREGATE(16,6,FIND({0,1,2,3,4,5,6,7,8,9},A262,ROW(INDIRECT("1:"&amp;LEN(A262)))),1))," ",REPT(" ",LEN(A262))),LEN(A262)))), ROW(INDIRECT("1:"&amp;LEN((--TRIM(RIGHT(SUBSTITUTE(LEFT(A262,_xlfn.AGGREGATE(16,6,FIND({0,1,2,3,4,5,6,7,8,9},A262,ROW(INDIRECT("1:"&amp;LEN(A262)))),1))," ",REPT(" ",LEN(A262))),LEN(A262))))))), 1)) * ROW(INDIRECT("1:"&amp;LEN((--TRIM(RIGHT(SUBSTITUTE(LEFT(A262,_xlfn.AGGREGATE(16,6,FIND({0,1,2,3,4,5,6,7,8,9},A262,ROW(INDIRECT("1:"&amp;LEN(A262)))),1))," ",REPT(" ",LEN(A262))),LEN(A262))))))), 0), ROW(INDIRECT("1:"&amp;LEN((--TRIM(RIGHT(SUBSTITUTE(LEFT(A262,_xlfn.AGGREGATE(16,6,FIND({0,1,2,3,4,5,6,7,8,9},A262,ROW(INDIRECT("1:"&amp;LEN(A262)))),1))," ",REPT(" ",LEN(A262))),LEN(A262))))))))+1, 1) * 10^ROW(INDIRECT("1:"&amp;LEN((--TRIM(RIGHT(SUBSTITUTE(LEFT(A262,_xlfn.AGGREGATE(16,6,FIND({0,1,2,3,4,5,6,7,8,9},A262,ROW(INDIRECT("1:"&amp;LEN(A262)))),1))," ",REPT(" ",LEN(A262))),LEN(A262)))))))/10))*1+1</f>
        <v>106 &amp; 306</v>
      </c>
      <c r="B263" s="72"/>
      <c r="C263" s="48">
        <v>1</v>
      </c>
      <c r="D263" s="49">
        <f>(32.16)*(10.764)</f>
        <v>346.17023999999992</v>
      </c>
      <c r="E263" s="40">
        <v>0</v>
      </c>
      <c r="F263" s="40">
        <v>565</v>
      </c>
      <c r="G263" s="84"/>
      <c r="H263" s="85"/>
      <c r="I263" s="34"/>
      <c r="J263" s="35">
        <f t="shared" si="24"/>
        <v>1.6321449238386296</v>
      </c>
    </row>
    <row r="264" spans="1:10" s="35" customFormat="1" x14ac:dyDescent="0.35">
      <c r="A264" s="70" t="s">
        <v>186</v>
      </c>
      <c r="B264" s="70"/>
      <c r="C264" s="70"/>
      <c r="D264" s="70"/>
      <c r="E264" s="70"/>
      <c r="F264" s="70"/>
      <c r="G264" s="70"/>
      <c r="H264" s="70"/>
      <c r="I264" s="34"/>
      <c r="J264" s="35" t="e">
        <f t="shared" si="24"/>
        <v>#DIV/0!</v>
      </c>
    </row>
    <row r="265" spans="1:10" s="35" customFormat="1" ht="15.75" customHeight="1" x14ac:dyDescent="0.35">
      <c r="A265" s="73" t="str">
        <f ca="1">(SUMPRODUCT(MID(0&amp;(LEFT(A264,SUM(LEN(A264)-LEN(SUBSTITUTE(A264,{"0","1","2"},""))))), LARGE(INDEX(ISNUMBER(--MID((LEFT(A264,SUM(LEN(A264)-LEN(SUBSTITUTE(A264,{"0","1","2"},""))))), ROW(INDIRECT("1:"&amp;LEN((LEFT(A264,SUM(LEN(A264)-LEN(SUBSTITUTE(A264,{"0","1","2"},"")))))))), 1)) * ROW(INDIRECT("1:"&amp;LEN((LEFT(A264,SUM(LEN(A264)-LEN(SUBSTITUTE(A264,{"0","1","2"},"")))))))), 0), ROW(INDIRECT("1:"&amp;LEN((LEFT(A264,SUM(LEN(A264)-LEN(SUBSTITUTE(A264,{"0","1","2"},"")))))))))+1, 1) * 10^ROW(INDIRECT("1:"&amp;LEN((LEFT(A264,SUM(LEN(A264)-LEN(SUBSTITUTE(A264,{"0","1","2"},""))))))))/10))*100+1&amp;""&amp;" &amp; "&amp;""&amp;(SUMPRODUCT(MID(0&amp;(--TRIM(RIGHT(SUBSTITUTE(LEFT(A264,_xlfn.AGGREGATE(16,6,FIND({0,1,2,3,4,5,6,7,8,9},A264,ROW(INDIRECT("1:"&amp;LEN(A264)))),1))," ",REPT(" ",LEN(A264))),LEN(A264)))), LARGE(INDEX(ISNUMBER(--MID((--TRIM(RIGHT(SUBSTITUTE(LEFT(A264,_xlfn.AGGREGATE(16,6,FIND({0,1,2,3,4,5,6,7,8,9},A264,ROW(INDIRECT("1:"&amp;LEN(A264)))),1))," ",REPT(" ",LEN(A264))),LEN(A264)))), ROW(INDIRECT("1:"&amp;LEN((--TRIM(RIGHT(SUBSTITUTE(LEFT(A264,_xlfn.AGGREGATE(16,6,FIND({0,1,2,3,4,5,6,7,8,9},A264,ROW(INDIRECT("1:"&amp;LEN(A264)))),1))," ",REPT(" ",LEN(A264))),LEN(A264))))))), 1)) * ROW(INDIRECT("1:"&amp;LEN((--TRIM(RIGHT(SUBSTITUTE(LEFT(A264,_xlfn.AGGREGATE(16,6,FIND({0,1,2,3,4,5,6,7,8,9},A264,ROW(INDIRECT("1:"&amp;LEN(A264)))),1))," ",REPT(" ",LEN(A264))),LEN(A264))))))), 0), ROW(INDIRECT("1:"&amp;LEN((--TRIM(RIGHT(SUBSTITUTE(LEFT(A264,_xlfn.AGGREGATE(16,6,FIND({0,1,2,3,4,5,6,7,8,9},A264,ROW(INDIRECT("1:"&amp;LEN(A264)))),1))," ",REPT(" ",LEN(A264))),LEN(A264))))))))+1, 1) * 10^ROW(INDIRECT("1:"&amp;LEN((--TRIM(RIGHT(SUBSTITUTE(LEFT(A264,_xlfn.AGGREGATE(16,6,FIND({0,1,2,3,4,5,6,7,8,9},A264,ROW(INDIRECT("1:"&amp;LEN(A264)))),1))," ",REPT(" ",LEN(A264))),LEN(A264)))))))/10))*100+1</f>
        <v>201 &amp; 401</v>
      </c>
      <c r="B265" s="73"/>
      <c r="C265" s="48">
        <v>2</v>
      </c>
      <c r="D265" s="49">
        <f>(48.08+6.2)*(10.764)</f>
        <v>584.26991999999996</v>
      </c>
      <c r="E265" s="40">
        <v>0</v>
      </c>
      <c r="F265" s="40">
        <v>950</v>
      </c>
      <c r="G265" s="73" t="str">
        <f>A264</f>
        <v>2nd &amp; 4th Floor</v>
      </c>
      <c r="H265" s="73"/>
      <c r="I265" s="34"/>
      <c r="J265" s="35">
        <f t="shared" si="24"/>
        <v>1.6259608230387765</v>
      </c>
    </row>
    <row r="266" spans="1:10" s="35" customFormat="1" ht="15.75" customHeight="1" x14ac:dyDescent="0.35">
      <c r="A266" s="73" t="str">
        <f ca="1">(SUMPRODUCT(MID(0&amp;(LEFT(A265,SUM(LEN(A265)-LEN(SUBSTITUTE(A265,{"0","1","2"},""))))), LARGE(INDEX(ISNUMBER(--MID((LEFT(A265,SUM(LEN(A265)-LEN(SUBSTITUTE(A265,{"0","1","2"},""))))), ROW(INDIRECT("1:"&amp;LEN((LEFT(A265,SUM(LEN(A265)-LEN(SUBSTITUTE(A265,{"0","1","2"},"")))))))), 1)) * ROW(INDIRECT("1:"&amp;LEN((LEFT(A265,SUM(LEN(A265)-LEN(SUBSTITUTE(A265,{"0","1","2"},"")))))))), 0), ROW(INDIRECT("1:"&amp;LEN((LEFT(A265,SUM(LEN(A265)-LEN(SUBSTITUTE(A265,{"0","1","2"},"")))))))))+1, 1) * 10^ROW(INDIRECT("1:"&amp;LEN((LEFT(A265,SUM(LEN(A265)-LEN(SUBSTITUTE(A265,{"0","1","2"},""))))))))/10))*1+1&amp;""&amp;" &amp; "&amp;""&amp;(SUMPRODUCT(MID(0&amp;(--TRIM(RIGHT(SUBSTITUTE(LEFT(A265,_xlfn.AGGREGATE(16,6,FIND({0,1,2,3,4,5,6,7,8,9},A265,ROW(INDIRECT("1:"&amp;LEN(A265)))),1))," ",REPT(" ",LEN(A265))),LEN(A265)))), LARGE(INDEX(ISNUMBER(--MID((--TRIM(RIGHT(SUBSTITUTE(LEFT(A265,_xlfn.AGGREGATE(16,6,FIND({0,1,2,3,4,5,6,7,8,9},A265,ROW(INDIRECT("1:"&amp;LEN(A265)))),1))," ",REPT(" ",LEN(A265))),LEN(A265)))), ROW(INDIRECT("1:"&amp;LEN((--TRIM(RIGHT(SUBSTITUTE(LEFT(A265,_xlfn.AGGREGATE(16,6,FIND({0,1,2,3,4,5,6,7,8,9},A265,ROW(INDIRECT("1:"&amp;LEN(A265)))),1))," ",REPT(" ",LEN(A265))),LEN(A265))))))), 1)) * ROW(INDIRECT("1:"&amp;LEN((--TRIM(RIGHT(SUBSTITUTE(LEFT(A265,_xlfn.AGGREGATE(16,6,FIND({0,1,2,3,4,5,6,7,8,9},A265,ROW(INDIRECT("1:"&amp;LEN(A265)))),1))," ",REPT(" ",LEN(A265))),LEN(A265))))))), 0), ROW(INDIRECT("1:"&amp;LEN((--TRIM(RIGHT(SUBSTITUTE(LEFT(A265,_xlfn.AGGREGATE(16,6,FIND({0,1,2,3,4,5,6,7,8,9},A265,ROW(INDIRECT("1:"&amp;LEN(A265)))),1))," ",REPT(" ",LEN(A265))),LEN(A265))))))))+1, 1) * 10^ROW(INDIRECT("1:"&amp;LEN((--TRIM(RIGHT(SUBSTITUTE(LEFT(A265,_xlfn.AGGREGATE(16,6,FIND({0,1,2,3,4,5,6,7,8,9},A265,ROW(INDIRECT("1:"&amp;LEN(A265)))),1))," ",REPT(" ",LEN(A265))),LEN(A265)))))))/10))*1+1</f>
        <v>202 &amp; 402</v>
      </c>
      <c r="B266" s="73"/>
      <c r="C266" s="48">
        <v>2</v>
      </c>
      <c r="D266" s="49">
        <f>(47.67+8.46)*(10.764)</f>
        <v>604.18331999999998</v>
      </c>
      <c r="E266" s="40">
        <v>0</v>
      </c>
      <c r="F266" s="40">
        <v>975</v>
      </c>
      <c r="G266" s="73"/>
      <c r="H266" s="73"/>
      <c r="I266" s="34"/>
      <c r="J266" s="35">
        <f t="shared" si="24"/>
        <v>1.613748621858677</v>
      </c>
    </row>
    <row r="267" spans="1:10" s="35" customFormat="1" ht="15.75" customHeight="1" x14ac:dyDescent="0.35">
      <c r="A267" s="73" t="str">
        <f ca="1">(SUMPRODUCT(MID(0&amp;(LEFT(A266,SUM(LEN(A266)-LEN(SUBSTITUTE(A266,{"0","1","2"},""))))), LARGE(INDEX(ISNUMBER(--MID((LEFT(A266,SUM(LEN(A266)-LEN(SUBSTITUTE(A266,{"0","1","2"},""))))), ROW(INDIRECT("1:"&amp;LEN((LEFT(A266,SUM(LEN(A266)-LEN(SUBSTITUTE(A266,{"0","1","2"},"")))))))), 1)) * ROW(INDIRECT("1:"&amp;LEN((LEFT(A266,SUM(LEN(A266)-LEN(SUBSTITUTE(A266,{"0","1","2"},"")))))))), 0), ROW(INDIRECT("1:"&amp;LEN((LEFT(A266,SUM(LEN(A266)-LEN(SUBSTITUTE(A266,{"0","1","2"},"")))))))))+1, 1) * 10^ROW(INDIRECT("1:"&amp;LEN((LEFT(A266,SUM(LEN(A266)-LEN(SUBSTITUTE(A266,{"0","1","2"},""))))))))/10))*1+1&amp;""&amp;" &amp; "&amp;""&amp;(SUMPRODUCT(MID(0&amp;(--TRIM(RIGHT(SUBSTITUTE(LEFT(A266,_xlfn.AGGREGATE(16,6,FIND({0,1,2,3,4,5,6,7,8,9},A266,ROW(INDIRECT("1:"&amp;LEN(A266)))),1))," ",REPT(" ",LEN(A266))),LEN(A266)))), LARGE(INDEX(ISNUMBER(--MID((--TRIM(RIGHT(SUBSTITUTE(LEFT(A266,_xlfn.AGGREGATE(16,6,FIND({0,1,2,3,4,5,6,7,8,9},A266,ROW(INDIRECT("1:"&amp;LEN(A266)))),1))," ",REPT(" ",LEN(A266))),LEN(A266)))), ROW(INDIRECT("1:"&amp;LEN((--TRIM(RIGHT(SUBSTITUTE(LEFT(A266,_xlfn.AGGREGATE(16,6,FIND({0,1,2,3,4,5,6,7,8,9},A266,ROW(INDIRECT("1:"&amp;LEN(A266)))),1))," ",REPT(" ",LEN(A266))),LEN(A266))))))), 1)) * ROW(INDIRECT("1:"&amp;LEN((--TRIM(RIGHT(SUBSTITUTE(LEFT(A266,_xlfn.AGGREGATE(16,6,FIND({0,1,2,3,4,5,6,7,8,9},A266,ROW(INDIRECT("1:"&amp;LEN(A266)))),1))," ",REPT(" ",LEN(A266))),LEN(A266))))))), 0), ROW(INDIRECT("1:"&amp;LEN((--TRIM(RIGHT(SUBSTITUTE(LEFT(A266,_xlfn.AGGREGATE(16,6,FIND({0,1,2,3,4,5,6,7,8,9},A266,ROW(INDIRECT("1:"&amp;LEN(A266)))),1))," ",REPT(" ",LEN(A266))),LEN(A266))))))))+1, 1) * 10^ROW(INDIRECT("1:"&amp;LEN((--TRIM(RIGHT(SUBSTITUTE(LEFT(A266,_xlfn.AGGREGATE(16,6,FIND({0,1,2,3,4,5,6,7,8,9},A266,ROW(INDIRECT("1:"&amp;LEN(A266)))),1))," ",REPT(" ",LEN(A266))),LEN(A266)))))))/10))*1+1</f>
        <v>203 &amp; 403</v>
      </c>
      <c r="B267" s="73"/>
      <c r="C267" s="48">
        <v>1</v>
      </c>
      <c r="D267" s="49">
        <f>(32.92+8.15)*(10.764)</f>
        <v>442.07747999999998</v>
      </c>
      <c r="E267" s="40">
        <v>0</v>
      </c>
      <c r="F267" s="40">
        <v>712</v>
      </c>
      <c r="G267" s="73"/>
      <c r="H267" s="73"/>
      <c r="I267" s="34"/>
      <c r="J267" s="35">
        <f t="shared" si="24"/>
        <v>1.6105774037618927</v>
      </c>
    </row>
    <row r="268" spans="1:10" s="35" customFormat="1" ht="15.75" customHeight="1" x14ac:dyDescent="0.35">
      <c r="A268" s="73" t="str">
        <f ca="1">(SUMPRODUCT(MID(0&amp;(LEFT(A267,SUM(LEN(A267)-LEN(SUBSTITUTE(A267,{"0","1","2"},""))))), LARGE(INDEX(ISNUMBER(--MID((LEFT(A267,SUM(LEN(A267)-LEN(SUBSTITUTE(A267,{"0","1","2"},""))))), ROW(INDIRECT("1:"&amp;LEN((LEFT(A267,SUM(LEN(A267)-LEN(SUBSTITUTE(A267,{"0","1","2"},"")))))))), 1)) * ROW(INDIRECT("1:"&amp;LEN((LEFT(A267,SUM(LEN(A267)-LEN(SUBSTITUTE(A267,{"0","1","2"},"")))))))), 0), ROW(INDIRECT("1:"&amp;LEN((LEFT(A267,SUM(LEN(A267)-LEN(SUBSTITUTE(A267,{"0","1","2"},"")))))))))+1, 1) * 10^ROW(INDIRECT("1:"&amp;LEN((LEFT(A267,SUM(LEN(A267)-LEN(SUBSTITUTE(A267,{"0","1","2"},""))))))))/10))*1+1&amp;""&amp;" &amp; "&amp;""&amp;(SUMPRODUCT(MID(0&amp;(--TRIM(RIGHT(SUBSTITUTE(LEFT(A267,_xlfn.AGGREGATE(16,6,FIND({0,1,2,3,4,5,6,7,8,9},A267,ROW(INDIRECT("1:"&amp;LEN(A267)))),1))," ",REPT(" ",LEN(A267))),LEN(A267)))), LARGE(INDEX(ISNUMBER(--MID((--TRIM(RIGHT(SUBSTITUTE(LEFT(A267,_xlfn.AGGREGATE(16,6,FIND({0,1,2,3,4,5,6,7,8,9},A267,ROW(INDIRECT("1:"&amp;LEN(A267)))),1))," ",REPT(" ",LEN(A267))),LEN(A267)))), ROW(INDIRECT("1:"&amp;LEN((--TRIM(RIGHT(SUBSTITUTE(LEFT(A267,_xlfn.AGGREGATE(16,6,FIND({0,1,2,3,4,5,6,7,8,9},A267,ROW(INDIRECT("1:"&amp;LEN(A267)))),1))," ",REPT(" ",LEN(A267))),LEN(A267))))))), 1)) * ROW(INDIRECT("1:"&amp;LEN((--TRIM(RIGHT(SUBSTITUTE(LEFT(A267,_xlfn.AGGREGATE(16,6,FIND({0,1,2,3,4,5,6,7,8,9},A267,ROW(INDIRECT("1:"&amp;LEN(A267)))),1))," ",REPT(" ",LEN(A267))),LEN(A267))))))), 0), ROW(INDIRECT("1:"&amp;LEN((--TRIM(RIGHT(SUBSTITUTE(LEFT(A267,_xlfn.AGGREGATE(16,6,FIND({0,1,2,3,4,5,6,7,8,9},A267,ROW(INDIRECT("1:"&amp;LEN(A267)))),1))," ",REPT(" ",LEN(A267))),LEN(A267))))))))+1, 1) * 10^ROW(INDIRECT("1:"&amp;LEN((--TRIM(RIGHT(SUBSTITUTE(LEFT(A267,_xlfn.AGGREGATE(16,6,FIND({0,1,2,3,4,5,6,7,8,9},A267,ROW(INDIRECT("1:"&amp;LEN(A267)))),1))," ",REPT(" ",LEN(A267))),LEN(A267)))))))/10))*1+1</f>
        <v>204 &amp; 404</v>
      </c>
      <c r="B268" s="73"/>
      <c r="C268" s="48">
        <v>2</v>
      </c>
      <c r="D268" s="49">
        <f>(45.98+6.2)*(10.764)</f>
        <v>561.66552000000001</v>
      </c>
      <c r="E268" s="40">
        <v>0</v>
      </c>
      <c r="F268" s="40">
        <v>910</v>
      </c>
      <c r="G268" s="73"/>
      <c r="H268" s="73"/>
      <c r="I268" s="34"/>
      <c r="J268" s="35">
        <f t="shared" si="24"/>
        <v>1.6201813492129622</v>
      </c>
    </row>
    <row r="269" spans="1:10" s="35" customFormat="1" ht="15.75" customHeight="1" x14ac:dyDescent="0.35">
      <c r="A269" s="73" t="str">
        <f ca="1">(SUMPRODUCT(MID(0&amp;(LEFT(A268,SUM(LEN(A268)-LEN(SUBSTITUTE(A268,{"0","1","2"},""))))), LARGE(INDEX(ISNUMBER(--MID((LEFT(A268,SUM(LEN(A268)-LEN(SUBSTITUTE(A268,{"0","1","2"},""))))), ROW(INDIRECT("1:"&amp;LEN((LEFT(A268,SUM(LEN(A268)-LEN(SUBSTITUTE(A268,{"0","1","2"},"")))))))), 1)) * ROW(INDIRECT("1:"&amp;LEN((LEFT(A268,SUM(LEN(A268)-LEN(SUBSTITUTE(A268,{"0","1","2"},"")))))))), 0), ROW(INDIRECT("1:"&amp;LEN((LEFT(A268,SUM(LEN(A268)-LEN(SUBSTITUTE(A268,{"0","1","2"},"")))))))))+1, 1) * 10^ROW(INDIRECT("1:"&amp;LEN((LEFT(A268,SUM(LEN(A268)-LEN(SUBSTITUTE(A268,{"0","1","2"},""))))))))/10))*1+1&amp;""&amp;" &amp; "&amp;""&amp;(SUMPRODUCT(MID(0&amp;(--TRIM(RIGHT(SUBSTITUTE(LEFT(A268,_xlfn.AGGREGATE(16,6,FIND({0,1,2,3,4,5,6,7,8,9},A268,ROW(INDIRECT("1:"&amp;LEN(A268)))),1))," ",REPT(" ",LEN(A268))),LEN(A268)))), LARGE(INDEX(ISNUMBER(--MID((--TRIM(RIGHT(SUBSTITUTE(LEFT(A268,_xlfn.AGGREGATE(16,6,FIND({0,1,2,3,4,5,6,7,8,9},A268,ROW(INDIRECT("1:"&amp;LEN(A268)))),1))," ",REPT(" ",LEN(A268))),LEN(A268)))), ROW(INDIRECT("1:"&amp;LEN((--TRIM(RIGHT(SUBSTITUTE(LEFT(A268,_xlfn.AGGREGATE(16,6,FIND({0,1,2,3,4,5,6,7,8,9},A268,ROW(INDIRECT("1:"&amp;LEN(A268)))),1))," ",REPT(" ",LEN(A268))),LEN(A268))))))), 1)) * ROW(INDIRECT("1:"&amp;LEN((--TRIM(RIGHT(SUBSTITUTE(LEFT(A268,_xlfn.AGGREGATE(16,6,FIND({0,1,2,3,4,5,6,7,8,9},A268,ROW(INDIRECT("1:"&amp;LEN(A268)))),1))," ",REPT(" ",LEN(A268))),LEN(A268))))))), 0), ROW(INDIRECT("1:"&amp;LEN((--TRIM(RIGHT(SUBSTITUTE(LEFT(A268,_xlfn.AGGREGATE(16,6,FIND({0,1,2,3,4,5,6,7,8,9},A268,ROW(INDIRECT("1:"&amp;LEN(A268)))),1))," ",REPT(" ",LEN(A268))),LEN(A268))))))))+1, 1) * 10^ROW(INDIRECT("1:"&amp;LEN((--TRIM(RIGHT(SUBSTITUTE(LEFT(A268,_xlfn.AGGREGATE(16,6,FIND({0,1,2,3,4,5,6,7,8,9},A268,ROW(INDIRECT("1:"&amp;LEN(A268)))),1))," ",REPT(" ",LEN(A268))),LEN(A268)))))))/10))*1+1</f>
        <v>205 &amp; 405</v>
      </c>
      <c r="B269" s="73"/>
      <c r="C269" s="48">
        <v>1</v>
      </c>
      <c r="D269" s="49">
        <f>(37.48)*(10.764)</f>
        <v>403.43471999999997</v>
      </c>
      <c r="E269" s="40">
        <v>0</v>
      </c>
      <c r="F269" s="40">
        <v>655</v>
      </c>
      <c r="G269" s="73"/>
      <c r="H269" s="73"/>
      <c r="I269" s="34"/>
      <c r="J269" s="35">
        <f t="shared" si="24"/>
        <v>1.6235588250807964</v>
      </c>
    </row>
    <row r="270" spans="1:10" s="35" customFormat="1" ht="15.75" customHeight="1" x14ac:dyDescent="0.35">
      <c r="A270" s="73" t="str">
        <f ca="1">(SUMPRODUCT(MID(0&amp;(LEFT(A269,SUM(LEN(A269)-LEN(SUBSTITUTE(A269,{"0","1","2"},""))))), LARGE(INDEX(ISNUMBER(--MID((LEFT(A269,SUM(LEN(A269)-LEN(SUBSTITUTE(A269,{"0","1","2"},""))))), ROW(INDIRECT("1:"&amp;LEN((LEFT(A269,SUM(LEN(A269)-LEN(SUBSTITUTE(A269,{"0","1","2"},"")))))))), 1)) * ROW(INDIRECT("1:"&amp;LEN((LEFT(A269,SUM(LEN(A269)-LEN(SUBSTITUTE(A269,{"0","1","2"},"")))))))), 0), ROW(INDIRECT("1:"&amp;LEN((LEFT(A269,SUM(LEN(A269)-LEN(SUBSTITUTE(A269,{"0","1","2"},"")))))))))+1, 1) * 10^ROW(INDIRECT("1:"&amp;LEN((LEFT(A269,SUM(LEN(A269)-LEN(SUBSTITUTE(A269,{"0","1","2"},""))))))))/10))*1+1&amp;""&amp;" &amp; "&amp;""&amp;(SUMPRODUCT(MID(0&amp;(--TRIM(RIGHT(SUBSTITUTE(LEFT(A269,_xlfn.AGGREGATE(16,6,FIND({0,1,2,3,4,5,6,7,8,9},A269,ROW(INDIRECT("1:"&amp;LEN(A269)))),1))," ",REPT(" ",LEN(A269))),LEN(A269)))), LARGE(INDEX(ISNUMBER(--MID((--TRIM(RIGHT(SUBSTITUTE(LEFT(A269,_xlfn.AGGREGATE(16,6,FIND({0,1,2,3,4,5,6,7,8,9},A269,ROW(INDIRECT("1:"&amp;LEN(A269)))),1))," ",REPT(" ",LEN(A269))),LEN(A269)))), ROW(INDIRECT("1:"&amp;LEN((--TRIM(RIGHT(SUBSTITUTE(LEFT(A269,_xlfn.AGGREGATE(16,6,FIND({0,1,2,3,4,5,6,7,8,9},A269,ROW(INDIRECT("1:"&amp;LEN(A269)))),1))," ",REPT(" ",LEN(A269))),LEN(A269))))))), 1)) * ROW(INDIRECT("1:"&amp;LEN((--TRIM(RIGHT(SUBSTITUTE(LEFT(A269,_xlfn.AGGREGATE(16,6,FIND({0,1,2,3,4,5,6,7,8,9},A269,ROW(INDIRECT("1:"&amp;LEN(A269)))),1))," ",REPT(" ",LEN(A269))),LEN(A269))))))), 0), ROW(INDIRECT("1:"&amp;LEN((--TRIM(RIGHT(SUBSTITUTE(LEFT(A269,_xlfn.AGGREGATE(16,6,FIND({0,1,2,3,4,5,6,7,8,9},A269,ROW(INDIRECT("1:"&amp;LEN(A269)))),1))," ",REPT(" ",LEN(A269))),LEN(A269))))))))+1, 1) * 10^ROW(INDIRECT("1:"&amp;LEN((--TRIM(RIGHT(SUBSTITUTE(LEFT(A269,_xlfn.AGGREGATE(16,6,FIND({0,1,2,3,4,5,6,7,8,9},A269,ROW(INDIRECT("1:"&amp;LEN(A269)))),1))," ",REPT(" ",LEN(A269))),LEN(A269)))))))/10))*1+1</f>
        <v>206 &amp; 406</v>
      </c>
      <c r="B270" s="73"/>
      <c r="C270" s="48">
        <v>1</v>
      </c>
      <c r="D270" s="49">
        <f>(32.16)*(10.764)</f>
        <v>346.17023999999992</v>
      </c>
      <c r="E270" s="40">
        <v>0</v>
      </c>
      <c r="F270" s="40">
        <v>565</v>
      </c>
      <c r="G270" s="73"/>
      <c r="H270" s="73"/>
      <c r="I270" s="34"/>
      <c r="J270" s="35">
        <f t="shared" si="24"/>
        <v>1.6321449238386296</v>
      </c>
    </row>
    <row r="271" spans="1:10" s="35" customFormat="1" x14ac:dyDescent="0.35">
      <c r="A271" s="67" t="s">
        <v>189</v>
      </c>
      <c r="B271" s="68"/>
      <c r="C271" s="68"/>
      <c r="D271" s="68"/>
      <c r="E271" s="68"/>
      <c r="F271" s="68"/>
      <c r="G271" s="68"/>
      <c r="H271" s="69"/>
      <c r="J271" s="35" t="e">
        <f t="shared" si="24"/>
        <v>#DIV/0!</v>
      </c>
    </row>
    <row r="272" spans="1:10" s="35" customFormat="1" x14ac:dyDescent="0.35">
      <c r="A272" s="67" t="s">
        <v>185</v>
      </c>
      <c r="B272" s="68"/>
      <c r="C272" s="68"/>
      <c r="D272" s="68"/>
      <c r="E272" s="68"/>
      <c r="F272" s="68"/>
      <c r="G272" s="68"/>
      <c r="H272" s="69"/>
      <c r="I272" s="34"/>
      <c r="J272" s="35" t="e">
        <f t="shared" si="24"/>
        <v>#DIV/0!</v>
      </c>
    </row>
    <row r="273" spans="1:10" s="35" customFormat="1" ht="15.75" customHeight="1" x14ac:dyDescent="0.35">
      <c r="A273" s="71" t="str">
        <f ca="1">(SUMPRODUCT(MID(0&amp;(LEFT(A272,SUM(LEN(A272)-LEN(SUBSTITUTE(A272,{"0","1","2"},""))))), LARGE(INDEX(ISNUMBER(--MID((LEFT(A272,SUM(LEN(A272)-LEN(SUBSTITUTE(A272,{"0","1","2"},""))))), ROW(INDIRECT("1:"&amp;LEN((LEFT(A272,SUM(LEN(A272)-LEN(SUBSTITUTE(A272,{"0","1","2"},"")))))))), 1)) * ROW(INDIRECT("1:"&amp;LEN((LEFT(A272,SUM(LEN(A272)-LEN(SUBSTITUTE(A272,{"0","1","2"},"")))))))), 0), ROW(INDIRECT("1:"&amp;LEN((LEFT(A272,SUM(LEN(A272)-LEN(SUBSTITUTE(A272,{"0","1","2"},"")))))))))+1, 1) * 10^ROW(INDIRECT("1:"&amp;LEN((LEFT(A272,SUM(LEN(A272)-LEN(SUBSTITUTE(A272,{"0","1","2"},""))))))))/10))*100+1&amp;""&amp;" &amp; "&amp;""&amp;(SUMPRODUCT(MID(0&amp;(--TRIM(RIGHT(SUBSTITUTE(LEFT(A272,_xlfn.AGGREGATE(16,6,FIND({0,1,2,3,4,5,6,7,8,9},A272,ROW(INDIRECT("1:"&amp;LEN(A272)))),1))," ",REPT(" ",LEN(A272))),LEN(A272)))), LARGE(INDEX(ISNUMBER(--MID((--TRIM(RIGHT(SUBSTITUTE(LEFT(A272,_xlfn.AGGREGATE(16,6,FIND({0,1,2,3,4,5,6,7,8,9},A272,ROW(INDIRECT("1:"&amp;LEN(A272)))),1))," ",REPT(" ",LEN(A272))),LEN(A272)))), ROW(INDIRECT("1:"&amp;LEN((--TRIM(RIGHT(SUBSTITUTE(LEFT(A272,_xlfn.AGGREGATE(16,6,FIND({0,1,2,3,4,5,6,7,8,9},A272,ROW(INDIRECT("1:"&amp;LEN(A272)))),1))," ",REPT(" ",LEN(A272))),LEN(A272))))))), 1)) * ROW(INDIRECT("1:"&amp;LEN((--TRIM(RIGHT(SUBSTITUTE(LEFT(A272,_xlfn.AGGREGATE(16,6,FIND({0,1,2,3,4,5,6,7,8,9},A272,ROW(INDIRECT("1:"&amp;LEN(A272)))),1))," ",REPT(" ",LEN(A272))),LEN(A272))))))), 0), ROW(INDIRECT("1:"&amp;LEN((--TRIM(RIGHT(SUBSTITUTE(LEFT(A272,_xlfn.AGGREGATE(16,6,FIND({0,1,2,3,4,5,6,7,8,9},A272,ROW(INDIRECT("1:"&amp;LEN(A272)))),1))," ",REPT(" ",LEN(A272))),LEN(A272))))))))+1, 1) * 10^ROW(INDIRECT("1:"&amp;LEN((--TRIM(RIGHT(SUBSTITUTE(LEFT(A272,_xlfn.AGGREGATE(16,6,FIND({0,1,2,3,4,5,6,7,8,9},A272,ROW(INDIRECT("1:"&amp;LEN(A272)))),1))," ",REPT(" ",LEN(A272))),LEN(A272)))))))/10))*100+1</f>
        <v>101 &amp; 301</v>
      </c>
      <c r="B273" s="72"/>
      <c r="C273" s="48">
        <v>1</v>
      </c>
      <c r="D273" s="49">
        <f>(33.91+2.68)*(10.764)</f>
        <v>393.85475999999994</v>
      </c>
      <c r="E273" s="40">
        <v>0</v>
      </c>
      <c r="F273" s="40">
        <v>640</v>
      </c>
      <c r="G273" s="80" t="str">
        <f>A272</f>
        <v>1st &amp; 3rd Floor</v>
      </c>
      <c r="H273" s="81"/>
      <c r="I273" s="34"/>
      <c r="J273" s="35">
        <f t="shared" si="24"/>
        <v>1.6249644919868433</v>
      </c>
    </row>
    <row r="274" spans="1:10" s="35" customFormat="1" ht="15.75" customHeight="1" x14ac:dyDescent="0.35">
      <c r="A274" s="71" t="str">
        <f ca="1">(SUMPRODUCT(MID(0&amp;(LEFT(A273,SUM(LEN(A273)-LEN(SUBSTITUTE(A273,{"0","1","2"},""))))), LARGE(INDEX(ISNUMBER(--MID((LEFT(A273,SUM(LEN(A273)-LEN(SUBSTITUTE(A273,{"0","1","2"},""))))), ROW(INDIRECT("1:"&amp;LEN((LEFT(A273,SUM(LEN(A273)-LEN(SUBSTITUTE(A273,{"0","1","2"},"")))))))), 1)) * ROW(INDIRECT("1:"&amp;LEN((LEFT(A273,SUM(LEN(A273)-LEN(SUBSTITUTE(A273,{"0","1","2"},"")))))))), 0), ROW(INDIRECT("1:"&amp;LEN((LEFT(A273,SUM(LEN(A273)-LEN(SUBSTITUTE(A273,{"0","1","2"},"")))))))))+1, 1) * 10^ROW(INDIRECT("1:"&amp;LEN((LEFT(A273,SUM(LEN(A273)-LEN(SUBSTITUTE(A273,{"0","1","2"},""))))))))/10))*1+1&amp;""&amp;" &amp; "&amp;""&amp;(SUMPRODUCT(MID(0&amp;(--TRIM(RIGHT(SUBSTITUTE(LEFT(A273,_xlfn.AGGREGATE(16,6,FIND({0,1,2,3,4,5,6,7,8,9},A273,ROW(INDIRECT("1:"&amp;LEN(A273)))),1))," ",REPT(" ",LEN(A273))),LEN(A273)))), LARGE(INDEX(ISNUMBER(--MID((--TRIM(RIGHT(SUBSTITUTE(LEFT(A273,_xlfn.AGGREGATE(16,6,FIND({0,1,2,3,4,5,6,7,8,9},A273,ROW(INDIRECT("1:"&amp;LEN(A273)))),1))," ",REPT(" ",LEN(A273))),LEN(A273)))), ROW(INDIRECT("1:"&amp;LEN((--TRIM(RIGHT(SUBSTITUTE(LEFT(A273,_xlfn.AGGREGATE(16,6,FIND({0,1,2,3,4,5,6,7,8,9},A273,ROW(INDIRECT("1:"&amp;LEN(A273)))),1))," ",REPT(" ",LEN(A273))),LEN(A273))))))), 1)) * ROW(INDIRECT("1:"&amp;LEN((--TRIM(RIGHT(SUBSTITUTE(LEFT(A273,_xlfn.AGGREGATE(16,6,FIND({0,1,2,3,4,5,6,7,8,9},A273,ROW(INDIRECT("1:"&amp;LEN(A273)))),1))," ",REPT(" ",LEN(A273))),LEN(A273))))))), 0), ROW(INDIRECT("1:"&amp;LEN((--TRIM(RIGHT(SUBSTITUTE(LEFT(A273,_xlfn.AGGREGATE(16,6,FIND({0,1,2,3,4,5,6,7,8,9},A273,ROW(INDIRECT("1:"&amp;LEN(A273)))),1))," ",REPT(" ",LEN(A273))),LEN(A273))))))))+1, 1) * 10^ROW(INDIRECT("1:"&amp;LEN((--TRIM(RIGHT(SUBSTITUTE(LEFT(A273,_xlfn.AGGREGATE(16,6,FIND({0,1,2,3,4,5,6,7,8,9},A273,ROW(INDIRECT("1:"&amp;LEN(A273)))),1))," ",REPT(" ",LEN(A273))),LEN(A273)))))))/10))*1+1</f>
        <v>102 &amp; 302</v>
      </c>
      <c r="B274" s="72"/>
      <c r="C274" s="48">
        <v>1</v>
      </c>
      <c r="D274" s="49">
        <f>(35.37)*(10.764)</f>
        <v>380.72267999999997</v>
      </c>
      <c r="E274" s="49">
        <f>(6.546)*(10.764)</f>
        <v>70.461144000000004</v>
      </c>
      <c r="F274" s="50">
        <v>685</v>
      </c>
      <c r="G274" s="82"/>
      <c r="H274" s="83"/>
      <c r="I274" s="34"/>
      <c r="J274" s="35">
        <f t="shared" si="24"/>
        <v>1.7992098605735809</v>
      </c>
    </row>
    <row r="275" spans="1:10" s="35" customFormat="1" ht="15.75" customHeight="1" x14ac:dyDescent="0.35">
      <c r="A275" s="71" t="str">
        <f ca="1">(SUMPRODUCT(MID(0&amp;(LEFT(A274,SUM(LEN(A274)-LEN(SUBSTITUTE(A274,{"0","1","2"},""))))), LARGE(INDEX(ISNUMBER(--MID((LEFT(A274,SUM(LEN(A274)-LEN(SUBSTITUTE(A274,{"0","1","2"},""))))), ROW(INDIRECT("1:"&amp;LEN((LEFT(A274,SUM(LEN(A274)-LEN(SUBSTITUTE(A274,{"0","1","2"},"")))))))), 1)) * ROW(INDIRECT("1:"&amp;LEN((LEFT(A274,SUM(LEN(A274)-LEN(SUBSTITUTE(A274,{"0","1","2"},"")))))))), 0), ROW(INDIRECT("1:"&amp;LEN((LEFT(A274,SUM(LEN(A274)-LEN(SUBSTITUTE(A274,{"0","1","2"},"")))))))))+1, 1) * 10^ROW(INDIRECT("1:"&amp;LEN((LEFT(A274,SUM(LEN(A274)-LEN(SUBSTITUTE(A274,{"0","1","2"},""))))))))/10))*1+1&amp;""&amp;" &amp; "&amp;""&amp;(SUMPRODUCT(MID(0&amp;(--TRIM(RIGHT(SUBSTITUTE(LEFT(A274,_xlfn.AGGREGATE(16,6,FIND({0,1,2,3,4,5,6,7,8,9},A274,ROW(INDIRECT("1:"&amp;LEN(A274)))),1))," ",REPT(" ",LEN(A274))),LEN(A274)))), LARGE(INDEX(ISNUMBER(--MID((--TRIM(RIGHT(SUBSTITUTE(LEFT(A274,_xlfn.AGGREGATE(16,6,FIND({0,1,2,3,4,5,6,7,8,9},A274,ROW(INDIRECT("1:"&amp;LEN(A274)))),1))," ",REPT(" ",LEN(A274))),LEN(A274)))), ROW(INDIRECT("1:"&amp;LEN((--TRIM(RIGHT(SUBSTITUTE(LEFT(A274,_xlfn.AGGREGATE(16,6,FIND({0,1,2,3,4,5,6,7,8,9},A274,ROW(INDIRECT("1:"&amp;LEN(A274)))),1))," ",REPT(" ",LEN(A274))),LEN(A274))))))), 1)) * ROW(INDIRECT("1:"&amp;LEN((--TRIM(RIGHT(SUBSTITUTE(LEFT(A274,_xlfn.AGGREGATE(16,6,FIND({0,1,2,3,4,5,6,7,8,9},A274,ROW(INDIRECT("1:"&amp;LEN(A274)))),1))," ",REPT(" ",LEN(A274))),LEN(A274))))))), 0), ROW(INDIRECT("1:"&amp;LEN((--TRIM(RIGHT(SUBSTITUTE(LEFT(A274,_xlfn.AGGREGATE(16,6,FIND({0,1,2,3,4,5,6,7,8,9},A274,ROW(INDIRECT("1:"&amp;LEN(A274)))),1))," ",REPT(" ",LEN(A274))),LEN(A274))))))))+1, 1) * 10^ROW(INDIRECT("1:"&amp;LEN((--TRIM(RIGHT(SUBSTITUTE(LEFT(A274,_xlfn.AGGREGATE(16,6,FIND({0,1,2,3,4,5,6,7,8,9},A274,ROW(INDIRECT("1:"&amp;LEN(A274)))),1))," ",REPT(" ",LEN(A274))),LEN(A274)))))))/10))*1+1</f>
        <v>103 &amp; 303</v>
      </c>
      <c r="B275" s="72"/>
      <c r="C275" s="48">
        <v>2</v>
      </c>
      <c r="D275" s="49">
        <f>(46.88+3.55)*(10.764)</f>
        <v>542.82851999999991</v>
      </c>
      <c r="E275" s="49">
        <f>(7.042)*(10.764)</f>
        <v>75.800087999999988</v>
      </c>
      <c r="F275" s="50">
        <v>925</v>
      </c>
      <c r="G275" s="82"/>
      <c r="H275" s="83"/>
      <c r="I275" s="34"/>
      <c r="J275" s="35">
        <f t="shared" si="24"/>
        <v>1.704037216025422</v>
      </c>
    </row>
    <row r="276" spans="1:10" s="35" customFormat="1" ht="15.75" customHeight="1" x14ac:dyDescent="0.35">
      <c r="A276" s="71" t="str">
        <f ca="1">(SUMPRODUCT(MID(0&amp;(LEFT(A275,SUM(LEN(A275)-LEN(SUBSTITUTE(A275,{"0","1","2"},""))))), LARGE(INDEX(ISNUMBER(--MID((LEFT(A275,SUM(LEN(A275)-LEN(SUBSTITUTE(A275,{"0","1","2"},""))))), ROW(INDIRECT("1:"&amp;LEN((LEFT(A275,SUM(LEN(A275)-LEN(SUBSTITUTE(A275,{"0","1","2"},"")))))))), 1)) * ROW(INDIRECT("1:"&amp;LEN((LEFT(A275,SUM(LEN(A275)-LEN(SUBSTITUTE(A275,{"0","1","2"},"")))))))), 0), ROW(INDIRECT("1:"&amp;LEN((LEFT(A275,SUM(LEN(A275)-LEN(SUBSTITUTE(A275,{"0","1","2"},"")))))))))+1, 1) * 10^ROW(INDIRECT("1:"&amp;LEN((LEFT(A275,SUM(LEN(A275)-LEN(SUBSTITUTE(A275,{"0","1","2"},""))))))))/10))*1+1&amp;""&amp;" &amp; "&amp;""&amp;(SUMPRODUCT(MID(0&amp;(--TRIM(RIGHT(SUBSTITUTE(LEFT(A275,_xlfn.AGGREGATE(16,6,FIND({0,1,2,3,4,5,6,7,8,9},A275,ROW(INDIRECT("1:"&amp;LEN(A275)))),1))," ",REPT(" ",LEN(A275))),LEN(A275)))), LARGE(INDEX(ISNUMBER(--MID((--TRIM(RIGHT(SUBSTITUTE(LEFT(A275,_xlfn.AGGREGATE(16,6,FIND({0,1,2,3,4,5,6,7,8,9},A275,ROW(INDIRECT("1:"&amp;LEN(A275)))),1))," ",REPT(" ",LEN(A275))),LEN(A275)))), ROW(INDIRECT("1:"&amp;LEN((--TRIM(RIGHT(SUBSTITUTE(LEFT(A275,_xlfn.AGGREGATE(16,6,FIND({0,1,2,3,4,5,6,7,8,9},A275,ROW(INDIRECT("1:"&amp;LEN(A275)))),1))," ",REPT(" ",LEN(A275))),LEN(A275))))))), 1)) * ROW(INDIRECT("1:"&amp;LEN((--TRIM(RIGHT(SUBSTITUTE(LEFT(A275,_xlfn.AGGREGATE(16,6,FIND({0,1,2,3,4,5,6,7,8,9},A275,ROW(INDIRECT("1:"&amp;LEN(A275)))),1))," ",REPT(" ",LEN(A275))),LEN(A275))))))), 0), ROW(INDIRECT("1:"&amp;LEN((--TRIM(RIGHT(SUBSTITUTE(LEFT(A275,_xlfn.AGGREGATE(16,6,FIND({0,1,2,3,4,5,6,7,8,9},A275,ROW(INDIRECT("1:"&amp;LEN(A275)))),1))," ",REPT(" ",LEN(A275))),LEN(A275))))))))+1, 1) * 10^ROW(INDIRECT("1:"&amp;LEN((--TRIM(RIGHT(SUBSTITUTE(LEFT(A275,_xlfn.AGGREGATE(16,6,FIND({0,1,2,3,4,5,6,7,8,9},A275,ROW(INDIRECT("1:"&amp;LEN(A275)))),1))," ",REPT(" ",LEN(A275))),LEN(A275)))))))/10))*1+1</f>
        <v>104 &amp; 304</v>
      </c>
      <c r="B276" s="72"/>
      <c r="C276" s="48">
        <v>1</v>
      </c>
      <c r="D276" s="49">
        <f>(32.08+5.82)*(10.764)</f>
        <v>407.95559999999995</v>
      </c>
      <c r="E276" s="40">
        <v>0</v>
      </c>
      <c r="F276" s="40">
        <v>655</v>
      </c>
      <c r="G276" s="84"/>
      <c r="H276" s="85"/>
      <c r="I276" s="34"/>
      <c r="J276" s="35">
        <f t="shared" si="24"/>
        <v>1.6055668803173682</v>
      </c>
    </row>
    <row r="277" spans="1:10" s="35" customFormat="1" x14ac:dyDescent="0.35">
      <c r="A277" s="67" t="s">
        <v>186</v>
      </c>
      <c r="B277" s="68"/>
      <c r="C277" s="68"/>
      <c r="D277" s="68"/>
      <c r="E277" s="68"/>
      <c r="F277" s="68"/>
      <c r="G277" s="68"/>
      <c r="H277" s="69"/>
      <c r="I277" s="34"/>
      <c r="J277" s="35" t="e">
        <f t="shared" si="24"/>
        <v>#DIV/0!</v>
      </c>
    </row>
    <row r="278" spans="1:10" s="35" customFormat="1" ht="15.75" customHeight="1" x14ac:dyDescent="0.35">
      <c r="A278" s="71" t="str">
        <f ca="1">(SUMPRODUCT(MID(0&amp;(LEFT(A277,SUM(LEN(A277)-LEN(SUBSTITUTE(A277,{"0","1","2"},""))))), LARGE(INDEX(ISNUMBER(--MID((LEFT(A277,SUM(LEN(A277)-LEN(SUBSTITUTE(A277,{"0","1","2"},""))))), ROW(INDIRECT("1:"&amp;LEN((LEFT(A277,SUM(LEN(A277)-LEN(SUBSTITUTE(A277,{"0","1","2"},"")))))))), 1)) * ROW(INDIRECT("1:"&amp;LEN((LEFT(A277,SUM(LEN(A277)-LEN(SUBSTITUTE(A277,{"0","1","2"},"")))))))), 0), ROW(INDIRECT("1:"&amp;LEN((LEFT(A277,SUM(LEN(A277)-LEN(SUBSTITUTE(A277,{"0","1","2"},"")))))))))+1, 1) * 10^ROW(INDIRECT("1:"&amp;LEN((LEFT(A277,SUM(LEN(A277)-LEN(SUBSTITUTE(A277,{"0","1","2"},""))))))))/10))*100+1&amp;""&amp;" &amp; "&amp;""&amp;(SUMPRODUCT(MID(0&amp;(--TRIM(RIGHT(SUBSTITUTE(LEFT(A277,_xlfn.AGGREGATE(16,6,FIND({0,1,2,3,4,5,6,7,8,9},A277,ROW(INDIRECT("1:"&amp;LEN(A277)))),1))," ",REPT(" ",LEN(A277))),LEN(A277)))), LARGE(INDEX(ISNUMBER(--MID((--TRIM(RIGHT(SUBSTITUTE(LEFT(A277,_xlfn.AGGREGATE(16,6,FIND({0,1,2,3,4,5,6,7,8,9},A277,ROW(INDIRECT("1:"&amp;LEN(A277)))),1))," ",REPT(" ",LEN(A277))),LEN(A277)))), ROW(INDIRECT("1:"&amp;LEN((--TRIM(RIGHT(SUBSTITUTE(LEFT(A277,_xlfn.AGGREGATE(16,6,FIND({0,1,2,3,4,5,6,7,8,9},A277,ROW(INDIRECT("1:"&amp;LEN(A277)))),1))," ",REPT(" ",LEN(A277))),LEN(A277))))))), 1)) * ROW(INDIRECT("1:"&amp;LEN((--TRIM(RIGHT(SUBSTITUTE(LEFT(A277,_xlfn.AGGREGATE(16,6,FIND({0,1,2,3,4,5,6,7,8,9},A277,ROW(INDIRECT("1:"&amp;LEN(A277)))),1))," ",REPT(" ",LEN(A277))),LEN(A277))))))), 0), ROW(INDIRECT("1:"&amp;LEN((--TRIM(RIGHT(SUBSTITUTE(LEFT(A277,_xlfn.AGGREGATE(16,6,FIND({0,1,2,3,4,5,6,7,8,9},A277,ROW(INDIRECT("1:"&amp;LEN(A277)))),1))," ",REPT(" ",LEN(A277))),LEN(A277))))))))+1, 1) * 10^ROW(INDIRECT("1:"&amp;LEN((--TRIM(RIGHT(SUBSTITUTE(LEFT(A277,_xlfn.AGGREGATE(16,6,FIND({0,1,2,3,4,5,6,7,8,9},A277,ROW(INDIRECT("1:"&amp;LEN(A277)))),1))," ",REPT(" ",LEN(A277))),LEN(A277)))))))/10))*100+1</f>
        <v>201 &amp; 401</v>
      </c>
      <c r="B278" s="72"/>
      <c r="C278" s="48">
        <v>1</v>
      </c>
      <c r="D278" s="49">
        <f>(33.91+2.68)*(10.764)</f>
        <v>393.85475999999994</v>
      </c>
      <c r="E278" s="40">
        <v>0</v>
      </c>
      <c r="F278" s="40">
        <v>640</v>
      </c>
      <c r="G278" s="80" t="str">
        <f>A277</f>
        <v>2nd &amp; 4th Floor</v>
      </c>
      <c r="H278" s="81"/>
      <c r="I278" s="34"/>
      <c r="J278" s="35">
        <f t="shared" si="24"/>
        <v>1.6249644919868433</v>
      </c>
    </row>
    <row r="279" spans="1:10" s="35" customFormat="1" ht="15.75" customHeight="1" x14ac:dyDescent="0.35">
      <c r="A279" s="71" t="str">
        <f ca="1">(SUMPRODUCT(MID(0&amp;(LEFT(A278,SUM(LEN(A278)-LEN(SUBSTITUTE(A278,{"0","1","2"},""))))), LARGE(INDEX(ISNUMBER(--MID((LEFT(A278,SUM(LEN(A278)-LEN(SUBSTITUTE(A278,{"0","1","2"},""))))), ROW(INDIRECT("1:"&amp;LEN((LEFT(A278,SUM(LEN(A278)-LEN(SUBSTITUTE(A278,{"0","1","2"},"")))))))), 1)) * ROW(INDIRECT("1:"&amp;LEN((LEFT(A278,SUM(LEN(A278)-LEN(SUBSTITUTE(A278,{"0","1","2"},"")))))))), 0), ROW(INDIRECT("1:"&amp;LEN((LEFT(A278,SUM(LEN(A278)-LEN(SUBSTITUTE(A278,{"0","1","2"},"")))))))))+1, 1) * 10^ROW(INDIRECT("1:"&amp;LEN((LEFT(A278,SUM(LEN(A278)-LEN(SUBSTITUTE(A278,{"0","1","2"},""))))))))/10))*1+1&amp;""&amp;" &amp; "&amp;""&amp;(SUMPRODUCT(MID(0&amp;(--TRIM(RIGHT(SUBSTITUTE(LEFT(A278,_xlfn.AGGREGATE(16,6,FIND({0,1,2,3,4,5,6,7,8,9},A278,ROW(INDIRECT("1:"&amp;LEN(A278)))),1))," ",REPT(" ",LEN(A278))),LEN(A278)))), LARGE(INDEX(ISNUMBER(--MID((--TRIM(RIGHT(SUBSTITUTE(LEFT(A278,_xlfn.AGGREGATE(16,6,FIND({0,1,2,3,4,5,6,7,8,9},A278,ROW(INDIRECT("1:"&amp;LEN(A278)))),1))," ",REPT(" ",LEN(A278))),LEN(A278)))), ROW(INDIRECT("1:"&amp;LEN((--TRIM(RIGHT(SUBSTITUTE(LEFT(A278,_xlfn.AGGREGATE(16,6,FIND({0,1,2,3,4,5,6,7,8,9},A278,ROW(INDIRECT("1:"&amp;LEN(A278)))),1))," ",REPT(" ",LEN(A278))),LEN(A278))))))), 1)) * ROW(INDIRECT("1:"&amp;LEN((--TRIM(RIGHT(SUBSTITUTE(LEFT(A278,_xlfn.AGGREGATE(16,6,FIND({0,1,2,3,4,5,6,7,8,9},A278,ROW(INDIRECT("1:"&amp;LEN(A278)))),1))," ",REPT(" ",LEN(A278))),LEN(A278))))))), 0), ROW(INDIRECT("1:"&amp;LEN((--TRIM(RIGHT(SUBSTITUTE(LEFT(A278,_xlfn.AGGREGATE(16,6,FIND({0,1,2,3,4,5,6,7,8,9},A278,ROW(INDIRECT("1:"&amp;LEN(A278)))),1))," ",REPT(" ",LEN(A278))),LEN(A278))))))))+1, 1) * 10^ROW(INDIRECT("1:"&amp;LEN((--TRIM(RIGHT(SUBSTITUTE(LEFT(A278,_xlfn.AGGREGATE(16,6,FIND({0,1,2,3,4,5,6,7,8,9},A278,ROW(INDIRECT("1:"&amp;LEN(A278)))),1))," ",REPT(" ",LEN(A278))),LEN(A278)))))))/10))*1+1</f>
        <v>202 &amp; 402</v>
      </c>
      <c r="B279" s="72"/>
      <c r="C279" s="48">
        <v>1</v>
      </c>
      <c r="D279" s="49">
        <f>(35.37)*(10.764)</f>
        <v>380.72267999999997</v>
      </c>
      <c r="E279" s="40">
        <v>0</v>
      </c>
      <c r="F279" s="40">
        <v>620</v>
      </c>
      <c r="G279" s="82"/>
      <c r="H279" s="83"/>
      <c r="I279" s="34"/>
      <c r="J279" s="35">
        <f t="shared" si="24"/>
        <v>1.6284819175994454</v>
      </c>
    </row>
    <row r="280" spans="1:10" s="35" customFormat="1" ht="15.75" customHeight="1" x14ac:dyDescent="0.35">
      <c r="A280" s="71" t="str">
        <f ca="1">(SUMPRODUCT(MID(0&amp;(LEFT(A279,SUM(LEN(A279)-LEN(SUBSTITUTE(A279,{"0","1","2"},""))))), LARGE(INDEX(ISNUMBER(--MID((LEFT(A279,SUM(LEN(A279)-LEN(SUBSTITUTE(A279,{"0","1","2"},""))))), ROW(INDIRECT("1:"&amp;LEN((LEFT(A279,SUM(LEN(A279)-LEN(SUBSTITUTE(A279,{"0","1","2"},"")))))))), 1)) * ROW(INDIRECT("1:"&amp;LEN((LEFT(A279,SUM(LEN(A279)-LEN(SUBSTITUTE(A279,{"0","1","2"},"")))))))), 0), ROW(INDIRECT("1:"&amp;LEN((LEFT(A279,SUM(LEN(A279)-LEN(SUBSTITUTE(A279,{"0","1","2"},"")))))))))+1, 1) * 10^ROW(INDIRECT("1:"&amp;LEN((LEFT(A279,SUM(LEN(A279)-LEN(SUBSTITUTE(A279,{"0","1","2"},""))))))))/10))*1+1&amp;""&amp;" &amp; "&amp;""&amp;(SUMPRODUCT(MID(0&amp;(--TRIM(RIGHT(SUBSTITUTE(LEFT(A279,_xlfn.AGGREGATE(16,6,FIND({0,1,2,3,4,5,6,7,8,9},A279,ROW(INDIRECT("1:"&amp;LEN(A279)))),1))," ",REPT(" ",LEN(A279))),LEN(A279)))), LARGE(INDEX(ISNUMBER(--MID((--TRIM(RIGHT(SUBSTITUTE(LEFT(A279,_xlfn.AGGREGATE(16,6,FIND({0,1,2,3,4,5,6,7,8,9},A279,ROW(INDIRECT("1:"&amp;LEN(A279)))),1))," ",REPT(" ",LEN(A279))),LEN(A279)))), ROW(INDIRECT("1:"&amp;LEN((--TRIM(RIGHT(SUBSTITUTE(LEFT(A279,_xlfn.AGGREGATE(16,6,FIND({0,1,2,3,4,5,6,7,8,9},A279,ROW(INDIRECT("1:"&amp;LEN(A279)))),1))," ",REPT(" ",LEN(A279))),LEN(A279))))))), 1)) * ROW(INDIRECT("1:"&amp;LEN((--TRIM(RIGHT(SUBSTITUTE(LEFT(A279,_xlfn.AGGREGATE(16,6,FIND({0,1,2,3,4,5,6,7,8,9},A279,ROW(INDIRECT("1:"&amp;LEN(A279)))),1))," ",REPT(" ",LEN(A279))),LEN(A279))))))), 0), ROW(INDIRECT("1:"&amp;LEN((--TRIM(RIGHT(SUBSTITUTE(LEFT(A279,_xlfn.AGGREGATE(16,6,FIND({0,1,2,3,4,5,6,7,8,9},A279,ROW(INDIRECT("1:"&amp;LEN(A279)))),1))," ",REPT(" ",LEN(A279))),LEN(A279))))))))+1, 1) * 10^ROW(INDIRECT("1:"&amp;LEN((--TRIM(RIGHT(SUBSTITUTE(LEFT(A279,_xlfn.AGGREGATE(16,6,FIND({0,1,2,3,4,5,6,7,8,9},A279,ROW(INDIRECT("1:"&amp;LEN(A279)))),1))," ",REPT(" ",LEN(A279))),LEN(A279)))))))/10))*1+1</f>
        <v>203 &amp; 403</v>
      </c>
      <c r="B280" s="72"/>
      <c r="C280" s="48">
        <v>2</v>
      </c>
      <c r="D280" s="49">
        <f>(45.59+3.55)*(10.764)</f>
        <v>528.94295999999997</v>
      </c>
      <c r="E280" s="40">
        <v>0</v>
      </c>
      <c r="F280" s="40">
        <v>855</v>
      </c>
      <c r="G280" s="82"/>
      <c r="H280" s="83"/>
      <c r="I280" s="34"/>
      <c r="J280" s="35">
        <f t="shared" si="24"/>
        <v>1.6164313823176701</v>
      </c>
    </row>
    <row r="281" spans="1:10" s="35" customFormat="1" ht="15.75" customHeight="1" x14ac:dyDescent="0.35">
      <c r="A281" s="71" t="str">
        <f ca="1">(SUMPRODUCT(MID(0&amp;(LEFT(A280,SUM(LEN(A280)-LEN(SUBSTITUTE(A280,{"0","1","2"},""))))), LARGE(INDEX(ISNUMBER(--MID((LEFT(A280,SUM(LEN(A280)-LEN(SUBSTITUTE(A280,{"0","1","2"},""))))), ROW(INDIRECT("1:"&amp;LEN((LEFT(A280,SUM(LEN(A280)-LEN(SUBSTITUTE(A280,{"0","1","2"},"")))))))), 1)) * ROW(INDIRECT("1:"&amp;LEN((LEFT(A280,SUM(LEN(A280)-LEN(SUBSTITUTE(A280,{"0","1","2"},"")))))))), 0), ROW(INDIRECT("1:"&amp;LEN((LEFT(A280,SUM(LEN(A280)-LEN(SUBSTITUTE(A280,{"0","1","2"},"")))))))))+1, 1) * 10^ROW(INDIRECT("1:"&amp;LEN((LEFT(A280,SUM(LEN(A280)-LEN(SUBSTITUTE(A280,{"0","1","2"},""))))))))/10))*1+1&amp;""&amp;" &amp; "&amp;""&amp;(SUMPRODUCT(MID(0&amp;(--TRIM(RIGHT(SUBSTITUTE(LEFT(A280,_xlfn.AGGREGATE(16,6,FIND({0,1,2,3,4,5,6,7,8,9},A280,ROW(INDIRECT("1:"&amp;LEN(A280)))),1))," ",REPT(" ",LEN(A280))),LEN(A280)))), LARGE(INDEX(ISNUMBER(--MID((--TRIM(RIGHT(SUBSTITUTE(LEFT(A280,_xlfn.AGGREGATE(16,6,FIND({0,1,2,3,4,5,6,7,8,9},A280,ROW(INDIRECT("1:"&amp;LEN(A280)))),1))," ",REPT(" ",LEN(A280))),LEN(A280)))), ROW(INDIRECT("1:"&amp;LEN((--TRIM(RIGHT(SUBSTITUTE(LEFT(A280,_xlfn.AGGREGATE(16,6,FIND({0,1,2,3,4,5,6,7,8,9},A280,ROW(INDIRECT("1:"&amp;LEN(A280)))),1))," ",REPT(" ",LEN(A280))),LEN(A280))))))), 1)) * ROW(INDIRECT("1:"&amp;LEN((--TRIM(RIGHT(SUBSTITUTE(LEFT(A280,_xlfn.AGGREGATE(16,6,FIND({0,1,2,3,4,5,6,7,8,9},A280,ROW(INDIRECT("1:"&amp;LEN(A280)))),1))," ",REPT(" ",LEN(A280))),LEN(A280))))))), 0), ROW(INDIRECT("1:"&amp;LEN((--TRIM(RIGHT(SUBSTITUTE(LEFT(A280,_xlfn.AGGREGATE(16,6,FIND({0,1,2,3,4,5,6,7,8,9},A280,ROW(INDIRECT("1:"&amp;LEN(A280)))),1))," ",REPT(" ",LEN(A280))),LEN(A280))))))))+1, 1) * 10^ROW(INDIRECT("1:"&amp;LEN((--TRIM(RIGHT(SUBSTITUTE(LEFT(A280,_xlfn.AGGREGATE(16,6,FIND({0,1,2,3,4,5,6,7,8,9},A280,ROW(INDIRECT("1:"&amp;LEN(A280)))),1))," ",REPT(" ",LEN(A280))),LEN(A280)))))))/10))*1+1</f>
        <v>204 &amp; 404</v>
      </c>
      <c r="B281" s="72"/>
      <c r="C281" s="48">
        <v>1</v>
      </c>
      <c r="D281" s="49">
        <f>(32.08+5.82)*(10.764)</f>
        <v>407.95559999999995</v>
      </c>
      <c r="E281" s="40">
        <v>0</v>
      </c>
      <c r="F281" s="40">
        <v>660</v>
      </c>
      <c r="G281" s="84"/>
      <c r="H281" s="85"/>
      <c r="I281" s="34"/>
      <c r="J281" s="35">
        <f t="shared" si="24"/>
        <v>1.6178231160449816</v>
      </c>
    </row>
    <row r="282" spans="1:10" s="35" customFormat="1" x14ac:dyDescent="0.35">
      <c r="A282" s="67" t="s">
        <v>190</v>
      </c>
      <c r="B282" s="68"/>
      <c r="C282" s="68"/>
      <c r="D282" s="68"/>
      <c r="E282" s="68"/>
      <c r="F282" s="68"/>
      <c r="G282" s="68"/>
      <c r="H282" s="69"/>
      <c r="J282" s="35" t="e">
        <f t="shared" si="24"/>
        <v>#DIV/0!</v>
      </c>
    </row>
    <row r="283" spans="1:10" s="35" customFormat="1" x14ac:dyDescent="0.35">
      <c r="A283" s="67" t="s">
        <v>185</v>
      </c>
      <c r="B283" s="68"/>
      <c r="C283" s="68"/>
      <c r="D283" s="68"/>
      <c r="E283" s="68"/>
      <c r="F283" s="68"/>
      <c r="G283" s="68"/>
      <c r="H283" s="69"/>
      <c r="I283" s="34"/>
      <c r="J283" s="35" t="e">
        <f t="shared" si="24"/>
        <v>#DIV/0!</v>
      </c>
    </row>
    <row r="284" spans="1:10" s="35" customFormat="1" ht="15.75" customHeight="1" x14ac:dyDescent="0.35">
      <c r="A284" s="71" t="str">
        <f ca="1">(SUMPRODUCT(MID(0&amp;(LEFT(A283,SUM(LEN(A283)-LEN(SUBSTITUTE(A283,{"0","1","2"},""))))), LARGE(INDEX(ISNUMBER(--MID((LEFT(A283,SUM(LEN(A283)-LEN(SUBSTITUTE(A283,{"0","1","2"},""))))), ROW(INDIRECT("1:"&amp;LEN((LEFT(A283,SUM(LEN(A283)-LEN(SUBSTITUTE(A283,{"0","1","2"},"")))))))), 1)) * ROW(INDIRECT("1:"&amp;LEN((LEFT(A283,SUM(LEN(A283)-LEN(SUBSTITUTE(A283,{"0","1","2"},"")))))))), 0), ROW(INDIRECT("1:"&amp;LEN((LEFT(A283,SUM(LEN(A283)-LEN(SUBSTITUTE(A283,{"0","1","2"},"")))))))))+1, 1) * 10^ROW(INDIRECT("1:"&amp;LEN((LEFT(A283,SUM(LEN(A283)-LEN(SUBSTITUTE(A283,{"0","1","2"},""))))))))/10))*100+1&amp;""&amp;" &amp; "&amp;""&amp;(SUMPRODUCT(MID(0&amp;(--TRIM(RIGHT(SUBSTITUTE(LEFT(A283,_xlfn.AGGREGATE(16,6,FIND({0,1,2,3,4,5,6,7,8,9},A283,ROW(INDIRECT("1:"&amp;LEN(A283)))),1))," ",REPT(" ",LEN(A283))),LEN(A283)))), LARGE(INDEX(ISNUMBER(--MID((--TRIM(RIGHT(SUBSTITUTE(LEFT(A283,_xlfn.AGGREGATE(16,6,FIND({0,1,2,3,4,5,6,7,8,9},A283,ROW(INDIRECT("1:"&amp;LEN(A283)))),1))," ",REPT(" ",LEN(A283))),LEN(A283)))), ROW(INDIRECT("1:"&amp;LEN((--TRIM(RIGHT(SUBSTITUTE(LEFT(A283,_xlfn.AGGREGATE(16,6,FIND({0,1,2,3,4,5,6,7,8,9},A283,ROW(INDIRECT("1:"&amp;LEN(A283)))),1))," ",REPT(" ",LEN(A283))),LEN(A283))))))), 1)) * ROW(INDIRECT("1:"&amp;LEN((--TRIM(RIGHT(SUBSTITUTE(LEFT(A283,_xlfn.AGGREGATE(16,6,FIND({0,1,2,3,4,5,6,7,8,9},A283,ROW(INDIRECT("1:"&amp;LEN(A283)))),1))," ",REPT(" ",LEN(A283))),LEN(A283))))))), 0), ROW(INDIRECT("1:"&amp;LEN((--TRIM(RIGHT(SUBSTITUTE(LEFT(A283,_xlfn.AGGREGATE(16,6,FIND({0,1,2,3,4,5,6,7,8,9},A283,ROW(INDIRECT("1:"&amp;LEN(A283)))),1))," ",REPT(" ",LEN(A283))),LEN(A283))))))))+1, 1) * 10^ROW(INDIRECT("1:"&amp;LEN((--TRIM(RIGHT(SUBSTITUTE(LEFT(A283,_xlfn.AGGREGATE(16,6,FIND({0,1,2,3,4,5,6,7,8,9},A283,ROW(INDIRECT("1:"&amp;LEN(A283)))),1))," ",REPT(" ",LEN(A283))),LEN(A283)))))))/10))*100+1</f>
        <v>101 &amp; 301</v>
      </c>
      <c r="B284" s="72"/>
      <c r="C284" s="48">
        <v>1</v>
      </c>
      <c r="D284" s="49">
        <f>(33.46)*(10.764)</f>
        <v>360.16343999999998</v>
      </c>
      <c r="E284" s="40">
        <v>0</v>
      </c>
      <c r="F284" s="40">
        <v>585</v>
      </c>
      <c r="G284" s="80" t="str">
        <f>A283</f>
        <v>1st &amp; 3rd Floor</v>
      </c>
      <c r="H284" s="81"/>
      <c r="I284" s="34"/>
      <c r="J284" s="35">
        <f t="shared" si="24"/>
        <v>1.6242625847865071</v>
      </c>
    </row>
    <row r="285" spans="1:10" s="35" customFormat="1" ht="15.75" customHeight="1" x14ac:dyDescent="0.35">
      <c r="A285" s="71" t="str">
        <f ca="1">(SUMPRODUCT(MID(0&amp;(LEFT(A284,SUM(LEN(A284)-LEN(SUBSTITUTE(A284,{"0","1","2"},""))))), LARGE(INDEX(ISNUMBER(--MID((LEFT(A284,SUM(LEN(A284)-LEN(SUBSTITUTE(A284,{"0","1","2"},""))))), ROW(INDIRECT("1:"&amp;LEN((LEFT(A284,SUM(LEN(A284)-LEN(SUBSTITUTE(A284,{"0","1","2"},"")))))))), 1)) * ROW(INDIRECT("1:"&amp;LEN((LEFT(A284,SUM(LEN(A284)-LEN(SUBSTITUTE(A284,{"0","1","2"},"")))))))), 0), ROW(INDIRECT("1:"&amp;LEN((LEFT(A284,SUM(LEN(A284)-LEN(SUBSTITUTE(A284,{"0","1","2"},"")))))))))+1, 1) * 10^ROW(INDIRECT("1:"&amp;LEN((LEFT(A284,SUM(LEN(A284)-LEN(SUBSTITUTE(A284,{"0","1","2"},""))))))))/10))*1+1&amp;""&amp;" &amp; "&amp;""&amp;(SUMPRODUCT(MID(0&amp;(--TRIM(RIGHT(SUBSTITUTE(LEFT(A284,_xlfn.AGGREGATE(16,6,FIND({0,1,2,3,4,5,6,7,8,9},A284,ROW(INDIRECT("1:"&amp;LEN(A284)))),1))," ",REPT(" ",LEN(A284))),LEN(A284)))), LARGE(INDEX(ISNUMBER(--MID((--TRIM(RIGHT(SUBSTITUTE(LEFT(A284,_xlfn.AGGREGATE(16,6,FIND({0,1,2,3,4,5,6,7,8,9},A284,ROW(INDIRECT("1:"&amp;LEN(A284)))),1))," ",REPT(" ",LEN(A284))),LEN(A284)))), ROW(INDIRECT("1:"&amp;LEN((--TRIM(RIGHT(SUBSTITUTE(LEFT(A284,_xlfn.AGGREGATE(16,6,FIND({0,1,2,3,4,5,6,7,8,9},A284,ROW(INDIRECT("1:"&amp;LEN(A284)))),1))," ",REPT(" ",LEN(A284))),LEN(A284))))))), 1)) * ROW(INDIRECT("1:"&amp;LEN((--TRIM(RIGHT(SUBSTITUTE(LEFT(A284,_xlfn.AGGREGATE(16,6,FIND({0,1,2,3,4,5,6,7,8,9},A284,ROW(INDIRECT("1:"&amp;LEN(A284)))),1))," ",REPT(" ",LEN(A284))),LEN(A284))))))), 0), ROW(INDIRECT("1:"&amp;LEN((--TRIM(RIGHT(SUBSTITUTE(LEFT(A284,_xlfn.AGGREGATE(16,6,FIND({0,1,2,3,4,5,6,7,8,9},A284,ROW(INDIRECT("1:"&amp;LEN(A284)))),1))," ",REPT(" ",LEN(A284))),LEN(A284))))))))+1, 1) * 10^ROW(INDIRECT("1:"&amp;LEN((--TRIM(RIGHT(SUBSTITUTE(LEFT(A284,_xlfn.AGGREGATE(16,6,FIND({0,1,2,3,4,5,6,7,8,9},A284,ROW(INDIRECT("1:"&amp;LEN(A284)))),1))," ",REPT(" ",LEN(A284))),LEN(A284)))))))/10))*1+1</f>
        <v>102 &amp; 302</v>
      </c>
      <c r="B285" s="72"/>
      <c r="C285" s="48">
        <v>2</v>
      </c>
      <c r="D285" s="49">
        <f>(52.15+3.05)*(10.764)</f>
        <v>594.17279999999994</v>
      </c>
      <c r="E285" s="49">
        <f>(8.255)*(10.764)</f>
        <v>88.856819999999999</v>
      </c>
      <c r="F285" s="40">
        <v>1030</v>
      </c>
      <c r="G285" s="82"/>
      <c r="H285" s="83"/>
      <c r="I285" s="34"/>
      <c r="J285" s="35">
        <f t="shared" si="24"/>
        <v>1.7335024423871306</v>
      </c>
    </row>
    <row r="286" spans="1:10" s="35" customFormat="1" ht="15.75" customHeight="1" x14ac:dyDescent="0.35">
      <c r="A286" s="71" t="str">
        <f ca="1">(SUMPRODUCT(MID(0&amp;(LEFT(A285,SUM(LEN(A285)-LEN(SUBSTITUTE(A285,{"0","1","2"},""))))), LARGE(INDEX(ISNUMBER(--MID((LEFT(A285,SUM(LEN(A285)-LEN(SUBSTITUTE(A285,{"0","1","2"},""))))), ROW(INDIRECT("1:"&amp;LEN((LEFT(A285,SUM(LEN(A285)-LEN(SUBSTITUTE(A285,{"0","1","2"},"")))))))), 1)) * ROW(INDIRECT("1:"&amp;LEN((LEFT(A285,SUM(LEN(A285)-LEN(SUBSTITUTE(A285,{"0","1","2"},"")))))))), 0), ROW(INDIRECT("1:"&amp;LEN((LEFT(A285,SUM(LEN(A285)-LEN(SUBSTITUTE(A285,{"0","1","2"},"")))))))))+1, 1) * 10^ROW(INDIRECT("1:"&amp;LEN((LEFT(A285,SUM(LEN(A285)-LEN(SUBSTITUTE(A285,{"0","1","2"},""))))))))/10))*1+1&amp;""&amp;" &amp; "&amp;""&amp;(SUMPRODUCT(MID(0&amp;(--TRIM(RIGHT(SUBSTITUTE(LEFT(A285,_xlfn.AGGREGATE(16,6,FIND({0,1,2,3,4,5,6,7,8,9},A285,ROW(INDIRECT("1:"&amp;LEN(A285)))),1))," ",REPT(" ",LEN(A285))),LEN(A285)))), LARGE(INDEX(ISNUMBER(--MID((--TRIM(RIGHT(SUBSTITUTE(LEFT(A285,_xlfn.AGGREGATE(16,6,FIND({0,1,2,3,4,5,6,7,8,9},A285,ROW(INDIRECT("1:"&amp;LEN(A285)))),1))," ",REPT(" ",LEN(A285))),LEN(A285)))), ROW(INDIRECT("1:"&amp;LEN((--TRIM(RIGHT(SUBSTITUTE(LEFT(A285,_xlfn.AGGREGATE(16,6,FIND({0,1,2,3,4,5,6,7,8,9},A285,ROW(INDIRECT("1:"&amp;LEN(A285)))),1))," ",REPT(" ",LEN(A285))),LEN(A285))))))), 1)) * ROW(INDIRECT("1:"&amp;LEN((--TRIM(RIGHT(SUBSTITUTE(LEFT(A285,_xlfn.AGGREGATE(16,6,FIND({0,1,2,3,4,5,6,7,8,9},A285,ROW(INDIRECT("1:"&amp;LEN(A285)))),1))," ",REPT(" ",LEN(A285))),LEN(A285))))))), 0), ROW(INDIRECT("1:"&amp;LEN((--TRIM(RIGHT(SUBSTITUTE(LEFT(A285,_xlfn.AGGREGATE(16,6,FIND({0,1,2,3,4,5,6,7,8,9},A285,ROW(INDIRECT("1:"&amp;LEN(A285)))),1))," ",REPT(" ",LEN(A285))),LEN(A285))))))))+1, 1) * 10^ROW(INDIRECT("1:"&amp;LEN((--TRIM(RIGHT(SUBSTITUTE(LEFT(A285,_xlfn.AGGREGATE(16,6,FIND({0,1,2,3,4,5,6,7,8,9},A285,ROW(INDIRECT("1:"&amp;LEN(A285)))),1))," ",REPT(" ",LEN(A285))),LEN(A285)))))))/10))*1+1</f>
        <v>103 &amp; 303</v>
      </c>
      <c r="B286" s="72"/>
      <c r="C286" s="48">
        <v>2</v>
      </c>
      <c r="D286" s="49">
        <f>(49.9+3.55)*(10.764)</f>
        <v>575.33579999999995</v>
      </c>
      <c r="E286" s="49">
        <f>(16.414)*(10.764)</f>
        <v>176.680296</v>
      </c>
      <c r="F286" s="40">
        <v>1205</v>
      </c>
      <c r="G286" s="82"/>
      <c r="H286" s="83"/>
      <c r="I286" s="34"/>
      <c r="J286" s="35">
        <f t="shared" si="24"/>
        <v>2.0944290273610648</v>
      </c>
    </row>
    <row r="287" spans="1:10" s="35" customFormat="1" ht="15.75" customHeight="1" x14ac:dyDescent="0.35">
      <c r="A287" s="71" t="str">
        <f ca="1">(SUMPRODUCT(MID(0&amp;(LEFT(A286,SUM(LEN(A286)-LEN(SUBSTITUTE(A286,{"0","1","2"},""))))), LARGE(INDEX(ISNUMBER(--MID((LEFT(A286,SUM(LEN(A286)-LEN(SUBSTITUTE(A286,{"0","1","2"},""))))), ROW(INDIRECT("1:"&amp;LEN((LEFT(A286,SUM(LEN(A286)-LEN(SUBSTITUTE(A286,{"0","1","2"},"")))))))), 1)) * ROW(INDIRECT("1:"&amp;LEN((LEFT(A286,SUM(LEN(A286)-LEN(SUBSTITUTE(A286,{"0","1","2"},"")))))))), 0), ROW(INDIRECT("1:"&amp;LEN((LEFT(A286,SUM(LEN(A286)-LEN(SUBSTITUTE(A286,{"0","1","2"},"")))))))))+1, 1) * 10^ROW(INDIRECT("1:"&amp;LEN((LEFT(A286,SUM(LEN(A286)-LEN(SUBSTITUTE(A286,{"0","1","2"},""))))))))/10))*1+1&amp;""&amp;" &amp; "&amp;""&amp;(SUMPRODUCT(MID(0&amp;(--TRIM(RIGHT(SUBSTITUTE(LEFT(A286,_xlfn.AGGREGATE(16,6,FIND({0,1,2,3,4,5,6,7,8,9},A286,ROW(INDIRECT("1:"&amp;LEN(A286)))),1))," ",REPT(" ",LEN(A286))),LEN(A286)))), LARGE(INDEX(ISNUMBER(--MID((--TRIM(RIGHT(SUBSTITUTE(LEFT(A286,_xlfn.AGGREGATE(16,6,FIND({0,1,2,3,4,5,6,7,8,9},A286,ROW(INDIRECT("1:"&amp;LEN(A286)))),1))," ",REPT(" ",LEN(A286))),LEN(A286)))), ROW(INDIRECT("1:"&amp;LEN((--TRIM(RIGHT(SUBSTITUTE(LEFT(A286,_xlfn.AGGREGATE(16,6,FIND({0,1,2,3,4,5,6,7,8,9},A286,ROW(INDIRECT("1:"&amp;LEN(A286)))),1))," ",REPT(" ",LEN(A286))),LEN(A286))))))), 1)) * ROW(INDIRECT("1:"&amp;LEN((--TRIM(RIGHT(SUBSTITUTE(LEFT(A286,_xlfn.AGGREGATE(16,6,FIND({0,1,2,3,4,5,6,7,8,9},A286,ROW(INDIRECT("1:"&amp;LEN(A286)))),1))," ",REPT(" ",LEN(A286))),LEN(A286))))))), 0), ROW(INDIRECT("1:"&amp;LEN((--TRIM(RIGHT(SUBSTITUTE(LEFT(A286,_xlfn.AGGREGATE(16,6,FIND({0,1,2,3,4,5,6,7,8,9},A286,ROW(INDIRECT("1:"&amp;LEN(A286)))),1))," ",REPT(" ",LEN(A286))),LEN(A286))))))))+1, 1) * 10^ROW(INDIRECT("1:"&amp;LEN((--TRIM(RIGHT(SUBSTITUTE(LEFT(A286,_xlfn.AGGREGATE(16,6,FIND({0,1,2,3,4,5,6,7,8,9},A286,ROW(INDIRECT("1:"&amp;LEN(A286)))),1))," ",REPT(" ",LEN(A286))),LEN(A286)))))))/10))*1+1</f>
        <v>104 &amp; 304</v>
      </c>
      <c r="B287" s="72"/>
      <c r="C287" s="48">
        <v>1</v>
      </c>
      <c r="D287" s="49">
        <f>(32.8+8.1)*(10.764)</f>
        <v>440.24759999999998</v>
      </c>
      <c r="E287" s="40">
        <v>0</v>
      </c>
      <c r="F287" s="40">
        <v>712</v>
      </c>
      <c r="G287" s="82"/>
      <c r="H287" s="83"/>
      <c r="I287" s="34"/>
      <c r="J287" s="35">
        <f t="shared" si="24"/>
        <v>1.6172717352689714</v>
      </c>
    </row>
    <row r="288" spans="1:10" s="35" customFormat="1" ht="15.75" customHeight="1" x14ac:dyDescent="0.35">
      <c r="A288" s="71" t="str">
        <f ca="1">(SUMPRODUCT(MID(0&amp;(LEFT(A287,SUM(LEN(A287)-LEN(SUBSTITUTE(A287,{"0","1","2"},""))))), LARGE(INDEX(ISNUMBER(--MID((LEFT(A287,SUM(LEN(A287)-LEN(SUBSTITUTE(A287,{"0","1","2"},""))))), ROW(INDIRECT("1:"&amp;LEN((LEFT(A287,SUM(LEN(A287)-LEN(SUBSTITUTE(A287,{"0","1","2"},"")))))))), 1)) * ROW(INDIRECT("1:"&amp;LEN((LEFT(A287,SUM(LEN(A287)-LEN(SUBSTITUTE(A287,{"0","1","2"},"")))))))), 0), ROW(INDIRECT("1:"&amp;LEN((LEFT(A287,SUM(LEN(A287)-LEN(SUBSTITUTE(A287,{"0","1","2"},"")))))))))+1, 1) * 10^ROW(INDIRECT("1:"&amp;LEN((LEFT(A287,SUM(LEN(A287)-LEN(SUBSTITUTE(A287,{"0","1","2"},""))))))))/10))*1+1&amp;""&amp;" &amp; "&amp;""&amp;(SUMPRODUCT(MID(0&amp;(--TRIM(RIGHT(SUBSTITUTE(LEFT(A287,_xlfn.AGGREGATE(16,6,FIND({0,1,2,3,4,5,6,7,8,9},A287,ROW(INDIRECT("1:"&amp;LEN(A287)))),1))," ",REPT(" ",LEN(A287))),LEN(A287)))), LARGE(INDEX(ISNUMBER(--MID((--TRIM(RIGHT(SUBSTITUTE(LEFT(A287,_xlfn.AGGREGATE(16,6,FIND({0,1,2,3,4,5,6,7,8,9},A287,ROW(INDIRECT("1:"&amp;LEN(A287)))),1))," ",REPT(" ",LEN(A287))),LEN(A287)))), ROW(INDIRECT("1:"&amp;LEN((--TRIM(RIGHT(SUBSTITUTE(LEFT(A287,_xlfn.AGGREGATE(16,6,FIND({0,1,2,3,4,5,6,7,8,9},A287,ROW(INDIRECT("1:"&amp;LEN(A287)))),1))," ",REPT(" ",LEN(A287))),LEN(A287))))))), 1)) * ROW(INDIRECT("1:"&amp;LEN((--TRIM(RIGHT(SUBSTITUTE(LEFT(A287,_xlfn.AGGREGATE(16,6,FIND({0,1,2,3,4,5,6,7,8,9},A287,ROW(INDIRECT("1:"&amp;LEN(A287)))),1))," ",REPT(" ",LEN(A287))),LEN(A287))))))), 0), ROW(INDIRECT("1:"&amp;LEN((--TRIM(RIGHT(SUBSTITUTE(LEFT(A287,_xlfn.AGGREGATE(16,6,FIND({0,1,2,3,4,5,6,7,8,9},A287,ROW(INDIRECT("1:"&amp;LEN(A287)))),1))," ",REPT(" ",LEN(A287))),LEN(A287))))))))+1, 1) * 10^ROW(INDIRECT("1:"&amp;LEN((--TRIM(RIGHT(SUBSTITUTE(LEFT(A287,_xlfn.AGGREGATE(16,6,FIND({0,1,2,3,4,5,6,7,8,9},A287,ROW(INDIRECT("1:"&amp;LEN(A287)))),1))," ",REPT(" ",LEN(A287))),LEN(A287)))))))/10))*1+1</f>
        <v>105 &amp; 305</v>
      </c>
      <c r="B288" s="72"/>
      <c r="C288" s="48">
        <v>2</v>
      </c>
      <c r="D288" s="49">
        <f>(49+7.96)*(10.764)</f>
        <v>613.11743999999999</v>
      </c>
      <c r="E288" s="49">
        <f>(3.9)*(10.764)</f>
        <v>41.979599999999998</v>
      </c>
      <c r="F288" s="40">
        <v>1060</v>
      </c>
      <c r="G288" s="82"/>
      <c r="H288" s="83"/>
      <c r="I288" s="34"/>
      <c r="J288" s="35">
        <f t="shared" si="24"/>
        <v>1.7288694316051425</v>
      </c>
    </row>
    <row r="289" spans="1:10" s="35" customFormat="1" ht="15.75" customHeight="1" x14ac:dyDescent="0.35">
      <c r="A289" s="71" t="str">
        <f ca="1">(SUMPRODUCT(MID(0&amp;(LEFT(A288,SUM(LEN(A288)-LEN(SUBSTITUTE(A288,{"0","1","2"},""))))), LARGE(INDEX(ISNUMBER(--MID((LEFT(A288,SUM(LEN(A288)-LEN(SUBSTITUTE(A288,{"0","1","2"},""))))), ROW(INDIRECT("1:"&amp;LEN((LEFT(A288,SUM(LEN(A288)-LEN(SUBSTITUTE(A288,{"0","1","2"},"")))))))), 1)) * ROW(INDIRECT("1:"&amp;LEN((LEFT(A288,SUM(LEN(A288)-LEN(SUBSTITUTE(A288,{"0","1","2"},"")))))))), 0), ROW(INDIRECT("1:"&amp;LEN((LEFT(A288,SUM(LEN(A288)-LEN(SUBSTITUTE(A288,{"0","1","2"},"")))))))))+1, 1) * 10^ROW(INDIRECT("1:"&amp;LEN((LEFT(A288,SUM(LEN(A288)-LEN(SUBSTITUTE(A288,{"0","1","2"},""))))))))/10))*1+1&amp;""&amp;" &amp; "&amp;""&amp;(SUMPRODUCT(MID(0&amp;(--TRIM(RIGHT(SUBSTITUTE(LEFT(A288,_xlfn.AGGREGATE(16,6,FIND({0,1,2,3,4,5,6,7,8,9},A288,ROW(INDIRECT("1:"&amp;LEN(A288)))),1))," ",REPT(" ",LEN(A288))),LEN(A288)))), LARGE(INDEX(ISNUMBER(--MID((--TRIM(RIGHT(SUBSTITUTE(LEFT(A288,_xlfn.AGGREGATE(16,6,FIND({0,1,2,3,4,5,6,7,8,9},A288,ROW(INDIRECT("1:"&amp;LEN(A288)))),1))," ",REPT(" ",LEN(A288))),LEN(A288)))), ROW(INDIRECT("1:"&amp;LEN((--TRIM(RIGHT(SUBSTITUTE(LEFT(A288,_xlfn.AGGREGATE(16,6,FIND({0,1,2,3,4,5,6,7,8,9},A288,ROW(INDIRECT("1:"&amp;LEN(A288)))),1))," ",REPT(" ",LEN(A288))),LEN(A288))))))), 1)) * ROW(INDIRECT("1:"&amp;LEN((--TRIM(RIGHT(SUBSTITUTE(LEFT(A288,_xlfn.AGGREGATE(16,6,FIND({0,1,2,3,4,5,6,7,8,9},A288,ROW(INDIRECT("1:"&amp;LEN(A288)))),1))," ",REPT(" ",LEN(A288))),LEN(A288))))))), 0), ROW(INDIRECT("1:"&amp;LEN((--TRIM(RIGHT(SUBSTITUTE(LEFT(A288,_xlfn.AGGREGATE(16,6,FIND({0,1,2,3,4,5,6,7,8,9},A288,ROW(INDIRECT("1:"&amp;LEN(A288)))),1))," ",REPT(" ",LEN(A288))),LEN(A288))))))))+1, 1) * 10^ROW(INDIRECT("1:"&amp;LEN((--TRIM(RIGHT(SUBSTITUTE(LEFT(A288,_xlfn.AGGREGATE(16,6,FIND({0,1,2,3,4,5,6,7,8,9},A288,ROW(INDIRECT("1:"&amp;LEN(A288)))),1))," ",REPT(" ",LEN(A288))),LEN(A288)))))))/10))*1+1</f>
        <v>106 &amp; 306</v>
      </c>
      <c r="B289" s="72"/>
      <c r="C289" s="48">
        <v>2</v>
      </c>
      <c r="D289" s="49">
        <f>(49.18+7.96)*(10.764)</f>
        <v>615.05495999999994</v>
      </c>
      <c r="E289" s="40">
        <v>0</v>
      </c>
      <c r="F289" s="40">
        <v>995</v>
      </c>
      <c r="G289" s="84"/>
      <c r="H289" s="85"/>
      <c r="I289" s="34"/>
      <c r="J289" s="35">
        <f t="shared" si="24"/>
        <v>1.6177416080019908</v>
      </c>
    </row>
    <row r="290" spans="1:10" s="35" customFormat="1" x14ac:dyDescent="0.35">
      <c r="A290" s="67" t="s">
        <v>186</v>
      </c>
      <c r="B290" s="68"/>
      <c r="C290" s="68"/>
      <c r="D290" s="68"/>
      <c r="E290" s="68"/>
      <c r="F290" s="68"/>
      <c r="G290" s="68"/>
      <c r="H290" s="69"/>
      <c r="I290" s="34"/>
      <c r="J290" s="35" t="e">
        <f t="shared" si="24"/>
        <v>#DIV/0!</v>
      </c>
    </row>
    <row r="291" spans="1:10" s="35" customFormat="1" ht="15.75" customHeight="1" x14ac:dyDescent="0.35">
      <c r="A291" s="71" t="str">
        <f ca="1">(SUMPRODUCT(MID(0&amp;(LEFT(A290,SUM(LEN(A290)-LEN(SUBSTITUTE(A290,{"0","1","2"},""))))), LARGE(INDEX(ISNUMBER(--MID((LEFT(A290,SUM(LEN(A290)-LEN(SUBSTITUTE(A290,{"0","1","2"},""))))), ROW(INDIRECT("1:"&amp;LEN((LEFT(A290,SUM(LEN(A290)-LEN(SUBSTITUTE(A290,{"0","1","2"},"")))))))), 1)) * ROW(INDIRECT("1:"&amp;LEN((LEFT(A290,SUM(LEN(A290)-LEN(SUBSTITUTE(A290,{"0","1","2"},"")))))))), 0), ROW(INDIRECT("1:"&amp;LEN((LEFT(A290,SUM(LEN(A290)-LEN(SUBSTITUTE(A290,{"0","1","2"},"")))))))))+1, 1) * 10^ROW(INDIRECT("1:"&amp;LEN((LEFT(A290,SUM(LEN(A290)-LEN(SUBSTITUTE(A290,{"0","1","2"},""))))))))/10))*100+1&amp;""&amp;" &amp; "&amp;""&amp;(SUMPRODUCT(MID(0&amp;(--TRIM(RIGHT(SUBSTITUTE(LEFT(A290,_xlfn.AGGREGATE(16,6,FIND({0,1,2,3,4,5,6,7,8,9},A290,ROW(INDIRECT("1:"&amp;LEN(A290)))),1))," ",REPT(" ",LEN(A290))),LEN(A290)))), LARGE(INDEX(ISNUMBER(--MID((--TRIM(RIGHT(SUBSTITUTE(LEFT(A290,_xlfn.AGGREGATE(16,6,FIND({0,1,2,3,4,5,6,7,8,9},A290,ROW(INDIRECT("1:"&amp;LEN(A290)))),1))," ",REPT(" ",LEN(A290))),LEN(A290)))), ROW(INDIRECT("1:"&amp;LEN((--TRIM(RIGHT(SUBSTITUTE(LEFT(A290,_xlfn.AGGREGATE(16,6,FIND({0,1,2,3,4,5,6,7,8,9},A290,ROW(INDIRECT("1:"&amp;LEN(A290)))),1))," ",REPT(" ",LEN(A290))),LEN(A290))))))), 1)) * ROW(INDIRECT("1:"&amp;LEN((--TRIM(RIGHT(SUBSTITUTE(LEFT(A290,_xlfn.AGGREGATE(16,6,FIND({0,1,2,3,4,5,6,7,8,9},A290,ROW(INDIRECT("1:"&amp;LEN(A290)))),1))," ",REPT(" ",LEN(A290))),LEN(A290))))))), 0), ROW(INDIRECT("1:"&amp;LEN((--TRIM(RIGHT(SUBSTITUTE(LEFT(A290,_xlfn.AGGREGATE(16,6,FIND({0,1,2,3,4,5,6,7,8,9},A290,ROW(INDIRECT("1:"&amp;LEN(A290)))),1))," ",REPT(" ",LEN(A290))),LEN(A290))))))))+1, 1) * 10^ROW(INDIRECT("1:"&amp;LEN((--TRIM(RIGHT(SUBSTITUTE(LEFT(A290,_xlfn.AGGREGATE(16,6,FIND({0,1,2,3,4,5,6,7,8,9},A290,ROW(INDIRECT("1:"&amp;LEN(A290)))),1))," ",REPT(" ",LEN(A290))),LEN(A290)))))))/10))*100+1</f>
        <v>201 &amp; 401</v>
      </c>
      <c r="B291" s="72"/>
      <c r="C291" s="48">
        <v>1</v>
      </c>
      <c r="D291" s="49">
        <f>(33.46)*(10.764)</f>
        <v>360.16343999999998</v>
      </c>
      <c r="E291" s="40">
        <v>0</v>
      </c>
      <c r="F291" s="40">
        <v>585</v>
      </c>
      <c r="G291" s="80" t="str">
        <f>A290</f>
        <v>2nd &amp; 4th Floor</v>
      </c>
      <c r="H291" s="81"/>
      <c r="I291" s="34"/>
      <c r="J291" s="35">
        <f t="shared" si="24"/>
        <v>1.6242625847865071</v>
      </c>
    </row>
    <row r="292" spans="1:10" s="35" customFormat="1" ht="15.75" customHeight="1" x14ac:dyDescent="0.35">
      <c r="A292" s="71" t="str">
        <f ca="1">(SUMPRODUCT(MID(0&amp;(LEFT(A291,SUM(LEN(A291)-LEN(SUBSTITUTE(A291,{"0","1","2"},""))))), LARGE(INDEX(ISNUMBER(--MID((LEFT(A291,SUM(LEN(A291)-LEN(SUBSTITUTE(A291,{"0","1","2"},""))))), ROW(INDIRECT("1:"&amp;LEN((LEFT(A291,SUM(LEN(A291)-LEN(SUBSTITUTE(A291,{"0","1","2"},"")))))))), 1)) * ROW(INDIRECT("1:"&amp;LEN((LEFT(A291,SUM(LEN(A291)-LEN(SUBSTITUTE(A291,{"0","1","2"},"")))))))), 0), ROW(INDIRECT("1:"&amp;LEN((LEFT(A291,SUM(LEN(A291)-LEN(SUBSTITUTE(A291,{"0","1","2"},"")))))))))+1, 1) * 10^ROW(INDIRECT("1:"&amp;LEN((LEFT(A291,SUM(LEN(A291)-LEN(SUBSTITUTE(A291,{"0","1","2"},""))))))))/10))*1+1&amp;""&amp;" &amp; "&amp;""&amp;(SUMPRODUCT(MID(0&amp;(--TRIM(RIGHT(SUBSTITUTE(LEFT(A291,_xlfn.AGGREGATE(16,6,FIND({0,1,2,3,4,5,6,7,8,9},A291,ROW(INDIRECT("1:"&amp;LEN(A291)))),1))," ",REPT(" ",LEN(A291))),LEN(A291)))), LARGE(INDEX(ISNUMBER(--MID((--TRIM(RIGHT(SUBSTITUTE(LEFT(A291,_xlfn.AGGREGATE(16,6,FIND({0,1,2,3,4,5,6,7,8,9},A291,ROW(INDIRECT("1:"&amp;LEN(A291)))),1))," ",REPT(" ",LEN(A291))),LEN(A291)))), ROW(INDIRECT("1:"&amp;LEN((--TRIM(RIGHT(SUBSTITUTE(LEFT(A291,_xlfn.AGGREGATE(16,6,FIND({0,1,2,3,4,5,6,7,8,9},A291,ROW(INDIRECT("1:"&amp;LEN(A291)))),1))," ",REPT(" ",LEN(A291))),LEN(A291))))))), 1)) * ROW(INDIRECT("1:"&amp;LEN((--TRIM(RIGHT(SUBSTITUTE(LEFT(A291,_xlfn.AGGREGATE(16,6,FIND({0,1,2,3,4,5,6,7,8,9},A291,ROW(INDIRECT("1:"&amp;LEN(A291)))),1))," ",REPT(" ",LEN(A291))),LEN(A291))))))), 0), ROW(INDIRECT("1:"&amp;LEN((--TRIM(RIGHT(SUBSTITUTE(LEFT(A291,_xlfn.AGGREGATE(16,6,FIND({0,1,2,3,4,5,6,7,8,9},A291,ROW(INDIRECT("1:"&amp;LEN(A291)))),1))," ",REPT(" ",LEN(A291))),LEN(A291))))))))+1, 1) * 10^ROW(INDIRECT("1:"&amp;LEN((--TRIM(RIGHT(SUBSTITUTE(LEFT(A291,_xlfn.AGGREGATE(16,6,FIND({0,1,2,3,4,5,6,7,8,9},A291,ROW(INDIRECT("1:"&amp;LEN(A291)))),1))," ",REPT(" ",LEN(A291))),LEN(A291)))))))/10))*1+1</f>
        <v>202 &amp; 402</v>
      </c>
      <c r="B292" s="72"/>
      <c r="C292" s="48">
        <v>2</v>
      </c>
      <c r="D292" s="49">
        <f>(51.17+3.05)*(10.764)</f>
        <v>583.62407999999994</v>
      </c>
      <c r="E292" s="40">
        <v>0</v>
      </c>
      <c r="F292" s="40">
        <v>950</v>
      </c>
      <c r="G292" s="82"/>
      <c r="H292" s="83"/>
      <c r="I292" s="34"/>
      <c r="J292" s="35">
        <f t="shared" si="24"/>
        <v>1.6277601157238064</v>
      </c>
    </row>
    <row r="293" spans="1:10" s="35" customFormat="1" ht="15.75" customHeight="1" x14ac:dyDescent="0.35">
      <c r="A293" s="71" t="str">
        <f ca="1">(SUMPRODUCT(MID(0&amp;(LEFT(A292,SUM(LEN(A292)-LEN(SUBSTITUTE(A292,{"0","1","2"},""))))), LARGE(INDEX(ISNUMBER(--MID((LEFT(A292,SUM(LEN(A292)-LEN(SUBSTITUTE(A292,{"0","1","2"},""))))), ROW(INDIRECT("1:"&amp;LEN((LEFT(A292,SUM(LEN(A292)-LEN(SUBSTITUTE(A292,{"0","1","2"},"")))))))), 1)) * ROW(INDIRECT("1:"&amp;LEN((LEFT(A292,SUM(LEN(A292)-LEN(SUBSTITUTE(A292,{"0","1","2"},"")))))))), 0), ROW(INDIRECT("1:"&amp;LEN((LEFT(A292,SUM(LEN(A292)-LEN(SUBSTITUTE(A292,{"0","1","2"},"")))))))))+1, 1) * 10^ROW(INDIRECT("1:"&amp;LEN((LEFT(A292,SUM(LEN(A292)-LEN(SUBSTITUTE(A292,{"0","1","2"},""))))))))/10))*1+1&amp;""&amp;" &amp; "&amp;""&amp;(SUMPRODUCT(MID(0&amp;(--TRIM(RIGHT(SUBSTITUTE(LEFT(A292,_xlfn.AGGREGATE(16,6,FIND({0,1,2,3,4,5,6,7,8,9},A292,ROW(INDIRECT("1:"&amp;LEN(A292)))),1))," ",REPT(" ",LEN(A292))),LEN(A292)))), LARGE(INDEX(ISNUMBER(--MID((--TRIM(RIGHT(SUBSTITUTE(LEFT(A292,_xlfn.AGGREGATE(16,6,FIND({0,1,2,3,4,5,6,7,8,9},A292,ROW(INDIRECT("1:"&amp;LEN(A292)))),1))," ",REPT(" ",LEN(A292))),LEN(A292)))), ROW(INDIRECT("1:"&amp;LEN((--TRIM(RIGHT(SUBSTITUTE(LEFT(A292,_xlfn.AGGREGATE(16,6,FIND({0,1,2,3,4,5,6,7,8,9},A292,ROW(INDIRECT("1:"&amp;LEN(A292)))),1))," ",REPT(" ",LEN(A292))),LEN(A292))))))), 1)) * ROW(INDIRECT("1:"&amp;LEN((--TRIM(RIGHT(SUBSTITUTE(LEFT(A292,_xlfn.AGGREGATE(16,6,FIND({0,1,2,3,4,5,6,7,8,9},A292,ROW(INDIRECT("1:"&amp;LEN(A292)))),1))," ",REPT(" ",LEN(A292))),LEN(A292))))))), 0), ROW(INDIRECT("1:"&amp;LEN((--TRIM(RIGHT(SUBSTITUTE(LEFT(A292,_xlfn.AGGREGATE(16,6,FIND({0,1,2,3,4,5,6,7,8,9},A292,ROW(INDIRECT("1:"&amp;LEN(A292)))),1))," ",REPT(" ",LEN(A292))),LEN(A292))))))))+1, 1) * 10^ROW(INDIRECT("1:"&amp;LEN((--TRIM(RIGHT(SUBSTITUTE(LEFT(A292,_xlfn.AGGREGATE(16,6,FIND({0,1,2,3,4,5,6,7,8,9},A292,ROW(INDIRECT("1:"&amp;LEN(A292)))),1))," ",REPT(" ",LEN(A292))),LEN(A292)))))))/10))*1+1</f>
        <v>203 &amp; 403</v>
      </c>
      <c r="B293" s="72"/>
      <c r="C293" s="48">
        <v>2</v>
      </c>
      <c r="D293" s="49">
        <f>(48.01+3.55)*(10.764)</f>
        <v>554.99183999999991</v>
      </c>
      <c r="E293" s="40">
        <v>0</v>
      </c>
      <c r="F293" s="40">
        <v>900</v>
      </c>
      <c r="G293" s="82"/>
      <c r="H293" s="83"/>
      <c r="I293" s="34"/>
      <c r="J293" s="35">
        <f t="shared" si="24"/>
        <v>1.6216454641927711</v>
      </c>
    </row>
    <row r="294" spans="1:10" s="35" customFormat="1" ht="15.75" customHeight="1" x14ac:dyDescent="0.35">
      <c r="A294" s="71" t="str">
        <f ca="1">(SUMPRODUCT(MID(0&amp;(LEFT(A293,SUM(LEN(A293)-LEN(SUBSTITUTE(A293,{"0","1","2"},""))))), LARGE(INDEX(ISNUMBER(--MID((LEFT(A293,SUM(LEN(A293)-LEN(SUBSTITUTE(A293,{"0","1","2"},""))))), ROW(INDIRECT("1:"&amp;LEN((LEFT(A293,SUM(LEN(A293)-LEN(SUBSTITUTE(A293,{"0","1","2"},"")))))))), 1)) * ROW(INDIRECT("1:"&amp;LEN((LEFT(A293,SUM(LEN(A293)-LEN(SUBSTITUTE(A293,{"0","1","2"},"")))))))), 0), ROW(INDIRECT("1:"&amp;LEN((LEFT(A293,SUM(LEN(A293)-LEN(SUBSTITUTE(A293,{"0","1","2"},"")))))))))+1, 1) * 10^ROW(INDIRECT("1:"&amp;LEN((LEFT(A293,SUM(LEN(A293)-LEN(SUBSTITUTE(A293,{"0","1","2"},""))))))))/10))*1+1&amp;""&amp;" &amp; "&amp;""&amp;(SUMPRODUCT(MID(0&amp;(--TRIM(RIGHT(SUBSTITUTE(LEFT(A293,_xlfn.AGGREGATE(16,6,FIND({0,1,2,3,4,5,6,7,8,9},A293,ROW(INDIRECT("1:"&amp;LEN(A293)))),1))," ",REPT(" ",LEN(A293))),LEN(A293)))), LARGE(INDEX(ISNUMBER(--MID((--TRIM(RIGHT(SUBSTITUTE(LEFT(A293,_xlfn.AGGREGATE(16,6,FIND({0,1,2,3,4,5,6,7,8,9},A293,ROW(INDIRECT("1:"&amp;LEN(A293)))),1))," ",REPT(" ",LEN(A293))),LEN(A293)))), ROW(INDIRECT("1:"&amp;LEN((--TRIM(RIGHT(SUBSTITUTE(LEFT(A293,_xlfn.AGGREGATE(16,6,FIND({0,1,2,3,4,5,6,7,8,9},A293,ROW(INDIRECT("1:"&amp;LEN(A293)))),1))," ",REPT(" ",LEN(A293))),LEN(A293))))))), 1)) * ROW(INDIRECT("1:"&amp;LEN((--TRIM(RIGHT(SUBSTITUTE(LEFT(A293,_xlfn.AGGREGATE(16,6,FIND({0,1,2,3,4,5,6,7,8,9},A293,ROW(INDIRECT("1:"&amp;LEN(A293)))),1))," ",REPT(" ",LEN(A293))),LEN(A293))))))), 0), ROW(INDIRECT("1:"&amp;LEN((--TRIM(RIGHT(SUBSTITUTE(LEFT(A293,_xlfn.AGGREGATE(16,6,FIND({0,1,2,3,4,5,6,7,8,9},A293,ROW(INDIRECT("1:"&amp;LEN(A293)))),1))," ",REPT(" ",LEN(A293))),LEN(A293))))))))+1, 1) * 10^ROW(INDIRECT("1:"&amp;LEN((--TRIM(RIGHT(SUBSTITUTE(LEFT(A293,_xlfn.AGGREGATE(16,6,FIND({0,1,2,3,4,5,6,7,8,9},A293,ROW(INDIRECT("1:"&amp;LEN(A293)))),1))," ",REPT(" ",LEN(A293))),LEN(A293)))))))/10))*1+1</f>
        <v>204 &amp; 404</v>
      </c>
      <c r="B294" s="72"/>
      <c r="C294" s="48">
        <v>1</v>
      </c>
      <c r="D294" s="49">
        <f>(32.8+8.1)*(10.764)</f>
        <v>440.24759999999998</v>
      </c>
      <c r="E294" s="40">
        <v>0</v>
      </c>
      <c r="F294" s="40">
        <v>712</v>
      </c>
      <c r="G294" s="82"/>
      <c r="H294" s="83"/>
      <c r="I294" s="34"/>
      <c r="J294" s="35">
        <f t="shared" si="24"/>
        <v>1.6172717352689714</v>
      </c>
    </row>
    <row r="295" spans="1:10" s="35" customFormat="1" ht="15.75" customHeight="1" x14ac:dyDescent="0.35">
      <c r="A295" s="71" t="str">
        <f ca="1">(SUMPRODUCT(MID(0&amp;(LEFT(A294,SUM(LEN(A294)-LEN(SUBSTITUTE(A294,{"0","1","2"},""))))), LARGE(INDEX(ISNUMBER(--MID((LEFT(A294,SUM(LEN(A294)-LEN(SUBSTITUTE(A294,{"0","1","2"},""))))), ROW(INDIRECT("1:"&amp;LEN((LEFT(A294,SUM(LEN(A294)-LEN(SUBSTITUTE(A294,{"0","1","2"},"")))))))), 1)) * ROW(INDIRECT("1:"&amp;LEN((LEFT(A294,SUM(LEN(A294)-LEN(SUBSTITUTE(A294,{"0","1","2"},"")))))))), 0), ROW(INDIRECT("1:"&amp;LEN((LEFT(A294,SUM(LEN(A294)-LEN(SUBSTITUTE(A294,{"0","1","2"},"")))))))))+1, 1) * 10^ROW(INDIRECT("1:"&amp;LEN((LEFT(A294,SUM(LEN(A294)-LEN(SUBSTITUTE(A294,{"0","1","2"},""))))))))/10))*1+1&amp;""&amp;" &amp; "&amp;""&amp;(SUMPRODUCT(MID(0&amp;(--TRIM(RIGHT(SUBSTITUTE(LEFT(A294,_xlfn.AGGREGATE(16,6,FIND({0,1,2,3,4,5,6,7,8,9},A294,ROW(INDIRECT("1:"&amp;LEN(A294)))),1))," ",REPT(" ",LEN(A294))),LEN(A294)))), LARGE(INDEX(ISNUMBER(--MID((--TRIM(RIGHT(SUBSTITUTE(LEFT(A294,_xlfn.AGGREGATE(16,6,FIND({0,1,2,3,4,5,6,7,8,9},A294,ROW(INDIRECT("1:"&amp;LEN(A294)))),1))," ",REPT(" ",LEN(A294))),LEN(A294)))), ROW(INDIRECT("1:"&amp;LEN((--TRIM(RIGHT(SUBSTITUTE(LEFT(A294,_xlfn.AGGREGATE(16,6,FIND({0,1,2,3,4,5,6,7,8,9},A294,ROW(INDIRECT("1:"&amp;LEN(A294)))),1))," ",REPT(" ",LEN(A294))),LEN(A294))))))), 1)) * ROW(INDIRECT("1:"&amp;LEN((--TRIM(RIGHT(SUBSTITUTE(LEFT(A294,_xlfn.AGGREGATE(16,6,FIND({0,1,2,3,4,5,6,7,8,9},A294,ROW(INDIRECT("1:"&amp;LEN(A294)))),1))," ",REPT(" ",LEN(A294))),LEN(A294))))))), 0), ROW(INDIRECT("1:"&amp;LEN((--TRIM(RIGHT(SUBSTITUTE(LEFT(A294,_xlfn.AGGREGATE(16,6,FIND({0,1,2,3,4,5,6,7,8,9},A294,ROW(INDIRECT("1:"&amp;LEN(A294)))),1))," ",REPT(" ",LEN(A294))),LEN(A294))))))))+1, 1) * 10^ROW(INDIRECT("1:"&amp;LEN((--TRIM(RIGHT(SUBSTITUTE(LEFT(A294,_xlfn.AGGREGATE(16,6,FIND({0,1,2,3,4,5,6,7,8,9},A294,ROW(INDIRECT("1:"&amp;LEN(A294)))),1))," ",REPT(" ",LEN(A294))),LEN(A294)))))))/10))*1+1</f>
        <v>205 &amp; 405</v>
      </c>
      <c r="B295" s="72"/>
      <c r="C295" s="48">
        <v>2</v>
      </c>
      <c r="D295" s="49">
        <f>(48.54+7.95)*(10.764)</f>
        <v>608.05835999999999</v>
      </c>
      <c r="E295" s="40">
        <v>0</v>
      </c>
      <c r="F295" s="40">
        <v>985</v>
      </c>
      <c r="G295" s="82"/>
      <c r="H295" s="83"/>
      <c r="I295" s="34"/>
      <c r="J295" s="35">
        <f t="shared" si="24"/>
        <v>1.6199102993995511</v>
      </c>
    </row>
    <row r="296" spans="1:10" s="35" customFormat="1" ht="15.75" customHeight="1" x14ac:dyDescent="0.35">
      <c r="A296" s="71" t="str">
        <f ca="1">(SUMPRODUCT(MID(0&amp;(LEFT(A295,SUM(LEN(A295)-LEN(SUBSTITUTE(A295,{"0","1","2"},""))))), LARGE(INDEX(ISNUMBER(--MID((LEFT(A295,SUM(LEN(A295)-LEN(SUBSTITUTE(A295,{"0","1","2"},""))))), ROW(INDIRECT("1:"&amp;LEN((LEFT(A295,SUM(LEN(A295)-LEN(SUBSTITUTE(A295,{"0","1","2"},"")))))))), 1)) * ROW(INDIRECT("1:"&amp;LEN((LEFT(A295,SUM(LEN(A295)-LEN(SUBSTITUTE(A295,{"0","1","2"},"")))))))), 0), ROW(INDIRECT("1:"&amp;LEN((LEFT(A295,SUM(LEN(A295)-LEN(SUBSTITUTE(A295,{"0","1","2"},"")))))))))+1, 1) * 10^ROW(INDIRECT("1:"&amp;LEN((LEFT(A295,SUM(LEN(A295)-LEN(SUBSTITUTE(A295,{"0","1","2"},""))))))))/10))*1+1&amp;""&amp;" &amp; "&amp;""&amp;(SUMPRODUCT(MID(0&amp;(--TRIM(RIGHT(SUBSTITUTE(LEFT(A295,_xlfn.AGGREGATE(16,6,FIND({0,1,2,3,4,5,6,7,8,9},A295,ROW(INDIRECT("1:"&amp;LEN(A295)))),1))," ",REPT(" ",LEN(A295))),LEN(A295)))), LARGE(INDEX(ISNUMBER(--MID((--TRIM(RIGHT(SUBSTITUTE(LEFT(A295,_xlfn.AGGREGATE(16,6,FIND({0,1,2,3,4,5,6,7,8,9},A295,ROW(INDIRECT("1:"&amp;LEN(A295)))),1))," ",REPT(" ",LEN(A295))),LEN(A295)))), ROW(INDIRECT("1:"&amp;LEN((--TRIM(RIGHT(SUBSTITUTE(LEFT(A295,_xlfn.AGGREGATE(16,6,FIND({0,1,2,3,4,5,6,7,8,9},A295,ROW(INDIRECT("1:"&amp;LEN(A295)))),1))," ",REPT(" ",LEN(A295))),LEN(A295))))))), 1)) * ROW(INDIRECT("1:"&amp;LEN((--TRIM(RIGHT(SUBSTITUTE(LEFT(A295,_xlfn.AGGREGATE(16,6,FIND({0,1,2,3,4,5,6,7,8,9},A295,ROW(INDIRECT("1:"&amp;LEN(A295)))),1))," ",REPT(" ",LEN(A295))),LEN(A295))))))), 0), ROW(INDIRECT("1:"&amp;LEN((--TRIM(RIGHT(SUBSTITUTE(LEFT(A295,_xlfn.AGGREGATE(16,6,FIND({0,1,2,3,4,5,6,7,8,9},A295,ROW(INDIRECT("1:"&amp;LEN(A295)))),1))," ",REPT(" ",LEN(A295))),LEN(A295))))))))+1, 1) * 10^ROW(INDIRECT("1:"&amp;LEN((--TRIM(RIGHT(SUBSTITUTE(LEFT(A295,_xlfn.AGGREGATE(16,6,FIND({0,1,2,3,4,5,6,7,8,9},A295,ROW(INDIRECT("1:"&amp;LEN(A295)))),1))," ",REPT(" ",LEN(A295))),LEN(A295)))))))/10))*1+1</f>
        <v>206 &amp; 406</v>
      </c>
      <c r="B296" s="72"/>
      <c r="C296" s="48">
        <v>2</v>
      </c>
      <c r="D296" s="49">
        <f>(49.18+7.96)*(10.764)</f>
        <v>615.05495999999994</v>
      </c>
      <c r="E296" s="40">
        <v>0</v>
      </c>
      <c r="F296" s="40">
        <v>995</v>
      </c>
      <c r="G296" s="84"/>
      <c r="H296" s="85"/>
      <c r="I296" s="34"/>
      <c r="J296" s="35">
        <f t="shared" si="24"/>
        <v>1.6177416080019908</v>
      </c>
    </row>
    <row r="297" spans="1:10" s="33" customFormat="1" x14ac:dyDescent="0.35">
      <c r="A297" s="110" t="s">
        <v>71</v>
      </c>
      <c r="B297" s="110"/>
      <c r="C297" s="110"/>
      <c r="D297" s="110"/>
      <c r="E297" s="110"/>
      <c r="F297" s="110"/>
      <c r="G297" s="110"/>
      <c r="H297" s="110"/>
    </row>
    <row r="298" spans="1:10" s="33" customFormat="1" x14ac:dyDescent="0.35">
      <c r="A298" s="43" t="s">
        <v>152</v>
      </c>
      <c r="B298" s="102" t="s">
        <v>228</v>
      </c>
      <c r="C298" s="103"/>
      <c r="D298" s="103"/>
      <c r="E298" s="103"/>
      <c r="F298" s="103"/>
      <c r="G298" s="103"/>
      <c r="H298" s="104"/>
    </row>
    <row r="299" spans="1:10" s="33" customFormat="1" x14ac:dyDescent="0.35">
      <c r="A299" s="43" t="s">
        <v>152</v>
      </c>
      <c r="B299" s="102" t="str">
        <f>(IF(F176="Saleable area Loading :","We have considered Saleable area of Flats as per our Calculation.","We considered Saleable area of Flat as per Builder area Sheet."))</f>
        <v>We considered Saleable area of Flat as per Builder area Sheet.</v>
      </c>
      <c r="C299" s="103"/>
      <c r="D299" s="103"/>
      <c r="E299" s="103"/>
      <c r="F299" s="103"/>
      <c r="G299" s="103"/>
      <c r="H299" s="104"/>
    </row>
    <row r="300" spans="1:10" s="33" customFormat="1" x14ac:dyDescent="0.35">
      <c r="A300" s="43" t="s">
        <v>152</v>
      </c>
      <c r="B300" s="102" t="str">
        <f>(IF(F138="Saleable area Loading :","We have considered Saleable area of Commercial as per our Calculation.","We considered Saleable area of Commercial as per Builder area Sheet."))</f>
        <v>We have considered Saleable area of Commercial as per our Calculation.</v>
      </c>
      <c r="C300" s="103"/>
      <c r="D300" s="103"/>
      <c r="E300" s="103"/>
      <c r="F300" s="103"/>
      <c r="G300" s="103"/>
      <c r="H300" s="104"/>
    </row>
    <row r="301" spans="1:10" s="33" customFormat="1" x14ac:dyDescent="0.35">
      <c r="A301" s="43" t="s">
        <v>152</v>
      </c>
      <c r="B301" s="74" t="s">
        <v>124</v>
      </c>
      <c r="C301" s="75"/>
      <c r="D301" s="75"/>
      <c r="E301" s="75"/>
      <c r="F301" s="75"/>
      <c r="G301" s="75"/>
      <c r="H301" s="76"/>
    </row>
    <row r="302" spans="1:10" s="33" customFormat="1" x14ac:dyDescent="0.35">
      <c r="A302" s="43" t="s">
        <v>152</v>
      </c>
      <c r="B302" s="74" t="s">
        <v>206</v>
      </c>
      <c r="C302" s="75"/>
      <c r="D302" s="75"/>
      <c r="E302" s="75"/>
      <c r="F302" s="75"/>
      <c r="G302" s="75"/>
      <c r="H302" s="76"/>
    </row>
    <row r="303" spans="1:10" s="33" customFormat="1" x14ac:dyDescent="0.35">
      <c r="A303" s="43" t="s">
        <v>152</v>
      </c>
      <c r="B303" s="74" t="s">
        <v>151</v>
      </c>
      <c r="C303" s="75"/>
      <c r="D303" s="75"/>
      <c r="E303" s="75"/>
      <c r="F303" s="75"/>
      <c r="G303" s="75"/>
      <c r="H303" s="76"/>
    </row>
    <row r="304" spans="1:10" s="33" customFormat="1" x14ac:dyDescent="0.35">
      <c r="A304" s="43" t="s">
        <v>152</v>
      </c>
      <c r="B304" s="74" t="s">
        <v>125</v>
      </c>
      <c r="C304" s="75"/>
      <c r="D304" s="75"/>
      <c r="E304" s="75"/>
      <c r="F304" s="75"/>
      <c r="G304" s="75"/>
      <c r="H304" s="76"/>
    </row>
    <row r="305" spans="1:8" s="33" customFormat="1" ht="34.5" customHeight="1" x14ac:dyDescent="0.35">
      <c r="A305" s="43" t="s">
        <v>152</v>
      </c>
      <c r="B305" s="74" t="s">
        <v>153</v>
      </c>
      <c r="C305" s="75"/>
      <c r="D305" s="75"/>
      <c r="E305" s="75"/>
      <c r="F305" s="75"/>
      <c r="G305" s="75"/>
      <c r="H305" s="76"/>
    </row>
    <row r="306" spans="1:8" s="33" customFormat="1" x14ac:dyDescent="0.35">
      <c r="A306" s="43" t="s">
        <v>152</v>
      </c>
      <c r="B306" s="74" t="s">
        <v>126</v>
      </c>
      <c r="C306" s="75"/>
      <c r="D306" s="75"/>
      <c r="E306" s="75"/>
      <c r="F306" s="75"/>
      <c r="G306" s="75"/>
      <c r="H306" s="76"/>
    </row>
    <row r="307" spans="1:8" s="33" customFormat="1" hidden="1" x14ac:dyDescent="0.35">
      <c r="A307" s="52" t="s">
        <v>152</v>
      </c>
      <c r="B307" s="74" t="s">
        <v>210</v>
      </c>
      <c r="C307" s="75"/>
      <c r="D307" s="75"/>
      <c r="E307" s="75"/>
      <c r="F307" s="75"/>
      <c r="G307" s="75"/>
      <c r="H307" s="76"/>
    </row>
    <row r="308" spans="1:8" s="33" customFormat="1" x14ac:dyDescent="0.35">
      <c r="A308" s="59" t="s">
        <v>152</v>
      </c>
      <c r="B308" s="74" t="s">
        <v>223</v>
      </c>
      <c r="C308" s="75"/>
      <c r="D308" s="75"/>
      <c r="E308" s="75"/>
      <c r="F308" s="75"/>
      <c r="G308" s="75"/>
      <c r="H308" s="76"/>
    </row>
    <row r="309" spans="1:8" x14ac:dyDescent="0.35">
      <c r="A309" s="108" t="s">
        <v>64</v>
      </c>
      <c r="B309" s="108"/>
      <c r="C309" s="108"/>
      <c r="D309" s="108"/>
      <c r="E309" s="108"/>
      <c r="F309" s="108"/>
      <c r="G309" s="108"/>
      <c r="H309" s="108"/>
    </row>
    <row r="310" spans="1:8" x14ac:dyDescent="0.35">
      <c r="A310" s="89" t="s">
        <v>65</v>
      </c>
      <c r="B310" s="89"/>
      <c r="C310" s="89"/>
      <c r="D310" s="89"/>
      <c r="E310" s="89"/>
      <c r="F310" s="89"/>
      <c r="G310" s="89"/>
      <c r="H310" s="89"/>
    </row>
    <row r="311" spans="1:8" ht="15.75" customHeight="1" x14ac:dyDescent="0.35">
      <c r="A311" s="90" t="s">
        <v>66</v>
      </c>
      <c r="B311" s="90"/>
      <c r="C311" s="90"/>
      <c r="D311" s="90"/>
      <c r="E311" s="90"/>
      <c r="F311" s="90"/>
      <c r="G311" s="90"/>
      <c r="H311" s="90"/>
    </row>
    <row r="312" spans="1:8" x14ac:dyDescent="0.35">
      <c r="A312" s="89" t="s">
        <v>67</v>
      </c>
      <c r="B312" s="89"/>
      <c r="C312" s="89"/>
      <c r="D312" s="89"/>
      <c r="E312" s="89"/>
      <c r="F312" s="89"/>
      <c r="G312" s="89"/>
      <c r="H312" s="89"/>
    </row>
    <row r="313" spans="1:8" x14ac:dyDescent="0.35">
      <c r="A313" s="89" t="s">
        <v>68</v>
      </c>
      <c r="B313" s="89"/>
      <c r="C313" s="89"/>
      <c r="D313" s="89"/>
      <c r="E313" s="89"/>
      <c r="F313" s="89"/>
      <c r="G313" s="89"/>
      <c r="H313" s="89"/>
    </row>
    <row r="314" spans="1:8" x14ac:dyDescent="0.35">
      <c r="A314" s="89" t="s">
        <v>127</v>
      </c>
      <c r="B314" s="89"/>
      <c r="C314" s="89"/>
      <c r="D314" s="89"/>
      <c r="E314" s="89"/>
      <c r="F314" s="89"/>
      <c r="G314" s="89"/>
      <c r="H314" s="89"/>
    </row>
    <row r="315" spans="1:8" x14ac:dyDescent="0.35">
      <c r="A315" s="101" t="s">
        <v>128</v>
      </c>
      <c r="B315" s="101"/>
      <c r="C315" s="101"/>
      <c r="D315" s="101"/>
      <c r="E315" s="101"/>
      <c r="F315" s="101"/>
      <c r="G315" s="101"/>
      <c r="H315" s="101"/>
    </row>
    <row r="316" spans="1:8" x14ac:dyDescent="0.35">
      <c r="A316" s="100" t="s">
        <v>81</v>
      </c>
      <c r="B316" s="100"/>
      <c r="C316" s="100" t="s">
        <v>226</v>
      </c>
      <c r="D316" s="100"/>
      <c r="E316" s="100" t="s">
        <v>106</v>
      </c>
      <c r="F316" s="100"/>
      <c r="G316" s="100" t="s">
        <v>227</v>
      </c>
      <c r="H316" s="100"/>
    </row>
    <row r="317" spans="1:8" x14ac:dyDescent="0.35">
      <c r="A317" s="99" t="s">
        <v>83</v>
      </c>
      <c r="B317" s="99"/>
      <c r="C317" s="99"/>
      <c r="D317" s="99"/>
      <c r="E317" s="99"/>
      <c r="F317" s="99"/>
      <c r="G317" s="99"/>
      <c r="H317" s="99"/>
    </row>
    <row r="318" spans="1:8" x14ac:dyDescent="0.35">
      <c r="A318" s="99"/>
      <c r="B318" s="99"/>
      <c r="C318" s="99"/>
      <c r="D318" s="99"/>
      <c r="E318" s="99"/>
      <c r="F318" s="99"/>
      <c r="G318" s="99"/>
      <c r="H318" s="99"/>
    </row>
    <row r="319" spans="1:8" x14ac:dyDescent="0.35">
      <c r="A319" s="99"/>
      <c r="B319" s="99"/>
      <c r="C319" s="99"/>
      <c r="D319" s="99"/>
      <c r="E319" s="99"/>
      <c r="F319" s="99"/>
      <c r="G319" s="99"/>
      <c r="H319" s="99"/>
    </row>
    <row r="320" spans="1:8" x14ac:dyDescent="0.35">
      <c r="A320" s="99"/>
      <c r="B320" s="99"/>
      <c r="C320" s="99"/>
      <c r="D320" s="99"/>
      <c r="E320" s="99"/>
      <c r="F320" s="99"/>
      <c r="G320" s="99"/>
      <c r="H320" s="99"/>
    </row>
    <row r="321" spans="1:8" x14ac:dyDescent="0.35">
      <c r="A321" s="36" t="s">
        <v>69</v>
      </c>
      <c r="B321" s="37"/>
      <c r="C321" s="37"/>
      <c r="D321" s="36" t="str">
        <f>E8</f>
        <v>Balaji Avvante</v>
      </c>
      <c r="F321" s="37"/>
      <c r="G321" s="37"/>
      <c r="H321" s="37"/>
    </row>
    <row r="322" spans="1:8" x14ac:dyDescent="0.35">
      <c r="A322" s="37"/>
      <c r="B322" s="37"/>
      <c r="C322" s="37"/>
      <c r="D322" s="37"/>
      <c r="E322" s="37"/>
      <c r="F322" s="37"/>
      <c r="G322" s="37"/>
      <c r="H322" s="37"/>
    </row>
    <row r="323" spans="1:8" x14ac:dyDescent="0.35">
      <c r="A323" s="37"/>
      <c r="B323" s="37"/>
      <c r="C323" s="37"/>
      <c r="D323" s="37"/>
      <c r="E323" s="37"/>
      <c r="F323" s="37"/>
      <c r="G323" s="37"/>
      <c r="H323" s="37"/>
    </row>
    <row r="324" spans="1:8" ht="15" customHeight="1" x14ac:dyDescent="0.35"/>
    <row r="365" spans="1:1" x14ac:dyDescent="0.35">
      <c r="A365" s="39" t="s">
        <v>164</v>
      </c>
    </row>
    <row r="402" spans="1:1" x14ac:dyDescent="0.35">
      <c r="A402" s="39" t="s">
        <v>70</v>
      </c>
    </row>
  </sheetData>
  <mergeCells count="512">
    <mergeCell ref="A83:B83"/>
    <mergeCell ref="C83:H83"/>
    <mergeCell ref="A84:B84"/>
    <mergeCell ref="E84:F84"/>
    <mergeCell ref="G84:H84"/>
    <mergeCell ref="A85:B85"/>
    <mergeCell ref="E85:F94"/>
    <mergeCell ref="G85:H94"/>
    <mergeCell ref="A86:B86"/>
    <mergeCell ref="A87:B87"/>
    <mergeCell ref="A88:B88"/>
    <mergeCell ref="A89:B89"/>
    <mergeCell ref="A90:B90"/>
    <mergeCell ref="A91:B91"/>
    <mergeCell ref="A92:B92"/>
    <mergeCell ref="A93:B93"/>
    <mergeCell ref="A94:B94"/>
    <mergeCell ref="A74:B74"/>
    <mergeCell ref="A75:B75"/>
    <mergeCell ref="A76:B76"/>
    <mergeCell ref="A77:B77"/>
    <mergeCell ref="A78:B78"/>
    <mergeCell ref="A79:B79"/>
    <mergeCell ref="A80:B80"/>
    <mergeCell ref="A81:B81"/>
    <mergeCell ref="C81:H81"/>
    <mergeCell ref="E123:F123"/>
    <mergeCell ref="F115:H115"/>
    <mergeCell ref="A126:A129"/>
    <mergeCell ref="A96:B96"/>
    <mergeCell ref="C96:H96"/>
    <mergeCell ref="A98:B98"/>
    <mergeCell ref="C98:H98"/>
    <mergeCell ref="A99:B99"/>
    <mergeCell ref="E99:F99"/>
    <mergeCell ref="G99:H99"/>
    <mergeCell ref="A100:B100"/>
    <mergeCell ref="E100:F109"/>
    <mergeCell ref="G100:H109"/>
    <mergeCell ref="A101:B101"/>
    <mergeCell ref="A102:B102"/>
    <mergeCell ref="A103:B103"/>
    <mergeCell ref="A104:B104"/>
    <mergeCell ref="A105:B105"/>
    <mergeCell ref="A106:B106"/>
    <mergeCell ref="A107:B107"/>
    <mergeCell ref="A110:E110"/>
    <mergeCell ref="C122:D122"/>
    <mergeCell ref="G95:H95"/>
    <mergeCell ref="C95:D95"/>
    <mergeCell ref="B307:H307"/>
    <mergeCell ref="G123:H123"/>
    <mergeCell ref="C127:D127"/>
    <mergeCell ref="E127:F127"/>
    <mergeCell ref="G127:H127"/>
    <mergeCell ref="C125:D125"/>
    <mergeCell ref="G125:H125"/>
    <mergeCell ref="C132:D132"/>
    <mergeCell ref="E132:F132"/>
    <mergeCell ref="G132:H132"/>
    <mergeCell ref="C133:D133"/>
    <mergeCell ref="E133:F133"/>
    <mergeCell ref="G133:H133"/>
    <mergeCell ref="A108:B108"/>
    <mergeCell ref="A109:B109"/>
    <mergeCell ref="B305:H305"/>
    <mergeCell ref="E122:F122"/>
    <mergeCell ref="G122:H122"/>
    <mergeCell ref="A123:B123"/>
    <mergeCell ref="C123:D123"/>
    <mergeCell ref="E131:F131"/>
    <mergeCell ref="A160:B160"/>
    <mergeCell ref="L154:M154"/>
    <mergeCell ref="C126:D126"/>
    <mergeCell ref="C48:H48"/>
    <mergeCell ref="B303:H303"/>
    <mergeCell ref="F112:H112"/>
    <mergeCell ref="A112:E112"/>
    <mergeCell ref="D138:D139"/>
    <mergeCell ref="A154:B154"/>
    <mergeCell ref="A134:B134"/>
    <mergeCell ref="E134:F134"/>
    <mergeCell ref="C128:D128"/>
    <mergeCell ref="E128:F128"/>
    <mergeCell ref="A141:H141"/>
    <mergeCell ref="A177:H177"/>
    <mergeCell ref="A140:H140"/>
    <mergeCell ref="A158:B158"/>
    <mergeCell ref="A142:H142"/>
    <mergeCell ref="A143:B143"/>
    <mergeCell ref="C131:D131"/>
    <mergeCell ref="A95:B95"/>
    <mergeCell ref="E95:F95"/>
    <mergeCell ref="G131:H131"/>
    <mergeCell ref="A113:E113"/>
    <mergeCell ref="C134:D134"/>
    <mergeCell ref="A145:B145"/>
    <mergeCell ref="A173:B173"/>
    <mergeCell ref="L173:M173"/>
    <mergeCell ref="E120:F120"/>
    <mergeCell ref="A120:B120"/>
    <mergeCell ref="A122:B122"/>
    <mergeCell ref="A114:E114"/>
    <mergeCell ref="F114:H114"/>
    <mergeCell ref="A157:B157"/>
    <mergeCell ref="A116:E116"/>
    <mergeCell ref="G134:H134"/>
    <mergeCell ref="A119:H119"/>
    <mergeCell ref="A117:E117"/>
    <mergeCell ref="F117:H117"/>
    <mergeCell ref="A118:E118"/>
    <mergeCell ref="F118:H118"/>
    <mergeCell ref="G154:H174"/>
    <mergeCell ref="A130:A133"/>
    <mergeCell ref="G129:H129"/>
    <mergeCell ref="C130:D130"/>
    <mergeCell ref="E130:F130"/>
    <mergeCell ref="G130:H130"/>
    <mergeCell ref="A165:B165"/>
    <mergeCell ref="L165:M165"/>
    <mergeCell ref="A197:B197"/>
    <mergeCell ref="A136:H136"/>
    <mergeCell ref="L147:M147"/>
    <mergeCell ref="L148:M148"/>
    <mergeCell ref="L149:M149"/>
    <mergeCell ref="L150:M150"/>
    <mergeCell ref="L143:M143"/>
    <mergeCell ref="L144:M144"/>
    <mergeCell ref="L145:M145"/>
    <mergeCell ref="A146:B146"/>
    <mergeCell ref="L146:M146"/>
    <mergeCell ref="B138:B139"/>
    <mergeCell ref="A138:A139"/>
    <mergeCell ref="A166:B166"/>
    <mergeCell ref="A170:B170"/>
    <mergeCell ref="A174:B174"/>
    <mergeCell ref="A189:B189"/>
    <mergeCell ref="A190:B190"/>
    <mergeCell ref="A191:B191"/>
    <mergeCell ref="A153:H153"/>
    <mergeCell ref="E138:E139"/>
    <mergeCell ref="G138:H139"/>
    <mergeCell ref="A162:B162"/>
    <mergeCell ref="L164:M164"/>
    <mergeCell ref="A65:C65"/>
    <mergeCell ref="D65:H65"/>
    <mergeCell ref="L163:M163"/>
    <mergeCell ref="L158:M158"/>
    <mergeCell ref="A159:B159"/>
    <mergeCell ref="L159:M159"/>
    <mergeCell ref="F110:H110"/>
    <mergeCell ref="C120:D120"/>
    <mergeCell ref="F116:H116"/>
    <mergeCell ref="F113:H113"/>
    <mergeCell ref="G128:H128"/>
    <mergeCell ref="C129:D129"/>
    <mergeCell ref="E129:F129"/>
    <mergeCell ref="L155:M155"/>
    <mergeCell ref="L157:M157"/>
    <mergeCell ref="L156:M156"/>
    <mergeCell ref="L160:M160"/>
    <mergeCell ref="A161:B161"/>
    <mergeCell ref="L161:M161"/>
    <mergeCell ref="A155:B155"/>
    <mergeCell ref="A156:B156"/>
    <mergeCell ref="E126:F126"/>
    <mergeCell ref="G126:H126"/>
    <mergeCell ref="A111:E111"/>
    <mergeCell ref="A67:B67"/>
    <mergeCell ref="C67:H67"/>
    <mergeCell ref="A69:B69"/>
    <mergeCell ref="C69:H69"/>
    <mergeCell ref="A70:B70"/>
    <mergeCell ref="E70:F70"/>
    <mergeCell ref="A43:D43"/>
    <mergeCell ref="E43:H43"/>
    <mergeCell ref="E44:H44"/>
    <mergeCell ref="E45:H45"/>
    <mergeCell ref="E46:H46"/>
    <mergeCell ref="A44:D44"/>
    <mergeCell ref="A62:C62"/>
    <mergeCell ref="D62:H62"/>
    <mergeCell ref="G70:H70"/>
    <mergeCell ref="A61:C61"/>
    <mergeCell ref="D60:H60"/>
    <mergeCell ref="D61:H61"/>
    <mergeCell ref="A63:C63"/>
    <mergeCell ref="D63:H63"/>
    <mergeCell ref="A66:C66"/>
    <mergeCell ref="D66:H66"/>
    <mergeCell ref="A64:C64"/>
    <mergeCell ref="D64:H64"/>
    <mergeCell ref="A37:H37"/>
    <mergeCell ref="D58:H58"/>
    <mergeCell ref="D59:H59"/>
    <mergeCell ref="C50:E50"/>
    <mergeCell ref="A53:B53"/>
    <mergeCell ref="C53:E53"/>
    <mergeCell ref="A50:B50"/>
    <mergeCell ref="A54:H54"/>
    <mergeCell ref="A55:C55"/>
    <mergeCell ref="A56:C56"/>
    <mergeCell ref="D56:H56"/>
    <mergeCell ref="G53:H53"/>
    <mergeCell ref="C52:H52"/>
    <mergeCell ref="A39:B39"/>
    <mergeCell ref="C39:H39"/>
    <mergeCell ref="A48:B48"/>
    <mergeCell ref="A36:B36"/>
    <mergeCell ref="C36:E36"/>
    <mergeCell ref="A41:D41"/>
    <mergeCell ref="E41:H41"/>
    <mergeCell ref="F33:H33"/>
    <mergeCell ref="F34:H34"/>
    <mergeCell ref="A40:H40"/>
    <mergeCell ref="A60:C60"/>
    <mergeCell ref="F36:H36"/>
    <mergeCell ref="A38:B38"/>
    <mergeCell ref="E38:F38"/>
    <mergeCell ref="C38:D38"/>
    <mergeCell ref="G38:H38"/>
    <mergeCell ref="A45:D45"/>
    <mergeCell ref="A46:D46"/>
    <mergeCell ref="A47:H47"/>
    <mergeCell ref="D57:H57"/>
    <mergeCell ref="A57:C57"/>
    <mergeCell ref="G50:H50"/>
    <mergeCell ref="A51:B52"/>
    <mergeCell ref="G49:H49"/>
    <mergeCell ref="G51:H51"/>
    <mergeCell ref="D55:H55"/>
    <mergeCell ref="A58:C59"/>
    <mergeCell ref="E26:H26"/>
    <mergeCell ref="A28:D28"/>
    <mergeCell ref="E28:H28"/>
    <mergeCell ref="A25:D25"/>
    <mergeCell ref="E25:H25"/>
    <mergeCell ref="A29:D29"/>
    <mergeCell ref="E29:H29"/>
    <mergeCell ref="A26:D26"/>
    <mergeCell ref="A35:B35"/>
    <mergeCell ref="C35:E35"/>
    <mergeCell ref="A30:D30"/>
    <mergeCell ref="E30:H30"/>
    <mergeCell ref="A31:D31"/>
    <mergeCell ref="E31:H31"/>
    <mergeCell ref="A27:D27"/>
    <mergeCell ref="E27:H27"/>
    <mergeCell ref="C32:E32"/>
    <mergeCell ref="F35:H35"/>
    <mergeCell ref="F32:H32"/>
    <mergeCell ref="A33:B33"/>
    <mergeCell ref="A32:B32"/>
    <mergeCell ref="C33:E33"/>
    <mergeCell ref="A34:B34"/>
    <mergeCell ref="C34:E34"/>
    <mergeCell ref="A22:D23"/>
    <mergeCell ref="E22:H23"/>
    <mergeCell ref="E14:H14"/>
    <mergeCell ref="A15:B15"/>
    <mergeCell ref="C15:H15"/>
    <mergeCell ref="C16:H16"/>
    <mergeCell ref="A24:D24"/>
    <mergeCell ref="E24:H24"/>
    <mergeCell ref="A18:B18"/>
    <mergeCell ref="C18:D18"/>
    <mergeCell ref="E18:F18"/>
    <mergeCell ref="G18:H18"/>
    <mergeCell ref="A19:B19"/>
    <mergeCell ref="C19:D19"/>
    <mergeCell ref="E19:F19"/>
    <mergeCell ref="G19:H19"/>
    <mergeCell ref="A20:B20"/>
    <mergeCell ref="C20:D20"/>
    <mergeCell ref="E20:F20"/>
    <mergeCell ref="G20:H20"/>
    <mergeCell ref="A21:B21"/>
    <mergeCell ref="C21:D21"/>
    <mergeCell ref="E21:F21"/>
    <mergeCell ref="G21:H21"/>
    <mergeCell ref="A12:D12"/>
    <mergeCell ref="E12:H12"/>
    <mergeCell ref="A5:D5"/>
    <mergeCell ref="E5:H5"/>
    <mergeCell ref="A6:D6"/>
    <mergeCell ref="E6:H6"/>
    <mergeCell ref="A7:D7"/>
    <mergeCell ref="E7:H7"/>
    <mergeCell ref="A16:B16"/>
    <mergeCell ref="A13:D13"/>
    <mergeCell ref="E13:H13"/>
    <mergeCell ref="A14:D14"/>
    <mergeCell ref="A11:D11"/>
    <mergeCell ref="E11:H11"/>
    <mergeCell ref="A1:H1"/>
    <mergeCell ref="A2:H2"/>
    <mergeCell ref="A3:D3"/>
    <mergeCell ref="E3:H3"/>
    <mergeCell ref="A4:D4"/>
    <mergeCell ref="A8:D8"/>
    <mergeCell ref="E8:H8"/>
    <mergeCell ref="A10:D10"/>
    <mergeCell ref="E10:H10"/>
    <mergeCell ref="E4:H4"/>
    <mergeCell ref="A9:D9"/>
    <mergeCell ref="E9:H9"/>
    <mergeCell ref="A71:B71"/>
    <mergeCell ref="E71:F80"/>
    <mergeCell ref="G71:H80"/>
    <mergeCell ref="A72:B72"/>
    <mergeCell ref="A73:B73"/>
    <mergeCell ref="A121:B121"/>
    <mergeCell ref="A312:H312"/>
    <mergeCell ref="A124:H124"/>
    <mergeCell ref="A309:H309"/>
    <mergeCell ref="A310:H310"/>
    <mergeCell ref="E125:F125"/>
    <mergeCell ref="B306:H306"/>
    <mergeCell ref="B301:H301"/>
    <mergeCell ref="B302:H302"/>
    <mergeCell ref="A297:H297"/>
    <mergeCell ref="C138:C139"/>
    <mergeCell ref="B298:H298"/>
    <mergeCell ref="B299:H299"/>
    <mergeCell ref="A137:H137"/>
    <mergeCell ref="G120:H120"/>
    <mergeCell ref="A115:E115"/>
    <mergeCell ref="C121:D121"/>
    <mergeCell ref="E121:F121"/>
    <mergeCell ref="A240:H240"/>
    <mergeCell ref="A317:H320"/>
    <mergeCell ref="A316:B316"/>
    <mergeCell ref="E316:F316"/>
    <mergeCell ref="C316:D316"/>
    <mergeCell ref="G316:H316"/>
    <mergeCell ref="A315:H315"/>
    <mergeCell ref="A313:H313"/>
    <mergeCell ref="B304:H304"/>
    <mergeCell ref="B300:H300"/>
    <mergeCell ref="A229:B229"/>
    <mergeCell ref="A230:B230"/>
    <mergeCell ref="A17:B17"/>
    <mergeCell ref="C17:H17"/>
    <mergeCell ref="E42:H42"/>
    <mergeCell ref="A42:D42"/>
    <mergeCell ref="A314:H314"/>
    <mergeCell ref="A311:H311"/>
    <mergeCell ref="A125:B125"/>
    <mergeCell ref="G176:H176"/>
    <mergeCell ref="F111:H111"/>
    <mergeCell ref="G121:H121"/>
    <mergeCell ref="A49:B49"/>
    <mergeCell ref="C49:E49"/>
    <mergeCell ref="A147:B147"/>
    <mergeCell ref="A151:H151"/>
    <mergeCell ref="A152:H152"/>
    <mergeCell ref="C51:E51"/>
    <mergeCell ref="A148:B148"/>
    <mergeCell ref="A149:B149"/>
    <mergeCell ref="A150:B150"/>
    <mergeCell ref="G143:H150"/>
    <mergeCell ref="A144:B144"/>
    <mergeCell ref="A164:B164"/>
    <mergeCell ref="L162:M162"/>
    <mergeCell ref="A163:B163"/>
    <mergeCell ref="L174:M174"/>
    <mergeCell ref="A179:H179"/>
    <mergeCell ref="L166:M166"/>
    <mergeCell ref="A167:B167"/>
    <mergeCell ref="L167:M167"/>
    <mergeCell ref="A168:B168"/>
    <mergeCell ref="L168:M168"/>
    <mergeCell ref="A169:B169"/>
    <mergeCell ref="L169:M169"/>
    <mergeCell ref="A175:H175"/>
    <mergeCell ref="L170:M170"/>
    <mergeCell ref="A171:B171"/>
    <mergeCell ref="L171:M171"/>
    <mergeCell ref="A172:B172"/>
    <mergeCell ref="L172:M172"/>
    <mergeCell ref="A180:B180"/>
    <mergeCell ref="A181:B181"/>
    <mergeCell ref="A182:B182"/>
    <mergeCell ref="A183:B183"/>
    <mergeCell ref="A184:B184"/>
    <mergeCell ref="A185:B185"/>
    <mergeCell ref="A186:H186"/>
    <mergeCell ref="A178:H178"/>
    <mergeCell ref="A187:B187"/>
    <mergeCell ref="G180:H185"/>
    <mergeCell ref="G187:H192"/>
    <mergeCell ref="A188:B188"/>
    <mergeCell ref="A199:B199"/>
    <mergeCell ref="A200:B200"/>
    <mergeCell ref="A206:B206"/>
    <mergeCell ref="A207:B207"/>
    <mergeCell ref="A235:B235"/>
    <mergeCell ref="A236:B236"/>
    <mergeCell ref="A237:B237"/>
    <mergeCell ref="A238:B238"/>
    <mergeCell ref="A192:B192"/>
    <mergeCell ref="A193:H193"/>
    <mergeCell ref="A194:H194"/>
    <mergeCell ref="A195:B195"/>
    <mergeCell ref="A196:B196"/>
    <mergeCell ref="A201:H201"/>
    <mergeCell ref="A202:B202"/>
    <mergeCell ref="A203:B203"/>
    <mergeCell ref="A204:B204"/>
    <mergeCell ref="A205:B205"/>
    <mergeCell ref="A208:H208"/>
    <mergeCell ref="A209:H209"/>
    <mergeCell ref="A210:B210"/>
    <mergeCell ref="A211:B211"/>
    <mergeCell ref="A212:B212"/>
    <mergeCell ref="A213:B213"/>
    <mergeCell ref="A198:B198"/>
    <mergeCell ref="A232:H232"/>
    <mergeCell ref="A233:B233"/>
    <mergeCell ref="A234:B234"/>
    <mergeCell ref="A247:B247"/>
    <mergeCell ref="A248:B248"/>
    <mergeCell ref="A249:H249"/>
    <mergeCell ref="A250:B250"/>
    <mergeCell ref="G195:H200"/>
    <mergeCell ref="G202:H207"/>
    <mergeCell ref="G210:H215"/>
    <mergeCell ref="G217:H222"/>
    <mergeCell ref="G225:H231"/>
    <mergeCell ref="G233:H239"/>
    <mergeCell ref="A224:H224"/>
    <mergeCell ref="A225:B225"/>
    <mergeCell ref="A226:B226"/>
    <mergeCell ref="A227:B227"/>
    <mergeCell ref="A228:B228"/>
    <mergeCell ref="A219:B219"/>
    <mergeCell ref="A220:B220"/>
    <mergeCell ref="A221:B221"/>
    <mergeCell ref="A222:B222"/>
    <mergeCell ref="G250:H255"/>
    <mergeCell ref="A252:B252"/>
    <mergeCell ref="A253:B253"/>
    <mergeCell ref="A254:B254"/>
    <mergeCell ref="A255:B255"/>
    <mergeCell ref="A256:H256"/>
    <mergeCell ref="A267:B267"/>
    <mergeCell ref="A251:B251"/>
    <mergeCell ref="A241:H241"/>
    <mergeCell ref="A242:H242"/>
    <mergeCell ref="A243:B243"/>
    <mergeCell ref="A244:B244"/>
    <mergeCell ref="A245:B245"/>
    <mergeCell ref="A246:B246"/>
    <mergeCell ref="A257:H257"/>
    <mergeCell ref="A258:B258"/>
    <mergeCell ref="G243:H248"/>
    <mergeCell ref="G265:H270"/>
    <mergeCell ref="A262:B262"/>
    <mergeCell ref="A263:B263"/>
    <mergeCell ref="A264:H264"/>
    <mergeCell ref="A265:B265"/>
    <mergeCell ref="A266:B266"/>
    <mergeCell ref="A259:B259"/>
    <mergeCell ref="A260:B260"/>
    <mergeCell ref="A261:B261"/>
    <mergeCell ref="G258:H263"/>
    <mergeCell ref="A287:B287"/>
    <mergeCell ref="A280:B280"/>
    <mergeCell ref="A281:B281"/>
    <mergeCell ref="A282:H282"/>
    <mergeCell ref="A293:B293"/>
    <mergeCell ref="G278:H281"/>
    <mergeCell ref="G284:H289"/>
    <mergeCell ref="G291:H296"/>
    <mergeCell ref="A277:H277"/>
    <mergeCell ref="A278:B278"/>
    <mergeCell ref="A279:B279"/>
    <mergeCell ref="A285:B285"/>
    <mergeCell ref="A286:B286"/>
    <mergeCell ref="A272:H272"/>
    <mergeCell ref="A273:B273"/>
    <mergeCell ref="A274:B274"/>
    <mergeCell ref="A275:B275"/>
    <mergeCell ref="A276:B276"/>
    <mergeCell ref="G273:H276"/>
    <mergeCell ref="A268:B268"/>
    <mergeCell ref="A269:B269"/>
    <mergeCell ref="A270:B270"/>
    <mergeCell ref="A271:H271"/>
    <mergeCell ref="A223:H223"/>
    <mergeCell ref="A214:B214"/>
    <mergeCell ref="A215:B215"/>
    <mergeCell ref="A216:H216"/>
    <mergeCell ref="A217:B217"/>
    <mergeCell ref="A218:B218"/>
    <mergeCell ref="B308:H308"/>
    <mergeCell ref="A135:B135"/>
    <mergeCell ref="C135:D135"/>
    <mergeCell ref="E135:F135"/>
    <mergeCell ref="G135:H135"/>
    <mergeCell ref="A294:B294"/>
    <mergeCell ref="A295:B295"/>
    <mergeCell ref="A296:B296"/>
    <mergeCell ref="A231:B231"/>
    <mergeCell ref="A239:B239"/>
    <mergeCell ref="A288:B288"/>
    <mergeCell ref="A289:B289"/>
    <mergeCell ref="A290:H290"/>
    <mergeCell ref="A291:B291"/>
    <mergeCell ref="A292:B292"/>
    <mergeCell ref="A283:H283"/>
    <mergeCell ref="A284:B284"/>
  </mergeCells>
  <hyperlinks>
    <hyperlink ref="C39" r:id="rId1"/>
  </hyperlinks>
  <printOptions horizontalCentered="1"/>
  <pageMargins left="0.39370078740157483" right="0.39370078740157483" top="0.82677165354330717" bottom="0.78740157480314965" header="0.15748031496062992" footer="0.19685039370078741"/>
  <pageSetup paperSize="2" scale="93" fitToHeight="0" orientation="portrait" r:id="rId2"/>
  <headerFooter>
    <oddHeader>&amp;C&amp;G</oddHeader>
    <oddFooter>&amp;L&amp;"Times New Roman,Bold"&amp;12Ref No: &amp;F&amp;C&amp;G&amp;R&amp;"Times New Roman,Bold"&amp;12&amp;P</oddFooter>
  </headerFooter>
  <rowBreaks count="4" manualBreakCount="4">
    <brk id="66" max="16383" man="1"/>
    <brk id="320" max="16383" man="1"/>
    <brk id="364" max="16383" man="1"/>
    <brk id="401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6"/>
  <sheetViews>
    <sheetView zoomScale="85" zoomScaleNormal="85" workbookViewId="0">
      <selection activeCell="E11" sqref="E11"/>
    </sheetView>
  </sheetViews>
  <sheetFormatPr defaultColWidth="8.7265625" defaultRowHeight="14.5" x14ac:dyDescent="0.35"/>
  <cols>
    <col min="1" max="1" width="8.7265625" style="1"/>
    <col min="2" max="2" width="22.1796875" style="1" customWidth="1"/>
    <col min="3" max="3" width="37" style="1" customWidth="1"/>
    <col min="4" max="5" width="11.453125" style="1" customWidth="1"/>
    <col min="6" max="6" width="14" style="1" customWidth="1"/>
    <col min="7" max="7" width="20" style="1" customWidth="1"/>
    <col min="8" max="8" width="16.453125" style="1" customWidth="1"/>
    <col min="9" max="16384" width="8.7265625" style="1"/>
  </cols>
  <sheetData>
    <row r="1" spans="1:9" ht="15" customHeight="1" x14ac:dyDescent="0.35"/>
    <row r="2" spans="1:9" ht="15" customHeight="1" x14ac:dyDescent="0.35">
      <c r="A2" s="2"/>
      <c r="B2" s="2"/>
      <c r="C2" s="2"/>
      <c r="D2" s="2"/>
      <c r="E2" s="2"/>
      <c r="F2" s="2"/>
      <c r="G2" s="2"/>
      <c r="H2" s="2"/>
    </row>
    <row r="3" spans="1:9" ht="15.75" customHeight="1" x14ac:dyDescent="0.35">
      <c r="A3" s="2"/>
      <c r="B3" s="204" t="s">
        <v>107</v>
      </c>
      <c r="C3" s="204"/>
      <c r="D3" s="204"/>
      <c r="E3" s="204"/>
      <c r="F3" s="204"/>
      <c r="G3" s="204"/>
      <c r="H3" s="204"/>
    </row>
    <row r="4" spans="1:9" x14ac:dyDescent="0.35">
      <c r="A4" s="2"/>
      <c r="B4" s="3" t="s">
        <v>108</v>
      </c>
      <c r="C4" s="3" t="s">
        <v>109</v>
      </c>
      <c r="D4" s="3" t="s">
        <v>72</v>
      </c>
      <c r="E4" s="3" t="s">
        <v>110</v>
      </c>
      <c r="F4" s="3" t="s">
        <v>116</v>
      </c>
      <c r="G4" s="3" t="s">
        <v>117</v>
      </c>
      <c r="H4" s="3" t="s">
        <v>111</v>
      </c>
    </row>
    <row r="5" spans="1:9" ht="15" customHeight="1" x14ac:dyDescent="0.35">
      <c r="A5" s="2"/>
      <c r="B5" s="5" t="s">
        <v>112</v>
      </c>
      <c r="C5" s="6"/>
      <c r="D5" s="5"/>
      <c r="E5" s="5"/>
      <c r="F5" s="7">
        <f>E5*1.6</f>
        <v>0</v>
      </c>
      <c r="G5" s="7" t="e">
        <f>H5/F5</f>
        <v>#DIV/0!</v>
      </c>
      <c r="H5" s="8"/>
    </row>
    <row r="6" spans="1:9" x14ac:dyDescent="0.35">
      <c r="A6" s="2"/>
      <c r="B6" s="5" t="s">
        <v>112</v>
      </c>
      <c r="C6" s="9"/>
      <c r="D6" s="5"/>
      <c r="E6" s="5"/>
      <c r="F6" s="7">
        <f t="shared" ref="F6:F11" si="0">E6*1.6</f>
        <v>0</v>
      </c>
      <c r="G6" s="7" t="e">
        <f t="shared" ref="G6:G11" si="1">H6/F6</f>
        <v>#DIV/0!</v>
      </c>
      <c r="H6" s="8"/>
    </row>
    <row r="7" spans="1:9" ht="15" customHeight="1" x14ac:dyDescent="0.35">
      <c r="A7" s="2"/>
      <c r="B7" s="5" t="s">
        <v>112</v>
      </c>
      <c r="C7" s="6"/>
      <c r="D7" s="5"/>
      <c r="E7" s="5"/>
      <c r="F7" s="7">
        <f t="shared" si="0"/>
        <v>0</v>
      </c>
      <c r="G7" s="7" t="e">
        <f t="shared" si="1"/>
        <v>#DIV/0!</v>
      </c>
      <c r="H7" s="8"/>
    </row>
    <row r="8" spans="1:9" x14ac:dyDescent="0.35">
      <c r="A8" s="2"/>
      <c r="B8" s="5" t="s">
        <v>112</v>
      </c>
      <c r="C8" s="9"/>
      <c r="D8" s="5"/>
      <c r="E8" s="5"/>
      <c r="F8" s="7">
        <f t="shared" si="0"/>
        <v>0</v>
      </c>
      <c r="G8" s="7" t="e">
        <f t="shared" si="1"/>
        <v>#DIV/0!</v>
      </c>
      <c r="H8" s="8"/>
    </row>
    <row r="9" spans="1:9" ht="15" customHeight="1" x14ac:dyDescent="0.35">
      <c r="A9" s="2"/>
      <c r="B9" s="5" t="s">
        <v>112</v>
      </c>
      <c r="C9" s="9"/>
      <c r="D9" s="5"/>
      <c r="E9" s="5"/>
      <c r="F9" s="7">
        <f t="shared" si="0"/>
        <v>0</v>
      </c>
      <c r="G9" s="7" t="e">
        <f t="shared" si="1"/>
        <v>#DIV/0!</v>
      </c>
      <c r="H9" s="8"/>
    </row>
    <row r="10" spans="1:9" ht="15" customHeight="1" x14ac:dyDescent="0.35">
      <c r="A10" s="2"/>
      <c r="B10" s="5" t="s">
        <v>113</v>
      </c>
      <c r="C10" s="6"/>
      <c r="D10" s="5"/>
      <c r="E10" s="5"/>
      <c r="F10" s="7">
        <f t="shared" si="0"/>
        <v>0</v>
      </c>
      <c r="G10" s="7" t="e">
        <f t="shared" si="1"/>
        <v>#DIV/0!</v>
      </c>
      <c r="H10" s="8"/>
    </row>
    <row r="11" spans="1:9" ht="15" customHeight="1" x14ac:dyDescent="0.35">
      <c r="A11" s="2"/>
      <c r="B11" s="5" t="s">
        <v>113</v>
      </c>
      <c r="C11" s="6"/>
      <c r="D11" s="5"/>
      <c r="E11" s="5"/>
      <c r="F11" s="7">
        <f t="shared" si="0"/>
        <v>0</v>
      </c>
      <c r="G11" s="7" t="e">
        <f t="shared" si="1"/>
        <v>#DIV/0!</v>
      </c>
      <c r="H11" s="8"/>
    </row>
    <row r="12" spans="1:9" ht="15" customHeight="1" x14ac:dyDescent="0.35">
      <c r="A12" s="2"/>
      <c r="B12" s="10" t="s">
        <v>114</v>
      </c>
      <c r="C12" s="5"/>
      <c r="D12" s="5"/>
      <c r="E12" s="5"/>
      <c r="F12" s="5"/>
      <c r="G12" s="11" t="e">
        <f>AVERAGE(G5:G11)</f>
        <v>#DIV/0!</v>
      </c>
      <c r="H12" s="5"/>
    </row>
    <row r="13" spans="1:9" ht="15" customHeight="1" x14ac:dyDescent="0.35">
      <c r="B13" s="10" t="s">
        <v>115</v>
      </c>
      <c r="C13" s="5"/>
      <c r="D13" s="5"/>
      <c r="E13" s="5"/>
      <c r="F13" s="12"/>
      <c r="G13" s="10"/>
      <c r="H13" s="10"/>
      <c r="I13" s="4"/>
    </row>
    <row r="14" spans="1:9" ht="15" customHeight="1" x14ac:dyDescent="0.35"/>
    <row r="15" spans="1:9" ht="15" customHeight="1" x14ac:dyDescent="0.35"/>
    <row r="16" spans="1:9" ht="15" customHeight="1" x14ac:dyDescent="0.35"/>
  </sheetData>
  <mergeCells count="1">
    <mergeCell ref="B3:H3"/>
  </mergeCell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zoomScale="70" zoomScaleNormal="70" workbookViewId="0">
      <selection activeCell="E24" sqref="E24"/>
    </sheetView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Hp Elitebook 840 G6</cp:lastModifiedBy>
  <cp:lastPrinted>2025-07-16T05:36:01Z</cp:lastPrinted>
  <dcterms:created xsi:type="dcterms:W3CDTF">2019-07-16T09:29:46Z</dcterms:created>
  <dcterms:modified xsi:type="dcterms:W3CDTF">2025-07-16T05:38:46Z</dcterms:modified>
</cp:coreProperties>
</file>