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15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J150" i="1"/>
  <c r="J149" i="1"/>
  <c r="J148" i="1"/>
  <c r="C112" i="1" l="1"/>
  <c r="J123" i="1"/>
  <c r="J122" i="1"/>
  <c r="J121" i="1"/>
  <c r="J120" i="1"/>
  <c r="H113" i="1"/>
  <c r="D123" i="1" l="1"/>
  <c r="D119" i="1"/>
  <c r="J118" i="1"/>
  <c r="J119" i="1" s="1"/>
  <c r="J124" i="1" s="1"/>
  <c r="J125" i="1" s="1"/>
  <c r="C117" i="1" s="1"/>
  <c r="D116" i="1"/>
  <c r="J112" i="1"/>
  <c r="J114" i="1" s="1"/>
  <c r="D122" i="1"/>
  <c r="D118" i="1"/>
  <c r="J115" i="1"/>
  <c r="J117" i="1"/>
  <c r="D125" i="1"/>
  <c r="D121" i="1"/>
  <c r="D124" i="1"/>
  <c r="D120" i="1"/>
  <c r="J116" i="1"/>
  <c r="D263" i="1"/>
  <c r="D262" i="1"/>
  <c r="D261" i="1"/>
  <c r="D260" i="1"/>
  <c r="D256" i="1"/>
  <c r="D255" i="1"/>
  <c r="D254" i="1"/>
  <c r="D253" i="1"/>
  <c r="D247" i="1"/>
  <c r="D248" i="1"/>
  <c r="D249" i="1"/>
  <c r="D246" i="1"/>
  <c r="D236" i="1"/>
  <c r="D237" i="1"/>
  <c r="D238" i="1"/>
  <c r="D239" i="1"/>
  <c r="D240" i="1"/>
  <c r="D241" i="1"/>
  <c r="D242" i="1"/>
  <c r="D235" i="1"/>
  <c r="D231" i="1"/>
  <c r="D230" i="1"/>
  <c r="D229" i="1"/>
  <c r="D228" i="1"/>
  <c r="D226" i="1"/>
  <c r="D225" i="1"/>
  <c r="D224" i="1"/>
  <c r="D223" i="1"/>
  <c r="D219" i="1"/>
  <c r="D218" i="1"/>
  <c r="D217" i="1"/>
  <c r="D216" i="1"/>
  <c r="D214" i="1"/>
  <c r="D213" i="1"/>
  <c r="D212" i="1"/>
  <c r="D211" i="1"/>
  <c r="D205" i="1"/>
  <c r="D206" i="1"/>
  <c r="D207" i="1"/>
  <c r="D204" i="1"/>
  <c r="D200" i="1"/>
  <c r="D201" i="1"/>
  <c r="D202" i="1"/>
  <c r="D199" i="1"/>
  <c r="J199" i="1" s="1"/>
  <c r="E116" i="1" l="1"/>
  <c r="J113" i="1"/>
  <c r="G116" i="1"/>
  <c r="D117" i="1"/>
  <c r="I113" i="1" s="1"/>
  <c r="I114" i="1" s="1"/>
  <c r="E184" i="1"/>
  <c r="E188" i="1"/>
  <c r="C154" i="1"/>
  <c r="J165" i="1"/>
  <c r="J164" i="1"/>
  <c r="J163" i="1"/>
  <c r="J162" i="1"/>
  <c r="J137" i="1"/>
  <c r="J136" i="1"/>
  <c r="J135" i="1"/>
  <c r="J134" i="1"/>
  <c r="F256" i="1"/>
  <c r="F255" i="1"/>
  <c r="F254" i="1"/>
  <c r="G253" i="1"/>
  <c r="F231" i="1"/>
  <c r="F230" i="1"/>
  <c r="F229" i="1"/>
  <c r="J229" i="1" s="1"/>
  <c r="A229" i="1"/>
  <c r="A230" i="1" s="1"/>
  <c r="A231" i="1" s="1"/>
  <c r="G228" i="1"/>
  <c r="F228" i="1"/>
  <c r="F226" i="1"/>
  <c r="F225" i="1"/>
  <c r="F224" i="1"/>
  <c r="A224" i="1"/>
  <c r="A225" i="1" s="1"/>
  <c r="A226" i="1" s="1"/>
  <c r="G223" i="1"/>
  <c r="F223" i="1"/>
  <c r="F219" i="1"/>
  <c r="F218" i="1"/>
  <c r="F217" i="1"/>
  <c r="A217" i="1"/>
  <c r="A218" i="1" s="1"/>
  <c r="A219" i="1" s="1"/>
  <c r="G216" i="1"/>
  <c r="F216" i="1"/>
  <c r="F214" i="1"/>
  <c r="F213" i="1"/>
  <c r="M199" i="1" s="1"/>
  <c r="F212" i="1"/>
  <c r="A212" i="1"/>
  <c r="A213" i="1" s="1"/>
  <c r="A214" i="1" s="1"/>
  <c r="G211" i="1"/>
  <c r="F211" i="1"/>
  <c r="F262" i="1"/>
  <c r="F261" i="1"/>
  <c r="J259" i="1" s="1"/>
  <c r="F260" i="1"/>
  <c r="F249" i="1"/>
  <c r="F248" i="1"/>
  <c r="F247" i="1"/>
  <c r="F246" i="1"/>
  <c r="F242" i="1"/>
  <c r="F241" i="1"/>
  <c r="F240" i="1"/>
  <c r="F239" i="1"/>
  <c r="F238" i="1"/>
  <c r="J236" i="1" s="1"/>
  <c r="F237" i="1"/>
  <c r="F236" i="1"/>
  <c r="F235" i="1"/>
  <c r="F207" i="1"/>
  <c r="F206" i="1"/>
  <c r="F205" i="1"/>
  <c r="F204" i="1"/>
  <c r="F199" i="1"/>
  <c r="K199" i="1" s="1"/>
  <c r="F263" i="1"/>
  <c r="G260" i="1"/>
  <c r="G246" i="1"/>
  <c r="G235" i="1"/>
  <c r="A205" i="1"/>
  <c r="A206" i="1" s="1"/>
  <c r="A207" i="1" s="1"/>
  <c r="G204" i="1"/>
  <c r="I112" i="1" l="1"/>
  <c r="C114" i="1" s="1"/>
  <c r="L199" i="1"/>
  <c r="M200" i="1"/>
  <c r="G190" i="1"/>
  <c r="G187" i="1"/>
  <c r="G188" i="1"/>
  <c r="E190" i="1"/>
  <c r="G185" i="1"/>
  <c r="G186" i="1"/>
  <c r="C189" i="1"/>
  <c r="E185" i="1"/>
  <c r="E187" i="1"/>
  <c r="E189" i="1"/>
  <c r="C184" i="1"/>
  <c r="C186" i="1"/>
  <c r="C188" i="1"/>
  <c r="C190" i="1"/>
  <c r="F253" i="1"/>
  <c r="G189" i="1" s="1"/>
  <c r="E186" i="1"/>
  <c r="C185" i="1"/>
  <c r="C187" i="1"/>
  <c r="E42" i="1"/>
  <c r="E43" i="1" s="1"/>
  <c r="E191" i="1" l="1"/>
  <c r="C191" i="1"/>
  <c r="C14" i="1"/>
  <c r="E29" i="1" l="1"/>
  <c r="F181" i="1" l="1"/>
  <c r="B266" i="1" l="1"/>
  <c r="F202" i="1" l="1"/>
  <c r="F200" i="1"/>
  <c r="F201" i="1"/>
  <c r="K203" i="1" s="1"/>
  <c r="G184" i="1" l="1"/>
  <c r="G191" i="1" s="1"/>
  <c r="B26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7" i="1"/>
  <c r="G199" i="1"/>
  <c r="A200" i="1"/>
  <c r="A201" i="1" s="1"/>
  <c r="A202" i="1" s="1"/>
  <c r="J109" i="1"/>
  <c r="J108" i="1"/>
  <c r="J107" i="1"/>
  <c r="J106" i="1"/>
  <c r="C98" i="1"/>
  <c r="J95" i="1"/>
  <c r="J94" i="1"/>
  <c r="J93" i="1"/>
  <c r="J92" i="1"/>
  <c r="C84" i="1"/>
  <c r="J81" i="1"/>
  <c r="J80" i="1"/>
  <c r="J79" i="1"/>
  <c r="J78" i="1"/>
  <c r="C70" i="1"/>
  <c r="D54" i="1"/>
  <c r="G49" i="1"/>
  <c r="G50" i="1" s="1"/>
  <c r="C49" i="1"/>
  <c r="E26" i="1"/>
  <c r="E24" i="1"/>
  <c r="E7" i="1"/>
  <c r="E3" i="1"/>
  <c r="H71" i="1"/>
  <c r="H85" i="1"/>
  <c r="H99" i="1"/>
  <c r="D64" i="1" l="1"/>
  <c r="D95" i="1"/>
  <c r="D96" i="1"/>
  <c r="D97" i="1"/>
  <c r="D91" i="1"/>
  <c r="D92" i="1"/>
  <c r="D93" i="1"/>
  <c r="D94" i="1"/>
  <c r="J84" i="1"/>
  <c r="J86" i="1" s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77" i="1" s="1"/>
  <c r="J82" i="1" s="1"/>
  <c r="J83" i="1" s="1"/>
  <c r="C75" i="1" s="1"/>
  <c r="J98" i="1"/>
  <c r="J100" i="1" s="1"/>
  <c r="J102" i="1"/>
  <c r="D111" i="1"/>
  <c r="D109" i="1"/>
  <c r="D107" i="1"/>
  <c r="D105" i="1"/>
  <c r="J103" i="1"/>
  <c r="C102" i="1" s="1"/>
  <c r="J101" i="1"/>
  <c r="J104" i="1"/>
  <c r="J105" i="1" s="1"/>
  <c r="J110" i="1" s="1"/>
  <c r="D110" i="1"/>
  <c r="D108" i="1"/>
  <c r="D106" i="1"/>
  <c r="J90" i="1"/>
  <c r="J91" i="1" s="1"/>
  <c r="J96" i="1" s="1"/>
  <c r="J97" i="1" s="1"/>
  <c r="C89" i="1" s="1"/>
  <c r="J88" i="1"/>
  <c r="J89" i="1"/>
  <c r="C88" i="1" s="1"/>
  <c r="J87" i="1"/>
  <c r="J111" i="1" l="1"/>
  <c r="C103" i="1" s="1"/>
  <c r="D103" i="1" s="1"/>
  <c r="D104" i="1"/>
  <c r="D102" i="1"/>
  <c r="D90" i="1"/>
  <c r="D76" i="1"/>
  <c r="J72" i="1"/>
  <c r="E74" i="1"/>
  <c r="D75" i="1"/>
  <c r="G74" i="1"/>
  <c r="D68" i="1" s="1"/>
  <c r="D69" i="1" s="1"/>
  <c r="D74" i="1"/>
  <c r="E88" i="1"/>
  <c r="D89" i="1"/>
  <c r="G88" i="1"/>
  <c r="D88" i="1"/>
  <c r="H141" i="1"/>
  <c r="H127" i="1"/>
  <c r="D152" i="1" l="1"/>
  <c r="D148" i="1"/>
  <c r="J144" i="1"/>
  <c r="D151" i="1"/>
  <c r="J140" i="1"/>
  <c r="J142" i="1" s="1"/>
  <c r="D150" i="1"/>
  <c r="D146" i="1"/>
  <c r="J143" i="1"/>
  <c r="J145" i="1"/>
  <c r="D153" i="1"/>
  <c r="D149" i="1"/>
  <c r="D147" i="1"/>
  <c r="J146" i="1"/>
  <c r="J147" i="1" s="1"/>
  <c r="J152" i="1" s="1"/>
  <c r="J153" i="1" s="1"/>
  <c r="C145" i="1" s="1"/>
  <c r="D144" i="1"/>
  <c r="E102" i="1"/>
  <c r="G102" i="1"/>
  <c r="J85" i="1"/>
  <c r="J132" i="1"/>
  <c r="J133" i="1" s="1"/>
  <c r="J126" i="1"/>
  <c r="J128" i="1" s="1"/>
  <c r="J130" i="1"/>
  <c r="D139" i="1"/>
  <c r="D138" i="1"/>
  <c r="D137" i="1"/>
  <c r="D136" i="1"/>
  <c r="D135" i="1"/>
  <c r="D134" i="1"/>
  <c r="D133" i="1"/>
  <c r="J131" i="1"/>
  <c r="J129" i="1"/>
  <c r="I71" i="1"/>
  <c r="J71" i="1"/>
  <c r="I99" i="1"/>
  <c r="J99" i="1"/>
  <c r="I85" i="1"/>
  <c r="F69" i="1"/>
  <c r="H155" i="1"/>
  <c r="J141" i="1" l="1"/>
  <c r="E144" i="1"/>
  <c r="D145" i="1"/>
  <c r="I141" i="1" s="1"/>
  <c r="I142" i="1" s="1"/>
  <c r="G144" i="1"/>
  <c r="J138" i="1"/>
  <c r="J139" i="1" s="1"/>
  <c r="C131" i="1" s="1"/>
  <c r="D131" i="1" s="1"/>
  <c r="J160" i="1"/>
  <c r="J154" i="1"/>
  <c r="J156" i="1" s="1"/>
  <c r="J158" i="1"/>
  <c r="D167" i="1"/>
  <c r="D166" i="1"/>
  <c r="D165" i="1"/>
  <c r="D164" i="1"/>
  <c r="D163" i="1"/>
  <c r="D162" i="1"/>
  <c r="D161" i="1"/>
  <c r="J159" i="1"/>
  <c r="C159" i="1" s="1"/>
  <c r="J157" i="1"/>
  <c r="D132" i="1"/>
  <c r="D130" i="1"/>
  <c r="I72" i="1"/>
  <c r="I70" i="1" s="1"/>
  <c r="C72" i="1" s="1"/>
  <c r="I100" i="1"/>
  <c r="I98" i="1" s="1"/>
  <c r="C100" i="1" s="1"/>
  <c r="I86" i="1"/>
  <c r="I84" i="1" s="1"/>
  <c r="C86" i="1" s="1"/>
  <c r="I140" i="1" l="1"/>
  <c r="C142" i="1" s="1"/>
  <c r="G130" i="1"/>
  <c r="E130" i="1"/>
  <c r="J161" i="1"/>
  <c r="J166" i="1" s="1"/>
  <c r="J167" i="1" s="1"/>
  <c r="E158" i="1"/>
  <c r="I127" i="1"/>
  <c r="I128" i="1" s="1"/>
  <c r="D160" i="1"/>
  <c r="D158" i="1"/>
  <c r="J127" i="1"/>
  <c r="G158" i="1" l="1"/>
  <c r="D159" i="1"/>
  <c r="I155" i="1" s="1"/>
  <c r="I156" i="1" s="1"/>
  <c r="I126" i="1"/>
  <c r="C128" i="1" s="1"/>
  <c r="J155" i="1"/>
  <c r="I154" i="1" l="1"/>
  <c r="C156" i="1" s="1"/>
</calcChain>
</file>

<file path=xl/sharedStrings.xml><?xml version="1.0" encoding="utf-8"?>
<sst xmlns="http://schemas.openxmlformats.org/spreadsheetml/2006/main" count="548" uniqueCount="239">
  <si>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</si>
  <si>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</si>
  <si>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</si>
  <si>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</si>
  <si>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</si>
  <si>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</si>
  <si>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</si>
  <si>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</si>
  <si>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</si>
  <si>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</si>
  <si>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</si>
  <si>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</si>
  <si>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</si>
  <si>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</si>
  <si>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</si>
  <si>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</si>
  <si>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</si>
  <si>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</si>
  <si>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</si>
  <si>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</si>
  <si>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</si>
  <si>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</si>
  <si>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</si>
  <si>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</si>
  <si>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</si>
  <si>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</si>
  <si>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</si>
  <si>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</si>
  <si>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</si>
  <si>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</si>
  <si>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</si>
  <si>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</si>
  <si>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</si>
  <si>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</si>
  <si>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</si>
  <si>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</si>
  <si>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</si>
  <si>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</si>
  <si>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</si>
  <si>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</si>
  <si>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</si>
  <si>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</si>
  <si>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</si>
  <si>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</si>
  <si>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</si>
  <si>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</si>
  <si>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</si>
  <si>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</si>
  <si>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</si>
  <si>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</si>
  <si>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</si>
  <si>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</si>
  <si>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</si>
  <si>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</si>
  <si>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</si>
  <si>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</si>
  <si>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</si>
  <si>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</si>
  <si>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</si>
  <si>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</si>
  <si>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</si>
  <si>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</si>
  <si>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</si>
  <si>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</si>
  <si>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</si>
  <si>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</si>
  <si>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</si>
  <si>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</si>
  <si>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</si>
  <si>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</si>
  <si>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</si>
  <si>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</si>
  <si>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</si>
  <si>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</si>
  <si>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</si>
  <si>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</si>
  <si>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</si>
  <si>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</si>
  <si>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</si>
  <si>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</si>
  <si>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</si>
  <si>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</si>
  <si>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</si>
  <si>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</si>
  <si>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</si>
  <si>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</si>
  <si>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</si>
  <si>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</si>
  <si>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</si>
  <si>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</si>
  <si>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</si>
  <si>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</si>
  <si>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</si>
  <si>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</si>
  <si>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</si>
  <si>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</si>
  <si>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</si>
  <si>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</si>
  <si>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</si>
  <si>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</si>
  <si>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</si>
  <si>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</si>
  <si>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</si>
  <si>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</si>
  <si>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</si>
  <si>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</si>
  <si>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</si>
  <si>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</si>
  <si>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</si>
  <si>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</si>
  <si>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</si>
  <si>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</si>
  <si>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</si>
  <si>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</si>
  <si>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</si>
  <si>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</si>
  <si>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</si>
  <si>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</si>
  <si>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</si>
  <si>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</si>
  <si>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</si>
  <si>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</si>
  <si>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</si>
  <si>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</si>
  <si>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</si>
  <si>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</si>
  <si>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</si>
  <si>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</si>
  <si>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</si>
  <si>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</si>
  <si>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</si>
  <si>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</si>
  <si>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</si>
  <si>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</si>
  <si>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</si>
  <si>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</si>
  <si>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</si>
  <si>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</si>
  <si>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</si>
  <si>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</si>
  <si>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</si>
  <si>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</si>
  <si>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</si>
  <si>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</si>
  <si>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</si>
  <si>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</si>
  <si>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</si>
  <si>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</si>
  <si>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</si>
  <si>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</si>
  <si>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</si>
  <si>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</si>
  <si>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</si>
  <si>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</si>
  <si>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</si>
  <si>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</si>
  <si>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</si>
  <si>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</si>
  <si>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</si>
  <si>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</si>
  <si>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</si>
  <si>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</si>
  <si>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</si>
  <si>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</si>
  <si>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</si>
  <si>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</si>
  <si>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</si>
  <si>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</si>
  <si>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</si>
  <si>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</si>
  <si>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</si>
  <si>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</si>
  <si>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</si>
  <si>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Shree Laxmi Enterprises</t>
  </si>
  <si>
    <t>Park One Phase I</t>
  </si>
  <si>
    <t>Axis Badlapur</t>
  </si>
  <si>
    <t>Approved Plans, CC, Cost Sheet</t>
  </si>
  <si>
    <t>P51700047479</t>
  </si>
  <si>
    <t>Survey No</t>
  </si>
  <si>
    <t>125, H.No.1(p)</t>
  </si>
  <si>
    <t>Shirgaon</t>
  </si>
  <si>
    <t>Thane</t>
  </si>
  <si>
    <t>Ambarnath</t>
  </si>
  <si>
    <t>Kulgaon Badlapur Municipal Council (KBMC)</t>
  </si>
  <si>
    <t>As per RERA - 31/08/2026</t>
  </si>
  <si>
    <t>https://goo.gl/maps/eg8eKKrsyckzaSSR6</t>
  </si>
  <si>
    <t>Open Plot</t>
  </si>
  <si>
    <t>Internal Road</t>
  </si>
  <si>
    <t>Katrap</t>
  </si>
  <si>
    <t>Panvel Highway</t>
  </si>
  <si>
    <t>3.9KM from Badlapur Railway Station</t>
  </si>
  <si>
    <t>Badlapur</t>
  </si>
  <si>
    <t>Shubh Hills Co op society</t>
  </si>
  <si>
    <t>07 Building</t>
  </si>
  <si>
    <t>Ground Floor For Parking &amp; Entrance Lobby</t>
  </si>
  <si>
    <t>Ground Floor For Parking, Drivers Room &amp; Entrance Lobby</t>
  </si>
  <si>
    <t>1BHK</t>
  </si>
  <si>
    <t>2nd, 4th &amp; 6th Floor For Residential</t>
  </si>
  <si>
    <t>1st, 3rd, 5th &amp; 7th Floor For Residential</t>
  </si>
  <si>
    <t>1st to 7th Floor For Residential</t>
  </si>
  <si>
    <t>1st to 6th Floor For Residential</t>
  </si>
  <si>
    <t>We considered Gross carpet area = Net carpet + Enclose balcony + C.P Area.</t>
  </si>
  <si>
    <t>Wing C</t>
  </si>
  <si>
    <t>Wing D</t>
  </si>
  <si>
    <t>Wing E</t>
  </si>
  <si>
    <t>Wing I</t>
  </si>
  <si>
    <t>Wing H</t>
  </si>
  <si>
    <t>Wing G</t>
  </si>
  <si>
    <t>Wing F</t>
  </si>
  <si>
    <t>Flats - 220</t>
  </si>
  <si>
    <t>Wing I (Jasmine)</t>
  </si>
  <si>
    <t>Wing C (Orchid)</t>
  </si>
  <si>
    <t>Wing D (Orchid)</t>
  </si>
  <si>
    <t>Wing E (Orchid)</t>
  </si>
  <si>
    <t>Wing F (Jasmine)</t>
  </si>
  <si>
    <t>Wing G (Jasmine)</t>
  </si>
  <si>
    <t>Wing H (Jasmine)</t>
  </si>
  <si>
    <t>Mr.Pratik Tiwari - 9158059099</t>
  </si>
  <si>
    <t>Orchid (Wing C to E)
Jasmine (Wing F to I)</t>
  </si>
  <si>
    <t>KBNP/NRV/BP/6085-79</t>
  </si>
  <si>
    <t>KBNP/NRV/BP/6085/2022-2023/unique No.79</t>
  </si>
  <si>
    <t>Cost sheet</t>
  </si>
  <si>
    <t>Sheet</t>
  </si>
  <si>
    <t>C to E Wing (Orchid) = G + 1st to 7th Floor
F to H Wing (Jasmine) = G + 1st to 7th Floor
I Wing (Jasmine) = G + 1st to 6th Floor</t>
  </si>
  <si>
    <t>C Wing (Orchid) = G + 1st to 7th Floor</t>
  </si>
  <si>
    <t>D Wing (Orchid) = G + 1st to 7th Floor</t>
  </si>
  <si>
    <t>E Wing (Orchid) = G + 1st to 7th Floor</t>
  </si>
  <si>
    <t>I Wing (Jasmine) = G + 1st to 6th Floor</t>
  </si>
  <si>
    <t>Miss. Varsha  - 7208463276</t>
  </si>
  <si>
    <t>F (Jasmine) = G + 1st to 7th Floor</t>
  </si>
  <si>
    <t>G &amp; H Wing (Jasmine) = G + 1st to 7th Floor</t>
  </si>
  <si>
    <t>Mr. Sudhir Bhosale</t>
  </si>
  <si>
    <t xml:space="preserve">Office No. 1031, Wing J, Akshar Business Park, Plot No. 03 Sector 25, Near APMC Market, Vashi,
Navi Mumbai, Maharashtra 400703 TEL: 022-46090378/79/80
E mail : vsjcapf@gmail.com. Web site : www.vsjadon.com </t>
  </si>
  <si>
    <t>G Wing (Jasmine) = G + 1st to 7th Floor</t>
  </si>
  <si>
    <t>H Wing (Jasmine) = G + 1st to 7th Floor</t>
  </si>
  <si>
    <t>Wing C to I = Construction work is in process at the time of Visit.</t>
  </si>
  <si>
    <t>Pooja</t>
  </si>
  <si>
    <t>rate 4700 by bhargav verbal on 30/08/2025</t>
  </si>
  <si>
    <t>Recommended Rates of the Property have been revised on 30/08/2025.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</si>
</sst>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1" applyFont="1" applyAlignment="1">
      <alignment wrapText="1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8" xfId="1" applyFont="1" applyBorder="1" applyAlignment="1" applyProtection="1">
      <alignment horizontal="center" vertical="top" wrapText="1"/>
      <protection locked="0"/>
    </xf>
    <xf numFmtId="0" fontId="14" fillId="0" borderId="9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center" vertical="top"/>
      <protection locked="0"/>
    </xf>
    <xf numFmtId="0" fontId="8" fillId="0" borderId="9" xfId="1" applyFont="1" applyBorder="1" applyAlignment="1" applyProtection="1">
      <alignment horizontal="center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vertical="top"/>
      <protection locked="0"/>
    </xf>
    <xf numFmtId="0" fontId="6" fillId="0" borderId="9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vertical="top"/>
      <protection locked="0"/>
    </xf>
    <xf numFmtId="0" fontId="8" fillId="0" borderId="21" xfId="1" applyFont="1" applyBorder="1" applyAlignment="1" applyProtection="1">
      <alignment vertical="top"/>
      <protection locked="0"/>
    </xf>
    <xf numFmtId="0" fontId="8" fillId="0" borderId="9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371</xdr:row>
      <xdr:rowOff>180975</xdr:rowOff>
    </xdr:from>
    <xdr:to>
      <xdr:col>6</xdr:col>
      <xdr:colOff>346710</xdr:colOff>
      <xdr:row>386</xdr:row>
      <xdr:rowOff>60599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65131950"/>
          <a:ext cx="4761980" cy="288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85725</xdr:colOff>
      <xdr:row>387</xdr:row>
      <xdr:rowOff>15240</xdr:rowOff>
    </xdr:from>
    <xdr:to>
      <xdr:col>6</xdr:col>
      <xdr:colOff>370402</xdr:colOff>
      <xdr:row>401</xdr:row>
      <xdr:rowOff>94891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68166615"/>
          <a:ext cx="4785672" cy="2880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445077</xdr:colOff>
      <xdr:row>331</xdr:row>
      <xdr:rowOff>8657</xdr:rowOff>
    </xdr:from>
    <xdr:to>
      <xdr:col>6</xdr:col>
      <xdr:colOff>210749</xdr:colOff>
      <xdr:row>349</xdr:row>
      <xdr:rowOff>8207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5" r="24558"/>
        <a:stretch/>
      </xdr:blipFill>
      <xdr:spPr>
        <a:xfrm>
          <a:off x="1207077" y="63808839"/>
          <a:ext cx="3956672" cy="3584414"/>
        </a:xfrm>
        <a:prstGeom prst="rect">
          <a:avLst/>
        </a:prstGeom>
        <a:ln w="19050"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9</xdr:col>
      <xdr:colOff>529590</xdr:colOff>
      <xdr:row>289</xdr:row>
      <xdr:rowOff>3810</xdr:rowOff>
    </xdr:from>
    <xdr:to>
      <xdr:col>10</xdr:col>
      <xdr:colOff>438150</xdr:colOff>
      <xdr:row>290</xdr:row>
      <xdr:rowOff>106680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710419-1F00-78A1-3325-769C095F7FAF}"/>
            </a:ext>
          </a:extLst>
        </xdr:cNvPr>
        <xdr:cNvSpPr txBox="1"/>
      </xdr:nvSpPr>
      <xdr:spPr>
        <a:xfrm>
          <a:off x="8321040" y="54191535"/>
          <a:ext cx="670560" cy="293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C,</a:t>
          </a:r>
          <a:r>
            <a:rPr lang="en-IN" sz="1100" baseline="0"/>
            <a:t> D &amp; E</a:t>
          </a:r>
          <a:endParaRPr lang="en-IN" sz="1100"/>
        </a:p>
      </xdr:txBody>
    </xdr:sp>
    <xdr:clientData/>
  </xdr:twoCellAnchor>
  <xdr:twoCellAnchor>
    <xdr:from>
      <xdr:col>12</xdr:col>
      <xdr:colOff>607404</xdr:colOff>
      <xdr:row>287</xdr:row>
      <xdr:rowOff>184785</xdr:rowOff>
    </xdr:from>
    <xdr:to>
      <xdr:col>13</xdr:col>
      <xdr:colOff>57150</xdr:colOff>
      <xdr:row>289</xdr:row>
      <xdr:rowOff>45720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407659-E3C6-4EFF-9C96-B36615CF5F05}"/>
            </a:ext>
          </a:extLst>
        </xdr:cNvPr>
        <xdr:cNvSpPr txBox="1"/>
      </xdr:nvSpPr>
      <xdr:spPr>
        <a:xfrm>
          <a:off x="10332429" y="54420135"/>
          <a:ext cx="240321" cy="260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F</a:t>
          </a:r>
        </a:p>
      </xdr:txBody>
    </xdr:sp>
    <xdr:clientData/>
  </xdr:twoCellAnchor>
  <xdr:twoCellAnchor>
    <xdr:from>
      <xdr:col>12</xdr:col>
      <xdr:colOff>607403</xdr:colOff>
      <xdr:row>299</xdr:row>
      <xdr:rowOff>70924</xdr:rowOff>
    </xdr:from>
    <xdr:to>
      <xdr:col>13</xdr:col>
      <xdr:colOff>83527</xdr:colOff>
      <xdr:row>300</xdr:row>
      <xdr:rowOff>161925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2278094-958B-4D91-97E0-0A6F4CB300B5}"/>
            </a:ext>
          </a:extLst>
        </xdr:cNvPr>
        <xdr:cNvSpPr txBox="1"/>
      </xdr:nvSpPr>
      <xdr:spPr>
        <a:xfrm>
          <a:off x="10332428" y="56697049"/>
          <a:ext cx="266699" cy="291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H</a:t>
          </a:r>
        </a:p>
      </xdr:txBody>
    </xdr:sp>
    <xdr:clientData/>
  </xdr:twoCellAnchor>
  <xdr:twoCellAnchor>
    <xdr:from>
      <xdr:col>9</xdr:col>
      <xdr:colOff>704850</xdr:colOff>
      <xdr:row>304</xdr:row>
      <xdr:rowOff>132323</xdr:rowOff>
    </xdr:from>
    <xdr:to>
      <xdr:col>10</xdr:col>
      <xdr:colOff>240029</xdr:colOff>
      <xdr:row>306</xdr:row>
      <xdr:rowOff>21394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E6A2F3-F943-473A-9E6A-C84D572A67F3}"/>
            </a:ext>
          </a:extLst>
        </xdr:cNvPr>
        <xdr:cNvSpPr txBox="1"/>
      </xdr:nvSpPr>
      <xdr:spPr>
        <a:xfrm>
          <a:off x="8258175" y="57758573"/>
          <a:ext cx="297179" cy="2891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I</a:t>
          </a:r>
        </a:p>
      </xdr:txBody>
    </xdr:sp>
    <xdr:clientData/>
  </xdr:twoCellAnchor>
  <xdr:twoCellAnchor>
    <xdr:from>
      <xdr:col>12</xdr:col>
      <xdr:colOff>607404</xdr:colOff>
      <xdr:row>328</xdr:row>
      <xdr:rowOff>184785</xdr:rowOff>
    </xdr:from>
    <xdr:to>
      <xdr:col>13</xdr:col>
      <xdr:colOff>57150</xdr:colOff>
      <xdr:row>329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F407659-E3C6-4EFF-9C96-B36615CF5F05}"/>
            </a:ext>
          </a:extLst>
        </xdr:cNvPr>
        <xdr:cNvSpPr txBox="1"/>
      </xdr:nvSpPr>
      <xdr:spPr>
        <a:xfrm>
          <a:off x="11294454" y="58725435"/>
          <a:ext cx="275246" cy="254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F</a:t>
          </a:r>
        </a:p>
      </xdr:txBody>
    </xdr:sp>
    <xdr:clientData/>
  </xdr:twoCellAnchor>
  <xdr:twoCellAnchor>
    <xdr:from>
      <xdr:col>9</xdr:col>
      <xdr:colOff>0</xdr:colOff>
      <xdr:row>286</xdr:row>
      <xdr:rowOff>0</xdr:rowOff>
    </xdr:from>
    <xdr:to>
      <xdr:col>9</xdr:col>
      <xdr:colOff>742825</xdr:colOff>
      <xdr:row>287</xdr:row>
      <xdr:rowOff>119681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5FD7917-0A57-41C1-B147-578FFC39DEDA}"/>
            </a:ext>
          </a:extLst>
        </xdr:cNvPr>
        <xdr:cNvSpPr txBox="1"/>
      </xdr:nvSpPr>
      <xdr:spPr>
        <a:xfrm>
          <a:off x="8413750" y="58140600"/>
          <a:ext cx="742825" cy="316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twoCellAnchor>
  <xdr:twoCellAnchor>
    <xdr:from>
      <xdr:col>0</xdr:col>
      <xdr:colOff>209550</xdr:colOff>
      <xdr:row>287</xdr:row>
      <xdr:rowOff>86659</xdr:rowOff>
    </xdr:from>
    <xdr:to>
      <xdr:col>7</xdr:col>
      <xdr:colOff>926077</xdr:colOff>
      <xdr:row>326</xdr:row>
      <xdr:rowOff>2842</xdr:rowOff>
    </xdr:to>
    <xdr:grpSp>
      <xdr:nvGrpSpPr>
        <xdr:cNvPr id="2" name="Group 1"/>
        <xdr:cNvGrpSpPr/>
      </xdr:nvGrpSpPr>
      <xdr:grpSpPr>
        <a:xfrm>
          <a:off x="209550" y="58620959"/>
          <a:ext cx="6736327" cy="8056883"/>
          <a:chOff x="209550" y="58424109"/>
          <a:chExt cx="6736327" cy="8056883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8053" y="64680992"/>
            <a:ext cx="238782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62774675"/>
            <a:ext cx="238782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654" y="60616358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654" y="584431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89915" y="64680992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2503" y="62774675"/>
            <a:ext cx="13537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38947" y="6061518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1399" y="62774675"/>
            <a:ext cx="13537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92110" y="62774675"/>
            <a:ext cx="13537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64680992"/>
            <a:ext cx="13537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89" y="64680992"/>
            <a:ext cx="13537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0866" y="58443159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109" y="584390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29352" y="5843905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0866" y="6061518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0109" y="60615180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297754" y="58722559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850204" y="58424109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2160416" y="58500309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4014759" y="58445400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5824652" y="58502550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418404" y="60705258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2236616" y="60621530"/>
            <a:ext cx="742825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H Wing</a:t>
            </a: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B5FD7917-0A57-41C1-B147-578FFC39DEDA}"/>
              </a:ext>
            </a:extLst>
          </xdr:cNvPr>
          <xdr:cNvSpPr txBox="1"/>
        </xdr:nvSpPr>
        <xdr:spPr>
          <a:xfrm>
            <a:off x="4446559" y="60812030"/>
            <a:ext cx="658841" cy="3165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267941</xdr:colOff>
      <xdr:row>23</xdr:row>
      <xdr:rowOff>123595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8000000" cy="1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g8eKKrsyckzaSSR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71"/>
  <sheetViews>
    <sheetView tabSelected="1" view="pageBreakPreview" zoomScaleNormal="100" zoomScaleSheetLayoutView="100" workbookViewId="0">
      <selection activeCell="A275" sqref="A275:H275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81640625" style="40" customWidth="1"/>
    <col min="5" max="7" width="11.7265625" style="40" customWidth="1"/>
    <col min="8" max="8" width="16.816406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1" t="s">
        <v>232</v>
      </c>
      <c r="B1" s="171"/>
      <c r="C1" s="171"/>
      <c r="D1" s="171"/>
      <c r="E1" s="171"/>
      <c r="F1" s="171"/>
      <c r="G1" s="171"/>
      <c r="H1" s="171"/>
    </row>
    <row r="2" spans="1:8" ht="16.5" customHeight="1" x14ac:dyDescent="0.35">
      <c r="A2" s="160" t="s">
        <v>0</v>
      </c>
      <c r="B2" s="160"/>
      <c r="C2" s="160"/>
      <c r="D2" s="160"/>
      <c r="E2" s="160"/>
      <c r="F2" s="160"/>
      <c r="G2" s="160"/>
      <c r="H2" s="160"/>
    </row>
    <row r="3" spans="1:8" x14ac:dyDescent="0.35">
      <c r="A3" s="148" t="s">
        <v>1</v>
      </c>
      <c r="B3" s="148"/>
      <c r="C3" s="148"/>
      <c r="D3" s="148"/>
      <c r="E3" s="148" t="str">
        <f ca="1">TEXT(TODAY(),"DD/MM/YYYY")</f>
        <v>30/08/2025</v>
      </c>
      <c r="F3" s="148"/>
      <c r="G3" s="148"/>
      <c r="H3" s="148"/>
    </row>
    <row r="4" spans="1:8" ht="15" customHeight="1" x14ac:dyDescent="0.35">
      <c r="A4" s="148" t="s">
        <v>2</v>
      </c>
      <c r="B4" s="148"/>
      <c r="C4" s="148"/>
      <c r="D4" s="148"/>
      <c r="E4" s="148" t="s">
        <v>175</v>
      </c>
      <c r="F4" s="148"/>
      <c r="G4" s="148"/>
      <c r="H4" s="148"/>
    </row>
    <row r="5" spans="1:8" x14ac:dyDescent="0.35">
      <c r="A5" s="148" t="s">
        <v>3</v>
      </c>
      <c r="B5" s="148"/>
      <c r="C5" s="148"/>
      <c r="D5" s="148"/>
      <c r="E5" s="170">
        <v>45853</v>
      </c>
      <c r="F5" s="148"/>
      <c r="G5" s="148"/>
      <c r="H5" s="148"/>
    </row>
    <row r="6" spans="1:8" ht="16.5" customHeight="1" x14ac:dyDescent="0.35">
      <c r="A6" s="148" t="s">
        <v>4</v>
      </c>
      <c r="B6" s="148"/>
      <c r="C6" s="148"/>
      <c r="D6" s="148"/>
      <c r="E6" s="148" t="s">
        <v>173</v>
      </c>
      <c r="F6" s="148"/>
      <c r="G6" s="148"/>
      <c r="H6" s="148"/>
    </row>
    <row r="7" spans="1:8" ht="15" customHeight="1" x14ac:dyDescent="0.35">
      <c r="A7" s="148" t="s">
        <v>5</v>
      </c>
      <c r="B7" s="148"/>
      <c r="C7" s="148"/>
      <c r="D7" s="148"/>
      <c r="E7" s="148" t="str">
        <f>E6</f>
        <v>Shree Laxmi Enterprises</v>
      </c>
      <c r="F7" s="148"/>
      <c r="G7" s="148"/>
      <c r="H7" s="148"/>
    </row>
    <row r="8" spans="1:8" x14ac:dyDescent="0.35">
      <c r="A8" s="148" t="s">
        <v>6</v>
      </c>
      <c r="B8" s="148"/>
      <c r="C8" s="148"/>
      <c r="D8" s="148"/>
      <c r="E8" s="77" t="s">
        <v>174</v>
      </c>
      <c r="F8" s="77"/>
      <c r="G8" s="77"/>
      <c r="H8" s="77"/>
    </row>
    <row r="9" spans="1:8" x14ac:dyDescent="0.35">
      <c r="A9" s="148" t="s">
        <v>169</v>
      </c>
      <c r="B9" s="148"/>
      <c r="C9" s="148"/>
      <c r="D9" s="148"/>
      <c r="E9" s="148" t="s">
        <v>217</v>
      </c>
      <c r="F9" s="148"/>
      <c r="G9" s="148"/>
      <c r="H9" s="148"/>
    </row>
    <row r="10" spans="1:8" hidden="1" x14ac:dyDescent="0.35">
      <c r="A10" s="148" t="s">
        <v>170</v>
      </c>
      <c r="B10" s="148"/>
      <c r="C10" s="148"/>
      <c r="D10" s="148"/>
      <c r="E10" s="148" t="s">
        <v>228</v>
      </c>
      <c r="F10" s="148"/>
      <c r="G10" s="148"/>
      <c r="H10" s="148"/>
    </row>
    <row r="11" spans="1:8" ht="33" customHeight="1" x14ac:dyDescent="0.35">
      <c r="A11" s="148" t="s">
        <v>7</v>
      </c>
      <c r="B11" s="148"/>
      <c r="C11" s="148"/>
      <c r="D11" s="148"/>
      <c r="E11" s="164" t="s">
        <v>218</v>
      </c>
      <c r="F11" s="148"/>
      <c r="G11" s="148"/>
      <c r="H11" s="148"/>
    </row>
    <row r="12" spans="1:8" x14ac:dyDescent="0.35">
      <c r="A12" s="145" t="s">
        <v>8</v>
      </c>
      <c r="B12" s="145"/>
      <c r="C12" s="145"/>
      <c r="D12" s="145"/>
      <c r="E12" s="164" t="s">
        <v>176</v>
      </c>
      <c r="F12" s="164"/>
      <c r="G12" s="164"/>
      <c r="H12" s="164"/>
    </row>
    <row r="13" spans="1:8" x14ac:dyDescent="0.35">
      <c r="A13" s="145" t="s">
        <v>9</v>
      </c>
      <c r="B13" s="145"/>
      <c r="C13" s="145"/>
      <c r="D13" s="145"/>
      <c r="E13" s="164" t="s">
        <v>177</v>
      </c>
      <c r="F13" s="148"/>
      <c r="G13" s="148"/>
      <c r="H13" s="148"/>
    </row>
    <row r="14" spans="1:8" ht="34.9" customHeight="1" x14ac:dyDescent="0.35">
      <c r="A14" s="168" t="s">
        <v>10</v>
      </c>
      <c r="B14" s="168"/>
      <c r="C14" s="16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Park One Phase I, Survey No.125, H.No.1(p), near Shubh Hills Co op society, Panvel Highway, Katrap, Shirgaon, Badlapur, Ambarnath, Thane - 421503.</v>
      </c>
      <c r="D14" s="168"/>
      <c r="E14" s="168"/>
      <c r="F14" s="168"/>
      <c r="G14" s="168"/>
      <c r="H14" s="168"/>
    </row>
    <row r="15" spans="1:8" x14ac:dyDescent="0.35">
      <c r="A15" s="164" t="s">
        <v>178</v>
      </c>
      <c r="B15" s="164"/>
      <c r="C15" s="164" t="s">
        <v>179</v>
      </c>
      <c r="D15" s="164"/>
      <c r="E15" s="164"/>
      <c r="F15" s="164"/>
      <c r="G15" s="164"/>
      <c r="H15" s="164"/>
    </row>
    <row r="16" spans="1:8" ht="15.75" customHeight="1" x14ac:dyDescent="0.35">
      <c r="A16" s="164" t="s">
        <v>168</v>
      </c>
      <c r="B16" s="164"/>
      <c r="C16" s="164" t="s">
        <v>188</v>
      </c>
      <c r="D16" s="164"/>
      <c r="E16" s="164"/>
      <c r="F16" s="164"/>
      <c r="G16" s="164"/>
      <c r="H16" s="164"/>
    </row>
    <row r="17" spans="1:8" ht="15.75" customHeight="1" x14ac:dyDescent="0.35">
      <c r="A17" s="168" t="s">
        <v>11</v>
      </c>
      <c r="B17" s="168"/>
      <c r="C17" s="148" t="s">
        <v>189</v>
      </c>
      <c r="D17" s="148"/>
      <c r="E17" s="168" t="s">
        <v>77</v>
      </c>
      <c r="F17" s="168"/>
      <c r="G17" s="164" t="s">
        <v>180</v>
      </c>
      <c r="H17" s="164"/>
    </row>
    <row r="18" spans="1:8" x14ac:dyDescent="0.35">
      <c r="A18" s="145" t="s">
        <v>13</v>
      </c>
      <c r="B18" s="145"/>
      <c r="C18" s="164" t="s">
        <v>191</v>
      </c>
      <c r="D18" s="164"/>
      <c r="E18" s="168" t="s">
        <v>12</v>
      </c>
      <c r="F18" s="168"/>
      <c r="G18" s="169" t="s">
        <v>181</v>
      </c>
      <c r="H18" s="169"/>
    </row>
    <row r="19" spans="1:8" x14ac:dyDescent="0.35">
      <c r="A19" s="145" t="s">
        <v>78</v>
      </c>
      <c r="B19" s="145"/>
      <c r="C19" s="164" t="s">
        <v>182</v>
      </c>
      <c r="D19" s="164"/>
      <c r="E19" s="168" t="s">
        <v>14</v>
      </c>
      <c r="F19" s="168"/>
      <c r="G19" s="164">
        <v>421503</v>
      </c>
      <c r="H19" s="164"/>
    </row>
    <row r="20" spans="1:8" ht="32.25" customHeight="1" x14ac:dyDescent="0.35">
      <c r="A20" s="145" t="s">
        <v>126</v>
      </c>
      <c r="B20" s="145"/>
      <c r="C20" s="164" t="s">
        <v>192</v>
      </c>
      <c r="D20" s="164"/>
      <c r="E20" s="168" t="s">
        <v>15</v>
      </c>
      <c r="F20" s="168"/>
      <c r="G20" s="164" t="s">
        <v>190</v>
      </c>
      <c r="H20" s="164"/>
    </row>
    <row r="21" spans="1:8" ht="15" customHeight="1" x14ac:dyDescent="0.35">
      <c r="A21" s="168" t="s">
        <v>80</v>
      </c>
      <c r="B21" s="168"/>
      <c r="C21" s="168"/>
      <c r="D21" s="168"/>
      <c r="E21" s="148" t="s">
        <v>16</v>
      </c>
      <c r="F21" s="148"/>
      <c r="G21" s="148"/>
      <c r="H21" s="148"/>
    </row>
    <row r="22" spans="1:8" ht="18.75" customHeight="1" x14ac:dyDescent="0.35">
      <c r="A22" s="168"/>
      <c r="B22" s="168"/>
      <c r="C22" s="168"/>
      <c r="D22" s="168"/>
      <c r="E22" s="148"/>
      <c r="F22" s="148"/>
      <c r="G22" s="148"/>
      <c r="H22" s="148"/>
    </row>
    <row r="23" spans="1:8" ht="15" customHeight="1" x14ac:dyDescent="0.35">
      <c r="A23" s="168" t="s">
        <v>17</v>
      </c>
      <c r="B23" s="168"/>
      <c r="C23" s="168"/>
      <c r="D23" s="168"/>
      <c r="E23" s="164" t="s">
        <v>18</v>
      </c>
      <c r="F23" s="164"/>
      <c r="G23" s="164"/>
      <c r="H23" s="164"/>
    </row>
    <row r="24" spans="1:8" ht="15" customHeight="1" x14ac:dyDescent="0.35">
      <c r="A24" s="145" t="s">
        <v>19</v>
      </c>
      <c r="B24" s="145"/>
      <c r="C24" s="145"/>
      <c r="D24" s="145"/>
      <c r="E24" s="164" t="str">
        <f>IF(AND(G18="Mumbai"),"Upper Class","Middle Class")</f>
        <v>Middle Class</v>
      </c>
      <c r="F24" s="164"/>
      <c r="G24" s="164"/>
      <c r="H24" s="164"/>
    </row>
    <row r="25" spans="1:8" x14ac:dyDescent="0.35">
      <c r="A25" s="145" t="s">
        <v>20</v>
      </c>
      <c r="B25" s="145"/>
      <c r="C25" s="145"/>
      <c r="D25" s="145"/>
      <c r="E25" s="164" t="s">
        <v>21</v>
      </c>
      <c r="F25" s="164"/>
      <c r="G25" s="164"/>
      <c r="H25" s="164"/>
    </row>
    <row r="26" spans="1:8" ht="15.75" customHeight="1" x14ac:dyDescent="0.35">
      <c r="A26" s="145" t="s">
        <v>22</v>
      </c>
      <c r="B26" s="145"/>
      <c r="C26" s="145"/>
      <c r="D26" s="145"/>
      <c r="E26" s="164" t="str">
        <f>IF(AND(G18="Mumbai"),"Developed","Developing")</f>
        <v>Developing</v>
      </c>
      <c r="F26" s="164"/>
      <c r="G26" s="164"/>
      <c r="H26" s="164"/>
    </row>
    <row r="27" spans="1:8" x14ac:dyDescent="0.35">
      <c r="A27" s="145" t="s">
        <v>23</v>
      </c>
      <c r="B27" s="145"/>
      <c r="C27" s="145"/>
      <c r="D27" s="145"/>
      <c r="E27" s="164" t="s">
        <v>24</v>
      </c>
      <c r="F27" s="164"/>
      <c r="G27" s="164"/>
      <c r="H27" s="164"/>
    </row>
    <row r="28" spans="1:8" ht="15.75" customHeight="1" x14ac:dyDescent="0.35">
      <c r="A28" s="145" t="s">
        <v>85</v>
      </c>
      <c r="B28" s="145"/>
      <c r="C28" s="145"/>
      <c r="D28" s="145"/>
      <c r="E28" s="164" t="s">
        <v>86</v>
      </c>
      <c r="F28" s="164"/>
      <c r="G28" s="164"/>
      <c r="H28" s="164"/>
    </row>
    <row r="29" spans="1:8" ht="15" customHeight="1" x14ac:dyDescent="0.35">
      <c r="A29" s="145" t="s">
        <v>35</v>
      </c>
      <c r="B29" s="145"/>
      <c r="C29" s="145"/>
      <c r="D29" s="145"/>
      <c r="E29" s="16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64"/>
      <c r="G29" s="164"/>
      <c r="H29" s="164"/>
    </row>
    <row r="30" spans="1:8" ht="15.75" customHeight="1" x14ac:dyDescent="0.35">
      <c r="A30" s="145" t="s">
        <v>97</v>
      </c>
      <c r="B30" s="145"/>
      <c r="C30" s="145"/>
      <c r="D30" s="145"/>
      <c r="E30" s="164" t="s">
        <v>36</v>
      </c>
      <c r="F30" s="164"/>
      <c r="G30" s="164"/>
      <c r="H30" s="164"/>
    </row>
    <row r="31" spans="1:8" s="22" customFormat="1" x14ac:dyDescent="0.35">
      <c r="A31" s="167" t="s">
        <v>98</v>
      </c>
      <c r="B31" s="167"/>
      <c r="C31" s="166" t="s">
        <v>29</v>
      </c>
      <c r="D31" s="166"/>
      <c r="E31" s="166"/>
      <c r="F31" s="166" t="s">
        <v>31</v>
      </c>
      <c r="G31" s="166"/>
      <c r="H31" s="166"/>
    </row>
    <row r="32" spans="1:8" s="22" customFormat="1" x14ac:dyDescent="0.35">
      <c r="A32" s="156" t="s">
        <v>25</v>
      </c>
      <c r="B32" s="156" t="s">
        <v>30</v>
      </c>
      <c r="C32" s="157" t="s">
        <v>30</v>
      </c>
      <c r="D32" s="157"/>
      <c r="E32" s="157"/>
      <c r="F32" s="157" t="s">
        <v>186</v>
      </c>
      <c r="G32" s="157"/>
      <c r="H32" s="157"/>
    </row>
    <row r="33" spans="1:8" x14ac:dyDescent="0.35">
      <c r="A33" s="156" t="s">
        <v>26</v>
      </c>
      <c r="B33" s="156" t="s">
        <v>30</v>
      </c>
      <c r="C33" s="157" t="s">
        <v>30</v>
      </c>
      <c r="D33" s="157"/>
      <c r="E33" s="157"/>
      <c r="F33" s="157" t="s">
        <v>186</v>
      </c>
      <c r="G33" s="157"/>
      <c r="H33" s="157"/>
    </row>
    <row r="34" spans="1:8" s="22" customFormat="1" x14ac:dyDescent="0.35">
      <c r="A34" s="156" t="s">
        <v>28</v>
      </c>
      <c r="B34" s="156" t="s">
        <v>30</v>
      </c>
      <c r="C34" s="157" t="s">
        <v>30</v>
      </c>
      <c r="D34" s="157"/>
      <c r="E34" s="157"/>
      <c r="F34" s="157" t="s">
        <v>186</v>
      </c>
      <c r="G34" s="157"/>
      <c r="H34" s="157"/>
    </row>
    <row r="35" spans="1:8" x14ac:dyDescent="0.35">
      <c r="A35" s="156" t="s">
        <v>27</v>
      </c>
      <c r="B35" s="156" t="s">
        <v>30</v>
      </c>
      <c r="C35" s="157" t="s">
        <v>30</v>
      </c>
      <c r="D35" s="157"/>
      <c r="E35" s="157"/>
      <c r="F35" s="157" t="s">
        <v>187</v>
      </c>
      <c r="G35" s="157"/>
      <c r="H35" s="157"/>
    </row>
    <row r="36" spans="1:8" x14ac:dyDescent="0.35">
      <c r="A36" s="145" t="s">
        <v>32</v>
      </c>
      <c r="B36" s="145"/>
      <c r="C36" s="145"/>
      <c r="D36" s="145"/>
      <c r="E36" s="145"/>
      <c r="F36" s="145"/>
      <c r="G36" s="145"/>
      <c r="H36" s="145"/>
    </row>
    <row r="37" spans="1:8" ht="15.75" customHeight="1" x14ac:dyDescent="0.35">
      <c r="A37" s="160" t="s">
        <v>33</v>
      </c>
      <c r="B37" s="160"/>
      <c r="C37" s="161">
        <v>19.162292000000001</v>
      </c>
      <c r="D37" s="161"/>
      <c r="E37" s="160" t="s">
        <v>34</v>
      </c>
      <c r="F37" s="160"/>
      <c r="G37" s="162">
        <v>73.222477999999995</v>
      </c>
      <c r="H37" s="162"/>
    </row>
    <row r="38" spans="1:8" x14ac:dyDescent="0.35">
      <c r="A38" s="160" t="s">
        <v>167</v>
      </c>
      <c r="B38" s="160"/>
      <c r="C38" s="163" t="s">
        <v>185</v>
      </c>
      <c r="D38" s="164"/>
      <c r="E38" s="164"/>
      <c r="F38" s="164"/>
      <c r="G38" s="164"/>
      <c r="H38" s="164"/>
    </row>
    <row r="39" spans="1:8" x14ac:dyDescent="0.35">
      <c r="A39" s="159" t="s">
        <v>37</v>
      </c>
      <c r="B39" s="159"/>
      <c r="C39" s="159"/>
      <c r="D39" s="159"/>
      <c r="E39" s="159"/>
      <c r="F39" s="159"/>
      <c r="G39" s="159"/>
      <c r="H39" s="159"/>
    </row>
    <row r="40" spans="1:8" x14ac:dyDescent="0.35">
      <c r="A40" s="145" t="s">
        <v>38</v>
      </c>
      <c r="B40" s="145"/>
      <c r="C40" s="145"/>
      <c r="D40" s="145"/>
      <c r="E40" s="158">
        <v>8714.7000000000007</v>
      </c>
      <c r="F40" s="158"/>
      <c r="G40" s="158"/>
      <c r="H40" s="158"/>
    </row>
    <row r="41" spans="1:8" x14ac:dyDescent="0.35">
      <c r="A41" s="145" t="s">
        <v>39</v>
      </c>
      <c r="B41" s="145"/>
      <c r="C41" s="145"/>
      <c r="D41" s="145"/>
      <c r="E41" s="146">
        <v>1</v>
      </c>
      <c r="F41" s="146"/>
      <c r="G41" s="146"/>
      <c r="H41" s="146"/>
    </row>
    <row r="42" spans="1:8" x14ac:dyDescent="0.35">
      <c r="A42" s="145" t="s">
        <v>40</v>
      </c>
      <c r="B42" s="145"/>
      <c r="C42" s="145"/>
      <c r="D42" s="145"/>
      <c r="E42" s="146">
        <f>E44/E40-E41</f>
        <v>0.6114232274203355</v>
      </c>
      <c r="F42" s="146"/>
      <c r="G42" s="146"/>
      <c r="H42" s="146"/>
    </row>
    <row r="43" spans="1:8" x14ac:dyDescent="0.35">
      <c r="A43" s="145" t="s">
        <v>41</v>
      </c>
      <c r="B43" s="145"/>
      <c r="C43" s="145"/>
      <c r="D43" s="145"/>
      <c r="E43" s="146">
        <f>E41+E42</f>
        <v>1.6114232274203355</v>
      </c>
      <c r="F43" s="146"/>
      <c r="G43" s="146"/>
      <c r="H43" s="146"/>
    </row>
    <row r="44" spans="1:8" x14ac:dyDescent="0.35">
      <c r="A44" s="145" t="s">
        <v>96</v>
      </c>
      <c r="B44" s="145"/>
      <c r="C44" s="145"/>
      <c r="D44" s="145"/>
      <c r="E44" s="147">
        <v>14043.07</v>
      </c>
      <c r="F44" s="147"/>
      <c r="G44" s="147"/>
      <c r="H44" s="147"/>
    </row>
    <row r="45" spans="1:8" x14ac:dyDescent="0.35">
      <c r="A45" s="148" t="s">
        <v>42</v>
      </c>
      <c r="B45" s="148"/>
      <c r="C45" s="148"/>
      <c r="D45" s="148"/>
      <c r="E45" s="148" t="s">
        <v>193</v>
      </c>
      <c r="F45" s="148"/>
      <c r="G45" s="148"/>
      <c r="H45" s="148"/>
    </row>
    <row r="46" spans="1:8" x14ac:dyDescent="0.35">
      <c r="A46" s="159" t="s">
        <v>43</v>
      </c>
      <c r="B46" s="159"/>
      <c r="C46" s="159"/>
      <c r="D46" s="159"/>
      <c r="E46" s="159"/>
      <c r="F46" s="159"/>
      <c r="G46" s="159"/>
      <c r="H46" s="159"/>
    </row>
    <row r="47" spans="1:8" ht="33.75" customHeight="1" x14ac:dyDescent="0.35">
      <c r="A47" s="107" t="s">
        <v>155</v>
      </c>
      <c r="B47" s="108"/>
      <c r="C47" s="109" t="s">
        <v>183</v>
      </c>
      <c r="D47" s="110"/>
      <c r="E47" s="110"/>
      <c r="F47" s="110"/>
      <c r="G47" s="110"/>
      <c r="H47" s="111"/>
    </row>
    <row r="48" spans="1:8" x14ac:dyDescent="0.35">
      <c r="A48" s="107" t="s">
        <v>44</v>
      </c>
      <c r="B48" s="108"/>
      <c r="C48" s="107" t="s">
        <v>219</v>
      </c>
      <c r="D48" s="190"/>
      <c r="E48" s="108"/>
      <c r="F48" s="18" t="s">
        <v>45</v>
      </c>
      <c r="G48" s="202">
        <v>44742</v>
      </c>
      <c r="H48" s="108"/>
    </row>
    <row r="49" spans="1:14" x14ac:dyDescent="0.35">
      <c r="A49" s="107" t="s">
        <v>46</v>
      </c>
      <c r="B49" s="108"/>
      <c r="C49" s="107" t="str">
        <f>C48</f>
        <v>KBNP/NRV/BP/6085-79</v>
      </c>
      <c r="D49" s="190"/>
      <c r="E49" s="108"/>
      <c r="F49" s="18" t="s">
        <v>45</v>
      </c>
      <c r="G49" s="202">
        <f>G48</f>
        <v>44742</v>
      </c>
      <c r="H49" s="203"/>
    </row>
    <row r="50" spans="1:14" s="23" customFormat="1" ht="33.75" customHeight="1" x14ac:dyDescent="0.35">
      <c r="A50" s="230" t="s">
        <v>159</v>
      </c>
      <c r="B50" s="231"/>
      <c r="C50" s="107" t="s">
        <v>220</v>
      </c>
      <c r="D50" s="190"/>
      <c r="E50" s="108"/>
      <c r="F50" s="18" t="s">
        <v>45</v>
      </c>
      <c r="G50" s="202">
        <f>G49</f>
        <v>44742</v>
      </c>
      <c r="H50" s="203"/>
    </row>
    <row r="51" spans="1:14" s="23" customFormat="1" ht="51.75" customHeight="1" x14ac:dyDescent="0.35">
      <c r="A51" s="232"/>
      <c r="B51" s="233"/>
      <c r="C51" s="107" t="s">
        <v>223</v>
      </c>
      <c r="D51" s="190"/>
      <c r="E51" s="190"/>
      <c r="F51" s="190"/>
      <c r="G51" s="190"/>
      <c r="H51" s="108"/>
      <c r="I51" s="55"/>
    </row>
    <row r="52" spans="1:14" x14ac:dyDescent="0.35">
      <c r="A52" s="206" t="s">
        <v>47</v>
      </c>
      <c r="B52" s="207"/>
      <c r="C52" s="206" t="s">
        <v>110</v>
      </c>
      <c r="D52" s="208"/>
      <c r="E52" s="207"/>
      <c r="F52" s="46" t="s">
        <v>45</v>
      </c>
      <c r="G52" s="187" t="s">
        <v>30</v>
      </c>
      <c r="H52" s="189"/>
    </row>
    <row r="53" spans="1:14" x14ac:dyDescent="0.35">
      <c r="A53" s="209" t="s">
        <v>49</v>
      </c>
      <c r="B53" s="209"/>
      <c r="C53" s="209"/>
      <c r="D53" s="209"/>
      <c r="E53" s="209"/>
      <c r="F53" s="209"/>
      <c r="G53" s="209"/>
      <c r="H53" s="209"/>
    </row>
    <row r="54" spans="1:14" x14ac:dyDescent="0.35">
      <c r="A54" s="168" t="s">
        <v>95</v>
      </c>
      <c r="B54" s="168"/>
      <c r="C54" s="168"/>
      <c r="D54" s="145">
        <f>E44</f>
        <v>14043.07</v>
      </c>
      <c r="E54" s="145"/>
      <c r="F54" s="145"/>
      <c r="G54" s="145"/>
      <c r="H54" s="145"/>
    </row>
    <row r="55" spans="1:14" x14ac:dyDescent="0.35">
      <c r="A55" s="164" t="s">
        <v>50</v>
      </c>
      <c r="B55" s="148"/>
      <c r="C55" s="148"/>
      <c r="D55" s="148" t="s">
        <v>209</v>
      </c>
      <c r="E55" s="148"/>
      <c r="F55" s="148"/>
      <c r="G55" s="148"/>
      <c r="H55" s="148"/>
      <c r="I55" s="24"/>
    </row>
    <row r="56" spans="1:14" ht="50.25" customHeight="1" x14ac:dyDescent="0.35">
      <c r="A56" s="149" t="s">
        <v>51</v>
      </c>
      <c r="B56" s="150"/>
      <c r="C56" s="151"/>
      <c r="D56" s="201" t="s">
        <v>223</v>
      </c>
      <c r="E56" s="210"/>
      <c r="F56" s="210"/>
      <c r="G56" s="210"/>
      <c r="H56" s="210"/>
      <c r="I56" s="56"/>
    </row>
    <row r="57" spans="1:14" ht="15.75" customHeight="1" x14ac:dyDescent="0.35">
      <c r="A57" s="149" t="s">
        <v>93</v>
      </c>
      <c r="B57" s="150"/>
      <c r="C57" s="151"/>
      <c r="D57" s="204" t="s">
        <v>224</v>
      </c>
      <c r="E57" s="204"/>
      <c r="F57" s="204"/>
      <c r="G57" s="204"/>
      <c r="H57" s="205"/>
    </row>
    <row r="58" spans="1:14" ht="15.75" customHeight="1" x14ac:dyDescent="0.35">
      <c r="A58" s="152"/>
      <c r="B58" s="153"/>
      <c r="C58" s="154"/>
      <c r="D58" s="155" t="s">
        <v>225</v>
      </c>
      <c r="E58" s="155"/>
      <c r="F58" s="155"/>
      <c r="G58" s="155"/>
      <c r="H58" s="229"/>
    </row>
    <row r="59" spans="1:14" ht="15.75" customHeight="1" x14ac:dyDescent="0.35">
      <c r="A59" s="152"/>
      <c r="B59" s="153"/>
      <c r="C59" s="154"/>
      <c r="D59" s="155" t="s">
        <v>226</v>
      </c>
      <c r="E59" s="155"/>
      <c r="F59" s="155"/>
      <c r="G59" s="155"/>
      <c r="H59" s="155"/>
    </row>
    <row r="60" spans="1:14" ht="15.75" customHeight="1" x14ac:dyDescent="0.35">
      <c r="A60" s="152"/>
      <c r="B60" s="153"/>
      <c r="C60" s="154"/>
      <c r="D60" s="155" t="s">
        <v>229</v>
      </c>
      <c r="E60" s="155"/>
      <c r="F60" s="155"/>
      <c r="G60" s="155"/>
      <c r="H60" s="155"/>
    </row>
    <row r="61" spans="1:14" ht="15.75" customHeight="1" x14ac:dyDescent="0.35">
      <c r="A61" s="152"/>
      <c r="B61" s="153"/>
      <c r="C61" s="154"/>
      <c r="D61" s="155" t="s">
        <v>230</v>
      </c>
      <c r="E61" s="155"/>
      <c r="F61" s="155"/>
      <c r="G61" s="155"/>
      <c r="H61" s="155"/>
    </row>
    <row r="62" spans="1:14" ht="15.75" customHeight="1" x14ac:dyDescent="0.35">
      <c r="A62" s="152"/>
      <c r="B62" s="153"/>
      <c r="C62" s="154"/>
      <c r="D62" s="227" t="s">
        <v>227</v>
      </c>
      <c r="E62" s="228"/>
      <c r="F62" s="228"/>
      <c r="G62" s="228"/>
      <c r="H62" s="228"/>
    </row>
    <row r="63" spans="1:14" ht="15.75" customHeight="1" x14ac:dyDescent="0.35">
      <c r="A63" s="145" t="s">
        <v>48</v>
      </c>
      <c r="B63" s="145"/>
      <c r="C63" s="145"/>
      <c r="D63" s="165" t="s">
        <v>184</v>
      </c>
      <c r="E63" s="165"/>
      <c r="F63" s="165"/>
      <c r="G63" s="165"/>
      <c r="H63" s="165"/>
      <c r="J63" s="25"/>
      <c r="K63" s="24"/>
      <c r="N63" s="24"/>
    </row>
    <row r="64" spans="1:14" ht="15.75" customHeight="1" x14ac:dyDescent="0.35">
      <c r="A64" s="145" t="s">
        <v>91</v>
      </c>
      <c r="B64" s="145"/>
      <c r="C64" s="145"/>
      <c r="D64" s="144" t="str">
        <f>(IF(G52="NA","60 Years After Completion",IF(G52&lt;&gt;"NA",""&amp;60-ROUNDDOWN((E3-G52)/360,0)&amp;" Years"," ")))</f>
        <v>60 Years After Completion</v>
      </c>
      <c r="E64" s="144"/>
      <c r="F64" s="144"/>
      <c r="G64" s="144"/>
      <c r="H64" s="144"/>
      <c r="N64" s="24"/>
    </row>
    <row r="65" spans="1:14" ht="15.75" customHeight="1" x14ac:dyDescent="0.35">
      <c r="A65" s="145" t="s">
        <v>92</v>
      </c>
      <c r="B65" s="145"/>
      <c r="C65" s="145"/>
      <c r="D65" s="168" t="s">
        <v>24</v>
      </c>
      <c r="E65" s="168"/>
      <c r="F65" s="168"/>
      <c r="G65" s="168"/>
      <c r="H65" s="168"/>
      <c r="J65" s="26"/>
      <c r="K65" s="26"/>
    </row>
    <row r="66" spans="1:14" ht="30" customHeight="1" x14ac:dyDescent="0.35">
      <c r="A66" s="145" t="s">
        <v>79</v>
      </c>
      <c r="B66" s="145"/>
      <c r="C66" s="145"/>
      <c r="D66" s="164" t="s">
        <v>172</v>
      </c>
      <c r="E66" s="168"/>
      <c r="F66" s="168"/>
      <c r="G66" s="168"/>
      <c r="H66" s="168"/>
    </row>
    <row r="67" spans="1:14" x14ac:dyDescent="0.35">
      <c r="A67" s="168" t="s">
        <v>152</v>
      </c>
      <c r="B67" s="168"/>
      <c r="C67" s="168"/>
      <c r="D67" s="168" t="s">
        <v>30</v>
      </c>
      <c r="E67" s="168"/>
      <c r="F67" s="168"/>
      <c r="G67" s="168"/>
      <c r="H67" s="168"/>
      <c r="I67" s="27"/>
      <c r="J67" s="27"/>
      <c r="K67" s="27"/>
      <c r="L67" s="27"/>
      <c r="M67" s="27"/>
      <c r="N67" s="27"/>
    </row>
    <row r="68" spans="1:14" ht="15.75" customHeight="1" x14ac:dyDescent="0.35">
      <c r="A68" s="200" t="s">
        <v>90</v>
      </c>
      <c r="B68" s="200"/>
      <c r="C68" s="200"/>
      <c r="D68" s="201" t="str">
        <f ca="1">(IF(G74&gt;95%,"Nothing",IF(G74&gt;0%,"Cement, Aggregate, Steel, etc",IF(G74=0%,"Work not yet Started"))))</f>
        <v>Cement, Aggregate, Steel, etc</v>
      </c>
      <c r="E68" s="201"/>
      <c r="F68" s="201"/>
      <c r="G68" s="201"/>
      <c r="H68" s="201"/>
      <c r="J68" s="26"/>
    </row>
    <row r="69" spans="1:14" ht="33.75" customHeight="1" thickBot="1" x14ac:dyDescent="0.4">
      <c r="A69" s="168" t="s">
        <v>123</v>
      </c>
      <c r="B69" s="168"/>
      <c r="C69" s="168"/>
      <c r="D69" s="164" t="str">
        <f ca="1">(IF(D68="Nothing","Yes",IF(D68="Cement, Aggregate, Steel, etc","Under Construction",IF(D68="Work not yet Started","Work not yet Started"))))</f>
        <v>Under Construction</v>
      </c>
      <c r="E69" s="164"/>
      <c r="F69" s="164" t="str">
        <f ca="1">(IF(D68="Nothing","Yes",IF(D68="Cement, Aggregate, Steel, etc","Under Construction",IF(D68="Work not yet Started","Work not yet Started"))))</f>
        <v>Under Construction</v>
      </c>
      <c r="G69" s="164"/>
      <c r="H69" s="164"/>
    </row>
    <row r="70" spans="1:14" ht="15.75" customHeight="1" x14ac:dyDescent="0.35">
      <c r="A70" s="85" t="s">
        <v>144</v>
      </c>
      <c r="B70" s="85"/>
      <c r="C70" s="85" t="str">
        <f>D57</f>
        <v>C Wing (Orchid) = G + 1st to 7th Floor</v>
      </c>
      <c r="D70" s="85"/>
      <c r="E70" s="85"/>
      <c r="F70" s="85"/>
      <c r="G70" s="85"/>
      <c r="H70" s="85"/>
      <c r="I70" s="67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Plaster, External Plaster Completed, Flooring upto 1 Floor, Painting upto 1 Floor Completed</v>
      </c>
      <c r="J70" s="50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Flooring upto 1 Floor, Painting upto 1 Floor</v>
      </c>
    </row>
    <row r="71" spans="1:14" x14ac:dyDescent="0.35">
      <c r="A71" s="65" t="s">
        <v>146</v>
      </c>
      <c r="B71" s="65">
        <v>0</v>
      </c>
      <c r="C71" s="65" t="s">
        <v>76</v>
      </c>
      <c r="D71" s="65">
        <v>1</v>
      </c>
      <c r="E71" s="65" t="s">
        <v>75</v>
      </c>
      <c r="F71" s="65">
        <v>0</v>
      </c>
      <c r="G71" s="66" t="s">
        <v>84</v>
      </c>
      <c r="H71" s="65">
        <f ca="1">--TRIM(RIGHT(SUBSTITUTE(LEFT(C70,_xlfn.AGGREGATE(16,6,FIND({0,1,2,3,4,5,6,7,8,9},C70,ROW(INDIRECT("1:"&amp;LEN(C70)))),1))," ",REPT(" ",LEN(C70))),LEN(C70)))</f>
        <v>7</v>
      </c>
      <c r="I71" s="68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</v>
      </c>
      <c r="J71" s="52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33.75" customHeight="1" x14ac:dyDescent="0.35">
      <c r="A72" s="77" t="s">
        <v>94</v>
      </c>
      <c r="B72" s="77"/>
      <c r="C72" s="86" t="str">
        <f ca="1">I70</f>
        <v>Excavation, Plinth, RCC Slab, Brickwork, Internal Plaster, External Plaster Completed, Flooring upto 1 Floor, Painting upto 1 Floor Completed</v>
      </c>
      <c r="D72" s="86"/>
      <c r="E72" s="86"/>
      <c r="F72" s="86"/>
      <c r="G72" s="86"/>
      <c r="H72" s="86"/>
      <c r="I72" s="68" t="str">
        <f ca="1">IF(I71&lt;&gt;""," Completed","")</f>
        <v xml:space="preserve"> Completed</v>
      </c>
      <c r="J72" s="52" t="str">
        <f ca="1">IF(J70&lt;&gt;"","Completed","")</f>
        <v>Completed</v>
      </c>
    </row>
    <row r="73" spans="1:14" ht="15.75" customHeight="1" x14ac:dyDescent="0.35">
      <c r="A73" s="81" t="s">
        <v>52</v>
      </c>
      <c r="B73" s="82"/>
      <c r="C73" s="44" t="s">
        <v>143</v>
      </c>
      <c r="D73" s="44" t="s">
        <v>87</v>
      </c>
      <c r="E73" s="82" t="s">
        <v>89</v>
      </c>
      <c r="F73" s="82"/>
      <c r="G73" s="82" t="s">
        <v>88</v>
      </c>
      <c r="H73" s="83"/>
      <c r="I73" s="14" t="s">
        <v>145</v>
      </c>
      <c r="J73" s="28">
        <f ca="1">H71*25%</f>
        <v>1.75</v>
      </c>
    </row>
    <row r="74" spans="1:14" x14ac:dyDescent="0.35">
      <c r="A74" s="81" t="s">
        <v>132</v>
      </c>
      <c r="B74" s="82"/>
      <c r="C74" s="44">
        <f ca="1">J75</f>
        <v>7</v>
      </c>
      <c r="D74" s="19">
        <f ca="1">((100/H71)*C74)/100</f>
        <v>1</v>
      </c>
      <c r="E74" s="87">
        <f ca="1">(((C75/H71*10)+(40/(D71+F71+H71)*C76)+(7.5/(H71)*C77)+(7.5/(H71)*C78)+(10/H71*C79)+(10/H71*C80)+(5/H71*C81)+(5/H71*C82)+(5/H71*C83))/100)</f>
        <v>0.77142857142857135</v>
      </c>
      <c r="F74" s="88"/>
      <c r="G74" s="87">
        <f ca="1">((((C74/H71)*20)+((C75/H71)*25)+(30/(H71+F71+D71)*C76)+(5/H71*C77)+(5/H71*C78)+(5/H71*C79)+(5/H71*C80)+(0/H71*C81)+(0/H71*C82)+(5/H71*C83))/100)</f>
        <v>0.90714285714285703</v>
      </c>
      <c r="H74" s="93"/>
      <c r="I74" s="14" t="s">
        <v>105</v>
      </c>
      <c r="J74" s="29">
        <f ca="1">H71*50%</f>
        <v>3.5</v>
      </c>
    </row>
    <row r="75" spans="1:14" x14ac:dyDescent="0.35">
      <c r="A75" s="81" t="s">
        <v>53</v>
      </c>
      <c r="B75" s="82"/>
      <c r="C75" s="44">
        <f ca="1">J83</f>
        <v>7</v>
      </c>
      <c r="D75" s="19">
        <f ca="1">((100/H71)*C75)/100</f>
        <v>1</v>
      </c>
      <c r="E75" s="89"/>
      <c r="F75" s="90"/>
      <c r="G75" s="89"/>
      <c r="H75" s="94"/>
      <c r="I75" s="14" t="s">
        <v>106</v>
      </c>
      <c r="J75" s="29">
        <f ca="1">H71</f>
        <v>7</v>
      </c>
    </row>
    <row r="76" spans="1:14" ht="15.75" customHeight="1" x14ac:dyDescent="0.35">
      <c r="A76" s="81" t="s">
        <v>133</v>
      </c>
      <c r="B76" s="82"/>
      <c r="C76" s="44">
        <v>8</v>
      </c>
      <c r="D76" s="19">
        <f ca="1">((100/(D71+F71+H71))*C76)/100</f>
        <v>1</v>
      </c>
      <c r="E76" s="89"/>
      <c r="F76" s="90"/>
      <c r="G76" s="89"/>
      <c r="H76" s="94"/>
      <c r="I76" s="14" t="s">
        <v>107</v>
      </c>
      <c r="J76" s="30">
        <f ca="1">(IF(B71&gt;1,(H71/(B71+2)),H71/4))</f>
        <v>1.75</v>
      </c>
    </row>
    <row r="77" spans="1:14" ht="15.75" customHeight="1" x14ac:dyDescent="0.35">
      <c r="A77" s="81" t="s">
        <v>140</v>
      </c>
      <c r="B77" s="82" t="s">
        <v>134</v>
      </c>
      <c r="C77" s="44">
        <v>7</v>
      </c>
      <c r="D77" s="19">
        <f ca="1">((100/H71)*C77)/100</f>
        <v>1</v>
      </c>
      <c r="E77" s="89"/>
      <c r="F77" s="90"/>
      <c r="G77" s="89"/>
      <c r="H77" s="94"/>
      <c r="I77" s="14" t="s">
        <v>108</v>
      </c>
      <c r="J77" s="30">
        <f ca="1">(IF(B71&gt;1,(H71/(B71+2)+J76),H71/4+J76))</f>
        <v>3.5</v>
      </c>
    </row>
    <row r="78" spans="1:14" ht="15.75" customHeight="1" x14ac:dyDescent="0.35">
      <c r="A78" s="81" t="s">
        <v>141</v>
      </c>
      <c r="B78" s="82" t="s">
        <v>134</v>
      </c>
      <c r="C78" s="44">
        <v>7</v>
      </c>
      <c r="D78" s="19">
        <f ca="1">((100/H71)*C78)/100</f>
        <v>1</v>
      </c>
      <c r="E78" s="89"/>
      <c r="F78" s="90"/>
      <c r="G78" s="89"/>
      <c r="H78" s="94"/>
      <c r="I78" s="14" t="s">
        <v>150</v>
      </c>
      <c r="J78" s="30">
        <f>(IF(B71&gt;1,(H71/(B71+2)+J77),0))</f>
        <v>0</v>
      </c>
    </row>
    <row r="79" spans="1:14" ht="15" customHeight="1" x14ac:dyDescent="0.35">
      <c r="A79" s="81" t="s">
        <v>139</v>
      </c>
      <c r="B79" s="82" t="s">
        <v>136</v>
      </c>
      <c r="C79" s="44">
        <v>7</v>
      </c>
      <c r="D79" s="19">
        <f ca="1">((100/(H71))*C79)/100</f>
        <v>1</v>
      </c>
      <c r="E79" s="89"/>
      <c r="F79" s="90"/>
      <c r="G79" s="89"/>
      <c r="H79" s="94"/>
      <c r="I79" s="14" t="s">
        <v>147</v>
      </c>
      <c r="J79" s="30">
        <f>(IF(B71&gt;2,(H71/(B71+2)+J78),0))</f>
        <v>0</v>
      </c>
    </row>
    <row r="80" spans="1:14" ht="15.75" customHeight="1" x14ac:dyDescent="0.35">
      <c r="A80" s="81" t="s">
        <v>135</v>
      </c>
      <c r="B80" s="82" t="s">
        <v>135</v>
      </c>
      <c r="C80" s="44">
        <v>1</v>
      </c>
      <c r="D80" s="19">
        <f ca="1">((100/H71)*C80)/100</f>
        <v>0.14285714285714288</v>
      </c>
      <c r="E80" s="89"/>
      <c r="F80" s="90"/>
      <c r="G80" s="89"/>
      <c r="H80" s="94"/>
      <c r="I80" s="14" t="s">
        <v>148</v>
      </c>
      <c r="J80" s="31">
        <f>(IF(B71&gt;3,(H71/(B71+2)+J79),0))</f>
        <v>0</v>
      </c>
    </row>
    <row r="81" spans="1:10" ht="15.75" customHeight="1" x14ac:dyDescent="0.35">
      <c r="A81" s="81" t="s">
        <v>142</v>
      </c>
      <c r="B81" s="82"/>
      <c r="C81" s="44">
        <v>1</v>
      </c>
      <c r="D81" s="19">
        <f ca="1">((100/H71)*C81)/100</f>
        <v>0.14285714285714288</v>
      </c>
      <c r="E81" s="89"/>
      <c r="F81" s="90"/>
      <c r="G81" s="89"/>
      <c r="H81" s="94"/>
      <c r="I81" s="14" t="s">
        <v>149</v>
      </c>
      <c r="J81" s="30">
        <f>(IF(B71&gt;4,(H71/(B71+2)+J80),0))</f>
        <v>0</v>
      </c>
    </row>
    <row r="82" spans="1:10" ht="15.75" customHeight="1" x14ac:dyDescent="0.35">
      <c r="A82" s="81" t="s">
        <v>137</v>
      </c>
      <c r="B82" s="82" t="s">
        <v>137</v>
      </c>
      <c r="C82" s="44">
        <v>0</v>
      </c>
      <c r="D82" s="19">
        <f ca="1">((100/(H71))*C82)/100</f>
        <v>0</v>
      </c>
      <c r="E82" s="89"/>
      <c r="F82" s="90"/>
      <c r="G82" s="89"/>
      <c r="H82" s="94"/>
      <c r="I82" s="14" t="s">
        <v>151</v>
      </c>
      <c r="J82" s="30">
        <f ca="1">(IF(B71=1,(H71/(B71+3)+J77),IF(B71=0,(H71/4+J77),IF(B71&gt;1,0))))</f>
        <v>5.25</v>
      </c>
    </row>
    <row r="83" spans="1:10" ht="16" thickBot="1" x14ac:dyDescent="0.4">
      <c r="A83" s="96" t="s">
        <v>138</v>
      </c>
      <c r="B83" s="97"/>
      <c r="C83" s="45">
        <v>0</v>
      </c>
      <c r="D83" s="20">
        <f ca="1">((100/(H71))*C83)/100</f>
        <v>0</v>
      </c>
      <c r="E83" s="91"/>
      <c r="F83" s="92"/>
      <c r="G83" s="91"/>
      <c r="H83" s="95"/>
      <c r="I83" s="15" t="s">
        <v>109</v>
      </c>
      <c r="J83" s="32">
        <f ca="1">(IF(B71&gt;1.5,(H71/(B71+2)+J77+MAX(0,J78-J77)+MAX(0,J79-J78)+MAX(0,J80-J79)+MAX(0,J81-J80)+MAX(0,J82-J81)),IF(B71=1,(H71/(B71+3)+J82),IF(B71=0,H71/4+J82))))</f>
        <v>7</v>
      </c>
    </row>
    <row r="84" spans="1:10" ht="15.75" customHeight="1" x14ac:dyDescent="0.35">
      <c r="A84" s="71" t="s">
        <v>144</v>
      </c>
      <c r="B84" s="72"/>
      <c r="C84" s="73" t="str">
        <f>D58</f>
        <v>D Wing (Orchid) = G + 1st to 7th Floor</v>
      </c>
      <c r="D84" s="74"/>
      <c r="E84" s="74"/>
      <c r="F84" s="74"/>
      <c r="G84" s="74"/>
      <c r="H84" s="75"/>
      <c r="I84" s="49" t="str">
        <f ca="1">IF(D97=100%,"All work Completed. Possession granted to the Building.",IF(D96=100%,"All work Completed, Waiting for OC",I85&amp;""&amp;I86&amp;""&amp;J85&amp;""&amp;J84&amp;" "&amp;J86))</f>
        <v xml:space="preserve">Excavation, Plinth, RCC Slab, Brickwork, Internal Plaster, External Plaster Completed </v>
      </c>
      <c r="J84" s="50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/>
      </c>
    </row>
    <row r="85" spans="1:10" x14ac:dyDescent="0.35">
      <c r="A85" s="16" t="s">
        <v>146</v>
      </c>
      <c r="B85" s="53">
        <v>0</v>
      </c>
      <c r="C85" s="53" t="s">
        <v>76</v>
      </c>
      <c r="D85" s="53">
        <v>1</v>
      </c>
      <c r="E85" s="53" t="s">
        <v>75</v>
      </c>
      <c r="F85" s="53">
        <v>0</v>
      </c>
      <c r="G85" s="48" t="s">
        <v>84</v>
      </c>
      <c r="H85" s="17">
        <f ca="1">--TRIM(RIGHT(SUBSTITUTE(LEFT(C84,_xlfn.AGGREGATE(16,6,FIND({0,1,2,3,4,5,6,7,8,9},C84,ROW(INDIRECT("1:"&amp;LEN(C84)))),1))," ",REPT(" ",LEN(C84))),LEN(C84)))</f>
        <v>7</v>
      </c>
      <c r="I85" s="51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Brickwork, Internal Plaster, External Plaster</v>
      </c>
      <c r="J85" s="52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34.5" customHeight="1" x14ac:dyDescent="0.35">
      <c r="A86" s="76" t="s">
        <v>94</v>
      </c>
      <c r="B86" s="77"/>
      <c r="C86" s="78" t="str">
        <f ca="1">(IF($G$52="NA",I84,"All work Completed. OC Received."))</f>
        <v xml:space="preserve">Excavation, Plinth, RCC Slab, Brickwork, Internal Plaster, External Plaster Completed </v>
      </c>
      <c r="D86" s="79"/>
      <c r="E86" s="79"/>
      <c r="F86" s="79"/>
      <c r="G86" s="79"/>
      <c r="H86" s="80"/>
      <c r="I86" s="51" t="str">
        <f ca="1">IF(I85&lt;&gt;""," Completed","")</f>
        <v xml:space="preserve"> Completed</v>
      </c>
      <c r="J86" s="52" t="str">
        <f ca="1">IF(J84&lt;&gt;"","Completed","")</f>
        <v/>
      </c>
    </row>
    <row r="87" spans="1:10" ht="15.75" customHeight="1" x14ac:dyDescent="0.35">
      <c r="A87" s="81" t="s">
        <v>52</v>
      </c>
      <c r="B87" s="82"/>
      <c r="C87" s="44" t="s">
        <v>143</v>
      </c>
      <c r="D87" s="44" t="s">
        <v>87</v>
      </c>
      <c r="E87" s="82" t="s">
        <v>89</v>
      </c>
      <c r="F87" s="82"/>
      <c r="G87" s="82" t="s">
        <v>88</v>
      </c>
      <c r="H87" s="83"/>
      <c r="I87" s="14" t="s">
        <v>145</v>
      </c>
      <c r="J87" s="28">
        <f ca="1">H85*25%</f>
        <v>1.75</v>
      </c>
    </row>
    <row r="88" spans="1:10" x14ac:dyDescent="0.35">
      <c r="A88" s="81" t="s">
        <v>132</v>
      </c>
      <c r="B88" s="82"/>
      <c r="C88" s="44">
        <f ca="1">J89</f>
        <v>7</v>
      </c>
      <c r="D88" s="19">
        <f ca="1">((100/H85)*C88)/100</f>
        <v>1</v>
      </c>
      <c r="E88" s="87">
        <f ca="1">(((C89/H85*10)+(40/(D85+F85+H85)*C90)+(7.5/(H85)*C91)+(7.5/(H85)*C92)+(10/H85*C93)+(10/H85*C94)+(5/H85*C95)+(5/H85*C96)+(5/H85*C97))/100)</f>
        <v>0.75</v>
      </c>
      <c r="F88" s="88"/>
      <c r="G88" s="87">
        <f ca="1">((((C88/H85)*20)+((C89/H85)*25)+(30/(H85+F85+D85)*C90)+(5/H85*C91)+(5/H85*C92)+(5/H85*C93)+(5/H85*C94)+(0/H85*C95)+(0/H85*C96)+(5/H85*C97))/100)</f>
        <v>0.9</v>
      </c>
      <c r="H88" s="93"/>
      <c r="I88" s="14" t="s">
        <v>105</v>
      </c>
      <c r="J88" s="29">
        <f ca="1">H85*50%</f>
        <v>3.5</v>
      </c>
    </row>
    <row r="89" spans="1:10" x14ac:dyDescent="0.35">
      <c r="A89" s="81" t="s">
        <v>53</v>
      </c>
      <c r="B89" s="82"/>
      <c r="C89" s="44">
        <f ca="1">J97</f>
        <v>7</v>
      </c>
      <c r="D89" s="19">
        <f ca="1">((100/H85)*C89)/100</f>
        <v>1</v>
      </c>
      <c r="E89" s="89"/>
      <c r="F89" s="90"/>
      <c r="G89" s="89"/>
      <c r="H89" s="94"/>
      <c r="I89" s="14" t="s">
        <v>106</v>
      </c>
      <c r="J89" s="29">
        <f ca="1">H85</f>
        <v>7</v>
      </c>
    </row>
    <row r="90" spans="1:10" ht="15.75" customHeight="1" x14ac:dyDescent="0.35">
      <c r="A90" s="81" t="s">
        <v>133</v>
      </c>
      <c r="B90" s="82"/>
      <c r="C90" s="44">
        <v>8</v>
      </c>
      <c r="D90" s="19">
        <f ca="1">((100/(D85+F85+H85))*C90)/100</f>
        <v>1</v>
      </c>
      <c r="E90" s="89"/>
      <c r="F90" s="90"/>
      <c r="G90" s="89"/>
      <c r="H90" s="94"/>
      <c r="I90" s="14" t="s">
        <v>107</v>
      </c>
      <c r="J90" s="30">
        <f ca="1">(IF(B85&gt;1,(H85/(B85+2)),H85/4))</f>
        <v>1.75</v>
      </c>
    </row>
    <row r="91" spans="1:10" ht="15.75" customHeight="1" x14ac:dyDescent="0.35">
      <c r="A91" s="81" t="s">
        <v>140</v>
      </c>
      <c r="B91" s="82" t="s">
        <v>134</v>
      </c>
      <c r="C91" s="44">
        <v>7</v>
      </c>
      <c r="D91" s="19">
        <f ca="1">((100/H85)*C91)/100</f>
        <v>1</v>
      </c>
      <c r="E91" s="89"/>
      <c r="F91" s="90"/>
      <c r="G91" s="89"/>
      <c r="H91" s="94"/>
      <c r="I91" s="14" t="s">
        <v>108</v>
      </c>
      <c r="J91" s="30">
        <f ca="1">(IF(B85&gt;1,(H85/(B85+2)+J90),H85/4+J90))</f>
        <v>3.5</v>
      </c>
    </row>
    <row r="92" spans="1:10" ht="15.75" customHeight="1" x14ac:dyDescent="0.35">
      <c r="A92" s="81" t="s">
        <v>141</v>
      </c>
      <c r="B92" s="82" t="s">
        <v>134</v>
      </c>
      <c r="C92" s="44">
        <v>7</v>
      </c>
      <c r="D92" s="19">
        <f ca="1">((100/H85)*C92)/100</f>
        <v>1</v>
      </c>
      <c r="E92" s="89"/>
      <c r="F92" s="90"/>
      <c r="G92" s="89"/>
      <c r="H92" s="94"/>
      <c r="I92" s="14" t="s">
        <v>150</v>
      </c>
      <c r="J92" s="30">
        <f>(IF(B85&gt;1,(H85/(B85+2)+J91),0))</f>
        <v>0</v>
      </c>
    </row>
    <row r="93" spans="1:10" ht="15" customHeight="1" x14ac:dyDescent="0.35">
      <c r="A93" s="81" t="s">
        <v>139</v>
      </c>
      <c r="B93" s="82" t="s">
        <v>136</v>
      </c>
      <c r="C93" s="44">
        <v>7</v>
      </c>
      <c r="D93" s="19">
        <f ca="1">((100/(H85))*C93)/100</f>
        <v>1</v>
      </c>
      <c r="E93" s="89"/>
      <c r="F93" s="90"/>
      <c r="G93" s="89"/>
      <c r="H93" s="94"/>
      <c r="I93" s="14" t="s">
        <v>147</v>
      </c>
      <c r="J93" s="30">
        <f>(IF(B85&gt;2,(H85/(B85+2)+J92),0))</f>
        <v>0</v>
      </c>
    </row>
    <row r="94" spans="1:10" ht="15.75" customHeight="1" x14ac:dyDescent="0.35">
      <c r="A94" s="81" t="s">
        <v>135</v>
      </c>
      <c r="B94" s="82" t="s">
        <v>135</v>
      </c>
      <c r="C94" s="44">
        <v>0</v>
      </c>
      <c r="D94" s="19">
        <f ca="1">((100/H85)*C94)/100</f>
        <v>0</v>
      </c>
      <c r="E94" s="89"/>
      <c r="F94" s="90"/>
      <c r="G94" s="89"/>
      <c r="H94" s="94"/>
      <c r="I94" s="14" t="s">
        <v>148</v>
      </c>
      <c r="J94" s="31">
        <f>(IF(B85&gt;3,(H85/(B85+2)+J93),0))</f>
        <v>0</v>
      </c>
    </row>
    <row r="95" spans="1:10" ht="15.75" customHeight="1" x14ac:dyDescent="0.35">
      <c r="A95" s="81" t="s">
        <v>142</v>
      </c>
      <c r="B95" s="82"/>
      <c r="C95" s="44">
        <v>0</v>
      </c>
      <c r="D95" s="19">
        <f ca="1">((100/H85)*C95)/100</f>
        <v>0</v>
      </c>
      <c r="E95" s="89"/>
      <c r="F95" s="90"/>
      <c r="G95" s="89"/>
      <c r="H95" s="94"/>
      <c r="I95" s="14" t="s">
        <v>149</v>
      </c>
      <c r="J95" s="30">
        <f>(IF(B85&gt;4,(H85/(B85+2)+J94),0))</f>
        <v>0</v>
      </c>
    </row>
    <row r="96" spans="1:10" ht="15.75" customHeight="1" x14ac:dyDescent="0.35">
      <c r="A96" s="81" t="s">
        <v>137</v>
      </c>
      <c r="B96" s="82" t="s">
        <v>137</v>
      </c>
      <c r="C96" s="44">
        <v>0</v>
      </c>
      <c r="D96" s="19">
        <f ca="1">((100/(H85))*C96)/100</f>
        <v>0</v>
      </c>
      <c r="E96" s="89"/>
      <c r="F96" s="90"/>
      <c r="G96" s="89"/>
      <c r="H96" s="94"/>
      <c r="I96" s="14" t="s">
        <v>151</v>
      </c>
      <c r="J96" s="30">
        <f ca="1">(IF(B85=1,(H85/(B85+3)+J91),IF(B85=0,(H85/4+J91),IF(B85&gt;1,0))))</f>
        <v>5.25</v>
      </c>
    </row>
    <row r="97" spans="1:10" ht="16" thickBot="1" x14ac:dyDescent="0.4">
      <c r="A97" s="96" t="s">
        <v>138</v>
      </c>
      <c r="B97" s="97"/>
      <c r="C97" s="45">
        <v>0</v>
      </c>
      <c r="D97" s="20">
        <f ca="1">((100/(H85))*C97)/100</f>
        <v>0</v>
      </c>
      <c r="E97" s="91"/>
      <c r="F97" s="92"/>
      <c r="G97" s="91"/>
      <c r="H97" s="95"/>
      <c r="I97" s="15" t="s">
        <v>109</v>
      </c>
      <c r="J97" s="32">
        <f ca="1">(IF(B85&gt;1.5,(H85/(B85+2)+J91+MAX(0,J92-J91)+MAX(0,J93-J92)+MAX(0,J94-J93)+MAX(0,J95-J94)+MAX(0,J96-J95)),IF(B85=1,(H85/(B85+3)+J96),IF(B85=0,H85/4+J96))))</f>
        <v>7</v>
      </c>
    </row>
    <row r="98" spans="1:10" ht="15.75" customHeight="1" x14ac:dyDescent="0.35">
      <c r="A98" s="71" t="s">
        <v>144</v>
      </c>
      <c r="B98" s="72"/>
      <c r="C98" s="73" t="str">
        <f>D59</f>
        <v>E Wing (Orchid) = G + 1st to 7th Floor</v>
      </c>
      <c r="D98" s="74"/>
      <c r="E98" s="74"/>
      <c r="F98" s="74"/>
      <c r="G98" s="74"/>
      <c r="H98" s="75"/>
      <c r="I98" s="49" t="str">
        <f ca="1">IF(D111=100%,"All work Completed. Possession granted to the Building.",IF(D110=100%,"All work Completed, Waiting for OC",I99&amp;""&amp;I100&amp;""&amp;J99&amp;""&amp;J98&amp;" "&amp;J100))</f>
        <v>Excavation, Plinth, RCC Slab, Brickwork, Internal Plaster Completed, External Plaster upto 5.5 Floor Completed</v>
      </c>
      <c r="J98" s="50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External Plaster upto 5.5 Floor</v>
      </c>
    </row>
    <row r="99" spans="1:10" x14ac:dyDescent="0.35">
      <c r="A99" s="16" t="s">
        <v>146</v>
      </c>
      <c r="B99" s="53">
        <v>0</v>
      </c>
      <c r="C99" s="53" t="s">
        <v>76</v>
      </c>
      <c r="D99" s="53">
        <v>1</v>
      </c>
      <c r="E99" s="53" t="s">
        <v>75</v>
      </c>
      <c r="F99" s="53">
        <v>0</v>
      </c>
      <c r="G99" s="48" t="s">
        <v>84</v>
      </c>
      <c r="H99" s="17">
        <f ca="1">--TRIM(RIGHT(SUBSTITUTE(LEFT(C98,_xlfn.AGGREGATE(16,6,FIND({0,1,2,3,4,5,6,7,8,9},C98,ROW(INDIRECT("1:"&amp;LEN(C98)))),1))," ",REPT(" ",LEN(C98))),LEN(C98)))</f>
        <v>7</v>
      </c>
      <c r="I99" s="51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Slab, Brickwork, Internal Plaster</v>
      </c>
      <c r="J99" s="52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ht="33" customHeight="1" x14ac:dyDescent="0.35">
      <c r="A100" s="76" t="s">
        <v>94</v>
      </c>
      <c r="B100" s="77"/>
      <c r="C100" s="78" t="str">
        <f ca="1">(IF($G$52="NA",I98,"All work Completed. OC Received."))</f>
        <v>Excavation, Plinth, RCC Slab, Brickwork, Internal Plaster Completed, External Plaster upto 5.5 Floor Completed</v>
      </c>
      <c r="D100" s="79"/>
      <c r="E100" s="79"/>
      <c r="F100" s="79"/>
      <c r="G100" s="79"/>
      <c r="H100" s="80"/>
      <c r="I100" s="51" t="str">
        <f ca="1">IF(I99&lt;&gt;""," Completed","")</f>
        <v xml:space="preserve"> Completed</v>
      </c>
      <c r="J100" s="52" t="str">
        <f ca="1">IF(J98&lt;&gt;"","Completed","")</f>
        <v>Completed</v>
      </c>
    </row>
    <row r="101" spans="1:10" ht="15.75" customHeight="1" x14ac:dyDescent="0.35">
      <c r="A101" s="81" t="s">
        <v>52</v>
      </c>
      <c r="B101" s="82"/>
      <c r="C101" s="44" t="s">
        <v>143</v>
      </c>
      <c r="D101" s="44" t="s">
        <v>87</v>
      </c>
      <c r="E101" s="82" t="s">
        <v>89</v>
      </c>
      <c r="F101" s="82"/>
      <c r="G101" s="82" t="s">
        <v>88</v>
      </c>
      <c r="H101" s="83"/>
      <c r="I101" s="14" t="s">
        <v>145</v>
      </c>
      <c r="J101" s="28">
        <f ca="1">H99*25%</f>
        <v>1.75</v>
      </c>
    </row>
    <row r="102" spans="1:10" x14ac:dyDescent="0.35">
      <c r="A102" s="82" t="s">
        <v>132</v>
      </c>
      <c r="B102" s="82"/>
      <c r="C102" s="63">
        <f ca="1">J103</f>
        <v>7</v>
      </c>
      <c r="D102" s="19">
        <f ca="1">((100/H99)*C102)/100</f>
        <v>1</v>
      </c>
      <c r="E102" s="84">
        <f ca="1">(((C103/H99*10)+(40/(D99+F99+H99)*C104)+(7.5/(H99)*C105)+(7.5/(H99)*C106)+(10/H99*C107)+(10/H99*C108)+(5/H99*C109)+(5/H99*C110)+(5/H99*C111))/100)</f>
        <v>0.72857142857142865</v>
      </c>
      <c r="F102" s="84"/>
      <c r="G102" s="84">
        <f ca="1">((((C102/H99)*20)+((C103/H99)*25)+(30/(H99+F99+D99)*C104)+(5/H99*C105)+(5/H99*C106)+(5/H99*C107)+(5/H99*C108)+(0/H99*C109)+(0/H99*C110)+(5/H99*C111))/100)</f>
        <v>0.88928571428571435</v>
      </c>
      <c r="H102" s="84"/>
      <c r="I102" s="14" t="s">
        <v>105</v>
      </c>
      <c r="J102" s="29">
        <f ca="1">H99*50%</f>
        <v>3.5</v>
      </c>
    </row>
    <row r="103" spans="1:10" x14ac:dyDescent="0.35">
      <c r="A103" s="82" t="s">
        <v>53</v>
      </c>
      <c r="B103" s="82"/>
      <c r="C103" s="57">
        <f ca="1">J111</f>
        <v>7</v>
      </c>
      <c r="D103" s="19">
        <f ca="1">((100/H99)*C103)/100</f>
        <v>1</v>
      </c>
      <c r="E103" s="84"/>
      <c r="F103" s="84"/>
      <c r="G103" s="84"/>
      <c r="H103" s="84"/>
      <c r="I103" s="14" t="s">
        <v>106</v>
      </c>
      <c r="J103" s="29">
        <f ca="1">H99</f>
        <v>7</v>
      </c>
    </row>
    <row r="104" spans="1:10" ht="15.75" customHeight="1" x14ac:dyDescent="0.35">
      <c r="A104" s="82" t="s">
        <v>133</v>
      </c>
      <c r="B104" s="82"/>
      <c r="C104" s="63">
        <v>8</v>
      </c>
      <c r="D104" s="19">
        <f ca="1">((100/(D99+F99+H99))*C104)/100</f>
        <v>1</v>
      </c>
      <c r="E104" s="84"/>
      <c r="F104" s="84"/>
      <c r="G104" s="84"/>
      <c r="H104" s="84"/>
      <c r="I104" s="14" t="s">
        <v>107</v>
      </c>
      <c r="J104" s="30">
        <f ca="1">(IF(B99&gt;1,(H99/(B99+2)),H99/4))</f>
        <v>1.75</v>
      </c>
    </row>
    <row r="105" spans="1:10" ht="15.75" customHeight="1" x14ac:dyDescent="0.35">
      <c r="A105" s="82" t="s">
        <v>140</v>
      </c>
      <c r="B105" s="82" t="s">
        <v>134</v>
      </c>
      <c r="C105" s="63">
        <v>7</v>
      </c>
      <c r="D105" s="19">
        <f ca="1">((100/H99)*C105)/100</f>
        <v>1</v>
      </c>
      <c r="E105" s="84"/>
      <c r="F105" s="84"/>
      <c r="G105" s="84"/>
      <c r="H105" s="84"/>
      <c r="I105" s="14" t="s">
        <v>108</v>
      </c>
      <c r="J105" s="30">
        <f ca="1">(IF(B99&gt;1,(H99/(B99+2)+J104),H99/4+J104))</f>
        <v>3.5</v>
      </c>
    </row>
    <row r="106" spans="1:10" ht="15.75" customHeight="1" x14ac:dyDescent="0.35">
      <c r="A106" s="82" t="s">
        <v>141</v>
      </c>
      <c r="B106" s="82" t="s">
        <v>134</v>
      </c>
      <c r="C106" s="63">
        <v>7</v>
      </c>
      <c r="D106" s="19">
        <f ca="1">((100/H99)*C106)/100</f>
        <v>1</v>
      </c>
      <c r="E106" s="84"/>
      <c r="F106" s="84"/>
      <c r="G106" s="84"/>
      <c r="H106" s="84"/>
      <c r="I106" s="14" t="s">
        <v>150</v>
      </c>
      <c r="J106" s="30">
        <f>(IF(B99&gt;1,(H99/(B99+2)+J105),0))</f>
        <v>0</v>
      </c>
    </row>
    <row r="107" spans="1:10" ht="15" customHeight="1" x14ac:dyDescent="0.35">
      <c r="A107" s="82" t="s">
        <v>139</v>
      </c>
      <c r="B107" s="82" t="s">
        <v>136</v>
      </c>
      <c r="C107" s="63">
        <v>5.5</v>
      </c>
      <c r="D107" s="19">
        <f ca="1">((100/(H99))*C107)/100</f>
        <v>0.7857142857142857</v>
      </c>
      <c r="E107" s="84"/>
      <c r="F107" s="84"/>
      <c r="G107" s="84"/>
      <c r="H107" s="84"/>
      <c r="I107" s="14" t="s">
        <v>147</v>
      </c>
      <c r="J107" s="30">
        <f>(IF(B99&gt;2,(H99/(B99+2)+J106),0))</f>
        <v>0</v>
      </c>
    </row>
    <row r="108" spans="1:10" ht="15.75" customHeight="1" x14ac:dyDescent="0.35">
      <c r="A108" s="82" t="s">
        <v>135</v>
      </c>
      <c r="B108" s="82" t="s">
        <v>135</v>
      </c>
      <c r="C108" s="63">
        <v>0</v>
      </c>
      <c r="D108" s="19">
        <f ca="1">((100/H99)*C108)/100</f>
        <v>0</v>
      </c>
      <c r="E108" s="84"/>
      <c r="F108" s="84"/>
      <c r="G108" s="84"/>
      <c r="H108" s="84"/>
      <c r="I108" s="14" t="s">
        <v>148</v>
      </c>
      <c r="J108" s="31">
        <f>(IF(B99&gt;3,(H99/(B99+2)+J107),0))</f>
        <v>0</v>
      </c>
    </row>
    <row r="109" spans="1:10" ht="15.75" customHeight="1" x14ac:dyDescent="0.35">
      <c r="A109" s="82" t="s">
        <v>142</v>
      </c>
      <c r="B109" s="82"/>
      <c r="C109" s="63">
        <v>0</v>
      </c>
      <c r="D109" s="19">
        <f ca="1">((100/H99)*C109)/100</f>
        <v>0</v>
      </c>
      <c r="E109" s="84"/>
      <c r="F109" s="84"/>
      <c r="G109" s="84"/>
      <c r="H109" s="84"/>
      <c r="I109" s="14" t="s">
        <v>149</v>
      </c>
      <c r="J109" s="30">
        <f>(IF(B99&gt;4,(H99/(B99+2)+J108),0))</f>
        <v>0</v>
      </c>
    </row>
    <row r="110" spans="1:10" ht="15.75" customHeight="1" x14ac:dyDescent="0.35">
      <c r="A110" s="82" t="s">
        <v>137</v>
      </c>
      <c r="B110" s="82" t="s">
        <v>137</v>
      </c>
      <c r="C110" s="63">
        <v>0</v>
      </c>
      <c r="D110" s="19">
        <f ca="1">((100/(H99))*C110)/100</f>
        <v>0</v>
      </c>
      <c r="E110" s="84"/>
      <c r="F110" s="84"/>
      <c r="G110" s="84"/>
      <c r="H110" s="84"/>
      <c r="I110" s="14" t="s">
        <v>151</v>
      </c>
      <c r="J110" s="30">
        <f ca="1">(IF(B99=1,(H99/(B99+3)+J105),IF(B99=0,(H99/4+J105),IF(B99&gt;1,0))))</f>
        <v>5.25</v>
      </c>
    </row>
    <row r="111" spans="1:10" ht="16" thickBot="1" x14ac:dyDescent="0.4">
      <c r="A111" s="82" t="s">
        <v>138</v>
      </c>
      <c r="B111" s="82"/>
      <c r="C111" s="63">
        <v>0</v>
      </c>
      <c r="D111" s="19">
        <f ca="1">((100/(H99))*C111)/100</f>
        <v>0</v>
      </c>
      <c r="E111" s="84"/>
      <c r="F111" s="84"/>
      <c r="G111" s="84"/>
      <c r="H111" s="84"/>
      <c r="I111" s="15" t="s">
        <v>109</v>
      </c>
      <c r="J111" s="32">
        <f ca="1">(IF(B99&gt;1.5,(H99/(B99+2)+J105+MAX(0,J106-J105)+MAX(0,J107-J106)+MAX(0,J108-J107)+MAX(0,J109-J108)+MAX(0,J110-J109)),IF(B99=1,(H99/(B99+3)+J110),IF(B99=0,H99/4+J110))))</f>
        <v>7</v>
      </c>
    </row>
    <row r="112" spans="1:10" ht="15.75" customHeight="1" x14ac:dyDescent="0.35">
      <c r="A112" s="85" t="s">
        <v>144</v>
      </c>
      <c r="B112" s="85"/>
      <c r="C112" s="85" t="str">
        <f>D60</f>
        <v>F (Jasmine) = G + 1st to 7th Floor</v>
      </c>
      <c r="D112" s="85"/>
      <c r="E112" s="85"/>
      <c r="F112" s="85"/>
      <c r="G112" s="85"/>
      <c r="H112" s="85"/>
      <c r="I112" s="67" t="str">
        <f ca="1">IF(D125=100%,"All work Completed. Possession granted to the Building.",IF(D124=100%,"All work Completed, Waiting for OC",I113&amp;""&amp;I114&amp;""&amp;J113&amp;""&amp;J112&amp;" "&amp;J114))</f>
        <v>Excavation, Plinth, RCC Slab Completed, Brickwork upto 6 Floor Completed</v>
      </c>
      <c r="J112" s="50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Brickwork upto 6 Floor</v>
      </c>
    </row>
    <row r="113" spans="1:10" x14ac:dyDescent="0.35">
      <c r="A113" s="65" t="s">
        <v>146</v>
      </c>
      <c r="B113" s="65">
        <v>0</v>
      </c>
      <c r="C113" s="65" t="s">
        <v>76</v>
      </c>
      <c r="D113" s="65">
        <v>1</v>
      </c>
      <c r="E113" s="65" t="s">
        <v>75</v>
      </c>
      <c r="F113" s="65">
        <v>0</v>
      </c>
      <c r="G113" s="66" t="s">
        <v>84</v>
      </c>
      <c r="H113" s="65">
        <f ca="1">--TRIM(RIGHT(SUBSTITUTE(LEFT(C112,_xlfn.AGGREGATE(16,6,FIND({0,1,2,3,4,5,6,7,8,9},C112,ROW(INDIRECT("1:"&amp;LEN(C112)))),1))," ",REPT(" ",LEN(C112))),LEN(C112)))</f>
        <v>7</v>
      </c>
      <c r="I113" s="68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</v>
      </c>
      <c r="J113" s="52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0" x14ac:dyDescent="0.35">
      <c r="A114" s="77" t="s">
        <v>94</v>
      </c>
      <c r="B114" s="77"/>
      <c r="C114" s="86" t="str">
        <f ca="1">(IF($G$52="NA",I112,"All work Completed. OC Received."))</f>
        <v>Excavation, Plinth, RCC Slab Completed, Brickwork upto 6 Floor Completed</v>
      </c>
      <c r="D114" s="86"/>
      <c r="E114" s="86"/>
      <c r="F114" s="86"/>
      <c r="G114" s="86"/>
      <c r="H114" s="86"/>
      <c r="I114" s="68" t="str">
        <f ca="1">IF(I113&lt;&gt;""," Completed","")</f>
        <v xml:space="preserve"> Completed</v>
      </c>
      <c r="J114" s="52" t="str">
        <f ca="1">IF(J112&lt;&gt;"","Completed","")</f>
        <v>Completed</v>
      </c>
    </row>
    <row r="115" spans="1:10" ht="15.75" customHeight="1" x14ac:dyDescent="0.35">
      <c r="A115" s="81" t="s">
        <v>52</v>
      </c>
      <c r="B115" s="82"/>
      <c r="C115" s="44" t="s">
        <v>143</v>
      </c>
      <c r="D115" s="44" t="s">
        <v>87</v>
      </c>
      <c r="E115" s="82" t="s">
        <v>89</v>
      </c>
      <c r="F115" s="82"/>
      <c r="G115" s="82" t="s">
        <v>88</v>
      </c>
      <c r="H115" s="83"/>
      <c r="I115" s="14" t="s">
        <v>145</v>
      </c>
      <c r="J115" s="28">
        <f ca="1">H113*25%</f>
        <v>1.75</v>
      </c>
    </row>
    <row r="116" spans="1:10" x14ac:dyDescent="0.35">
      <c r="A116" s="81" t="s">
        <v>132</v>
      </c>
      <c r="B116" s="82"/>
      <c r="C116" s="44">
        <v>7</v>
      </c>
      <c r="D116" s="19">
        <f ca="1">((100/H113)*C116)/100</f>
        <v>1</v>
      </c>
      <c r="E116" s="87">
        <f ca="1">(((C117/H113*10)+(40/(D113+F113+H113)*C118)+(7.5/(H113)*C119)+(7.5/(H113)*C120)+(10/H113*C121)+(10/H113*C122)+(5/H113*C123)+(5/H113*C124)+(5/H113*C125))/100)</f>
        <v>0.56428571428571428</v>
      </c>
      <c r="F116" s="88"/>
      <c r="G116" s="87">
        <f ca="1">((((C116/H113)*20)+((C117/H113)*25)+(30/(H113+F113+D113)*C118)+(5/H113*C119)+(5/H113*C120)+(5/H113*C121)+(5/H113*C122)+(0/H113*C123)+(0/H113*C124)+(5/H113*C125))/100)</f>
        <v>0.79285714285714293</v>
      </c>
      <c r="H116" s="93"/>
      <c r="I116" s="14" t="s">
        <v>105</v>
      </c>
      <c r="J116" s="29">
        <f ca="1">H113*50%</f>
        <v>3.5</v>
      </c>
    </row>
    <row r="117" spans="1:10" x14ac:dyDescent="0.35">
      <c r="A117" s="81" t="s">
        <v>53</v>
      </c>
      <c r="B117" s="82"/>
      <c r="C117" s="57">
        <f ca="1">J125</f>
        <v>7</v>
      </c>
      <c r="D117" s="19">
        <f ca="1">((100/H113)*C117)/100</f>
        <v>1</v>
      </c>
      <c r="E117" s="89"/>
      <c r="F117" s="90"/>
      <c r="G117" s="89"/>
      <c r="H117" s="94"/>
      <c r="I117" s="14" t="s">
        <v>106</v>
      </c>
      <c r="J117" s="29">
        <f ca="1">H113</f>
        <v>7</v>
      </c>
    </row>
    <row r="118" spans="1:10" ht="15.75" customHeight="1" x14ac:dyDescent="0.35">
      <c r="A118" s="81" t="s">
        <v>133</v>
      </c>
      <c r="B118" s="82"/>
      <c r="C118" s="44">
        <v>8</v>
      </c>
      <c r="D118" s="19">
        <f ca="1">((100/(D113+F113+H113))*C118)/100</f>
        <v>1</v>
      </c>
      <c r="E118" s="89"/>
      <c r="F118" s="90"/>
      <c r="G118" s="89"/>
      <c r="H118" s="94"/>
      <c r="I118" s="14" t="s">
        <v>107</v>
      </c>
      <c r="J118" s="30">
        <f ca="1">(IF(B113&gt;1,(H113/(B113+2)),H113/4))</f>
        <v>1.75</v>
      </c>
    </row>
    <row r="119" spans="1:10" ht="15.75" customHeight="1" x14ac:dyDescent="0.35">
      <c r="A119" s="81" t="s">
        <v>140</v>
      </c>
      <c r="B119" s="82" t="s">
        <v>134</v>
      </c>
      <c r="C119" s="44">
        <v>6</v>
      </c>
      <c r="D119" s="19">
        <f ca="1">((100/H113)*C119)/100</f>
        <v>0.85714285714285721</v>
      </c>
      <c r="E119" s="89"/>
      <c r="F119" s="90"/>
      <c r="G119" s="89"/>
      <c r="H119" s="94"/>
      <c r="I119" s="14" t="s">
        <v>108</v>
      </c>
      <c r="J119" s="30">
        <f ca="1">(IF(B113&gt;1,(H113/(B113+2)+J118),H113/4+J118))</f>
        <v>3.5</v>
      </c>
    </row>
    <row r="120" spans="1:10" ht="15.75" customHeight="1" x14ac:dyDescent="0.35">
      <c r="A120" s="81" t="s">
        <v>141</v>
      </c>
      <c r="B120" s="82" t="s">
        <v>134</v>
      </c>
      <c r="C120" s="44">
        <v>0</v>
      </c>
      <c r="D120" s="19">
        <f ca="1">((100/H113)*C120)/100</f>
        <v>0</v>
      </c>
      <c r="E120" s="89"/>
      <c r="F120" s="90"/>
      <c r="G120" s="89"/>
      <c r="H120" s="94"/>
      <c r="I120" s="14" t="s">
        <v>150</v>
      </c>
      <c r="J120" s="30">
        <f>(IF(B113&gt;1,(H113/(B113+2)+J119),0))</f>
        <v>0</v>
      </c>
    </row>
    <row r="121" spans="1:10" ht="15" customHeight="1" x14ac:dyDescent="0.35">
      <c r="A121" s="81" t="s">
        <v>139</v>
      </c>
      <c r="B121" s="82" t="s">
        <v>136</v>
      </c>
      <c r="C121" s="44">
        <v>0</v>
      </c>
      <c r="D121" s="19">
        <f ca="1">((100/(H113))*C121)/100</f>
        <v>0</v>
      </c>
      <c r="E121" s="89"/>
      <c r="F121" s="90"/>
      <c r="G121" s="89"/>
      <c r="H121" s="94"/>
      <c r="I121" s="14" t="s">
        <v>147</v>
      </c>
      <c r="J121" s="30">
        <f>(IF(B113&gt;2,(H113/(B113+2)+J120),0))</f>
        <v>0</v>
      </c>
    </row>
    <row r="122" spans="1:10" ht="15.75" customHeight="1" x14ac:dyDescent="0.35">
      <c r="A122" s="81" t="s">
        <v>135</v>
      </c>
      <c r="B122" s="82" t="s">
        <v>135</v>
      </c>
      <c r="C122" s="44">
        <v>0</v>
      </c>
      <c r="D122" s="19">
        <f ca="1">((100/H113)*C122)/100</f>
        <v>0</v>
      </c>
      <c r="E122" s="89"/>
      <c r="F122" s="90"/>
      <c r="G122" s="89"/>
      <c r="H122" s="94"/>
      <c r="I122" s="14" t="s">
        <v>148</v>
      </c>
      <c r="J122" s="31">
        <f>(IF(B113&gt;3,(H113/(B113+2)+J121),0))</f>
        <v>0</v>
      </c>
    </row>
    <row r="123" spans="1:10" ht="15.75" customHeight="1" x14ac:dyDescent="0.35">
      <c r="A123" s="81" t="s">
        <v>142</v>
      </c>
      <c r="B123" s="82"/>
      <c r="C123" s="44">
        <v>0</v>
      </c>
      <c r="D123" s="19">
        <f ca="1">((100/H113)*C123)/100</f>
        <v>0</v>
      </c>
      <c r="E123" s="89"/>
      <c r="F123" s="90"/>
      <c r="G123" s="89"/>
      <c r="H123" s="94"/>
      <c r="I123" s="14" t="s">
        <v>149</v>
      </c>
      <c r="J123" s="30">
        <f>(IF(B113&gt;4,(H113/(B113+2)+J122),0))</f>
        <v>0</v>
      </c>
    </row>
    <row r="124" spans="1:10" ht="15.75" customHeight="1" x14ac:dyDescent="0.35">
      <c r="A124" s="81" t="s">
        <v>137</v>
      </c>
      <c r="B124" s="82" t="s">
        <v>137</v>
      </c>
      <c r="C124" s="44">
        <v>0</v>
      </c>
      <c r="D124" s="19">
        <f ca="1">((100/(H113))*C124)/100</f>
        <v>0</v>
      </c>
      <c r="E124" s="89"/>
      <c r="F124" s="90"/>
      <c r="G124" s="89"/>
      <c r="H124" s="94"/>
      <c r="I124" s="14" t="s">
        <v>151</v>
      </c>
      <c r="J124" s="30">
        <f ca="1">(IF(B113=1,(H113/(B113+3)+J119),IF(B113=0,(H113/4+J119),IF(B113&gt;1,0))))</f>
        <v>5.25</v>
      </c>
    </row>
    <row r="125" spans="1:10" ht="16" thickBot="1" x14ac:dyDescent="0.4">
      <c r="A125" s="96" t="s">
        <v>138</v>
      </c>
      <c r="B125" s="97"/>
      <c r="C125" s="45">
        <v>0</v>
      </c>
      <c r="D125" s="20">
        <f ca="1">((100/(H113))*C125)/100</f>
        <v>0</v>
      </c>
      <c r="E125" s="91"/>
      <c r="F125" s="92"/>
      <c r="G125" s="91"/>
      <c r="H125" s="95"/>
      <c r="I125" s="15" t="s">
        <v>109</v>
      </c>
      <c r="J125" s="32">
        <f ca="1">(IF(B113&gt;1.5,(H113/(B113+2)+J119+MAX(0,J120-J119)+MAX(0,J121-J120)+MAX(0,J122-J121)+MAX(0,J123-J122)+MAX(0,J124-J123)),IF(B113=1,(H113/(B113+3)+J124),IF(B113=0,H113/4+J124))))</f>
        <v>7</v>
      </c>
    </row>
    <row r="126" spans="1:10" ht="15.75" customHeight="1" x14ac:dyDescent="0.35">
      <c r="A126" s="71" t="s">
        <v>144</v>
      </c>
      <c r="B126" s="72"/>
      <c r="C126" s="73" t="s">
        <v>233</v>
      </c>
      <c r="D126" s="74"/>
      <c r="E126" s="74"/>
      <c r="F126" s="74"/>
      <c r="G126" s="74"/>
      <c r="H126" s="75"/>
      <c r="I126" s="49" t="str">
        <f ca="1">IF(D139=100%,"All work Completed. Possession granted to the Building.",IF(D138=100%,"All work Completed, Waiting for OC",I127&amp;""&amp;I128&amp;""&amp;J127&amp;""&amp;J126&amp;" "&amp;J128))</f>
        <v xml:space="preserve">Excavation, Plinth, RCC Slab, Brickwork Completed </v>
      </c>
      <c r="J126" s="50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/>
      </c>
    </row>
    <row r="127" spans="1:10" x14ac:dyDescent="0.35">
      <c r="A127" s="16" t="s">
        <v>146</v>
      </c>
      <c r="B127" s="53">
        <v>0</v>
      </c>
      <c r="C127" s="53" t="s">
        <v>76</v>
      </c>
      <c r="D127" s="53">
        <v>1</v>
      </c>
      <c r="E127" s="53" t="s">
        <v>75</v>
      </c>
      <c r="F127" s="53">
        <v>0</v>
      </c>
      <c r="G127" s="48" t="s">
        <v>84</v>
      </c>
      <c r="H127" s="17">
        <f ca="1">--TRIM(RIGHT(SUBSTITUTE(LEFT(C126,_xlfn.AGGREGATE(16,6,FIND({0,1,2,3,4,5,6,7,8,9},C126,ROW(INDIRECT("1:"&amp;LEN(C126)))),1))," ",REPT(" ",LEN(C126))),LEN(C126)))</f>
        <v>7</v>
      </c>
      <c r="I127" s="51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Plinth, RCC Slab, Brickwork</v>
      </c>
      <c r="J127" s="52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</row>
    <row r="128" spans="1:10" x14ac:dyDescent="0.35">
      <c r="A128" s="76" t="s">
        <v>94</v>
      </c>
      <c r="B128" s="77"/>
      <c r="C128" s="78" t="str">
        <f ca="1">(IF($G$52="NA",I126,"All work Completed. OC Received."))</f>
        <v xml:space="preserve">Excavation, Plinth, RCC Slab, Brickwork Completed </v>
      </c>
      <c r="D128" s="79"/>
      <c r="E128" s="79"/>
      <c r="F128" s="79"/>
      <c r="G128" s="79"/>
      <c r="H128" s="80"/>
      <c r="I128" s="51" t="str">
        <f ca="1">IF(I127&lt;&gt;""," Completed","")</f>
        <v xml:space="preserve"> Completed</v>
      </c>
      <c r="J128" s="52" t="str">
        <f ca="1">IF(J126&lt;&gt;"","Completed","")</f>
        <v/>
      </c>
    </row>
    <row r="129" spans="1:10" ht="15.75" customHeight="1" x14ac:dyDescent="0.35">
      <c r="A129" s="81" t="s">
        <v>52</v>
      </c>
      <c r="B129" s="82"/>
      <c r="C129" s="44" t="s">
        <v>143</v>
      </c>
      <c r="D129" s="44" t="s">
        <v>87</v>
      </c>
      <c r="E129" s="82" t="s">
        <v>89</v>
      </c>
      <c r="F129" s="82"/>
      <c r="G129" s="82" t="s">
        <v>88</v>
      </c>
      <c r="H129" s="83"/>
      <c r="I129" s="14" t="s">
        <v>145</v>
      </c>
      <c r="J129" s="28">
        <f ca="1">H127*25%</f>
        <v>1.75</v>
      </c>
    </row>
    <row r="130" spans="1:10" x14ac:dyDescent="0.35">
      <c r="A130" s="81" t="s">
        <v>132</v>
      </c>
      <c r="B130" s="82"/>
      <c r="C130" s="44">
        <v>7</v>
      </c>
      <c r="D130" s="19">
        <f ca="1">((100/H127)*C130)/100</f>
        <v>1</v>
      </c>
      <c r="E130" s="87">
        <f ca="1">(((C131/H127*10)+(40/(D127+F127+H127)*C132)+(7.5/(H127)*C133)+(7.5/(H127)*C134)+(10/H127*C135)+(10/H127*C136)+(5/H127*C137)+(5/H127*C138)+(5/H127*C139))/100)</f>
        <v>0.57499999999999996</v>
      </c>
      <c r="F130" s="88"/>
      <c r="G130" s="87">
        <f ca="1">((((C130/H127)*20)+((C131/H127)*25)+(30/(H127+F127+D127)*C132)+(5/H127*C133)+(5/H127*C134)+(5/H127*C135)+(5/H127*C136)+(0/H127*C137)+(0/H127*C138)+(5/H127*C139))/100)</f>
        <v>0.8</v>
      </c>
      <c r="H130" s="93"/>
      <c r="I130" s="14" t="s">
        <v>105</v>
      </c>
      <c r="J130" s="29">
        <f ca="1">H127*50%</f>
        <v>3.5</v>
      </c>
    </row>
    <row r="131" spans="1:10" x14ac:dyDescent="0.35">
      <c r="A131" s="81" t="s">
        <v>53</v>
      </c>
      <c r="B131" s="82"/>
      <c r="C131" s="57">
        <f ca="1">J139</f>
        <v>7</v>
      </c>
      <c r="D131" s="19">
        <f ca="1">((100/H127)*C131)/100</f>
        <v>1</v>
      </c>
      <c r="E131" s="89"/>
      <c r="F131" s="90"/>
      <c r="G131" s="89"/>
      <c r="H131" s="94"/>
      <c r="I131" s="14" t="s">
        <v>106</v>
      </c>
      <c r="J131" s="29">
        <f ca="1">H127</f>
        <v>7</v>
      </c>
    </row>
    <row r="132" spans="1:10" ht="15.75" customHeight="1" x14ac:dyDescent="0.35">
      <c r="A132" s="81" t="s">
        <v>133</v>
      </c>
      <c r="B132" s="82"/>
      <c r="C132" s="44">
        <v>8</v>
      </c>
      <c r="D132" s="19">
        <f ca="1">((100/(D127+F127+H127))*C132)/100</f>
        <v>1</v>
      </c>
      <c r="E132" s="89"/>
      <c r="F132" s="90"/>
      <c r="G132" s="89"/>
      <c r="H132" s="94"/>
      <c r="I132" s="14" t="s">
        <v>107</v>
      </c>
      <c r="J132" s="30">
        <f ca="1">(IF(B127&gt;1,(H127/(B127+2)),H127/4))</f>
        <v>1.75</v>
      </c>
    </row>
    <row r="133" spans="1:10" ht="15.75" customHeight="1" x14ac:dyDescent="0.35">
      <c r="A133" s="81" t="s">
        <v>140</v>
      </c>
      <c r="B133" s="82" t="s">
        <v>134</v>
      </c>
      <c r="C133" s="44">
        <v>7</v>
      </c>
      <c r="D133" s="19">
        <f ca="1">((100/H127)*C133)/100</f>
        <v>1</v>
      </c>
      <c r="E133" s="89"/>
      <c r="F133" s="90"/>
      <c r="G133" s="89"/>
      <c r="H133" s="94"/>
      <c r="I133" s="14" t="s">
        <v>108</v>
      </c>
      <c r="J133" s="30">
        <f ca="1">(IF(B127&gt;1,(H127/(B127+2)+J132),H127/4+J132))</f>
        <v>3.5</v>
      </c>
    </row>
    <row r="134" spans="1:10" ht="15.75" customHeight="1" x14ac:dyDescent="0.35">
      <c r="A134" s="81" t="s">
        <v>141</v>
      </c>
      <c r="B134" s="82" t="s">
        <v>134</v>
      </c>
      <c r="C134" s="44">
        <v>0</v>
      </c>
      <c r="D134" s="19">
        <f ca="1">((100/H127)*C134)/100</f>
        <v>0</v>
      </c>
      <c r="E134" s="89"/>
      <c r="F134" s="90"/>
      <c r="G134" s="89"/>
      <c r="H134" s="94"/>
      <c r="I134" s="14" t="s">
        <v>150</v>
      </c>
      <c r="J134" s="30">
        <f>(IF(B127&gt;1,(H127/(B127+2)+J133),0))</f>
        <v>0</v>
      </c>
    </row>
    <row r="135" spans="1:10" ht="15" customHeight="1" x14ac:dyDescent="0.35">
      <c r="A135" s="81" t="s">
        <v>139</v>
      </c>
      <c r="B135" s="82" t="s">
        <v>136</v>
      </c>
      <c r="C135" s="44">
        <v>0</v>
      </c>
      <c r="D135" s="19">
        <f ca="1">((100/(H127))*C135)/100</f>
        <v>0</v>
      </c>
      <c r="E135" s="89"/>
      <c r="F135" s="90"/>
      <c r="G135" s="89"/>
      <c r="H135" s="94"/>
      <c r="I135" s="14" t="s">
        <v>147</v>
      </c>
      <c r="J135" s="30">
        <f>(IF(B127&gt;2,(H127/(B127+2)+J134),0))</f>
        <v>0</v>
      </c>
    </row>
    <row r="136" spans="1:10" ht="15.75" customHeight="1" x14ac:dyDescent="0.35">
      <c r="A136" s="81" t="s">
        <v>135</v>
      </c>
      <c r="B136" s="82" t="s">
        <v>135</v>
      </c>
      <c r="C136" s="44">
        <v>0</v>
      </c>
      <c r="D136" s="19">
        <f ca="1">((100/H127)*C136)/100</f>
        <v>0</v>
      </c>
      <c r="E136" s="89"/>
      <c r="F136" s="90"/>
      <c r="G136" s="89"/>
      <c r="H136" s="94"/>
      <c r="I136" s="14" t="s">
        <v>148</v>
      </c>
      <c r="J136" s="31">
        <f>(IF(B127&gt;3,(H127/(B127+2)+J135),0))</f>
        <v>0</v>
      </c>
    </row>
    <row r="137" spans="1:10" ht="15.75" customHeight="1" x14ac:dyDescent="0.35">
      <c r="A137" s="81" t="s">
        <v>142</v>
      </c>
      <c r="B137" s="82"/>
      <c r="C137" s="44">
        <v>0</v>
      </c>
      <c r="D137" s="19">
        <f ca="1">((100/H127)*C137)/100</f>
        <v>0</v>
      </c>
      <c r="E137" s="89"/>
      <c r="F137" s="90"/>
      <c r="G137" s="89"/>
      <c r="H137" s="94"/>
      <c r="I137" s="14" t="s">
        <v>149</v>
      </c>
      <c r="J137" s="30">
        <f>(IF(B127&gt;4,(H127/(B127+2)+J136),0))</f>
        <v>0</v>
      </c>
    </row>
    <row r="138" spans="1:10" ht="15.75" customHeight="1" x14ac:dyDescent="0.35">
      <c r="A138" s="81" t="s">
        <v>137</v>
      </c>
      <c r="B138" s="82" t="s">
        <v>137</v>
      </c>
      <c r="C138" s="44">
        <v>0</v>
      </c>
      <c r="D138" s="19">
        <f ca="1">((100/(H127))*C138)/100</f>
        <v>0</v>
      </c>
      <c r="E138" s="89"/>
      <c r="F138" s="90"/>
      <c r="G138" s="89"/>
      <c r="H138" s="94"/>
      <c r="I138" s="14" t="s">
        <v>151</v>
      </c>
      <c r="J138" s="30">
        <f ca="1">(IF(B127=1,(H127/(B127+3)+J133),IF(B127=0,(H127/4+J133),IF(B127&gt;1,0))))</f>
        <v>5.25</v>
      </c>
    </row>
    <row r="139" spans="1:10" ht="16" thickBot="1" x14ac:dyDescent="0.4">
      <c r="A139" s="96" t="s">
        <v>138</v>
      </c>
      <c r="B139" s="97"/>
      <c r="C139" s="45">
        <v>0</v>
      </c>
      <c r="D139" s="20">
        <f ca="1">((100/(H127))*C139)/100</f>
        <v>0</v>
      </c>
      <c r="E139" s="91"/>
      <c r="F139" s="92"/>
      <c r="G139" s="91"/>
      <c r="H139" s="95"/>
      <c r="I139" s="15" t="s">
        <v>109</v>
      </c>
      <c r="J139" s="32">
        <f ca="1">(IF(B127&gt;1.5,(H127/(B127+2)+J133+MAX(0,J134-J133)+MAX(0,J135-J134)+MAX(0,J136-J135)+MAX(0,J137-J136)+MAX(0,J138-J137)),IF(B127=1,(H127/(B127+3)+J138),IF(B127=0,H127/4+J138))))</f>
        <v>7</v>
      </c>
    </row>
    <row r="140" spans="1:10" ht="15.75" customHeight="1" x14ac:dyDescent="0.35">
      <c r="A140" s="71" t="s">
        <v>144</v>
      </c>
      <c r="B140" s="72"/>
      <c r="C140" s="73" t="s">
        <v>234</v>
      </c>
      <c r="D140" s="74"/>
      <c r="E140" s="74"/>
      <c r="F140" s="74"/>
      <c r="G140" s="74"/>
      <c r="H140" s="75"/>
      <c r="I140" s="49" t="str">
        <f ca="1">IF(D153=100%,"All work Completed. Possession granted to the Building.",IF(D152=100%,"All work Completed, Waiting for OC",I141&amp;""&amp;I142&amp;""&amp;J141&amp;""&amp;J140&amp;" "&amp;J142))</f>
        <v xml:space="preserve">Excavation, Plinth, RCC Slab, Brickwork Completed </v>
      </c>
      <c r="J140" s="50" t="str">
        <f ca="1">(IF(C146=(D141+F141+H141),"",IF(C146&gt;0,", RCC upto "&amp;C146&amp;" Slab","")))&amp;(IF(C147=H141,"",IF(C147&gt;0,", Brickwork upto "&amp;C147&amp;" Floor","")))&amp;(IF(C148=H141,"",IF(C148&gt;0,", Internal Plaster upto "&amp;C148&amp;" Floor","")))&amp;(IF(C149=H141,"",IF(C149&gt;0,", External Plaster upto "&amp;C149&amp;" Floor","")))&amp;(IF(C150=H141,"",IF(C150&gt;0,", Flooring upto "&amp;C150&amp;" Floor","")))&amp;(IF(C151=H141,"",IF(C151&gt;0,", Painting upto "&amp;C151&amp;" Floor","")))&amp;(IF(C152=H141,"",IF(C152&gt;0,", Finishing upto "&amp;C152&amp;" Floor","")))&amp;(IF(C153=H141,"",IF(C153&gt;0,", Possession upto "&amp;C153&amp;" Floor","")))</f>
        <v/>
      </c>
    </row>
    <row r="141" spans="1:10" x14ac:dyDescent="0.35">
      <c r="A141" s="16" t="s">
        <v>146</v>
      </c>
      <c r="B141" s="65">
        <v>0</v>
      </c>
      <c r="C141" s="65" t="s">
        <v>76</v>
      </c>
      <c r="D141" s="65">
        <v>1</v>
      </c>
      <c r="E141" s="65" t="s">
        <v>75</v>
      </c>
      <c r="F141" s="65">
        <v>0</v>
      </c>
      <c r="G141" s="66" t="s">
        <v>84</v>
      </c>
      <c r="H141" s="17">
        <f ca="1">--TRIM(RIGHT(SUBSTITUTE(LEFT(C140,_xlfn.AGGREGATE(16,6,FIND({0,1,2,3,4,5,6,7,8,9},C140,ROW(INDIRECT("1:"&amp;LEN(C140)))),1))," ",REPT(" ",LEN(C140))),LEN(C140)))</f>
        <v>7</v>
      </c>
      <c r="I141" s="51" t="str">
        <f ca="1">IF(D144=100%,"Excavation","")&amp;IF(D145=100%,", Plinth","")&amp;IF(D146=100%,", RCC Slab","")&amp;IF(D147=100%,", Brickwork","")&amp;IF(D148=100%,", Internal Plaster","")&amp;IF(D149=100%,", External Plaster","")&amp;IF(D150=100%,", Flooring","")&amp;IF(D151=100%,", Painting","")&amp;IF(D152=100%,", Building common Amenities","")</f>
        <v>Excavation, Plinth, RCC Slab, Brickwork</v>
      </c>
      <c r="J141" s="52" t="str">
        <f ca="1">(IF(C144=0,"Work not yet Started.",IF(D144=25%,"Piling work in process",IF(D144=50%,"Excavation work in process",IF(D144=100%,"","0")))))&amp;(IF(C145=0%,"",IF(C145=J146,", Footing work is process",IF(C145=J147,", Footing work Completed",IF(C145=J148,", 1st Basement Completed",IF(C145=J149,", 1st &amp; 2nd Basement Completed",IF(C145=J150,", 1st to 3rd Basement Completed",IF(C145=J151,", 1st to 4th Basement Completed",IF(C145=J152,", Plinth work is process",IF(C145=J153,"","0"))))))))))</f>
        <v/>
      </c>
    </row>
    <row r="142" spans="1:10" x14ac:dyDescent="0.35">
      <c r="A142" s="76" t="s">
        <v>94</v>
      </c>
      <c r="B142" s="77"/>
      <c r="C142" s="78" t="str">
        <f ca="1">(IF($G$52="NA",I140,"All work Completed. OC Received."))</f>
        <v xml:space="preserve">Excavation, Plinth, RCC Slab, Brickwork Completed </v>
      </c>
      <c r="D142" s="79"/>
      <c r="E142" s="79"/>
      <c r="F142" s="79"/>
      <c r="G142" s="79"/>
      <c r="H142" s="80"/>
      <c r="I142" s="51" t="str">
        <f ca="1">IF(I141&lt;&gt;""," Completed","")</f>
        <v xml:space="preserve"> Completed</v>
      </c>
      <c r="J142" s="52" t="str">
        <f ca="1">IF(J140&lt;&gt;"","Completed","")</f>
        <v/>
      </c>
    </row>
    <row r="143" spans="1:10" ht="15.75" customHeight="1" x14ac:dyDescent="0.35">
      <c r="A143" s="81" t="s">
        <v>52</v>
      </c>
      <c r="B143" s="82"/>
      <c r="C143" s="63" t="s">
        <v>143</v>
      </c>
      <c r="D143" s="63" t="s">
        <v>87</v>
      </c>
      <c r="E143" s="82" t="s">
        <v>89</v>
      </c>
      <c r="F143" s="82"/>
      <c r="G143" s="82" t="s">
        <v>88</v>
      </c>
      <c r="H143" s="83"/>
      <c r="I143" s="14" t="s">
        <v>145</v>
      </c>
      <c r="J143" s="28">
        <f ca="1">H141*25%</f>
        <v>1.75</v>
      </c>
    </row>
    <row r="144" spans="1:10" x14ac:dyDescent="0.35">
      <c r="A144" s="82" t="s">
        <v>132</v>
      </c>
      <c r="B144" s="82"/>
      <c r="C144" s="63">
        <v>7</v>
      </c>
      <c r="D144" s="19">
        <f ca="1">((100/H141)*C144)/100</f>
        <v>1</v>
      </c>
      <c r="E144" s="84">
        <f ca="1">(((C145/H141*10)+(40/(D141+F141+H141)*C146)+(7.5/(H141)*C147)+(7.5/(H141)*C148)+(10/H141*C149)+(10/H141*C150)+(5/H141*C151)+(5/H141*C152)+(5/H141*C153))/100)</f>
        <v>0.57499999999999996</v>
      </c>
      <c r="F144" s="84"/>
      <c r="G144" s="84">
        <f ca="1">((((C144/H141)*20)+((C145/H141)*25)+(30/(H141+F141+D141)*C146)+(5/H141*C147)+(5/H141*C148)+(5/H141*C149)+(5/H141*C150)+(0/H141*C151)+(0/H141*C152)+(5/H141*C153))/100)</f>
        <v>0.8</v>
      </c>
      <c r="H144" s="84"/>
      <c r="I144" s="14" t="s">
        <v>105</v>
      </c>
      <c r="J144" s="29">
        <f ca="1">H141*50%</f>
        <v>3.5</v>
      </c>
    </row>
    <row r="145" spans="1:10" x14ac:dyDescent="0.35">
      <c r="A145" s="82" t="s">
        <v>53</v>
      </c>
      <c r="B145" s="82"/>
      <c r="C145" s="57">
        <f ca="1">J153</f>
        <v>7</v>
      </c>
      <c r="D145" s="19">
        <f ca="1">((100/H141)*C145)/100</f>
        <v>1</v>
      </c>
      <c r="E145" s="84"/>
      <c r="F145" s="84"/>
      <c r="G145" s="84"/>
      <c r="H145" s="84"/>
      <c r="I145" s="14" t="s">
        <v>106</v>
      </c>
      <c r="J145" s="29">
        <f ca="1">H141</f>
        <v>7</v>
      </c>
    </row>
    <row r="146" spans="1:10" ht="15.75" customHeight="1" x14ac:dyDescent="0.35">
      <c r="A146" s="82" t="s">
        <v>133</v>
      </c>
      <c r="B146" s="82"/>
      <c r="C146" s="63">
        <v>8</v>
      </c>
      <c r="D146" s="19">
        <f ca="1">((100/(D141+F141+H141))*C146)/100</f>
        <v>1</v>
      </c>
      <c r="E146" s="84"/>
      <c r="F146" s="84"/>
      <c r="G146" s="84"/>
      <c r="H146" s="84"/>
      <c r="I146" s="14" t="s">
        <v>107</v>
      </c>
      <c r="J146" s="30">
        <f ca="1">(IF(B141&gt;1,(H141/(B141+2)),H141/4))</f>
        <v>1.75</v>
      </c>
    </row>
    <row r="147" spans="1:10" ht="15.75" customHeight="1" x14ac:dyDescent="0.35">
      <c r="A147" s="82" t="s">
        <v>140</v>
      </c>
      <c r="B147" s="82" t="s">
        <v>134</v>
      </c>
      <c r="C147" s="63">
        <v>7</v>
      </c>
      <c r="D147" s="19">
        <f ca="1">((100/H141)*C147)/100</f>
        <v>1</v>
      </c>
      <c r="E147" s="84"/>
      <c r="F147" s="84"/>
      <c r="G147" s="84"/>
      <c r="H147" s="84"/>
      <c r="I147" s="14" t="s">
        <v>108</v>
      </c>
      <c r="J147" s="30">
        <f ca="1">(IF(B141&gt;1,(H141/(B141+2)+J146),H141/4+J146))</f>
        <v>3.5</v>
      </c>
    </row>
    <row r="148" spans="1:10" ht="15.75" customHeight="1" x14ac:dyDescent="0.35">
      <c r="A148" s="82" t="s">
        <v>141</v>
      </c>
      <c r="B148" s="82" t="s">
        <v>134</v>
      </c>
      <c r="C148" s="63">
        <v>0</v>
      </c>
      <c r="D148" s="19">
        <f ca="1">((100/H141)*C148)/100</f>
        <v>0</v>
      </c>
      <c r="E148" s="84"/>
      <c r="F148" s="84"/>
      <c r="G148" s="84"/>
      <c r="H148" s="84"/>
      <c r="I148" s="14" t="s">
        <v>150</v>
      </c>
      <c r="J148" s="30">
        <f>(IF(B141&gt;1,(H141/(B141+2)+J147),0))</f>
        <v>0</v>
      </c>
    </row>
    <row r="149" spans="1:10" ht="15" customHeight="1" x14ac:dyDescent="0.35">
      <c r="A149" s="82" t="s">
        <v>139</v>
      </c>
      <c r="B149" s="82" t="s">
        <v>136</v>
      </c>
      <c r="C149" s="63">
        <v>0</v>
      </c>
      <c r="D149" s="19">
        <f ca="1">((100/(H141))*C149)/100</f>
        <v>0</v>
      </c>
      <c r="E149" s="84"/>
      <c r="F149" s="84"/>
      <c r="G149" s="84"/>
      <c r="H149" s="84"/>
      <c r="I149" s="14" t="s">
        <v>147</v>
      </c>
      <c r="J149" s="30">
        <f>(IF(B141&gt;2,(H141/(B141+2)+J148),0))</f>
        <v>0</v>
      </c>
    </row>
    <row r="150" spans="1:10" ht="15.75" customHeight="1" x14ac:dyDescent="0.35">
      <c r="A150" s="82" t="s">
        <v>135</v>
      </c>
      <c r="B150" s="82" t="s">
        <v>135</v>
      </c>
      <c r="C150" s="63">
        <v>0</v>
      </c>
      <c r="D150" s="19">
        <f ca="1">((100/H141)*C150)/100</f>
        <v>0</v>
      </c>
      <c r="E150" s="84"/>
      <c r="F150" s="84"/>
      <c r="G150" s="84"/>
      <c r="H150" s="84"/>
      <c r="I150" s="14" t="s">
        <v>148</v>
      </c>
      <c r="J150" s="31">
        <f>(IF(B141&gt;3,(H141/(B141+2)+J149),0))</f>
        <v>0</v>
      </c>
    </row>
    <row r="151" spans="1:10" ht="15.75" customHeight="1" x14ac:dyDescent="0.35">
      <c r="A151" s="82" t="s">
        <v>142</v>
      </c>
      <c r="B151" s="82"/>
      <c r="C151" s="63">
        <v>0</v>
      </c>
      <c r="D151" s="19">
        <f ca="1">((100/H141)*C151)/100</f>
        <v>0</v>
      </c>
      <c r="E151" s="84"/>
      <c r="F151" s="84"/>
      <c r="G151" s="84"/>
      <c r="H151" s="84"/>
      <c r="I151" s="14" t="s">
        <v>149</v>
      </c>
      <c r="J151" s="30">
        <f>(IF(B141&gt;4,(H141/(B141+2)+J150),0))</f>
        <v>0</v>
      </c>
    </row>
    <row r="152" spans="1:10" ht="15.75" customHeight="1" x14ac:dyDescent="0.35">
      <c r="A152" s="82" t="s">
        <v>137</v>
      </c>
      <c r="B152" s="82" t="s">
        <v>137</v>
      </c>
      <c r="C152" s="63">
        <v>0</v>
      </c>
      <c r="D152" s="19">
        <f ca="1">((100/(H141))*C152)/100</f>
        <v>0</v>
      </c>
      <c r="E152" s="84"/>
      <c r="F152" s="84"/>
      <c r="G152" s="84"/>
      <c r="H152" s="84"/>
      <c r="I152" s="14" t="s">
        <v>151</v>
      </c>
      <c r="J152" s="30">
        <f ca="1">(IF(B141=1,(H141/(B141+3)+J147),IF(B141=0,(H141/4+J147),IF(B141&gt;1,0))))</f>
        <v>5.25</v>
      </c>
    </row>
    <row r="153" spans="1:10" ht="16" thickBot="1" x14ac:dyDescent="0.4">
      <c r="A153" s="82" t="s">
        <v>138</v>
      </c>
      <c r="B153" s="82"/>
      <c r="C153" s="63">
        <v>0</v>
      </c>
      <c r="D153" s="19">
        <f ca="1">((100/(H141))*C153)/100</f>
        <v>0</v>
      </c>
      <c r="E153" s="84"/>
      <c r="F153" s="84"/>
      <c r="G153" s="84"/>
      <c r="H153" s="84"/>
      <c r="I153" s="15" t="s">
        <v>109</v>
      </c>
      <c r="J153" s="32">
        <f ca="1">(IF(B141&gt;1.5,(H141/(B141+2)+J147+MAX(0,J148-J147)+MAX(0,J149-J148)+MAX(0,J150-J149)+MAX(0,J151-J150)+MAX(0,J152-J151)),IF(B141=1,(H141/(B141+3)+J152),IF(B141=0,H141/4+J152))))</f>
        <v>7</v>
      </c>
    </row>
    <row r="154" spans="1:10" ht="15.75" customHeight="1" x14ac:dyDescent="0.35">
      <c r="A154" s="85" t="s">
        <v>144</v>
      </c>
      <c r="B154" s="85"/>
      <c r="C154" s="85" t="str">
        <f>D62</f>
        <v>I Wing (Jasmine) = G + 1st to 6th Floor</v>
      </c>
      <c r="D154" s="85"/>
      <c r="E154" s="85"/>
      <c r="F154" s="85"/>
      <c r="G154" s="85"/>
      <c r="H154" s="85"/>
      <c r="I154" s="67" t="str">
        <f ca="1">IF(D167=100%,"All work Completed. Possession granted to the Building.",IF(D166=100%,"All work Completed, Waiting for OC",I155&amp;""&amp;I156&amp;""&amp;J155&amp;""&amp;J154&amp;" "&amp;J156))</f>
        <v xml:space="preserve">Excavation, Plinth, RCC Slab, Brickwork Completed </v>
      </c>
      <c r="J154" s="50" t="str">
        <f ca="1">(IF(C160=(D155+F155+H155),"",IF(C160&gt;0,", RCC upto "&amp;C160&amp;" Slab","")))&amp;(IF(C161=H155,"",IF(C161&gt;0,", Brickwork upto "&amp;C161&amp;" Floor","")))&amp;(IF(C162=H155,"",IF(C162&gt;0,", Internal Plaster upto "&amp;C162&amp;" Floor","")))&amp;(IF(C163=H155,"",IF(C163&gt;0,", External Plaster upto "&amp;C163&amp;" Floor","")))&amp;(IF(C164=H155,"",IF(C164&gt;0,", Flooring upto "&amp;C164&amp;" Floor","")))&amp;(IF(C165=H155,"",IF(C165&gt;0,", Painting upto "&amp;C165&amp;" Floor","")))&amp;(IF(C166=H155,"",IF(C166&gt;0,", Finishing upto "&amp;C166&amp;" Floor","")))&amp;(IF(C167=H155,"",IF(C167&gt;0,", Possession upto "&amp;C167&amp;" Floor","")))</f>
        <v/>
      </c>
    </row>
    <row r="155" spans="1:10" x14ac:dyDescent="0.35">
      <c r="A155" s="65" t="s">
        <v>146</v>
      </c>
      <c r="B155" s="65">
        <v>0</v>
      </c>
      <c r="C155" s="65" t="s">
        <v>76</v>
      </c>
      <c r="D155" s="65">
        <v>1</v>
      </c>
      <c r="E155" s="65" t="s">
        <v>75</v>
      </c>
      <c r="F155" s="65">
        <v>0</v>
      </c>
      <c r="G155" s="66" t="s">
        <v>84</v>
      </c>
      <c r="H155" s="65">
        <f ca="1">--TRIM(RIGHT(SUBSTITUTE(LEFT(C154,_xlfn.AGGREGATE(16,6,FIND({0,1,2,3,4,5,6,7,8,9},C154,ROW(INDIRECT("1:"&amp;LEN(C154)))),1))," ",REPT(" ",LEN(C154))),LEN(C154)))</f>
        <v>6</v>
      </c>
      <c r="I155" s="68" t="str">
        <f ca="1">IF(D158=100%,"Excavation","")&amp;IF(D159=100%,", Plinth","")&amp;IF(D160=100%,", RCC Slab","")&amp;IF(D161=100%,", Brickwork","")&amp;IF(D162=100%,", Internal Plaster","")&amp;IF(D163=100%,", External Plaster","")&amp;IF(D164=100%,", Flooring","")&amp;IF(D165=100%,", Painting","")&amp;IF(D166=100%,", Building common Amenities","")</f>
        <v>Excavation, Plinth, RCC Slab, Brickwork</v>
      </c>
      <c r="J155" s="52" t="str">
        <f ca="1">(IF(C158=0,"Work not yet Started.",IF(D158=25%,"Piling work in process",IF(D158=50%,"Excavation work in process",IF(D158=100%,"","0")))))&amp;(IF(C159=0%,"",IF(C159=J160,", Footing work is process",IF(C159=J161,", Footing work Completed",IF(C159=J162,", 1st Basement Completed",IF(C159=J163,", 1st &amp; 2nd Basement Completed",IF(C159=J164,", 1st to 3rd Basement Completed",IF(C159=J165,", 1st to 4th Basement Completed",IF(C159=J166,", Plinth work is process",IF(C159=J167,"","0"))))))))))</f>
        <v/>
      </c>
    </row>
    <row r="156" spans="1:10" x14ac:dyDescent="0.35">
      <c r="A156" s="77" t="s">
        <v>94</v>
      </c>
      <c r="B156" s="77"/>
      <c r="C156" s="86" t="str">
        <f ca="1">(IF($G$52="NA",I154,"All work Completed. OC Received."))</f>
        <v xml:space="preserve">Excavation, Plinth, RCC Slab, Brickwork Completed </v>
      </c>
      <c r="D156" s="86"/>
      <c r="E156" s="86"/>
      <c r="F156" s="86"/>
      <c r="G156" s="86"/>
      <c r="H156" s="86"/>
      <c r="I156" s="68" t="str">
        <f ca="1">IF(I155&lt;&gt;""," Completed","")</f>
        <v xml:space="preserve"> Completed</v>
      </c>
      <c r="J156" s="52" t="str">
        <f ca="1">IF(J154&lt;&gt;"","Completed","")</f>
        <v/>
      </c>
    </row>
    <row r="157" spans="1:10" ht="15.75" customHeight="1" x14ac:dyDescent="0.35">
      <c r="A157" s="82" t="s">
        <v>52</v>
      </c>
      <c r="B157" s="82"/>
      <c r="C157" s="63" t="s">
        <v>143</v>
      </c>
      <c r="D157" s="63" t="s">
        <v>87</v>
      </c>
      <c r="E157" s="82" t="s">
        <v>89</v>
      </c>
      <c r="F157" s="82"/>
      <c r="G157" s="82" t="s">
        <v>88</v>
      </c>
      <c r="H157" s="82"/>
      <c r="I157" s="14" t="s">
        <v>145</v>
      </c>
      <c r="J157" s="28">
        <f ca="1">H155*25%</f>
        <v>1.5</v>
      </c>
    </row>
    <row r="158" spans="1:10" x14ac:dyDescent="0.35">
      <c r="A158" s="82" t="s">
        <v>132</v>
      </c>
      <c r="B158" s="82"/>
      <c r="C158" s="63">
        <v>6</v>
      </c>
      <c r="D158" s="19">
        <f ca="1">((100/H155)*C158)/100</f>
        <v>1</v>
      </c>
      <c r="E158" s="84">
        <f ca="1">(((C159/H155*10)+(40/(D155+F155+H155)*C160)+(7.5/(H155)*C161)+(7.5/(H155)*C162)+(10/H155*C163)+(10/H155*C164)+(5/H155*C165)+(5/H155*C166)+(5/H155*C167))/100)</f>
        <v>0.57499999999999996</v>
      </c>
      <c r="F158" s="84"/>
      <c r="G158" s="84">
        <f ca="1">((((C158/H155)*20)+((C159/H155)*25)+(30/(H155+F155+D155)*C160)+(5/H155*C161)+(5/H155*C162)+(5/H155*C163)+(5/H155*C164)+(0/H155*C165)+(0/H155*C166)+(5/H155*C167))/100)</f>
        <v>0.8</v>
      </c>
      <c r="H158" s="84"/>
      <c r="I158" s="14" t="s">
        <v>105</v>
      </c>
      <c r="J158" s="29">
        <f ca="1">H155*50%</f>
        <v>3</v>
      </c>
    </row>
    <row r="159" spans="1:10" x14ac:dyDescent="0.35">
      <c r="A159" s="82" t="s">
        <v>53</v>
      </c>
      <c r="B159" s="82"/>
      <c r="C159" s="57">
        <f ca="1">J159</f>
        <v>6</v>
      </c>
      <c r="D159" s="19">
        <f ca="1">((100/H155)*C159)/100</f>
        <v>1</v>
      </c>
      <c r="E159" s="84"/>
      <c r="F159" s="84"/>
      <c r="G159" s="84"/>
      <c r="H159" s="84"/>
      <c r="I159" s="14" t="s">
        <v>106</v>
      </c>
      <c r="J159" s="29">
        <f ca="1">H155</f>
        <v>6</v>
      </c>
    </row>
    <row r="160" spans="1:10" ht="15.75" customHeight="1" x14ac:dyDescent="0.35">
      <c r="A160" s="82" t="s">
        <v>133</v>
      </c>
      <c r="B160" s="82"/>
      <c r="C160" s="63">
        <v>7</v>
      </c>
      <c r="D160" s="19">
        <f ca="1">((100/(D155+F155+H155))*C160)/100</f>
        <v>1</v>
      </c>
      <c r="E160" s="84"/>
      <c r="F160" s="84"/>
      <c r="G160" s="84"/>
      <c r="H160" s="84"/>
      <c r="I160" s="14" t="s">
        <v>107</v>
      </c>
      <c r="J160" s="30">
        <f ca="1">(IF(B155&gt;1,(H155/(B155+2)),H155/4))</f>
        <v>1.5</v>
      </c>
    </row>
    <row r="161" spans="1:10" ht="15.75" customHeight="1" x14ac:dyDescent="0.35">
      <c r="A161" s="82" t="s">
        <v>140</v>
      </c>
      <c r="B161" s="82" t="s">
        <v>134</v>
      </c>
      <c r="C161" s="63">
        <v>6</v>
      </c>
      <c r="D161" s="19">
        <f ca="1">((100/H155)*C161)/100</f>
        <v>1</v>
      </c>
      <c r="E161" s="84"/>
      <c r="F161" s="84"/>
      <c r="G161" s="84"/>
      <c r="H161" s="84"/>
      <c r="I161" s="14" t="s">
        <v>108</v>
      </c>
      <c r="J161" s="30">
        <f ca="1">(IF(B155&gt;1,(H155/(B155+2)+J160),H155/4+J160))</f>
        <v>3</v>
      </c>
    </row>
    <row r="162" spans="1:10" ht="15.75" customHeight="1" x14ac:dyDescent="0.35">
      <c r="A162" s="82" t="s">
        <v>141</v>
      </c>
      <c r="B162" s="82" t="s">
        <v>134</v>
      </c>
      <c r="C162" s="63">
        <v>0</v>
      </c>
      <c r="D162" s="19">
        <f ca="1">((100/H155)*C162)/100</f>
        <v>0</v>
      </c>
      <c r="E162" s="84"/>
      <c r="F162" s="84"/>
      <c r="G162" s="84"/>
      <c r="H162" s="84"/>
      <c r="I162" s="14" t="s">
        <v>150</v>
      </c>
      <c r="J162" s="30">
        <f>(IF(B155&gt;1,(H155/(B155+2)+J161),0))</f>
        <v>0</v>
      </c>
    </row>
    <row r="163" spans="1:10" ht="15" customHeight="1" x14ac:dyDescent="0.35">
      <c r="A163" s="82" t="s">
        <v>139</v>
      </c>
      <c r="B163" s="82" t="s">
        <v>136</v>
      </c>
      <c r="C163" s="63">
        <v>0</v>
      </c>
      <c r="D163" s="19">
        <f ca="1">((100/(H155))*C163)/100</f>
        <v>0</v>
      </c>
      <c r="E163" s="84"/>
      <c r="F163" s="84"/>
      <c r="G163" s="84"/>
      <c r="H163" s="84"/>
      <c r="I163" s="14" t="s">
        <v>147</v>
      </c>
      <c r="J163" s="30">
        <f>(IF(B155&gt;2,(H155/(B155+2)+J162),0))</f>
        <v>0</v>
      </c>
    </row>
    <row r="164" spans="1:10" ht="15.75" customHeight="1" x14ac:dyDescent="0.35">
      <c r="A164" s="82" t="s">
        <v>135</v>
      </c>
      <c r="B164" s="82" t="s">
        <v>135</v>
      </c>
      <c r="C164" s="63">
        <v>0</v>
      </c>
      <c r="D164" s="19">
        <f ca="1">((100/H155)*C164)/100</f>
        <v>0</v>
      </c>
      <c r="E164" s="84"/>
      <c r="F164" s="84"/>
      <c r="G164" s="84"/>
      <c r="H164" s="84"/>
      <c r="I164" s="14" t="s">
        <v>148</v>
      </c>
      <c r="J164" s="31">
        <f>(IF(B155&gt;3,(H155/(B155+2)+J163),0))</f>
        <v>0</v>
      </c>
    </row>
    <row r="165" spans="1:10" ht="15.75" customHeight="1" x14ac:dyDescent="0.35">
      <c r="A165" s="82" t="s">
        <v>142</v>
      </c>
      <c r="B165" s="82"/>
      <c r="C165" s="63">
        <v>0</v>
      </c>
      <c r="D165" s="19">
        <f ca="1">((100/H155)*C165)/100</f>
        <v>0</v>
      </c>
      <c r="E165" s="84"/>
      <c r="F165" s="84"/>
      <c r="G165" s="84"/>
      <c r="H165" s="84"/>
      <c r="I165" s="14" t="s">
        <v>149</v>
      </c>
      <c r="J165" s="30">
        <f>(IF(B155&gt;4,(H155/(B155+2)+J164),0))</f>
        <v>0</v>
      </c>
    </row>
    <row r="166" spans="1:10" ht="15.75" customHeight="1" x14ac:dyDescent="0.35">
      <c r="A166" s="82" t="s">
        <v>137</v>
      </c>
      <c r="B166" s="82" t="s">
        <v>137</v>
      </c>
      <c r="C166" s="63">
        <v>0</v>
      </c>
      <c r="D166" s="19">
        <f ca="1">((100/(H155))*C166)/100</f>
        <v>0</v>
      </c>
      <c r="E166" s="84"/>
      <c r="F166" s="84"/>
      <c r="G166" s="84"/>
      <c r="H166" s="84"/>
      <c r="I166" s="14" t="s">
        <v>151</v>
      </c>
      <c r="J166" s="30">
        <f ca="1">(IF(B155=1,(H155/(B155+3)+J161),IF(B155=0,(H155/4+J161),IF(B155&gt;1,0))))</f>
        <v>4.5</v>
      </c>
    </row>
    <row r="167" spans="1:10" ht="16" thickBot="1" x14ac:dyDescent="0.4">
      <c r="A167" s="82" t="s">
        <v>138</v>
      </c>
      <c r="B167" s="82"/>
      <c r="C167" s="63">
        <v>0</v>
      </c>
      <c r="D167" s="19">
        <f ca="1">((100/(H155))*C167)/100</f>
        <v>0</v>
      </c>
      <c r="E167" s="84"/>
      <c r="F167" s="84"/>
      <c r="G167" s="84"/>
      <c r="H167" s="84"/>
      <c r="I167" s="15" t="s">
        <v>109</v>
      </c>
      <c r="J167" s="32">
        <f ca="1">(IF(B155&gt;1.5,(H155/(B155+2)+J161+MAX(0,J162-J161)+MAX(0,J163-J162)+MAX(0,J164-J163)+MAX(0,J165-J164)+MAX(0,J166-J165)),IF(B155=1,(H155/(B155+3)+J166),IF(B155=0,H155/4+J166))))</f>
        <v>6</v>
      </c>
    </row>
    <row r="168" spans="1:10" x14ac:dyDescent="0.35">
      <c r="A168" s="140" t="s">
        <v>160</v>
      </c>
      <c r="B168" s="141"/>
      <c r="C168" s="141"/>
      <c r="D168" s="141"/>
      <c r="E168" s="142"/>
      <c r="F168" s="143" t="s">
        <v>165</v>
      </c>
      <c r="G168" s="143"/>
      <c r="H168" s="143"/>
    </row>
    <row r="169" spans="1:10" x14ac:dyDescent="0.35">
      <c r="A169" s="101" t="s">
        <v>163</v>
      </c>
      <c r="B169" s="102"/>
      <c r="C169" s="102"/>
      <c r="D169" s="102"/>
      <c r="E169" s="103"/>
      <c r="F169" s="226">
        <v>4700</v>
      </c>
      <c r="G169" s="226"/>
      <c r="H169" s="226"/>
      <c r="I169" s="21" t="s">
        <v>237</v>
      </c>
    </row>
    <row r="170" spans="1:10" hidden="1" x14ac:dyDescent="0.35">
      <c r="A170" s="101" t="s">
        <v>162</v>
      </c>
      <c r="B170" s="102"/>
      <c r="C170" s="102"/>
      <c r="D170" s="102"/>
      <c r="E170" s="103"/>
      <c r="F170" s="112"/>
      <c r="G170" s="112"/>
      <c r="H170" s="112"/>
    </row>
    <row r="171" spans="1:10" hidden="1" x14ac:dyDescent="0.35">
      <c r="A171" s="101" t="s">
        <v>164</v>
      </c>
      <c r="B171" s="102"/>
      <c r="C171" s="102"/>
      <c r="D171" s="102"/>
      <c r="E171" s="103"/>
      <c r="F171" s="112"/>
      <c r="G171" s="112"/>
      <c r="H171" s="112"/>
    </row>
    <row r="172" spans="1:10" s="33" customFormat="1" hidden="1" x14ac:dyDescent="0.3">
      <c r="A172" s="101" t="s">
        <v>161</v>
      </c>
      <c r="B172" s="102"/>
      <c r="C172" s="102"/>
      <c r="D172" s="102"/>
      <c r="E172" s="103"/>
      <c r="F172" s="112"/>
      <c r="G172" s="112"/>
      <c r="H172" s="112"/>
    </row>
    <row r="173" spans="1:10" s="33" customFormat="1" hidden="1" x14ac:dyDescent="0.3">
      <c r="A173" s="101" t="s">
        <v>99</v>
      </c>
      <c r="B173" s="102"/>
      <c r="C173" s="102"/>
      <c r="D173" s="102"/>
      <c r="E173" s="103"/>
      <c r="F173" s="112"/>
      <c r="G173" s="112"/>
      <c r="H173" s="112"/>
    </row>
    <row r="174" spans="1:10" s="33" customFormat="1" hidden="1" x14ac:dyDescent="0.3">
      <c r="A174" s="101" t="s">
        <v>100</v>
      </c>
      <c r="B174" s="102"/>
      <c r="C174" s="102"/>
      <c r="D174" s="102"/>
      <c r="E174" s="103"/>
      <c r="F174" s="112"/>
      <c r="G174" s="112"/>
      <c r="H174" s="112"/>
    </row>
    <row r="175" spans="1:10" s="33" customFormat="1" hidden="1" x14ac:dyDescent="0.3">
      <c r="A175" s="101" t="s">
        <v>166</v>
      </c>
      <c r="B175" s="102"/>
      <c r="C175" s="102"/>
      <c r="D175" s="102"/>
      <c r="E175" s="103"/>
      <c r="F175" s="112"/>
      <c r="G175" s="112"/>
      <c r="H175" s="112"/>
    </row>
    <row r="176" spans="1:10" s="33" customFormat="1" hidden="1" x14ac:dyDescent="0.3">
      <c r="A176" s="101" t="s">
        <v>101</v>
      </c>
      <c r="B176" s="102"/>
      <c r="C176" s="102"/>
      <c r="D176" s="102"/>
      <c r="E176" s="103"/>
      <c r="F176" s="112"/>
      <c r="G176" s="112"/>
      <c r="H176" s="112"/>
    </row>
    <row r="177" spans="1:8" s="33" customFormat="1" hidden="1" x14ac:dyDescent="0.3">
      <c r="A177" s="101" t="s">
        <v>102</v>
      </c>
      <c r="B177" s="102"/>
      <c r="C177" s="102"/>
      <c r="D177" s="102"/>
      <c r="E177" s="103"/>
      <c r="F177" s="112"/>
      <c r="G177" s="112"/>
      <c r="H177" s="112"/>
    </row>
    <row r="178" spans="1:8" s="33" customFormat="1" hidden="1" x14ac:dyDescent="0.3">
      <c r="A178" s="101" t="s">
        <v>103</v>
      </c>
      <c r="B178" s="102"/>
      <c r="C178" s="102"/>
      <c r="D178" s="102"/>
      <c r="E178" s="103"/>
      <c r="F178" s="112"/>
      <c r="G178" s="112"/>
      <c r="H178" s="112"/>
    </row>
    <row r="179" spans="1:8" s="33" customFormat="1" hidden="1" x14ac:dyDescent="0.3">
      <c r="A179" s="101" t="s">
        <v>104</v>
      </c>
      <c r="B179" s="102"/>
      <c r="C179" s="102"/>
      <c r="D179" s="102"/>
      <c r="E179" s="103"/>
      <c r="F179" s="112"/>
      <c r="G179" s="112"/>
      <c r="H179" s="112"/>
    </row>
    <row r="180" spans="1:8" x14ac:dyDescent="0.35">
      <c r="A180" s="101" t="s">
        <v>54</v>
      </c>
      <c r="B180" s="102"/>
      <c r="C180" s="102"/>
      <c r="D180" s="102"/>
      <c r="E180" s="103"/>
      <c r="F180" s="112">
        <v>150000</v>
      </c>
      <c r="G180" s="112"/>
      <c r="H180" s="112"/>
    </row>
    <row r="181" spans="1:8" s="34" customFormat="1" x14ac:dyDescent="0.35">
      <c r="A181" s="187" t="s">
        <v>55</v>
      </c>
      <c r="B181" s="188"/>
      <c r="C181" s="188"/>
      <c r="D181" s="188"/>
      <c r="E181" s="189"/>
      <c r="F181" s="112">
        <f>F169*0.8</f>
        <v>3760</v>
      </c>
      <c r="G181" s="112"/>
      <c r="H181" s="112"/>
    </row>
    <row r="182" spans="1:8" s="35" customFormat="1" ht="15.75" customHeight="1" x14ac:dyDescent="0.35">
      <c r="A182" s="184" t="s">
        <v>74</v>
      </c>
      <c r="B182" s="185"/>
      <c r="C182" s="185"/>
      <c r="D182" s="185"/>
      <c r="E182" s="185"/>
      <c r="F182" s="185"/>
      <c r="G182" s="185"/>
      <c r="H182" s="186"/>
    </row>
    <row r="183" spans="1:8" s="35" customFormat="1" ht="15.75" customHeight="1" x14ac:dyDescent="0.35">
      <c r="A183" s="125" t="s">
        <v>56</v>
      </c>
      <c r="B183" s="125"/>
      <c r="C183" s="123" t="s">
        <v>82</v>
      </c>
      <c r="D183" s="124"/>
      <c r="E183" s="225" t="s">
        <v>57</v>
      </c>
      <c r="F183" s="225"/>
      <c r="G183" s="125" t="s">
        <v>58</v>
      </c>
      <c r="H183" s="125"/>
    </row>
    <row r="184" spans="1:8" s="35" customFormat="1" x14ac:dyDescent="0.35">
      <c r="A184" s="122" t="s">
        <v>202</v>
      </c>
      <c r="B184" s="122"/>
      <c r="C184" s="119">
        <f>COUNT(D199:D202)*4+COUNT(D204:D207)*3</f>
        <v>28</v>
      </c>
      <c r="D184" s="120"/>
      <c r="E184" s="121">
        <f>SUM(D199:D202)*4+SUM(D204:D207)*3</f>
        <v>13517.86176</v>
      </c>
      <c r="F184" s="121"/>
      <c r="G184" s="121">
        <f>SUM(F199:F202)*4+SUM(F204:F207)*3</f>
        <v>20276.79264</v>
      </c>
      <c r="H184" s="121"/>
    </row>
    <row r="185" spans="1:8" s="35" customFormat="1" x14ac:dyDescent="0.35">
      <c r="A185" s="122" t="s">
        <v>203</v>
      </c>
      <c r="B185" s="122"/>
      <c r="C185" s="119">
        <f>COUNT(D211:D214)*4+COUNT(D216:D219)*3</f>
        <v>28</v>
      </c>
      <c r="D185" s="120"/>
      <c r="E185" s="121">
        <f>SUM(D211:D214)*4+SUM(D216:D219)*3</f>
        <v>13517.86176</v>
      </c>
      <c r="F185" s="121"/>
      <c r="G185" s="121">
        <f>SUM(F211:F214)*4+SUM(F216:F219)*3</f>
        <v>20276.79264</v>
      </c>
      <c r="H185" s="121"/>
    </row>
    <row r="186" spans="1:8" s="35" customFormat="1" x14ac:dyDescent="0.35">
      <c r="A186" s="122" t="s">
        <v>204</v>
      </c>
      <c r="B186" s="122"/>
      <c r="C186" s="119">
        <f>COUNT(D223:D226)*4+COUNT(D228:D231)*3</f>
        <v>28</v>
      </c>
      <c r="D186" s="120"/>
      <c r="E186" s="121">
        <f>SUM(D223:D226)*4+SUM(D228:D231)*3</f>
        <v>13517.86176</v>
      </c>
      <c r="F186" s="121"/>
      <c r="G186" s="121">
        <f>SUM(F223:F226)*4+SUM(F228:F231)*3</f>
        <v>20276.79264</v>
      </c>
      <c r="H186" s="121"/>
    </row>
    <row r="187" spans="1:8" s="35" customFormat="1" x14ac:dyDescent="0.35">
      <c r="A187" s="122" t="s">
        <v>208</v>
      </c>
      <c r="B187" s="122"/>
      <c r="C187" s="119">
        <f>COUNT(D235:D242)*7</f>
        <v>56</v>
      </c>
      <c r="D187" s="120"/>
      <c r="E187" s="121">
        <f>SUM(D235:D242)*7</f>
        <v>21000.994560000003</v>
      </c>
      <c r="F187" s="121"/>
      <c r="G187" s="121">
        <f>SUM(F235:F242)*7</f>
        <v>31501.491840000002</v>
      </c>
      <c r="H187" s="121"/>
    </row>
    <row r="188" spans="1:8" s="35" customFormat="1" x14ac:dyDescent="0.35">
      <c r="A188" s="122" t="s">
        <v>207</v>
      </c>
      <c r="B188" s="122"/>
      <c r="C188" s="119">
        <f>COUNT(D246:D249)*7</f>
        <v>28</v>
      </c>
      <c r="D188" s="120"/>
      <c r="E188" s="121">
        <f>SUM(D246:D249)*7</f>
        <v>10500.49728</v>
      </c>
      <c r="F188" s="121"/>
      <c r="G188" s="121">
        <f>SUM(F246:F249)*7</f>
        <v>15750.745920000001</v>
      </c>
      <c r="H188" s="121"/>
    </row>
    <row r="189" spans="1:8" s="35" customFormat="1" x14ac:dyDescent="0.35">
      <c r="A189" s="122" t="s">
        <v>206</v>
      </c>
      <c r="B189" s="122"/>
      <c r="C189" s="119">
        <f>COUNT(D253:D256)*7</f>
        <v>28</v>
      </c>
      <c r="D189" s="120"/>
      <c r="E189" s="121">
        <f>SUM(D253:D256)*7</f>
        <v>10500.49728</v>
      </c>
      <c r="F189" s="121"/>
      <c r="G189" s="121">
        <f>SUM(F253:F256)*7</f>
        <v>15750.745920000001</v>
      </c>
      <c r="H189" s="121"/>
    </row>
    <row r="190" spans="1:8" s="35" customFormat="1" x14ac:dyDescent="0.35">
      <c r="A190" s="122" t="s">
        <v>205</v>
      </c>
      <c r="B190" s="122"/>
      <c r="C190" s="119">
        <f>COUNT(D260:D263)*6</f>
        <v>24</v>
      </c>
      <c r="D190" s="120"/>
      <c r="E190" s="236">
        <f>SUM(D260:D263)*6</f>
        <v>9000.4262400000007</v>
      </c>
      <c r="F190" s="237"/>
      <c r="G190" s="236">
        <f>SUM(F260:F263)*6</f>
        <v>13500.639360000001</v>
      </c>
      <c r="H190" s="237"/>
    </row>
    <row r="191" spans="1:8" s="35" customFormat="1" x14ac:dyDescent="0.35">
      <c r="A191" s="126" t="s">
        <v>154</v>
      </c>
      <c r="B191" s="126"/>
      <c r="C191" s="220">
        <f>SUM(C184:C190)</f>
        <v>220</v>
      </c>
      <c r="D191" s="221"/>
      <c r="E191" s="117">
        <f t="shared" ref="E191" si="0">SUM(E184:E190)</f>
        <v>91556.000639999998</v>
      </c>
      <c r="F191" s="118"/>
      <c r="G191" s="117">
        <f t="shared" ref="G191" si="1">SUM(G184:G190)</f>
        <v>137334.00096</v>
      </c>
      <c r="H191" s="118"/>
    </row>
    <row r="192" spans="1:8" s="34" customFormat="1" x14ac:dyDescent="0.35">
      <c r="A192" s="197" t="s">
        <v>59</v>
      </c>
      <c r="B192" s="198"/>
      <c r="C192" s="198"/>
      <c r="D192" s="198"/>
      <c r="E192" s="198"/>
      <c r="F192" s="198"/>
      <c r="G192" s="198"/>
      <c r="H192" s="199"/>
    </row>
    <row r="193" spans="1:14" x14ac:dyDescent="0.35">
      <c r="A193" s="197" t="s">
        <v>60</v>
      </c>
      <c r="B193" s="198"/>
      <c r="C193" s="198"/>
      <c r="D193" s="198"/>
      <c r="E193" s="198"/>
      <c r="F193" s="198"/>
      <c r="G193" s="198"/>
      <c r="H193" s="199"/>
    </row>
    <row r="194" spans="1:14" ht="47.25" customHeight="1" x14ac:dyDescent="0.35">
      <c r="A194" s="127" t="s">
        <v>124</v>
      </c>
      <c r="B194" s="127" t="s">
        <v>125</v>
      </c>
      <c r="C194" s="214" t="s">
        <v>61</v>
      </c>
      <c r="D194" s="214" t="s">
        <v>62</v>
      </c>
      <c r="E194" s="216" t="s">
        <v>63</v>
      </c>
      <c r="F194" s="43" t="s">
        <v>153</v>
      </c>
      <c r="G194" s="127" t="s">
        <v>64</v>
      </c>
      <c r="H194" s="218"/>
      <c r="I194" s="36"/>
    </row>
    <row r="195" spans="1:14" s="37" customFormat="1" x14ac:dyDescent="0.35">
      <c r="A195" s="128"/>
      <c r="B195" s="128"/>
      <c r="C195" s="215"/>
      <c r="D195" s="215"/>
      <c r="E195" s="217"/>
      <c r="F195" s="13">
        <v>0.5</v>
      </c>
      <c r="G195" s="128"/>
      <c r="H195" s="219"/>
      <c r="I195" s="36"/>
    </row>
    <row r="196" spans="1:14" s="37" customFormat="1" ht="15.75" customHeight="1" x14ac:dyDescent="0.35">
      <c r="A196" s="98" t="s">
        <v>211</v>
      </c>
      <c r="B196" s="99"/>
      <c r="C196" s="99"/>
      <c r="D196" s="99"/>
      <c r="E196" s="99"/>
      <c r="F196" s="99"/>
      <c r="G196" s="99"/>
      <c r="H196" s="100"/>
      <c r="I196" s="36"/>
      <c r="L196" s="234"/>
      <c r="M196" s="234"/>
    </row>
    <row r="197" spans="1:14" s="37" customFormat="1" ht="15.75" customHeight="1" x14ac:dyDescent="0.35">
      <c r="A197" s="98" t="s">
        <v>194</v>
      </c>
      <c r="B197" s="99"/>
      <c r="C197" s="99"/>
      <c r="D197" s="99"/>
      <c r="E197" s="99"/>
      <c r="F197" s="99"/>
      <c r="G197" s="99"/>
      <c r="H197" s="100"/>
      <c r="J197" s="36"/>
    </row>
    <row r="198" spans="1:14" s="37" customFormat="1" ht="15.75" customHeight="1" x14ac:dyDescent="0.35">
      <c r="A198" s="98" t="s">
        <v>198</v>
      </c>
      <c r="B198" s="99"/>
      <c r="C198" s="99"/>
      <c r="D198" s="99"/>
      <c r="E198" s="99"/>
      <c r="F198" s="99"/>
      <c r="G198" s="99"/>
      <c r="H198" s="100"/>
      <c r="I198" s="36"/>
      <c r="K198" s="37" t="s">
        <v>221</v>
      </c>
      <c r="L198" s="36" t="s">
        <v>222</v>
      </c>
      <c r="M198" s="36"/>
    </row>
    <row r="199" spans="1:14" s="37" customFormat="1" ht="15.75" customHeight="1" x14ac:dyDescent="0.35">
      <c r="A199" s="139">
        <v>1</v>
      </c>
      <c r="B199" s="139"/>
      <c r="C199" s="42" t="s">
        <v>196</v>
      </c>
      <c r="D199" s="54">
        <f>(37.54+1.2*2.7+0.75*(2.1+3.2))*10.764</f>
        <v>481.74281999999999</v>
      </c>
      <c r="E199" s="42">
        <v>0</v>
      </c>
      <c r="F199" s="42">
        <f>D199*(($F$195)+1)+(IF(E199&lt;101,E199,IF(E199&lt;201,E199/2,IF(E199&lt;=301,E199/3,E199/4))))</f>
        <v>722.61423000000002</v>
      </c>
      <c r="G199" s="129" t="str">
        <f>A198</f>
        <v>1st, 3rd, 5th &amp; 7th Floor For Residential</v>
      </c>
      <c r="H199" s="130"/>
      <c r="I199" s="36"/>
      <c r="J199" s="62">
        <f>715/D199</f>
        <v>1.4841944089587054</v>
      </c>
      <c r="K199" s="36">
        <f>2502500/F199</f>
        <v>3463.1202875703125</v>
      </c>
      <c r="L199" s="36">
        <f>3000000/F204</f>
        <v>4130.8255587065496</v>
      </c>
      <c r="M199" s="36">
        <f>2750000/F213</f>
        <v>3805.626689637706</v>
      </c>
      <c r="N199" s="36"/>
    </row>
    <row r="200" spans="1:14" s="37" customFormat="1" ht="15.75" customHeight="1" x14ac:dyDescent="0.35">
      <c r="A200" s="139">
        <f>A199+1</f>
        <v>2</v>
      </c>
      <c r="B200" s="139"/>
      <c r="C200" s="42" t="s">
        <v>196</v>
      </c>
      <c r="D200" s="54">
        <f t="shared" ref="D200:D202" si="2">(37.54+1.2*2.7+0.75*(2.1+3.2))*10.764</f>
        <v>481.74281999999999</v>
      </c>
      <c r="E200" s="42">
        <v>0</v>
      </c>
      <c r="F200" s="42">
        <f>D200*(($F$195)+1)+(IF(E200&lt;101,E200,IF(E200&lt;201,E200/2,IF(E200&lt;=301,E200/3,E200/4))))</f>
        <v>722.61423000000002</v>
      </c>
      <c r="G200" s="131"/>
      <c r="H200" s="132"/>
      <c r="I200" s="36"/>
      <c r="M200" s="36">
        <f>2000000/F204</f>
        <v>2753.8837058043669</v>
      </c>
      <c r="N200" s="36"/>
    </row>
    <row r="201" spans="1:14" s="37" customFormat="1" ht="15.75" customHeight="1" x14ac:dyDescent="0.35">
      <c r="A201" s="139">
        <f>A200+1</f>
        <v>3</v>
      </c>
      <c r="B201" s="139"/>
      <c r="C201" s="42" t="s">
        <v>196</v>
      </c>
      <c r="D201" s="54">
        <f t="shared" si="2"/>
        <v>481.74281999999999</v>
      </c>
      <c r="E201" s="42">
        <v>0</v>
      </c>
      <c r="F201" s="42">
        <f>D201*(($F$195)+1)+(IF(E201&lt;101,E201,IF(E201&lt;201,E201/2,IF(E201&lt;=301,E201/3,E201/4))))</f>
        <v>722.61423000000002</v>
      </c>
      <c r="G201" s="131"/>
      <c r="H201" s="132"/>
      <c r="I201" s="56"/>
      <c r="N201" s="36"/>
    </row>
    <row r="202" spans="1:14" s="37" customFormat="1" ht="15.75" customHeight="1" x14ac:dyDescent="0.35">
      <c r="A202" s="139">
        <f>A201+1</f>
        <v>4</v>
      </c>
      <c r="B202" s="139"/>
      <c r="C202" s="42" t="s">
        <v>196</v>
      </c>
      <c r="D202" s="54">
        <f t="shared" si="2"/>
        <v>481.74281999999999</v>
      </c>
      <c r="E202" s="42">
        <v>0</v>
      </c>
      <c r="F202" s="42">
        <f>D202*(($F$195)+1)+(IF(E202&lt;101,E202,IF(E202&lt;201,E202/2,IF(E202&lt;=301,E202/3,E202/4))))</f>
        <v>722.61423000000002</v>
      </c>
      <c r="G202" s="133"/>
      <c r="H202" s="134"/>
      <c r="I202" s="36"/>
      <c r="N202" s="36"/>
    </row>
    <row r="203" spans="1:14" s="37" customFormat="1" ht="15.75" customHeight="1" x14ac:dyDescent="0.35">
      <c r="A203" s="116" t="s">
        <v>197</v>
      </c>
      <c r="B203" s="116"/>
      <c r="C203" s="116"/>
      <c r="D203" s="116"/>
      <c r="E203" s="116"/>
      <c r="F203" s="116"/>
      <c r="G203" s="116"/>
      <c r="H203" s="116"/>
      <c r="I203" s="36"/>
      <c r="K203" s="37">
        <f>4200*F201</f>
        <v>3034979.7660000003</v>
      </c>
      <c r="L203" s="234"/>
      <c r="M203" s="234"/>
    </row>
    <row r="204" spans="1:14" s="37" customFormat="1" ht="15.75" customHeight="1" x14ac:dyDescent="0.35">
      <c r="A204" s="139">
        <v>1</v>
      </c>
      <c r="B204" s="139"/>
      <c r="C204" s="69" t="s">
        <v>196</v>
      </c>
      <c r="D204" s="54">
        <f>(37.54+1.2*3.2+0.75*(2.1+2.7))*10.764</f>
        <v>484.16471999999993</v>
      </c>
      <c r="E204" s="69">
        <v>0</v>
      </c>
      <c r="F204" s="69">
        <f>D204*(($F$195)+1)+(IF(E204&lt;101,E204,IF(E204&lt;201,E204/2,IF(E204&lt;=301,E204/3,E204/4))))</f>
        <v>726.24707999999987</v>
      </c>
      <c r="G204" s="139" t="str">
        <f>A203</f>
        <v>2nd, 4th &amp; 6th Floor For Residential</v>
      </c>
      <c r="H204" s="139"/>
      <c r="I204" s="36"/>
      <c r="N204" s="36"/>
    </row>
    <row r="205" spans="1:14" s="37" customFormat="1" ht="15.75" customHeight="1" x14ac:dyDescent="0.35">
      <c r="A205" s="139">
        <f>A204+1</f>
        <v>2</v>
      </c>
      <c r="B205" s="139"/>
      <c r="C205" s="69" t="s">
        <v>196</v>
      </c>
      <c r="D205" s="54">
        <f t="shared" ref="D205:D207" si="3">(37.54+1.2*3.2+0.75*(2.1+2.7))*10.764</f>
        <v>484.16471999999993</v>
      </c>
      <c r="E205" s="69">
        <v>0</v>
      </c>
      <c r="F205" s="69">
        <f t="shared" ref="F205" si="4">D205*(($F$195)+1)+(IF(E205&lt;101,E205,IF(E205&lt;201,E205/2,IF(E205&lt;=301,E205/3,E205/4))))</f>
        <v>726.24707999999987</v>
      </c>
      <c r="G205" s="139"/>
      <c r="H205" s="139"/>
      <c r="I205" s="36"/>
      <c r="N205" s="36"/>
    </row>
    <row r="206" spans="1:14" s="37" customFormat="1" ht="15.75" customHeight="1" x14ac:dyDescent="0.35">
      <c r="A206" s="139">
        <f>A205+1</f>
        <v>3</v>
      </c>
      <c r="B206" s="139"/>
      <c r="C206" s="69" t="s">
        <v>196</v>
      </c>
      <c r="D206" s="54">
        <f t="shared" si="3"/>
        <v>484.16471999999993</v>
      </c>
      <c r="E206" s="69">
        <v>0</v>
      </c>
      <c r="F206" s="69">
        <f>D206*(($F$195)+1)+(IF(E206&lt;101,E206,IF(E206&lt;201,E206/2,IF(E206&lt;=301,E206/3,E206/4))))</f>
        <v>726.24707999999987</v>
      </c>
      <c r="G206" s="139"/>
      <c r="H206" s="139"/>
      <c r="I206" s="36"/>
      <c r="N206" s="36"/>
    </row>
    <row r="207" spans="1:14" s="37" customFormat="1" ht="15.75" customHeight="1" x14ac:dyDescent="0.35">
      <c r="A207" s="139">
        <f>A206+1</f>
        <v>4</v>
      </c>
      <c r="B207" s="139"/>
      <c r="C207" s="69" t="s">
        <v>196</v>
      </c>
      <c r="D207" s="54">
        <f t="shared" si="3"/>
        <v>484.16471999999993</v>
      </c>
      <c r="E207" s="69">
        <v>0</v>
      </c>
      <c r="F207" s="69">
        <f>D207*(($F$195)+1)+(IF(E207&lt;101,E207,IF(E207&lt;201,E207/2,IF(E207&lt;=301,E207/3,E207/4))))</f>
        <v>726.24707999999987</v>
      </c>
      <c r="G207" s="139"/>
      <c r="H207" s="139"/>
      <c r="I207" s="36"/>
      <c r="N207" s="36"/>
    </row>
    <row r="208" spans="1:14" s="37" customFormat="1" x14ac:dyDescent="0.35">
      <c r="A208" s="116" t="s">
        <v>212</v>
      </c>
      <c r="B208" s="116"/>
      <c r="C208" s="116"/>
      <c r="D208" s="116"/>
      <c r="E208" s="116"/>
      <c r="F208" s="116"/>
      <c r="G208" s="116"/>
      <c r="H208" s="116"/>
      <c r="I208" s="36"/>
      <c r="L208" s="234"/>
      <c r="M208" s="234"/>
    </row>
    <row r="209" spans="1:14" s="37" customFormat="1" ht="15.75" customHeight="1" x14ac:dyDescent="0.35">
      <c r="A209" s="116" t="s">
        <v>194</v>
      </c>
      <c r="B209" s="116"/>
      <c r="C209" s="116"/>
      <c r="D209" s="116"/>
      <c r="E209" s="116"/>
      <c r="F209" s="116"/>
      <c r="G209" s="116"/>
      <c r="H209" s="116"/>
      <c r="J209" s="36"/>
    </row>
    <row r="210" spans="1:14" s="37" customFormat="1" ht="15.75" customHeight="1" x14ac:dyDescent="0.35">
      <c r="A210" s="116" t="s">
        <v>198</v>
      </c>
      <c r="B210" s="116"/>
      <c r="C210" s="116"/>
      <c r="D210" s="116"/>
      <c r="E210" s="116"/>
      <c r="F210" s="116"/>
      <c r="G210" s="116"/>
      <c r="H210" s="116"/>
      <c r="I210" s="36"/>
      <c r="L210" s="234"/>
      <c r="M210" s="234"/>
    </row>
    <row r="211" spans="1:14" s="37" customFormat="1" ht="15.75" customHeight="1" x14ac:dyDescent="0.35">
      <c r="A211" s="139">
        <v>1</v>
      </c>
      <c r="B211" s="139"/>
      <c r="C211" s="69" t="s">
        <v>196</v>
      </c>
      <c r="D211" s="54">
        <f>(37.54+1.2*2.7+0.75*(2.1+3.2))*10.764</f>
        <v>481.74281999999999</v>
      </c>
      <c r="E211" s="69">
        <v>0</v>
      </c>
      <c r="F211" s="69">
        <f>D211*(($F$195)+1)+(IF(E211&lt;101,E211,IF(E211&lt;201,E211/2,IF(E211&lt;=301,E211/3,E211/4))))</f>
        <v>722.61423000000002</v>
      </c>
      <c r="G211" s="139" t="str">
        <f>A210</f>
        <v>1st, 3rd, 5th &amp; 7th Floor For Residential</v>
      </c>
      <c r="H211" s="139"/>
      <c r="I211" s="36"/>
      <c r="N211" s="36"/>
    </row>
    <row r="212" spans="1:14" s="37" customFormat="1" ht="15.75" customHeight="1" x14ac:dyDescent="0.35">
      <c r="A212" s="139">
        <f>A211+1</f>
        <v>2</v>
      </c>
      <c r="B212" s="139"/>
      <c r="C212" s="69" t="s">
        <v>196</v>
      </c>
      <c r="D212" s="54">
        <f t="shared" ref="D212:D214" si="5">(37.54+1.2*2.7+0.75*(2.1+3.2))*10.764</f>
        <v>481.74281999999999</v>
      </c>
      <c r="E212" s="69">
        <v>0</v>
      </c>
      <c r="F212" s="69">
        <f>D212*(($F$195)+1)+(IF(E212&lt;101,E212,IF(E212&lt;201,E212/2,IF(E212&lt;=301,E212/3,E212/4))))</f>
        <v>722.61423000000002</v>
      </c>
      <c r="G212" s="139"/>
      <c r="H212" s="139"/>
      <c r="I212" s="36"/>
      <c r="N212" s="36"/>
    </row>
    <row r="213" spans="1:14" s="37" customFormat="1" ht="15.75" customHeight="1" x14ac:dyDescent="0.35">
      <c r="A213" s="139">
        <f>A212+1</f>
        <v>3</v>
      </c>
      <c r="B213" s="139"/>
      <c r="C213" s="69" t="s">
        <v>196</v>
      </c>
      <c r="D213" s="54">
        <f t="shared" si="5"/>
        <v>481.74281999999999</v>
      </c>
      <c r="E213" s="69">
        <v>0</v>
      </c>
      <c r="F213" s="69">
        <f>D213*(($F$195)+1)+(IF(E213&lt;101,E213,IF(E213&lt;201,E213/2,IF(E213&lt;=301,E213/3,E213/4))))</f>
        <v>722.61423000000002</v>
      </c>
      <c r="G213" s="139"/>
      <c r="H213" s="139"/>
      <c r="I213" s="36"/>
      <c r="N213" s="36"/>
    </row>
    <row r="214" spans="1:14" s="37" customFormat="1" ht="15.75" customHeight="1" x14ac:dyDescent="0.35">
      <c r="A214" s="139">
        <f>A213+1</f>
        <v>4</v>
      </c>
      <c r="B214" s="139"/>
      <c r="C214" s="69" t="s">
        <v>196</v>
      </c>
      <c r="D214" s="54">
        <f t="shared" si="5"/>
        <v>481.74281999999999</v>
      </c>
      <c r="E214" s="69">
        <v>0</v>
      </c>
      <c r="F214" s="69">
        <f>D214*(($F$195)+1)+(IF(E214&lt;101,E214,IF(E214&lt;201,E214/2,IF(E214&lt;=301,E214/3,E214/4))))</f>
        <v>722.61423000000002</v>
      </c>
      <c r="G214" s="139"/>
      <c r="H214" s="139"/>
      <c r="I214" s="36"/>
      <c r="N214" s="36"/>
    </row>
    <row r="215" spans="1:14" s="37" customFormat="1" ht="15.75" customHeight="1" x14ac:dyDescent="0.35">
      <c r="A215" s="98" t="s">
        <v>197</v>
      </c>
      <c r="B215" s="99"/>
      <c r="C215" s="99"/>
      <c r="D215" s="99"/>
      <c r="E215" s="99"/>
      <c r="F215" s="99"/>
      <c r="G215" s="99"/>
      <c r="H215" s="100"/>
      <c r="I215" s="36"/>
      <c r="L215" s="234"/>
      <c r="M215" s="234"/>
    </row>
    <row r="216" spans="1:14" s="37" customFormat="1" ht="15.75" customHeight="1" x14ac:dyDescent="0.35">
      <c r="A216" s="139">
        <v>1</v>
      </c>
      <c r="B216" s="139"/>
      <c r="C216" s="42" t="s">
        <v>196</v>
      </c>
      <c r="D216" s="54">
        <f>(37.54+1.2*3.2+0.75*(2.1+2.7))*10.764</f>
        <v>484.16471999999993</v>
      </c>
      <c r="E216" s="42">
        <v>0</v>
      </c>
      <c r="F216" s="42">
        <f>D216*(($F$195)+1)+(IF(E216&lt;101,E216,IF(E216&lt;201,E216/2,IF(E216&lt;=301,E216/3,E216/4))))</f>
        <v>726.24707999999987</v>
      </c>
      <c r="G216" s="129" t="str">
        <f>A215</f>
        <v>2nd, 4th &amp; 6th Floor For Residential</v>
      </c>
      <c r="H216" s="130"/>
      <c r="I216" s="36"/>
      <c r="N216" s="36"/>
    </row>
    <row r="217" spans="1:14" s="37" customFormat="1" ht="15.75" customHeight="1" x14ac:dyDescent="0.35">
      <c r="A217" s="139">
        <f>A216+1</f>
        <v>2</v>
      </c>
      <c r="B217" s="139"/>
      <c r="C217" s="42" t="s">
        <v>196</v>
      </c>
      <c r="D217" s="54">
        <f t="shared" ref="D217:D219" si="6">(37.54+1.2*3.2+0.75*(2.1+2.7))*10.764</f>
        <v>484.16471999999993</v>
      </c>
      <c r="E217" s="42">
        <v>0</v>
      </c>
      <c r="F217" s="42">
        <f t="shared" ref="F217" si="7">D217*(($F$195)+1)+(IF(E217&lt;101,E217,IF(E217&lt;201,E217/2,IF(E217&lt;=301,E217/3,E217/4))))</f>
        <v>726.24707999999987</v>
      </c>
      <c r="G217" s="131"/>
      <c r="H217" s="132"/>
      <c r="I217" s="36"/>
      <c r="N217" s="36"/>
    </row>
    <row r="218" spans="1:14" s="37" customFormat="1" ht="15.75" customHeight="1" x14ac:dyDescent="0.35">
      <c r="A218" s="139">
        <f>A217+1</f>
        <v>3</v>
      </c>
      <c r="B218" s="139"/>
      <c r="C218" s="42" t="s">
        <v>196</v>
      </c>
      <c r="D218" s="54">
        <f t="shared" si="6"/>
        <v>484.16471999999993</v>
      </c>
      <c r="E218" s="42">
        <v>0</v>
      </c>
      <c r="F218" s="42">
        <f>D218*(($F$195)+1)+(IF(E218&lt;101,E218,IF(E218&lt;201,E218/2,IF(E218&lt;=301,E218/3,E218/4))))</f>
        <v>726.24707999999987</v>
      </c>
      <c r="G218" s="131"/>
      <c r="H218" s="132"/>
      <c r="I218" s="36"/>
      <c r="N218" s="36"/>
    </row>
    <row r="219" spans="1:14" s="37" customFormat="1" ht="15.75" customHeight="1" x14ac:dyDescent="0.35">
      <c r="A219" s="139">
        <f>A218+1</f>
        <v>4</v>
      </c>
      <c r="B219" s="139"/>
      <c r="C219" s="42" t="s">
        <v>196</v>
      </c>
      <c r="D219" s="54">
        <f t="shared" si="6"/>
        <v>484.16471999999993</v>
      </c>
      <c r="E219" s="42">
        <v>0</v>
      </c>
      <c r="F219" s="42">
        <f>D219*(($F$195)+1)+(IF(E219&lt;101,E219,IF(E219&lt;201,E219/2,IF(E219&lt;=301,E219/3,E219/4))))</f>
        <v>726.24707999999987</v>
      </c>
      <c r="G219" s="133"/>
      <c r="H219" s="134"/>
      <c r="I219" s="36"/>
      <c r="N219" s="36"/>
    </row>
    <row r="220" spans="1:14" s="37" customFormat="1" x14ac:dyDescent="0.35">
      <c r="A220" s="98" t="s">
        <v>213</v>
      </c>
      <c r="B220" s="99"/>
      <c r="C220" s="99"/>
      <c r="D220" s="99"/>
      <c r="E220" s="99"/>
      <c r="F220" s="99"/>
      <c r="G220" s="99"/>
      <c r="H220" s="100"/>
      <c r="I220" s="36"/>
      <c r="L220" s="234"/>
      <c r="M220" s="234"/>
    </row>
    <row r="221" spans="1:14" s="37" customFormat="1" ht="15.75" customHeight="1" x14ac:dyDescent="0.35">
      <c r="A221" s="98" t="s">
        <v>195</v>
      </c>
      <c r="B221" s="99"/>
      <c r="C221" s="99"/>
      <c r="D221" s="99"/>
      <c r="E221" s="99"/>
      <c r="F221" s="99"/>
      <c r="G221" s="99"/>
      <c r="H221" s="100"/>
      <c r="J221" s="36"/>
    </row>
    <row r="222" spans="1:14" s="37" customFormat="1" ht="15.75" customHeight="1" x14ac:dyDescent="0.35">
      <c r="A222" s="98" t="s">
        <v>198</v>
      </c>
      <c r="B222" s="99"/>
      <c r="C222" s="99"/>
      <c r="D222" s="99"/>
      <c r="E222" s="99"/>
      <c r="F222" s="99"/>
      <c r="G222" s="99"/>
      <c r="H222" s="100"/>
      <c r="I222" s="36"/>
      <c r="L222" s="234"/>
      <c r="M222" s="234"/>
    </row>
    <row r="223" spans="1:14" s="37" customFormat="1" ht="15.75" customHeight="1" x14ac:dyDescent="0.35">
      <c r="A223" s="139">
        <v>1</v>
      </c>
      <c r="B223" s="139"/>
      <c r="C223" s="42" t="s">
        <v>196</v>
      </c>
      <c r="D223" s="54">
        <f>(37.54+1.2*2.7+0.75*(2.1+3.2))*10.764</f>
        <v>481.74281999999999</v>
      </c>
      <c r="E223" s="42">
        <v>0</v>
      </c>
      <c r="F223" s="42">
        <f>D223*(($F$195)+1)+(IF(E223&lt;101,E223,IF(E223&lt;201,E223/2,IF(E223&lt;=301,E223/3,E223/4))))</f>
        <v>722.61423000000002</v>
      </c>
      <c r="G223" s="129" t="str">
        <f>A222</f>
        <v>1st, 3rd, 5th &amp; 7th Floor For Residential</v>
      </c>
      <c r="H223" s="130"/>
      <c r="I223" s="36"/>
      <c r="N223" s="36"/>
    </row>
    <row r="224" spans="1:14" s="37" customFormat="1" ht="15.75" customHeight="1" x14ac:dyDescent="0.35">
      <c r="A224" s="139">
        <f>A223+1</f>
        <v>2</v>
      </c>
      <c r="B224" s="139"/>
      <c r="C224" s="42" t="s">
        <v>196</v>
      </c>
      <c r="D224" s="54">
        <f t="shared" ref="D224:D226" si="8">(37.54+1.2*2.7+0.75*(2.1+3.2))*10.764</f>
        <v>481.74281999999999</v>
      </c>
      <c r="E224" s="42">
        <v>0</v>
      </c>
      <c r="F224" s="42">
        <f>D224*(($F$195)+1)+(IF(E224&lt;101,E224,IF(E224&lt;201,E224/2,IF(E224&lt;=301,E224/3,E224/4))))</f>
        <v>722.61423000000002</v>
      </c>
      <c r="G224" s="131"/>
      <c r="H224" s="132"/>
      <c r="I224" s="36"/>
      <c r="N224" s="36"/>
    </row>
    <row r="225" spans="1:14" s="37" customFormat="1" ht="15.75" customHeight="1" x14ac:dyDescent="0.35">
      <c r="A225" s="139">
        <f>A224+1</f>
        <v>3</v>
      </c>
      <c r="B225" s="139"/>
      <c r="C225" s="42" t="s">
        <v>196</v>
      </c>
      <c r="D225" s="54">
        <f t="shared" si="8"/>
        <v>481.74281999999999</v>
      </c>
      <c r="E225" s="42">
        <v>0</v>
      </c>
      <c r="F225" s="42">
        <f>D225*(($F$195)+1)+(IF(E225&lt;101,E225,IF(E225&lt;201,E225/2,IF(E225&lt;=301,E225/3,E225/4))))</f>
        <v>722.61423000000002</v>
      </c>
      <c r="G225" s="131"/>
      <c r="H225" s="132"/>
      <c r="I225" s="36"/>
      <c r="N225" s="36"/>
    </row>
    <row r="226" spans="1:14" s="37" customFormat="1" ht="15.75" customHeight="1" x14ac:dyDescent="0.35">
      <c r="A226" s="139">
        <f>A225+1</f>
        <v>4</v>
      </c>
      <c r="B226" s="139"/>
      <c r="C226" s="42" t="s">
        <v>196</v>
      </c>
      <c r="D226" s="54">
        <f t="shared" si="8"/>
        <v>481.74281999999999</v>
      </c>
      <c r="E226" s="42">
        <v>0</v>
      </c>
      <c r="F226" s="42">
        <f>D226*(($F$195)+1)+(IF(E226&lt;101,E226,IF(E226&lt;201,E226/2,IF(E226&lt;=301,E226/3,E226/4))))</f>
        <v>722.61423000000002</v>
      </c>
      <c r="G226" s="133"/>
      <c r="H226" s="134"/>
      <c r="I226" s="36"/>
      <c r="N226" s="36"/>
    </row>
    <row r="227" spans="1:14" s="37" customFormat="1" ht="15.75" customHeight="1" x14ac:dyDescent="0.35">
      <c r="A227" s="98" t="s">
        <v>197</v>
      </c>
      <c r="B227" s="99"/>
      <c r="C227" s="99"/>
      <c r="D227" s="99"/>
      <c r="E227" s="99"/>
      <c r="F227" s="99"/>
      <c r="G227" s="99"/>
      <c r="H227" s="100"/>
      <c r="I227" s="36"/>
      <c r="L227" s="234"/>
      <c r="M227" s="234"/>
    </row>
    <row r="228" spans="1:14" s="37" customFormat="1" ht="15.75" customHeight="1" x14ac:dyDescent="0.35">
      <c r="A228" s="139">
        <v>1</v>
      </c>
      <c r="B228" s="139"/>
      <c r="C228" s="42" t="s">
        <v>196</v>
      </c>
      <c r="D228" s="54">
        <f>(37.54+1.2*3.2+0.75*(2.1+2.7))*10.764</f>
        <v>484.16471999999993</v>
      </c>
      <c r="E228" s="42">
        <v>0</v>
      </c>
      <c r="F228" s="42">
        <f>D228*(($F$195)+1)+(IF(E228&lt;101,E228,IF(E228&lt;201,E228/2,IF(E228&lt;=301,E228/3,E228/4))))</f>
        <v>726.24707999999987</v>
      </c>
      <c r="G228" s="129" t="str">
        <f>A227</f>
        <v>2nd, 4th &amp; 6th Floor For Residential</v>
      </c>
      <c r="H228" s="130"/>
      <c r="I228" s="36"/>
      <c r="N228" s="36"/>
    </row>
    <row r="229" spans="1:14" s="37" customFormat="1" ht="15.75" customHeight="1" x14ac:dyDescent="0.35">
      <c r="A229" s="139">
        <f>A228+1</f>
        <v>2</v>
      </c>
      <c r="B229" s="139"/>
      <c r="C229" s="42" t="s">
        <v>196</v>
      </c>
      <c r="D229" s="54">
        <f t="shared" ref="D229:D231" si="9">(37.54+1.2*3.2+0.75*(2.1+2.7))*10.764</f>
        <v>484.16471999999993</v>
      </c>
      <c r="E229" s="42">
        <v>0</v>
      </c>
      <c r="F229" s="42">
        <f t="shared" ref="F229" si="10">D229*(($F$195)+1)+(IF(E229&lt;101,E229,IF(E229&lt;201,E229/2,IF(E229&lt;=301,E229/3,E229/4))))</f>
        <v>726.24707999999987</v>
      </c>
      <c r="G229" s="131"/>
      <c r="H229" s="132"/>
      <c r="I229" s="36"/>
      <c r="J229" s="37">
        <f>5000*F229</f>
        <v>3631235.3999999994</v>
      </c>
      <c r="N229" s="36"/>
    </row>
    <row r="230" spans="1:14" s="37" customFormat="1" ht="15.75" customHeight="1" x14ac:dyDescent="0.35">
      <c r="A230" s="139">
        <f>A229+1</f>
        <v>3</v>
      </c>
      <c r="B230" s="139"/>
      <c r="C230" s="42" t="s">
        <v>196</v>
      </c>
      <c r="D230" s="54">
        <f t="shared" si="9"/>
        <v>484.16471999999993</v>
      </c>
      <c r="E230" s="42">
        <v>0</v>
      </c>
      <c r="F230" s="42">
        <f>D230*(($F$195)+1)+(IF(E230&lt;101,E230,IF(E230&lt;201,E230/2,IF(E230&lt;=301,E230/3,E230/4))))</f>
        <v>726.24707999999987</v>
      </c>
      <c r="G230" s="131"/>
      <c r="H230" s="132"/>
      <c r="I230" s="36"/>
      <c r="N230" s="36"/>
    </row>
    <row r="231" spans="1:14" s="37" customFormat="1" ht="15.75" customHeight="1" x14ac:dyDescent="0.35">
      <c r="A231" s="139">
        <f>A230+1</f>
        <v>4</v>
      </c>
      <c r="B231" s="139"/>
      <c r="C231" s="42" t="s">
        <v>196</v>
      </c>
      <c r="D231" s="54">
        <f t="shared" si="9"/>
        <v>484.16471999999993</v>
      </c>
      <c r="E231" s="42">
        <v>0</v>
      </c>
      <c r="F231" s="42">
        <f>D231*(($F$195)+1)+(IF(E231&lt;101,E231,IF(E231&lt;201,E231/2,IF(E231&lt;=301,E231/3,E231/4))))</f>
        <v>726.24707999999987</v>
      </c>
      <c r="G231" s="133"/>
      <c r="H231" s="134"/>
      <c r="I231" s="36"/>
      <c r="N231" s="36"/>
    </row>
    <row r="232" spans="1:14" s="59" customFormat="1" ht="15.75" customHeight="1" x14ac:dyDescent="0.35">
      <c r="A232" s="113" t="s">
        <v>214</v>
      </c>
      <c r="B232" s="114"/>
      <c r="C232" s="114"/>
      <c r="D232" s="114"/>
      <c r="E232" s="114"/>
      <c r="F232" s="114"/>
      <c r="G232" s="114"/>
      <c r="H232" s="115"/>
      <c r="I232" s="58"/>
    </row>
    <row r="233" spans="1:14" s="59" customFormat="1" ht="15.75" customHeight="1" x14ac:dyDescent="0.35">
      <c r="A233" s="113" t="s">
        <v>194</v>
      </c>
      <c r="B233" s="114"/>
      <c r="C233" s="114"/>
      <c r="D233" s="114"/>
      <c r="E233" s="114"/>
      <c r="F233" s="114"/>
      <c r="G233" s="114"/>
      <c r="H233" s="115"/>
      <c r="J233" s="58"/>
    </row>
    <row r="234" spans="1:14" s="59" customFormat="1" ht="15.75" customHeight="1" x14ac:dyDescent="0.35">
      <c r="A234" s="113" t="s">
        <v>199</v>
      </c>
      <c r="B234" s="114"/>
      <c r="C234" s="114"/>
      <c r="D234" s="114"/>
      <c r="E234" s="114"/>
      <c r="F234" s="114"/>
      <c r="G234" s="114"/>
      <c r="H234" s="115"/>
      <c r="I234" s="58"/>
    </row>
    <row r="235" spans="1:14" s="59" customFormat="1" ht="15.75" customHeight="1" x14ac:dyDescent="0.35">
      <c r="A235" s="135">
        <v>1</v>
      </c>
      <c r="B235" s="136"/>
      <c r="C235" s="60" t="s">
        <v>196</v>
      </c>
      <c r="D235" s="61">
        <f>(29.59+0.75*(2.4+2.2+2.4))*10.764</f>
        <v>375.01776000000001</v>
      </c>
      <c r="E235" s="60">
        <v>0</v>
      </c>
      <c r="F235" s="60">
        <f t="shared" ref="F235:F242" si="11">D235*(($F$195)+1)+(IF(E235&lt;101,E235,IF(E235&lt;201,E235/2,IF(E235&lt;=301,E235/3,E235/4))))</f>
        <v>562.52664000000004</v>
      </c>
      <c r="G235" s="129" t="str">
        <f>A234</f>
        <v>1st to 7th Floor For Residential</v>
      </c>
      <c r="H235" s="130"/>
      <c r="I235" s="58"/>
    </row>
    <row r="236" spans="1:14" s="37" customFormat="1" ht="15.75" customHeight="1" x14ac:dyDescent="0.35">
      <c r="A236" s="137">
        <v>2</v>
      </c>
      <c r="B236" s="138"/>
      <c r="C236" s="42" t="s">
        <v>196</v>
      </c>
      <c r="D236" s="54">
        <f t="shared" ref="D236:D242" si="12">(29.59+0.75*(2.4+2.2+2.4))*10.764</f>
        <v>375.01776000000001</v>
      </c>
      <c r="E236" s="42">
        <v>0</v>
      </c>
      <c r="F236" s="42">
        <f t="shared" si="11"/>
        <v>562.52664000000004</v>
      </c>
      <c r="G236" s="131"/>
      <c r="H236" s="132"/>
      <c r="I236" s="36"/>
      <c r="J236" s="37">
        <f>4200*F238</f>
        <v>2362611.8880000003</v>
      </c>
    </row>
    <row r="237" spans="1:14" s="37" customFormat="1" ht="15.75" customHeight="1" x14ac:dyDescent="0.35">
      <c r="A237" s="137">
        <v>3</v>
      </c>
      <c r="B237" s="138"/>
      <c r="C237" s="42" t="s">
        <v>196</v>
      </c>
      <c r="D237" s="54">
        <f t="shared" si="12"/>
        <v>375.01776000000001</v>
      </c>
      <c r="E237" s="42">
        <v>0</v>
      </c>
      <c r="F237" s="42">
        <f t="shared" si="11"/>
        <v>562.52664000000004</v>
      </c>
      <c r="G237" s="131"/>
      <c r="H237" s="132"/>
      <c r="I237" s="36"/>
    </row>
    <row r="238" spans="1:14" s="37" customFormat="1" ht="15.75" customHeight="1" x14ac:dyDescent="0.35">
      <c r="A238" s="137">
        <v>4</v>
      </c>
      <c r="B238" s="138"/>
      <c r="C238" s="42" t="s">
        <v>196</v>
      </c>
      <c r="D238" s="54">
        <f t="shared" si="12"/>
        <v>375.01776000000001</v>
      </c>
      <c r="E238" s="42">
        <v>0</v>
      </c>
      <c r="F238" s="42">
        <f t="shared" si="11"/>
        <v>562.52664000000004</v>
      </c>
      <c r="G238" s="131"/>
      <c r="H238" s="132"/>
      <c r="I238" s="36"/>
    </row>
    <row r="239" spans="1:14" s="37" customFormat="1" ht="15.75" customHeight="1" x14ac:dyDescent="0.35">
      <c r="A239" s="137">
        <v>5</v>
      </c>
      <c r="B239" s="138"/>
      <c r="C239" s="42" t="s">
        <v>196</v>
      </c>
      <c r="D239" s="54">
        <f t="shared" si="12"/>
        <v>375.01776000000001</v>
      </c>
      <c r="E239" s="42">
        <v>0</v>
      </c>
      <c r="F239" s="42">
        <f t="shared" si="11"/>
        <v>562.52664000000004</v>
      </c>
      <c r="G239" s="131"/>
      <c r="H239" s="132"/>
      <c r="I239" s="36"/>
    </row>
    <row r="240" spans="1:14" s="37" customFormat="1" ht="15.75" customHeight="1" x14ac:dyDescent="0.35">
      <c r="A240" s="137">
        <v>6</v>
      </c>
      <c r="B240" s="138"/>
      <c r="C240" s="42" t="s">
        <v>196</v>
      </c>
      <c r="D240" s="54">
        <f t="shared" si="12"/>
        <v>375.01776000000001</v>
      </c>
      <c r="E240" s="42">
        <v>0</v>
      </c>
      <c r="F240" s="42">
        <f t="shared" si="11"/>
        <v>562.52664000000004</v>
      </c>
      <c r="G240" s="131"/>
      <c r="H240" s="132"/>
      <c r="I240" s="36"/>
    </row>
    <row r="241" spans="1:10" s="37" customFormat="1" ht="15.75" customHeight="1" x14ac:dyDescent="0.35">
      <c r="A241" s="137">
        <v>7</v>
      </c>
      <c r="B241" s="138"/>
      <c r="C241" s="42" t="s">
        <v>196</v>
      </c>
      <c r="D241" s="54">
        <f t="shared" si="12"/>
        <v>375.01776000000001</v>
      </c>
      <c r="E241" s="42">
        <v>0</v>
      </c>
      <c r="F241" s="42">
        <f t="shared" si="11"/>
        <v>562.52664000000004</v>
      </c>
      <c r="G241" s="131"/>
      <c r="H241" s="132"/>
      <c r="I241" s="36"/>
    </row>
    <row r="242" spans="1:10" s="37" customFormat="1" ht="15.75" customHeight="1" x14ac:dyDescent="0.35">
      <c r="A242" s="137">
        <v>8</v>
      </c>
      <c r="B242" s="138"/>
      <c r="C242" s="42" t="s">
        <v>196</v>
      </c>
      <c r="D242" s="54">
        <f t="shared" si="12"/>
        <v>375.01776000000001</v>
      </c>
      <c r="E242" s="42">
        <v>0</v>
      </c>
      <c r="F242" s="42">
        <f t="shared" si="11"/>
        <v>562.52664000000004</v>
      </c>
      <c r="G242" s="133"/>
      <c r="H242" s="134"/>
      <c r="I242" s="36"/>
    </row>
    <row r="243" spans="1:10" s="37" customFormat="1" ht="15.75" customHeight="1" x14ac:dyDescent="0.35">
      <c r="A243" s="98" t="s">
        <v>215</v>
      </c>
      <c r="B243" s="99"/>
      <c r="C243" s="99"/>
      <c r="D243" s="99"/>
      <c r="E243" s="99"/>
      <c r="F243" s="99"/>
      <c r="G243" s="99"/>
      <c r="H243" s="100"/>
      <c r="I243" s="36"/>
    </row>
    <row r="244" spans="1:10" s="37" customFormat="1" ht="15.75" customHeight="1" x14ac:dyDescent="0.35">
      <c r="A244" s="98" t="s">
        <v>194</v>
      </c>
      <c r="B244" s="99"/>
      <c r="C244" s="99"/>
      <c r="D244" s="99"/>
      <c r="E244" s="99"/>
      <c r="F244" s="99"/>
      <c r="G244" s="99"/>
      <c r="H244" s="100"/>
      <c r="J244" s="36"/>
    </row>
    <row r="245" spans="1:10" s="37" customFormat="1" ht="15.75" customHeight="1" x14ac:dyDescent="0.35">
      <c r="A245" s="98" t="s">
        <v>199</v>
      </c>
      <c r="B245" s="99"/>
      <c r="C245" s="99"/>
      <c r="D245" s="99"/>
      <c r="E245" s="99"/>
      <c r="F245" s="99"/>
      <c r="G245" s="99"/>
      <c r="H245" s="100"/>
      <c r="I245" s="36"/>
    </row>
    <row r="246" spans="1:10" s="37" customFormat="1" ht="15.75" customHeight="1" x14ac:dyDescent="0.35">
      <c r="A246" s="137">
        <v>1</v>
      </c>
      <c r="B246" s="138"/>
      <c r="C246" s="42" t="s">
        <v>196</v>
      </c>
      <c r="D246" s="54">
        <f>(29.59+0.75*(2.4+2.2+2.4))*10.764</f>
        <v>375.01776000000001</v>
      </c>
      <c r="E246" s="42">
        <v>0</v>
      </c>
      <c r="F246" s="42">
        <f>D246*(($F$195)+1)+(IF(E246&lt;101,E246,IF(E246&lt;201,E246/2,IF(E246&lt;=301,E246/3,E246/4))))</f>
        <v>562.52664000000004</v>
      </c>
      <c r="G246" s="129" t="str">
        <f>A245</f>
        <v>1st to 7th Floor For Residential</v>
      </c>
      <c r="H246" s="235"/>
      <c r="I246" s="36"/>
    </row>
    <row r="247" spans="1:10" s="37" customFormat="1" ht="15.75" customHeight="1" x14ac:dyDescent="0.35">
      <c r="A247" s="137">
        <v>2</v>
      </c>
      <c r="B247" s="138"/>
      <c r="C247" s="42" t="s">
        <v>196</v>
      </c>
      <c r="D247" s="54">
        <f t="shared" ref="D247:D249" si="13">(29.59+0.75*(2.4+2.2+2.4))*10.764</f>
        <v>375.01776000000001</v>
      </c>
      <c r="E247" s="42">
        <v>0</v>
      </c>
      <c r="F247" s="42">
        <f>D247*(($F$195)+1)+(IF(E247&lt;101,E247,IF(E247&lt;201,E247/2,IF(E247&lt;=301,E247/3,E247/4))))</f>
        <v>562.52664000000004</v>
      </c>
      <c r="G247" s="131"/>
      <c r="H247" s="132"/>
      <c r="I247" s="36"/>
    </row>
    <row r="248" spans="1:10" s="37" customFormat="1" ht="15.75" customHeight="1" x14ac:dyDescent="0.35">
      <c r="A248" s="137">
        <v>3</v>
      </c>
      <c r="B248" s="138"/>
      <c r="C248" s="42" t="s">
        <v>196</v>
      </c>
      <c r="D248" s="54">
        <f t="shared" si="13"/>
        <v>375.01776000000001</v>
      </c>
      <c r="E248" s="42">
        <v>0</v>
      </c>
      <c r="F248" s="42">
        <f>D248*(($F$195)+1)+(IF(E248&lt;101,E248,IF(E248&lt;201,E248/2,IF(E248&lt;=301,E248/3,E248/4))))</f>
        <v>562.52664000000004</v>
      </c>
      <c r="G248" s="131"/>
      <c r="H248" s="132"/>
      <c r="I248" s="36"/>
    </row>
    <row r="249" spans="1:10" s="37" customFormat="1" ht="15.75" customHeight="1" x14ac:dyDescent="0.35">
      <c r="A249" s="137">
        <v>4</v>
      </c>
      <c r="B249" s="138"/>
      <c r="C249" s="42" t="s">
        <v>196</v>
      </c>
      <c r="D249" s="54">
        <f t="shared" si="13"/>
        <v>375.01776000000001</v>
      </c>
      <c r="E249" s="42">
        <v>0</v>
      </c>
      <c r="F249" s="42">
        <f>D249*(($F$195)+1)+(IF(E249&lt;101,E249,IF(E249&lt;201,E249/2,IF(E249&lt;=301,E249/3,E249/4))))</f>
        <v>562.52664000000004</v>
      </c>
      <c r="G249" s="131"/>
      <c r="H249" s="132"/>
      <c r="I249" s="36"/>
    </row>
    <row r="250" spans="1:10" s="37" customFormat="1" ht="15.75" customHeight="1" x14ac:dyDescent="0.35">
      <c r="A250" s="116" t="s">
        <v>216</v>
      </c>
      <c r="B250" s="116"/>
      <c r="C250" s="116"/>
      <c r="D250" s="116"/>
      <c r="E250" s="116"/>
      <c r="F250" s="116"/>
      <c r="G250" s="116"/>
      <c r="H250" s="116"/>
      <c r="I250" s="36"/>
    </row>
    <row r="251" spans="1:10" s="37" customFormat="1" ht="15.75" customHeight="1" x14ac:dyDescent="0.35">
      <c r="A251" s="116" t="s">
        <v>194</v>
      </c>
      <c r="B251" s="116"/>
      <c r="C251" s="116"/>
      <c r="D251" s="116"/>
      <c r="E251" s="116"/>
      <c r="F251" s="116"/>
      <c r="G251" s="116"/>
      <c r="H251" s="116"/>
      <c r="J251" s="36"/>
    </row>
    <row r="252" spans="1:10" s="37" customFormat="1" ht="15.75" customHeight="1" x14ac:dyDescent="0.35">
      <c r="A252" s="116" t="s">
        <v>199</v>
      </c>
      <c r="B252" s="116"/>
      <c r="C252" s="116"/>
      <c r="D252" s="116"/>
      <c r="E252" s="116"/>
      <c r="F252" s="116"/>
      <c r="G252" s="116"/>
      <c r="H252" s="116"/>
      <c r="I252" s="36"/>
    </row>
    <row r="253" spans="1:10" s="37" customFormat="1" ht="15.75" customHeight="1" x14ac:dyDescent="0.35">
      <c r="A253" s="139">
        <v>1</v>
      </c>
      <c r="B253" s="139"/>
      <c r="C253" s="64" t="s">
        <v>196</v>
      </c>
      <c r="D253" s="54">
        <f>(29.59+0.75*(2.4+2.2+2.4))*10.764</f>
        <v>375.01776000000001</v>
      </c>
      <c r="E253" s="64">
        <v>0</v>
      </c>
      <c r="F253" s="64">
        <f>D253*(($F$195)+1)+(IF(E253&lt;101,E253,IF(E253&lt;201,E253/2,IF(E253&lt;=301,E253/3,E253/4))))</f>
        <v>562.52664000000004</v>
      </c>
      <c r="G253" s="139" t="str">
        <f>A252</f>
        <v>1st to 7th Floor For Residential</v>
      </c>
      <c r="H253" s="139"/>
      <c r="I253" s="36"/>
    </row>
    <row r="254" spans="1:10" s="37" customFormat="1" ht="15.75" customHeight="1" x14ac:dyDescent="0.35">
      <c r="A254" s="139">
        <v>2</v>
      </c>
      <c r="B254" s="139"/>
      <c r="C254" s="64" t="s">
        <v>196</v>
      </c>
      <c r="D254" s="54">
        <f t="shared" ref="D254:D256" si="14">(29.59+0.75*(2.4+2.2+2.4))*10.764</f>
        <v>375.01776000000001</v>
      </c>
      <c r="E254" s="64">
        <v>0</v>
      </c>
      <c r="F254" s="64">
        <f>D254*(($F$195)+1)+(IF(E254&lt;101,E254,IF(E254&lt;201,E254/2,IF(E254&lt;=301,E254/3,E254/4))))</f>
        <v>562.52664000000004</v>
      </c>
      <c r="G254" s="139"/>
      <c r="H254" s="139"/>
      <c r="I254" s="36"/>
    </row>
    <row r="255" spans="1:10" s="37" customFormat="1" ht="15.75" customHeight="1" x14ac:dyDescent="0.35">
      <c r="A255" s="139">
        <v>3</v>
      </c>
      <c r="B255" s="139"/>
      <c r="C255" s="64" t="s">
        <v>196</v>
      </c>
      <c r="D255" s="54">
        <f t="shared" si="14"/>
        <v>375.01776000000001</v>
      </c>
      <c r="E255" s="64">
        <v>0</v>
      </c>
      <c r="F255" s="64">
        <f>D255*(($F$195)+1)+(IF(E255&lt;101,E255,IF(E255&lt;201,E255/2,IF(E255&lt;=301,E255/3,E255/4))))</f>
        <v>562.52664000000004</v>
      </c>
      <c r="G255" s="139"/>
      <c r="H255" s="139"/>
      <c r="I255" s="36"/>
    </row>
    <row r="256" spans="1:10" s="37" customFormat="1" ht="15.75" customHeight="1" x14ac:dyDescent="0.35">
      <c r="A256" s="139">
        <v>4</v>
      </c>
      <c r="B256" s="139"/>
      <c r="C256" s="64" t="s">
        <v>196</v>
      </c>
      <c r="D256" s="54">
        <f t="shared" si="14"/>
        <v>375.01776000000001</v>
      </c>
      <c r="E256" s="64">
        <v>0</v>
      </c>
      <c r="F256" s="64">
        <f>D256*(($F$195)+1)+(IF(E256&lt;101,E256,IF(E256&lt;201,E256/2,IF(E256&lt;=301,E256/3,E256/4))))</f>
        <v>562.52664000000004</v>
      </c>
      <c r="G256" s="139"/>
      <c r="H256" s="139"/>
      <c r="I256" s="36"/>
    </row>
    <row r="257" spans="1:10" s="37" customFormat="1" ht="15.75" customHeight="1" x14ac:dyDescent="0.35">
      <c r="A257" s="98" t="s">
        <v>210</v>
      </c>
      <c r="B257" s="99"/>
      <c r="C257" s="99"/>
      <c r="D257" s="99"/>
      <c r="E257" s="99"/>
      <c r="F257" s="99"/>
      <c r="G257" s="99"/>
      <c r="H257" s="100"/>
      <c r="I257" s="36"/>
    </row>
    <row r="258" spans="1:10" s="37" customFormat="1" ht="15.75" customHeight="1" x14ac:dyDescent="0.35">
      <c r="A258" s="98" t="s">
        <v>194</v>
      </c>
      <c r="B258" s="99"/>
      <c r="C258" s="99"/>
      <c r="D258" s="99"/>
      <c r="E258" s="99"/>
      <c r="F258" s="99"/>
      <c r="G258" s="99"/>
      <c r="H258" s="100"/>
      <c r="J258" s="36"/>
    </row>
    <row r="259" spans="1:10" s="37" customFormat="1" ht="15.75" customHeight="1" x14ac:dyDescent="0.35">
      <c r="A259" s="98" t="s">
        <v>200</v>
      </c>
      <c r="B259" s="99"/>
      <c r="C259" s="99"/>
      <c r="D259" s="99"/>
      <c r="E259" s="99"/>
      <c r="F259" s="99"/>
      <c r="G259" s="99"/>
      <c r="H259" s="100"/>
      <c r="I259" s="36"/>
      <c r="J259" s="37">
        <f>5000*F261</f>
        <v>2812633.2</v>
      </c>
    </row>
    <row r="260" spans="1:10" s="37" customFormat="1" ht="15.75" customHeight="1" x14ac:dyDescent="0.35">
      <c r="A260" s="137">
        <v>1</v>
      </c>
      <c r="B260" s="138"/>
      <c r="C260" s="42" t="s">
        <v>196</v>
      </c>
      <c r="D260" s="54">
        <f>(29.59+0.75*(2.4+2.2+2.4))*10.764</f>
        <v>375.01776000000001</v>
      </c>
      <c r="E260" s="42">
        <v>0</v>
      </c>
      <c r="F260" s="42">
        <f>D260*(($F$195)+1)+(IF(E260&lt;101,E260,IF(E260&lt;201,E260/2,IF(E260&lt;=301,E260/3,E260/4))))</f>
        <v>562.52664000000004</v>
      </c>
      <c r="G260" s="129" t="str">
        <f>A259</f>
        <v>1st to 6th Floor For Residential</v>
      </c>
      <c r="H260" s="130"/>
      <c r="I260" s="36"/>
    </row>
    <row r="261" spans="1:10" s="37" customFormat="1" ht="15.75" customHeight="1" x14ac:dyDescent="0.35">
      <c r="A261" s="137">
        <v>2</v>
      </c>
      <c r="B261" s="138"/>
      <c r="C261" s="42" t="s">
        <v>196</v>
      </c>
      <c r="D261" s="54">
        <f t="shared" ref="D261:D263" si="15">(29.59+0.75*(2.4+2.2+2.4))*10.764</f>
        <v>375.01776000000001</v>
      </c>
      <c r="E261" s="42">
        <v>0</v>
      </c>
      <c r="F261" s="42">
        <f>D261*(($F$195)+1)+(IF(E261&lt;101,E261,IF(E261&lt;201,E261/2,IF(E261&lt;=301,E261/3,E261/4))))</f>
        <v>562.52664000000004</v>
      </c>
      <c r="G261" s="131"/>
      <c r="H261" s="132"/>
      <c r="I261" s="36"/>
    </row>
    <row r="262" spans="1:10" s="37" customFormat="1" ht="15.75" customHeight="1" x14ac:dyDescent="0.35">
      <c r="A262" s="137">
        <v>3</v>
      </c>
      <c r="B262" s="138"/>
      <c r="C262" s="42" t="s">
        <v>196</v>
      </c>
      <c r="D262" s="54">
        <f t="shared" si="15"/>
        <v>375.01776000000001</v>
      </c>
      <c r="E262" s="42">
        <v>0</v>
      </c>
      <c r="F262" s="42">
        <f>D262*(($F$195)+1)+(IF(E262&lt;101,E262,IF(E262&lt;201,E262/2,IF(E262&lt;=301,E262/3,E262/4))))</f>
        <v>562.52664000000004</v>
      </c>
      <c r="G262" s="131"/>
      <c r="H262" s="132"/>
      <c r="I262" s="36"/>
    </row>
    <row r="263" spans="1:10" s="37" customFormat="1" ht="15.75" customHeight="1" x14ac:dyDescent="0.35">
      <c r="A263" s="137">
        <v>4</v>
      </c>
      <c r="B263" s="138"/>
      <c r="C263" s="42" t="s">
        <v>196</v>
      </c>
      <c r="D263" s="54">
        <f t="shared" si="15"/>
        <v>375.01776000000001</v>
      </c>
      <c r="E263" s="42">
        <v>0</v>
      </c>
      <c r="F263" s="42">
        <f>D263*(($F$195)+1)+(IF(E263&lt;101,E263,IF(E263&lt;201,E263/2,IF(E263&lt;=301,E263/3,E263/4))))</f>
        <v>562.52664000000004</v>
      </c>
      <c r="G263" s="131"/>
      <c r="H263" s="132"/>
      <c r="I263" s="36"/>
    </row>
    <row r="264" spans="1:10" s="35" customFormat="1" x14ac:dyDescent="0.35">
      <c r="A264" s="191" t="s">
        <v>72</v>
      </c>
      <c r="B264" s="192"/>
      <c r="C264" s="192"/>
      <c r="D264" s="192"/>
      <c r="E264" s="192"/>
      <c r="F264" s="192"/>
      <c r="G264" s="192"/>
      <c r="H264" s="193"/>
    </row>
    <row r="265" spans="1:10" s="35" customFormat="1" x14ac:dyDescent="0.35">
      <c r="A265" s="47" t="s">
        <v>157</v>
      </c>
      <c r="B265" s="194" t="s">
        <v>235</v>
      </c>
      <c r="C265" s="195"/>
      <c r="D265" s="195"/>
      <c r="E265" s="195"/>
      <c r="F265" s="195"/>
      <c r="G265" s="195"/>
      <c r="H265" s="196"/>
    </row>
    <row r="266" spans="1:10" s="35" customFormat="1" ht="15.75" customHeight="1" x14ac:dyDescent="0.35">
      <c r="A266" s="47" t="s">
        <v>157</v>
      </c>
      <c r="B266" s="194" t="str">
        <f>(IF(F194="Saleable area Loading :","We have considered Saleable area of Flats as per our Calculation.","We considered Saleable area of Flat as per Builder area Sheet."))</f>
        <v>We have considered Saleable area of Flats as per our Calculation.</v>
      </c>
      <c r="C266" s="195"/>
      <c r="D266" s="195"/>
      <c r="E266" s="195"/>
      <c r="F266" s="195"/>
      <c r="G266" s="195"/>
      <c r="H266" s="196"/>
    </row>
    <row r="267" spans="1:10" s="35" customFormat="1" ht="15.75" hidden="1" customHeight="1" x14ac:dyDescent="0.35">
      <c r="A267" s="47" t="s">
        <v>157</v>
      </c>
      <c r="B267" s="194" t="e">
        <f>(IF(#REF!="Saleable area Loading :","We have considered Saleable area of Commercial as per our Calculation.","We considered Saleable area of Commercial as per Builder area Sheet."))</f>
        <v>#REF!</v>
      </c>
      <c r="C267" s="195"/>
      <c r="D267" s="195"/>
      <c r="E267" s="195"/>
      <c r="F267" s="195"/>
      <c r="G267" s="195"/>
      <c r="H267" s="196"/>
    </row>
    <row r="268" spans="1:10" s="35" customFormat="1" ht="15.75" customHeight="1" x14ac:dyDescent="0.35">
      <c r="A268" s="47" t="s">
        <v>157</v>
      </c>
      <c r="B268" s="104" t="s">
        <v>127</v>
      </c>
      <c r="C268" s="105"/>
      <c r="D268" s="105"/>
      <c r="E268" s="105"/>
      <c r="F268" s="105"/>
      <c r="G268" s="105"/>
      <c r="H268" s="106"/>
    </row>
    <row r="269" spans="1:10" s="35" customFormat="1" ht="15.75" customHeight="1" x14ac:dyDescent="0.35">
      <c r="A269" s="47" t="s">
        <v>157</v>
      </c>
      <c r="B269" s="104" t="s">
        <v>201</v>
      </c>
      <c r="C269" s="105"/>
      <c r="D269" s="105"/>
      <c r="E269" s="105"/>
      <c r="F269" s="105"/>
      <c r="G269" s="105"/>
      <c r="H269" s="106"/>
    </row>
    <row r="270" spans="1:10" s="35" customFormat="1" ht="15.75" customHeight="1" x14ac:dyDescent="0.35">
      <c r="A270" s="47" t="s">
        <v>157</v>
      </c>
      <c r="B270" s="104" t="s">
        <v>156</v>
      </c>
      <c r="C270" s="105"/>
      <c r="D270" s="105"/>
      <c r="E270" s="105"/>
      <c r="F270" s="105"/>
      <c r="G270" s="105"/>
      <c r="H270" s="106"/>
    </row>
    <row r="271" spans="1:10" s="35" customFormat="1" ht="15.75" customHeight="1" x14ac:dyDescent="0.35">
      <c r="A271" s="47" t="s">
        <v>157</v>
      </c>
      <c r="B271" s="104" t="s">
        <v>128</v>
      </c>
      <c r="C271" s="105"/>
      <c r="D271" s="105"/>
      <c r="E271" s="105"/>
      <c r="F271" s="105"/>
      <c r="G271" s="105"/>
      <c r="H271" s="106"/>
    </row>
    <row r="272" spans="1:10" s="35" customFormat="1" ht="34.5" customHeight="1" x14ac:dyDescent="0.35">
      <c r="A272" s="47" t="s">
        <v>157</v>
      </c>
      <c r="B272" s="104" t="s">
        <v>158</v>
      </c>
      <c r="C272" s="105"/>
      <c r="D272" s="105"/>
      <c r="E272" s="105"/>
      <c r="F272" s="105"/>
      <c r="G272" s="105"/>
      <c r="H272" s="106"/>
    </row>
    <row r="273" spans="1:8" s="35" customFormat="1" ht="15.75" customHeight="1" x14ac:dyDescent="0.35">
      <c r="A273" s="47" t="s">
        <v>157</v>
      </c>
      <c r="B273" s="104" t="s">
        <v>129</v>
      </c>
      <c r="C273" s="105"/>
      <c r="D273" s="105"/>
      <c r="E273" s="105"/>
      <c r="F273" s="105"/>
      <c r="G273" s="105"/>
      <c r="H273" s="106"/>
    </row>
    <row r="274" spans="1:8" s="35" customFormat="1" ht="15.75" customHeight="1" x14ac:dyDescent="0.35">
      <c r="A274" s="70" t="s">
        <v>157</v>
      </c>
      <c r="B274" s="104" t="s">
        <v>238</v>
      </c>
      <c r="C274" s="105"/>
      <c r="D274" s="105"/>
      <c r="E274" s="105"/>
      <c r="F274" s="105"/>
      <c r="G274" s="105"/>
      <c r="H274" s="106"/>
    </row>
    <row r="275" spans="1:8" x14ac:dyDescent="0.35">
      <c r="A275" s="222" t="s">
        <v>65</v>
      </c>
      <c r="B275" s="223"/>
      <c r="C275" s="223"/>
      <c r="D275" s="223"/>
      <c r="E275" s="223"/>
      <c r="F275" s="223"/>
      <c r="G275" s="223"/>
      <c r="H275" s="224"/>
    </row>
    <row r="276" spans="1:8" x14ac:dyDescent="0.35">
      <c r="A276" s="101" t="s">
        <v>66</v>
      </c>
      <c r="B276" s="102"/>
      <c r="C276" s="102"/>
      <c r="D276" s="102"/>
      <c r="E276" s="102"/>
      <c r="F276" s="102"/>
      <c r="G276" s="102"/>
      <c r="H276" s="103"/>
    </row>
    <row r="277" spans="1:8" ht="15.75" customHeight="1" x14ac:dyDescent="0.35">
      <c r="A277" s="211" t="s">
        <v>67</v>
      </c>
      <c r="B277" s="212"/>
      <c r="C277" s="212"/>
      <c r="D277" s="212"/>
      <c r="E277" s="212"/>
      <c r="F277" s="212"/>
      <c r="G277" s="212"/>
      <c r="H277" s="213"/>
    </row>
    <row r="278" spans="1:8" x14ac:dyDescent="0.35">
      <c r="A278" s="101" t="s">
        <v>68</v>
      </c>
      <c r="B278" s="102"/>
      <c r="C278" s="102"/>
      <c r="D278" s="102"/>
      <c r="E278" s="102"/>
      <c r="F278" s="102"/>
      <c r="G278" s="102"/>
      <c r="H278" s="103"/>
    </row>
    <row r="279" spans="1:8" x14ac:dyDescent="0.35">
      <c r="A279" s="101" t="s">
        <v>69</v>
      </c>
      <c r="B279" s="102"/>
      <c r="C279" s="102"/>
      <c r="D279" s="102"/>
      <c r="E279" s="102"/>
      <c r="F279" s="102"/>
      <c r="G279" s="102"/>
      <c r="H279" s="103"/>
    </row>
    <row r="280" spans="1:8" x14ac:dyDescent="0.35">
      <c r="A280" s="101" t="s">
        <v>130</v>
      </c>
      <c r="B280" s="102"/>
      <c r="C280" s="102"/>
      <c r="D280" s="102"/>
      <c r="E280" s="102"/>
      <c r="F280" s="102"/>
      <c r="G280" s="102"/>
      <c r="H280" s="103"/>
    </row>
    <row r="281" spans="1:8" ht="32.25" customHeight="1" x14ac:dyDescent="0.35">
      <c r="A281" s="107" t="s">
        <v>131</v>
      </c>
      <c r="B281" s="190"/>
      <c r="C281" s="190"/>
      <c r="D281" s="190"/>
      <c r="E281" s="190"/>
      <c r="F281" s="190"/>
      <c r="G281" s="190"/>
      <c r="H281" s="108"/>
    </row>
    <row r="282" spans="1:8" x14ac:dyDescent="0.35">
      <c r="A282" s="181" t="s">
        <v>81</v>
      </c>
      <c r="B282" s="181"/>
      <c r="C282" s="182" t="s">
        <v>231</v>
      </c>
      <c r="D282" s="183"/>
      <c r="E282" s="181" t="s">
        <v>111</v>
      </c>
      <c r="F282" s="181"/>
      <c r="G282" s="181" t="s">
        <v>236</v>
      </c>
      <c r="H282" s="181"/>
    </row>
    <row r="283" spans="1:8" ht="15.75" customHeight="1" x14ac:dyDescent="0.35">
      <c r="A283" s="172" t="s">
        <v>83</v>
      </c>
      <c r="B283" s="173"/>
      <c r="C283" s="173"/>
      <c r="D283" s="173"/>
      <c r="E283" s="173"/>
      <c r="F283" s="173"/>
      <c r="G283" s="173"/>
      <c r="H283" s="174"/>
    </row>
    <row r="284" spans="1:8" x14ac:dyDescent="0.35">
      <c r="A284" s="175"/>
      <c r="B284" s="176"/>
      <c r="C284" s="176"/>
      <c r="D284" s="176"/>
      <c r="E284" s="176"/>
      <c r="F284" s="176"/>
      <c r="G284" s="176"/>
      <c r="H284" s="177"/>
    </row>
    <row r="285" spans="1:8" x14ac:dyDescent="0.35">
      <c r="A285" s="175"/>
      <c r="B285" s="176"/>
      <c r="C285" s="176"/>
      <c r="D285" s="176"/>
      <c r="E285" s="176"/>
      <c r="F285" s="176"/>
      <c r="G285" s="176"/>
      <c r="H285" s="177"/>
    </row>
    <row r="286" spans="1:8" x14ac:dyDescent="0.35">
      <c r="A286" s="178"/>
      <c r="B286" s="179"/>
      <c r="C286" s="179"/>
      <c r="D286" s="179"/>
      <c r="E286" s="179"/>
      <c r="F286" s="179"/>
      <c r="G286" s="179"/>
      <c r="H286" s="180"/>
    </row>
    <row r="287" spans="1:8" x14ac:dyDescent="0.35">
      <c r="A287" s="38" t="s">
        <v>70</v>
      </c>
      <c r="B287" s="39"/>
      <c r="C287" s="39"/>
      <c r="D287" s="38" t="str">
        <f>E8</f>
        <v>Park One Phase I</v>
      </c>
      <c r="F287" s="39"/>
      <c r="G287" s="39"/>
      <c r="H287" s="39"/>
    </row>
    <row r="288" spans="1:8" x14ac:dyDescent="0.35">
      <c r="A288" s="39"/>
      <c r="B288" s="39"/>
      <c r="C288" s="39"/>
      <c r="D288" s="39"/>
      <c r="E288" s="39"/>
      <c r="F288" s="39"/>
      <c r="G288" s="39"/>
      <c r="H288" s="39"/>
    </row>
    <row r="289" spans="1:8" x14ac:dyDescent="0.35">
      <c r="A289" s="39"/>
      <c r="B289" s="39"/>
      <c r="C289" s="39"/>
      <c r="D289" s="39"/>
      <c r="E289" s="39"/>
      <c r="F289" s="39"/>
      <c r="G289" s="39"/>
      <c r="H289" s="39"/>
    </row>
    <row r="290" spans="1:8" ht="15" customHeight="1" x14ac:dyDescent="0.35"/>
    <row r="312" ht="22.5" customHeight="1" x14ac:dyDescent="0.35"/>
    <row r="319" ht="19.5" customHeight="1" x14ac:dyDescent="0.35"/>
    <row r="320" ht="19.5" customHeight="1" x14ac:dyDescent="0.35"/>
    <row r="323" spans="1:8" ht="26.25" customHeight="1" x14ac:dyDescent="0.35"/>
    <row r="325" spans="1:8" ht="21.75" customHeight="1" x14ac:dyDescent="0.35"/>
    <row r="326" spans="1:8" ht="21" customHeight="1" x14ac:dyDescent="0.35"/>
    <row r="328" spans="1:8" x14ac:dyDescent="0.35">
      <c r="A328" s="21"/>
      <c r="B328" s="21"/>
      <c r="C328" s="21"/>
      <c r="D328" s="21"/>
      <c r="F328" s="39"/>
      <c r="G328" s="39"/>
      <c r="H328" s="39"/>
    </row>
    <row r="329" spans="1:8" x14ac:dyDescent="0.35">
      <c r="A329" s="39"/>
      <c r="B329" s="39"/>
      <c r="C329" s="39"/>
      <c r="D329" s="39"/>
      <c r="E329" s="39"/>
      <c r="F329" s="39"/>
      <c r="G329" s="39"/>
      <c r="H329" s="39"/>
    </row>
    <row r="330" spans="1:8" x14ac:dyDescent="0.35">
      <c r="A330" s="41" t="s">
        <v>171</v>
      </c>
    </row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spans="1:1" hidden="1" x14ac:dyDescent="0.35"/>
    <row r="370" spans="1:1" hidden="1" x14ac:dyDescent="0.35"/>
    <row r="371" spans="1:1" x14ac:dyDescent="0.35">
      <c r="A371" s="41" t="s">
        <v>71</v>
      </c>
    </row>
  </sheetData>
  <mergeCells count="458">
    <mergeCell ref="B274:H274"/>
    <mergeCell ref="E158:F167"/>
    <mergeCell ref="G158:H167"/>
    <mergeCell ref="A159:B159"/>
    <mergeCell ref="A161:B161"/>
    <mergeCell ref="A162:B162"/>
    <mergeCell ref="A163:B163"/>
    <mergeCell ref="A164:B164"/>
    <mergeCell ref="A165:B165"/>
    <mergeCell ref="A166:B166"/>
    <mergeCell ref="A167:B167"/>
    <mergeCell ref="A250:H250"/>
    <mergeCell ref="A252:H252"/>
    <mergeCell ref="A253:B253"/>
    <mergeCell ref="G253:H256"/>
    <mergeCell ref="A254:B254"/>
    <mergeCell ref="A255:B255"/>
    <mergeCell ref="A256:B256"/>
    <mergeCell ref="A188:B188"/>
    <mergeCell ref="C188:D188"/>
    <mergeCell ref="E188:F188"/>
    <mergeCell ref="G188:H188"/>
    <mergeCell ref="A189:B189"/>
    <mergeCell ref="C189:D189"/>
    <mergeCell ref="E189:F189"/>
    <mergeCell ref="G189:H189"/>
    <mergeCell ref="A190:B190"/>
    <mergeCell ref="C190:D190"/>
    <mergeCell ref="E190:F190"/>
    <mergeCell ref="G190:H190"/>
    <mergeCell ref="A209:H209"/>
    <mergeCell ref="A243:H243"/>
    <mergeCell ref="A245:H245"/>
    <mergeCell ref="A246:B246"/>
    <mergeCell ref="A206:B206"/>
    <mergeCell ref="A257:H257"/>
    <mergeCell ref="A259:H259"/>
    <mergeCell ref="A260:B260"/>
    <mergeCell ref="G260:H263"/>
    <mergeCell ref="A261:B261"/>
    <mergeCell ref="A262:B262"/>
    <mergeCell ref="A263:B263"/>
    <mergeCell ref="A215:H215"/>
    <mergeCell ref="A187:B187"/>
    <mergeCell ref="C187:D187"/>
    <mergeCell ref="E187:F187"/>
    <mergeCell ref="G187:H187"/>
    <mergeCell ref="A208:H208"/>
    <mergeCell ref="A210:H210"/>
    <mergeCell ref="G211:H214"/>
    <mergeCell ref="A214:B214"/>
    <mergeCell ref="A216:B216"/>
    <mergeCell ref="G216:H219"/>
    <mergeCell ref="A217:B217"/>
    <mergeCell ref="A218:B218"/>
    <mergeCell ref="A219:B219"/>
    <mergeCell ref="A220:H220"/>
    <mergeCell ref="A222:H222"/>
    <mergeCell ref="A223:B223"/>
    <mergeCell ref="A207:B207"/>
    <mergeCell ref="G246:H249"/>
    <mergeCell ref="A247:B247"/>
    <mergeCell ref="A248:B248"/>
    <mergeCell ref="A249:B249"/>
    <mergeCell ref="A239:B239"/>
    <mergeCell ref="A240:B240"/>
    <mergeCell ref="A241:B241"/>
    <mergeCell ref="A242:B242"/>
    <mergeCell ref="G235:H242"/>
    <mergeCell ref="L208:M208"/>
    <mergeCell ref="L210:M210"/>
    <mergeCell ref="A211:B211"/>
    <mergeCell ref="A212:B212"/>
    <mergeCell ref="L196:M196"/>
    <mergeCell ref="A232:H232"/>
    <mergeCell ref="L215:M215"/>
    <mergeCell ref="L220:M220"/>
    <mergeCell ref="L222:M222"/>
    <mergeCell ref="G223:H226"/>
    <mergeCell ref="A224:B224"/>
    <mergeCell ref="A225:B225"/>
    <mergeCell ref="A226:B226"/>
    <mergeCell ref="A227:H227"/>
    <mergeCell ref="L227:M227"/>
    <mergeCell ref="A228:B228"/>
    <mergeCell ref="G228:H231"/>
    <mergeCell ref="A229:B229"/>
    <mergeCell ref="A230:B230"/>
    <mergeCell ref="A231:B231"/>
    <mergeCell ref="A213:B213"/>
    <mergeCell ref="A203:H203"/>
    <mergeCell ref="L203:M203"/>
    <mergeCell ref="A204:B204"/>
    <mergeCell ref="A84:B84"/>
    <mergeCell ref="C84:H84"/>
    <mergeCell ref="A108:B108"/>
    <mergeCell ref="A79:B79"/>
    <mergeCell ref="F169:H169"/>
    <mergeCell ref="A111:B111"/>
    <mergeCell ref="A48:B48"/>
    <mergeCell ref="C48:E48"/>
    <mergeCell ref="D59:H59"/>
    <mergeCell ref="C51:H51"/>
    <mergeCell ref="D61:H61"/>
    <mergeCell ref="D62:H62"/>
    <mergeCell ref="D58:H58"/>
    <mergeCell ref="A50:B51"/>
    <mergeCell ref="A65:C65"/>
    <mergeCell ref="D65:H65"/>
    <mergeCell ref="A66:C66"/>
    <mergeCell ref="D66:H66"/>
    <mergeCell ref="A69:C69"/>
    <mergeCell ref="D69:H69"/>
    <mergeCell ref="G102:H111"/>
    <mergeCell ref="A86:B86"/>
    <mergeCell ref="A64:C64"/>
    <mergeCell ref="E74:F83"/>
    <mergeCell ref="A280:H280"/>
    <mergeCell ref="A277:H277"/>
    <mergeCell ref="A199:B199"/>
    <mergeCell ref="A183:B183"/>
    <mergeCell ref="D194:D195"/>
    <mergeCell ref="E194:E195"/>
    <mergeCell ref="G194:H195"/>
    <mergeCell ref="A92:B92"/>
    <mergeCell ref="A93:B93"/>
    <mergeCell ref="A94:B94"/>
    <mergeCell ref="F179:H179"/>
    <mergeCell ref="F177:H177"/>
    <mergeCell ref="A193:H193"/>
    <mergeCell ref="A178:E178"/>
    <mergeCell ref="C184:D184"/>
    <mergeCell ref="C194:C195"/>
    <mergeCell ref="C191:D191"/>
    <mergeCell ref="F178:H178"/>
    <mergeCell ref="A160:B160"/>
    <mergeCell ref="A185:B185"/>
    <mergeCell ref="A275:H275"/>
    <mergeCell ref="A276:H276"/>
    <mergeCell ref="E183:F183"/>
    <mergeCell ref="B273:H273"/>
    <mergeCell ref="A16:B16"/>
    <mergeCell ref="C16:H16"/>
    <mergeCell ref="E41:H41"/>
    <mergeCell ref="A41:D41"/>
    <mergeCell ref="G48:H48"/>
    <mergeCell ref="G50:H50"/>
    <mergeCell ref="D54:H54"/>
    <mergeCell ref="C50:E50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44:D44"/>
    <mergeCell ref="A45:D45"/>
    <mergeCell ref="A46:H46"/>
    <mergeCell ref="D56:H56"/>
    <mergeCell ref="A56:C56"/>
    <mergeCell ref="G49:H49"/>
    <mergeCell ref="B271:H271"/>
    <mergeCell ref="B267:H267"/>
    <mergeCell ref="A192:H192"/>
    <mergeCell ref="B265:H265"/>
    <mergeCell ref="B266:H266"/>
    <mergeCell ref="A67:C67"/>
    <mergeCell ref="D67:H67"/>
    <mergeCell ref="A68:C68"/>
    <mergeCell ref="D68:H68"/>
    <mergeCell ref="A74:B74"/>
    <mergeCell ref="G73:H73"/>
    <mergeCell ref="A80:B80"/>
    <mergeCell ref="A73:B73"/>
    <mergeCell ref="A76:B76"/>
    <mergeCell ref="A72:B72"/>
    <mergeCell ref="A70:B70"/>
    <mergeCell ref="C70:H70"/>
    <mergeCell ref="A78:B78"/>
    <mergeCell ref="C72:H72"/>
    <mergeCell ref="A75:B75"/>
    <mergeCell ref="A77:B77"/>
    <mergeCell ref="E73:F73"/>
    <mergeCell ref="G101:H101"/>
    <mergeCell ref="A100:B100"/>
    <mergeCell ref="A283:H286"/>
    <mergeCell ref="A282:B282"/>
    <mergeCell ref="E282:F282"/>
    <mergeCell ref="C282:D282"/>
    <mergeCell ref="G282:H282"/>
    <mergeCell ref="A182:H182"/>
    <mergeCell ref="A180:E180"/>
    <mergeCell ref="F180:H180"/>
    <mergeCell ref="A181:E181"/>
    <mergeCell ref="F181:H181"/>
    <mergeCell ref="A198:H198"/>
    <mergeCell ref="A184:B184"/>
    <mergeCell ref="A278:H278"/>
    <mergeCell ref="A281:H281"/>
    <mergeCell ref="A279:H279"/>
    <mergeCell ref="B268:H268"/>
    <mergeCell ref="B269:H269"/>
    <mergeCell ref="A264:H264"/>
    <mergeCell ref="E184:F184"/>
    <mergeCell ref="G184:H184"/>
    <mergeCell ref="A194:A195"/>
    <mergeCell ref="A200:B200"/>
    <mergeCell ref="A201:B201"/>
    <mergeCell ref="A202:B20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3:C63"/>
    <mergeCell ref="F35:H35"/>
    <mergeCell ref="A37:B37"/>
    <mergeCell ref="E37:F37"/>
    <mergeCell ref="C37:D37"/>
    <mergeCell ref="G37:H37"/>
    <mergeCell ref="A38:B38"/>
    <mergeCell ref="C38:H38"/>
    <mergeCell ref="D63:H63"/>
    <mergeCell ref="G74:H83"/>
    <mergeCell ref="A82:B82"/>
    <mergeCell ref="A83:B83"/>
    <mergeCell ref="D64:H64"/>
    <mergeCell ref="A42:D42"/>
    <mergeCell ref="E42:H42"/>
    <mergeCell ref="E43:H43"/>
    <mergeCell ref="E44:H44"/>
    <mergeCell ref="E45:H45"/>
    <mergeCell ref="A43:D43"/>
    <mergeCell ref="A57:C62"/>
    <mergeCell ref="A81:B81"/>
    <mergeCell ref="D60:H60"/>
    <mergeCell ref="F168:H168"/>
    <mergeCell ref="F173:H173"/>
    <mergeCell ref="C100:H100"/>
    <mergeCell ref="A101:B101"/>
    <mergeCell ref="E101:F101"/>
    <mergeCell ref="A173:E173"/>
    <mergeCell ref="G130:H139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54:B154"/>
    <mergeCell ref="C154:H154"/>
    <mergeCell ref="A156:B156"/>
    <mergeCell ref="C156:H156"/>
    <mergeCell ref="A157:B157"/>
    <mergeCell ref="E157:F157"/>
    <mergeCell ref="G157:H157"/>
    <mergeCell ref="A158:B158"/>
    <mergeCell ref="A98:B98"/>
    <mergeCell ref="C98:H98"/>
    <mergeCell ref="A88:B88"/>
    <mergeCell ref="E88:F97"/>
    <mergeCell ref="A95:B95"/>
    <mergeCell ref="A96:B96"/>
    <mergeCell ref="A97:B97"/>
    <mergeCell ref="A102:B102"/>
    <mergeCell ref="E102:F111"/>
    <mergeCell ref="F174:H174"/>
    <mergeCell ref="A175:E175"/>
    <mergeCell ref="A177:E177"/>
    <mergeCell ref="F171:H171"/>
    <mergeCell ref="A176:E176"/>
    <mergeCell ref="A105:B105"/>
    <mergeCell ref="A106:B106"/>
    <mergeCell ref="A107:B107"/>
    <mergeCell ref="A109:B109"/>
    <mergeCell ref="A110:B110"/>
    <mergeCell ref="A171:E171"/>
    <mergeCell ref="A168:E168"/>
    <mergeCell ref="F172:H172"/>
    <mergeCell ref="A126:B126"/>
    <mergeCell ref="C126:H126"/>
    <mergeCell ref="A128:B128"/>
    <mergeCell ref="C128:H128"/>
    <mergeCell ref="A129:B129"/>
    <mergeCell ref="E129:F129"/>
    <mergeCell ref="G129:H129"/>
    <mergeCell ref="A130:B130"/>
    <mergeCell ref="E130:F139"/>
    <mergeCell ref="F175:H175"/>
    <mergeCell ref="A169:E169"/>
    <mergeCell ref="A251:H251"/>
    <mergeCell ref="A179:E179"/>
    <mergeCell ref="G191:H191"/>
    <mergeCell ref="C185:D185"/>
    <mergeCell ref="G185:H185"/>
    <mergeCell ref="A186:B186"/>
    <mergeCell ref="C186:D186"/>
    <mergeCell ref="E186:F186"/>
    <mergeCell ref="G186:H186"/>
    <mergeCell ref="E185:F185"/>
    <mergeCell ref="C183:D183"/>
    <mergeCell ref="G183:H183"/>
    <mergeCell ref="A191:B191"/>
    <mergeCell ref="E191:F191"/>
    <mergeCell ref="B194:B195"/>
    <mergeCell ref="A221:H221"/>
    <mergeCell ref="G199:H202"/>
    <mergeCell ref="A234:H234"/>
    <mergeCell ref="A235:B235"/>
    <mergeCell ref="A236:B236"/>
    <mergeCell ref="A237:B237"/>
    <mergeCell ref="A238:B238"/>
    <mergeCell ref="G204:H207"/>
    <mergeCell ref="A205:B205"/>
    <mergeCell ref="A258:H258"/>
    <mergeCell ref="C86:H86"/>
    <mergeCell ref="A87:B87"/>
    <mergeCell ref="E87:F87"/>
    <mergeCell ref="G87:H87"/>
    <mergeCell ref="A174:E174"/>
    <mergeCell ref="B272:H272"/>
    <mergeCell ref="A47:B47"/>
    <mergeCell ref="C47:H47"/>
    <mergeCell ref="B270:H270"/>
    <mergeCell ref="A103:B103"/>
    <mergeCell ref="A104:B104"/>
    <mergeCell ref="G88:H97"/>
    <mergeCell ref="A89:B89"/>
    <mergeCell ref="A90:B90"/>
    <mergeCell ref="A91:B91"/>
    <mergeCell ref="F170:H170"/>
    <mergeCell ref="A170:E170"/>
    <mergeCell ref="A172:E172"/>
    <mergeCell ref="F176:H176"/>
    <mergeCell ref="A197:H197"/>
    <mergeCell ref="A196:H196"/>
    <mergeCell ref="A233:H233"/>
    <mergeCell ref="A244:H244"/>
    <mergeCell ref="A112:B112"/>
    <mergeCell ref="C112:H112"/>
    <mergeCell ref="A114:B114"/>
    <mergeCell ref="C114:H114"/>
    <mergeCell ref="A115:B115"/>
    <mergeCell ref="E115:F115"/>
    <mergeCell ref="G115:H115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40:B140"/>
    <mergeCell ref="C140:H140"/>
    <mergeCell ref="A142:B142"/>
    <mergeCell ref="C142:H142"/>
    <mergeCell ref="A143:B143"/>
    <mergeCell ref="E143:F143"/>
    <mergeCell ref="G143:H143"/>
    <mergeCell ref="A144:B144"/>
    <mergeCell ref="E144:F153"/>
    <mergeCell ref="G144:H153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9" max="16383" man="1"/>
    <brk id="111" max="16383" man="1"/>
    <brk id="153" max="16383" man="1"/>
    <brk id="286" max="16383" man="1"/>
    <brk id="329" max="16383" man="1"/>
    <brk id="37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M23" sqref="M23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38" t="s">
        <v>112</v>
      </c>
      <c r="C3" s="238"/>
      <c r="D3" s="238"/>
      <c r="E3" s="238"/>
      <c r="F3" s="238"/>
      <c r="G3" s="238"/>
      <c r="H3" s="238"/>
    </row>
    <row r="4" spans="1:9" x14ac:dyDescent="0.35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2025-08-30T11:25:59Z</cp:lastPrinted>
  <dcterms:created xsi:type="dcterms:W3CDTF">2019-07-16T09:29:46Z</dcterms:created>
  <dcterms:modified xsi:type="dcterms:W3CDTF">2025-08-30T11:27:10Z</dcterms:modified>
</cp:coreProperties>
</file>