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SJCV\Making\AXIS\2025-26\Axis\APF Old\July 2025\16-07-2025\"/>
    </mc:Choice>
  </mc:AlternateContent>
  <bookViews>
    <workbookView xWindow="0" yWindow="0" windowWidth="19200" windowHeight="6640"/>
  </bookViews>
  <sheets>
    <sheet name="Report (2)" sheetId="1" r:id="rId1"/>
    <sheet name="VALUATION" sheetId="6" r:id="rId2"/>
    <sheet name="A" sheetId="2" r:id="rId3"/>
    <sheet name="B" sheetId="5" r:id="rId4"/>
    <sheet name="Note" sheetId="4" r:id="rId5"/>
    <sheet name="Flat detail" sheetId="3" r:id="rId6"/>
  </sheets>
  <definedNames>
    <definedName name="_xlnm.Print_Area" localSheetId="0">'Report (2)'!$A$1:$J$459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1" l="1"/>
  <c r="C76" i="1" l="1"/>
  <c r="D292" i="1" l="1"/>
  <c r="D293" i="1"/>
  <c r="D327" i="1" l="1"/>
  <c r="G327" i="1" s="1"/>
  <c r="D319" i="1"/>
  <c r="G319" i="1" s="1"/>
  <c r="D316" i="1"/>
  <c r="G316" i="1" s="1"/>
  <c r="D313" i="1"/>
  <c r="G313" i="1" s="1"/>
  <c r="D310" i="1"/>
  <c r="G310" i="1" s="1"/>
  <c r="D307" i="1"/>
  <c r="G307" i="1" s="1"/>
  <c r="D304" i="1"/>
  <c r="G304" i="1" s="1"/>
  <c r="D301" i="1"/>
  <c r="G301" i="1" s="1"/>
  <c r="D298" i="1"/>
  <c r="G298" i="1" s="1"/>
  <c r="D294" i="1"/>
  <c r="G294" i="1" s="1"/>
  <c r="D288" i="1"/>
  <c r="G288" i="1" s="1"/>
  <c r="D281" i="1"/>
  <c r="G281" i="1" s="1"/>
  <c r="D278" i="1"/>
  <c r="D274" i="1"/>
  <c r="G274" i="1" s="1"/>
  <c r="D271" i="1"/>
  <c r="G271" i="1" s="1"/>
  <c r="D267" i="1"/>
  <c r="D264" i="1"/>
  <c r="D260" i="1"/>
  <c r="D329" i="1"/>
  <c r="G329" i="1" s="1"/>
  <c r="D328" i="1"/>
  <c r="G328" i="1" s="1"/>
  <c r="I326" i="1"/>
  <c r="D326" i="1"/>
  <c r="G326" i="1" s="1"/>
  <c r="D318" i="1"/>
  <c r="G318" i="1" s="1"/>
  <c r="G317" i="1"/>
  <c r="D317" i="1"/>
  <c r="I315" i="1"/>
  <c r="D315" i="1"/>
  <c r="G315" i="1" s="1"/>
  <c r="D324" i="1"/>
  <c r="G324" i="1" s="1"/>
  <c r="D323" i="1"/>
  <c r="G323" i="1" s="1"/>
  <c r="D322" i="1"/>
  <c r="G322" i="1" s="1"/>
  <c r="I321" i="1"/>
  <c r="D321" i="1"/>
  <c r="G321" i="1" s="1"/>
  <c r="D312" i="1"/>
  <c r="G312" i="1" s="1"/>
  <c r="D311" i="1"/>
  <c r="G311" i="1" s="1"/>
  <c r="I309" i="1"/>
  <c r="D309" i="1"/>
  <c r="G309" i="1" s="1"/>
  <c r="D303" i="1"/>
  <c r="G303" i="1" s="1"/>
  <c r="D306" i="1"/>
  <c r="G306" i="1" s="1"/>
  <c r="D305" i="1"/>
  <c r="G305" i="1" s="1"/>
  <c r="I303" i="1"/>
  <c r="D300" i="1"/>
  <c r="G300" i="1" s="1"/>
  <c r="D299" i="1"/>
  <c r="G299" i="1" s="1"/>
  <c r="D297" i="1"/>
  <c r="G297" i="1" s="1"/>
  <c r="I296" i="1"/>
  <c r="D296" i="1"/>
  <c r="G296" i="1" s="1"/>
  <c r="G292" i="1"/>
  <c r="G293" i="1"/>
  <c r="D291" i="1"/>
  <c r="G291" i="1" s="1"/>
  <c r="I290" i="1"/>
  <c r="D290" i="1"/>
  <c r="G290" i="1" s="1"/>
  <c r="D280" i="1"/>
  <c r="G280" i="1" s="1"/>
  <c r="D279" i="1"/>
  <c r="G279" i="1" s="1"/>
  <c r="G278" i="1"/>
  <c r="D277" i="1"/>
  <c r="G277" i="1" s="1"/>
  <c r="I276" i="1"/>
  <c r="D276" i="1"/>
  <c r="G276" i="1" s="1"/>
  <c r="D287" i="1"/>
  <c r="G287" i="1" s="1"/>
  <c r="D286" i="1"/>
  <c r="G286" i="1" s="1"/>
  <c r="D284" i="1"/>
  <c r="G284" i="1" s="1"/>
  <c r="I283" i="1"/>
  <c r="D283" i="1"/>
  <c r="G283" i="1" s="1"/>
  <c r="D273" i="1"/>
  <c r="G273" i="1" s="1"/>
  <c r="D272" i="1"/>
  <c r="G272" i="1" s="1"/>
  <c r="D270" i="1"/>
  <c r="G270" i="1" s="1"/>
  <c r="I269" i="1"/>
  <c r="D269" i="1"/>
  <c r="G269" i="1" s="1"/>
  <c r="D266" i="1"/>
  <c r="D265" i="1"/>
  <c r="D259" i="1"/>
  <c r="D258" i="1"/>
  <c r="D232" i="1"/>
  <c r="G232" i="1" s="1"/>
  <c r="D230" i="1"/>
  <c r="G230" i="1" s="1"/>
  <c r="D229" i="1"/>
  <c r="G229" i="1" s="1"/>
  <c r="D228" i="1"/>
  <c r="G228" i="1" s="1"/>
  <c r="D227" i="1"/>
  <c r="G227" i="1" s="1"/>
  <c r="K227" i="1" s="1"/>
  <c r="I225" i="1"/>
  <c r="D221" i="1"/>
  <c r="G221" i="1" s="1"/>
  <c r="D220" i="1"/>
  <c r="G220" i="1" s="1"/>
  <c r="K220" i="1" s="1"/>
  <c r="D222" i="1"/>
  <c r="G222" i="1" s="1"/>
  <c r="D219" i="1"/>
  <c r="G219" i="1" s="1"/>
  <c r="I218" i="1"/>
  <c r="D218" i="1"/>
  <c r="G218" i="1" s="1"/>
  <c r="D216" i="1"/>
  <c r="G216" i="1" s="1"/>
  <c r="D215" i="1"/>
  <c r="G215" i="1" s="1"/>
  <c r="D214" i="1"/>
  <c r="G214" i="1" s="1"/>
  <c r="D213" i="1"/>
  <c r="G213" i="1" s="1"/>
  <c r="D212" i="1"/>
  <c r="G212" i="1" s="1"/>
  <c r="D211" i="1"/>
  <c r="G211" i="1" s="1"/>
  <c r="K211" i="1" s="1"/>
  <c r="D210" i="1"/>
  <c r="G210" i="1" s="1"/>
  <c r="I209" i="1"/>
  <c r="D209" i="1"/>
  <c r="G209" i="1" s="1"/>
  <c r="D207" i="1"/>
  <c r="G207" i="1" s="1"/>
  <c r="D206" i="1"/>
  <c r="G206" i="1" s="1"/>
  <c r="D205" i="1"/>
  <c r="G205" i="1" s="1"/>
  <c r="D204" i="1"/>
  <c r="G204" i="1" s="1"/>
  <c r="D203" i="1"/>
  <c r="G203" i="1" s="1"/>
  <c r="D202" i="1"/>
  <c r="G202" i="1" s="1"/>
  <c r="K202" i="1" s="1"/>
  <c r="D201" i="1"/>
  <c r="G201" i="1" s="1"/>
  <c r="I200" i="1"/>
  <c r="D200" i="1"/>
  <c r="G200" i="1" s="1"/>
  <c r="D198" i="1"/>
  <c r="G198" i="1" s="1"/>
  <c r="D197" i="1"/>
  <c r="G197" i="1" s="1"/>
  <c r="D196" i="1"/>
  <c r="G196" i="1" s="1"/>
  <c r="D195" i="1"/>
  <c r="G195" i="1" s="1"/>
  <c r="M194" i="1"/>
  <c r="D194" i="1"/>
  <c r="G194" i="1" s="1"/>
  <c r="K194" i="1" s="1"/>
  <c r="D193" i="1"/>
  <c r="G193" i="1" s="1"/>
  <c r="I192" i="1"/>
  <c r="D192" i="1"/>
  <c r="G192" i="1" s="1"/>
  <c r="D188" i="1"/>
  <c r="G188" i="1" s="1"/>
  <c r="D190" i="1"/>
  <c r="G190" i="1" s="1"/>
  <c r="D189" i="1"/>
  <c r="G189" i="1" s="1"/>
  <c r="D187" i="1"/>
  <c r="G187" i="1" s="1"/>
  <c r="D186" i="1"/>
  <c r="G186" i="1" s="1"/>
  <c r="K186" i="1" s="1"/>
  <c r="D185" i="1"/>
  <c r="G185" i="1" s="1"/>
  <c r="I184" i="1"/>
  <c r="D184" i="1"/>
  <c r="G184" i="1" s="1"/>
  <c r="D182" i="1"/>
  <c r="G182" i="1" s="1"/>
  <c r="D181" i="1"/>
  <c r="G181" i="1" s="1"/>
  <c r="D180" i="1"/>
  <c r="G180" i="1" s="1"/>
  <c r="D179" i="1"/>
  <c r="G179" i="1" s="1"/>
  <c r="D178" i="1"/>
  <c r="G178" i="1" s="1"/>
  <c r="D177" i="1"/>
  <c r="G177" i="1" s="1"/>
  <c r="K177" i="1" s="1"/>
  <c r="D176" i="1"/>
  <c r="G176" i="1" s="1"/>
  <c r="I175" i="1"/>
  <c r="D175" i="1"/>
  <c r="G175" i="1" s="1"/>
  <c r="D171" i="1"/>
  <c r="D170" i="1"/>
  <c r="D169" i="1"/>
  <c r="D168" i="1"/>
  <c r="D167" i="1"/>
  <c r="D166" i="1"/>
  <c r="M152" i="1"/>
  <c r="D164" i="1"/>
  <c r="G164" i="1" s="1"/>
  <c r="D163" i="1"/>
  <c r="G163" i="1" s="1"/>
  <c r="D162" i="1"/>
  <c r="G162" i="1" s="1"/>
  <c r="D161" i="1"/>
  <c r="G161" i="1" s="1"/>
  <c r="D160" i="1"/>
  <c r="G160" i="1" s="1"/>
  <c r="K160" i="1" s="1"/>
  <c r="D159" i="1"/>
  <c r="G159" i="1" s="1"/>
  <c r="I158" i="1"/>
  <c r="D158" i="1"/>
  <c r="G158" i="1" s="1"/>
  <c r="D148" i="1"/>
  <c r="D147" i="1"/>
  <c r="D155" i="1"/>
  <c r="G155" i="1" s="1"/>
  <c r="D152" i="1"/>
  <c r="G152" i="1" s="1"/>
  <c r="K152" i="1" s="1"/>
  <c r="D156" i="1"/>
  <c r="G156" i="1" s="1"/>
  <c r="D154" i="1"/>
  <c r="G154" i="1" s="1"/>
  <c r="D153" i="1"/>
  <c r="G153" i="1" s="1"/>
  <c r="D151" i="1"/>
  <c r="G151" i="1" s="1"/>
  <c r="I150" i="1"/>
  <c r="D150" i="1"/>
  <c r="G150" i="1" s="1"/>
  <c r="D146" i="1"/>
  <c r="D145" i="1"/>
  <c r="D144" i="1"/>
  <c r="D143" i="1"/>
  <c r="D142" i="1"/>
  <c r="D141" i="1"/>
  <c r="D133" i="1"/>
  <c r="D132" i="1"/>
  <c r="D137" i="1"/>
  <c r="D136" i="1"/>
  <c r="D135" i="1"/>
  <c r="D134" i="1"/>
  <c r="C67" i="1" l="1"/>
  <c r="F3" i="1" l="1"/>
  <c r="G171" i="1" l="1"/>
  <c r="K171" i="1" s="1"/>
  <c r="G170" i="1"/>
  <c r="K170" i="1" s="1"/>
  <c r="G169" i="1"/>
  <c r="K169" i="1" s="1"/>
  <c r="G168" i="1"/>
  <c r="K168" i="1" s="1"/>
  <c r="G167" i="1"/>
  <c r="I166" i="1"/>
  <c r="G166" i="1"/>
  <c r="G146" i="1"/>
  <c r="G145" i="1"/>
  <c r="G137" i="1"/>
  <c r="K137" i="1" s="1"/>
  <c r="G136" i="1"/>
  <c r="K136" i="1" s="1"/>
  <c r="D130" i="1"/>
  <c r="D129" i="1"/>
  <c r="D127" i="1"/>
  <c r="D126" i="1"/>
  <c r="D124" i="1"/>
  <c r="D123" i="1"/>
  <c r="D121" i="1"/>
  <c r="D120" i="1"/>
  <c r="D118" i="1"/>
  <c r="D117" i="1"/>
  <c r="D115" i="1"/>
  <c r="C104" i="1" l="1"/>
  <c r="D104" i="1"/>
  <c r="C81" i="1"/>
  <c r="L86" i="1" l="1"/>
  <c r="L85" i="1"/>
  <c r="L84" i="1"/>
  <c r="L83" i="1"/>
  <c r="G144" i="1"/>
  <c r="G143" i="1"/>
  <c r="K143" i="1" s="1"/>
  <c r="G142" i="1"/>
  <c r="G141" i="1"/>
  <c r="G147" i="1"/>
  <c r="I141" i="1"/>
  <c r="G266" i="1"/>
  <c r="G265" i="1"/>
  <c r="D263" i="1"/>
  <c r="G263" i="1" s="1"/>
  <c r="I262" i="1"/>
  <c r="D262" i="1"/>
  <c r="G262" i="1" s="1"/>
  <c r="G259" i="1"/>
  <c r="G258" i="1"/>
  <c r="D256" i="1"/>
  <c r="G256" i="1" s="1"/>
  <c r="I255" i="1"/>
  <c r="D255" i="1"/>
  <c r="G255" i="1" s="1"/>
  <c r="G135" i="1"/>
  <c r="K135" i="1" s="1"/>
  <c r="I132" i="1"/>
  <c r="G133" i="1"/>
  <c r="G132" i="1"/>
  <c r="G130" i="1"/>
  <c r="G129" i="1"/>
  <c r="G127" i="1"/>
  <c r="G126" i="1"/>
  <c r="D253" i="1"/>
  <c r="G253" i="1" s="1"/>
  <c r="D252" i="1"/>
  <c r="G252" i="1" s="1"/>
  <c r="D250" i="1"/>
  <c r="G250" i="1" s="1"/>
  <c r="D249" i="1"/>
  <c r="G249" i="1" s="1"/>
  <c r="D247" i="1"/>
  <c r="D246" i="1"/>
  <c r="D244" i="1"/>
  <c r="D243" i="1"/>
  <c r="D241" i="1"/>
  <c r="D240" i="1"/>
  <c r="D237" i="1"/>
  <c r="F40" i="1"/>
  <c r="L71" i="1"/>
  <c r="L70" i="1"/>
  <c r="L69" i="1"/>
  <c r="I75" i="1"/>
  <c r="I59" i="1"/>
  <c r="C105" i="1" l="1"/>
  <c r="D105" i="1"/>
  <c r="G264" i="1"/>
  <c r="G134" i="1"/>
  <c r="G260" i="1"/>
  <c r="G267" i="1"/>
  <c r="G148" i="1"/>
  <c r="L79" i="1"/>
  <c r="C78" i="1" s="1"/>
  <c r="D78" i="1" s="1"/>
  <c r="L77" i="1"/>
  <c r="D87" i="1"/>
  <c r="D83" i="1"/>
  <c r="D86" i="1"/>
  <c r="D82" i="1"/>
  <c r="L78" i="1"/>
  <c r="D85" i="1"/>
  <c r="D81" i="1"/>
  <c r="L80" i="1"/>
  <c r="L81" i="1" s="1"/>
  <c r="D84" i="1"/>
  <c r="D80" i="1"/>
  <c r="D73" i="1"/>
  <c r="D69" i="1"/>
  <c r="L65" i="1"/>
  <c r="C64" i="1" s="1"/>
  <c r="D64" i="1" s="1"/>
  <c r="L63" i="1"/>
  <c r="D70" i="1"/>
  <c r="L64" i="1"/>
  <c r="D72" i="1"/>
  <c r="D68" i="1"/>
  <c r="D71" i="1"/>
  <c r="D67" i="1"/>
  <c r="L66" i="1"/>
  <c r="L67" i="1" s="1"/>
  <c r="L72" i="1" s="1"/>
  <c r="D66" i="1"/>
  <c r="K134" i="1" l="1"/>
  <c r="L82" i="1"/>
  <c r="L87" i="1" s="1"/>
  <c r="C79" i="1" s="1"/>
  <c r="L68" i="1"/>
  <c r="L73" i="1" s="1"/>
  <c r="C65" i="1" s="1"/>
  <c r="F64" i="1" s="1"/>
  <c r="K58" i="1" s="1"/>
  <c r="F78" i="1" l="1"/>
  <c r="K74" i="1" s="1"/>
  <c r="D79" i="1"/>
  <c r="H78" i="1"/>
  <c r="D65" i="1"/>
  <c r="H64" i="1"/>
  <c r="F9" i="6"/>
  <c r="G9" i="6" s="1"/>
  <c r="F8" i="6"/>
  <c r="G8" i="6" s="1"/>
  <c r="F7" i="6"/>
  <c r="G7" i="6" s="1"/>
  <c r="F6" i="6"/>
  <c r="G6" i="6" s="1"/>
  <c r="F5" i="6"/>
  <c r="G5" i="6" s="1"/>
  <c r="G10" i="6" l="1"/>
  <c r="D7" i="2" l="1"/>
  <c r="G15" i="5"/>
  <c r="B15" i="5" s="1"/>
  <c r="H16" i="5"/>
  <c r="C16" i="5" s="1"/>
  <c r="D6" i="5"/>
  <c r="C5" i="5"/>
  <c r="B11" i="5" s="1"/>
  <c r="D7" i="5" l="1"/>
  <c r="H15" i="5"/>
  <c r="B16" i="5" s="1"/>
  <c r="L16" i="5"/>
  <c r="C20" i="5" s="1"/>
  <c r="L15" i="5"/>
  <c r="B20" i="5" s="1"/>
  <c r="D11" i="5"/>
  <c r="B8" i="5"/>
  <c r="B10" i="5"/>
  <c r="B12" i="5"/>
  <c r="G16" i="5"/>
  <c r="C15" i="5" s="1"/>
  <c r="B9" i="5"/>
  <c r="D344" i="1"/>
  <c r="M15" i="5" l="1"/>
  <c r="B21" i="5" s="1"/>
  <c r="D12" i="5"/>
  <c r="M16" i="5"/>
  <c r="C21" i="5" s="1"/>
  <c r="K16" i="5"/>
  <c r="C19" i="5" s="1"/>
  <c r="D10" i="5"/>
  <c r="K15" i="5"/>
  <c r="B19" i="5" s="1"/>
  <c r="J16" i="5"/>
  <c r="C18" i="5" s="1"/>
  <c r="J15" i="5"/>
  <c r="B18" i="5" s="1"/>
  <c r="D9" i="5"/>
  <c r="I15" i="5"/>
  <c r="B17" i="5" s="1"/>
  <c r="D8" i="5"/>
  <c r="I16" i="5"/>
  <c r="C17" i="5" s="1"/>
  <c r="G247" i="1"/>
  <c r="G246" i="1"/>
  <c r="G244" i="1"/>
  <c r="G243" i="1"/>
  <c r="G241" i="1"/>
  <c r="G240" i="1"/>
  <c r="G124" i="1"/>
  <c r="G123" i="1"/>
  <c r="G121" i="1"/>
  <c r="G120" i="1"/>
  <c r="G118" i="1"/>
  <c r="G117" i="1"/>
  <c r="G115" i="1"/>
  <c r="C13" i="1"/>
  <c r="G104" i="1" l="1"/>
  <c r="K115" i="1"/>
  <c r="L115" i="1"/>
  <c r="C22" i="5"/>
  <c r="B22" i="5"/>
  <c r="G237" i="1"/>
  <c r="G105" i="1" s="1"/>
  <c r="G106" i="1" l="1"/>
  <c r="G15" i="2"/>
  <c r="G16" i="2" s="1"/>
  <c r="C15" i="2" s="1"/>
  <c r="H15" i="2"/>
  <c r="B16" i="2" s="1"/>
  <c r="D6" i="2"/>
  <c r="C5" i="2"/>
  <c r="B12" i="2" s="1"/>
  <c r="D12" i="2" s="1"/>
  <c r="D106" i="1"/>
  <c r="C106" i="1"/>
  <c r="G101" i="1"/>
  <c r="H46" i="1"/>
  <c r="C46" i="1"/>
  <c r="F41" i="1"/>
  <c r="F7" i="1"/>
  <c r="B15" i="2" l="1"/>
  <c r="B9" i="2"/>
  <c r="B11" i="2"/>
  <c r="M16" i="2"/>
  <c r="C21" i="2" s="1"/>
  <c r="M15" i="2"/>
  <c r="B21" i="2" s="1"/>
  <c r="H16" i="2"/>
  <c r="C16" i="2" s="1"/>
  <c r="B8" i="2"/>
  <c r="D8" i="2" s="1"/>
  <c r="B10" i="2"/>
  <c r="D10" i="2" s="1"/>
  <c r="L33" i="3"/>
  <c r="I33" i="3"/>
  <c r="E33" i="3"/>
  <c r="L32" i="3"/>
  <c r="I32" i="3"/>
  <c r="E32" i="3"/>
  <c r="L31" i="3"/>
  <c r="I31" i="3"/>
  <c r="E31" i="3"/>
  <c r="L30" i="3"/>
  <c r="I30" i="3"/>
  <c r="E30" i="3"/>
  <c r="L29" i="3"/>
  <c r="I29" i="3"/>
  <c r="E29" i="3"/>
  <c r="L28" i="3"/>
  <c r="I28" i="3"/>
  <c r="E28" i="3"/>
  <c r="L27" i="3"/>
  <c r="I27" i="3"/>
  <c r="E27" i="3"/>
  <c r="L26" i="3"/>
  <c r="I26" i="3"/>
  <c r="E26" i="3"/>
  <c r="L25" i="3"/>
  <c r="I25" i="3"/>
  <c r="E25" i="3"/>
  <c r="L24" i="3"/>
  <c r="I24" i="3"/>
  <c r="E24" i="3"/>
  <c r="L23" i="3"/>
  <c r="I23" i="3"/>
  <c r="E23" i="3"/>
  <c r="L22" i="3"/>
  <c r="I22" i="3"/>
  <c r="E22" i="3"/>
  <c r="L21" i="3"/>
  <c r="I21" i="3"/>
  <c r="E21" i="3"/>
  <c r="L20" i="3"/>
  <c r="I20" i="3"/>
  <c r="E20" i="3"/>
  <c r="L19" i="3"/>
  <c r="I19" i="3"/>
  <c r="E19" i="3"/>
  <c r="L18" i="3"/>
  <c r="I18" i="3"/>
  <c r="E18" i="3"/>
  <c r="L17" i="3"/>
  <c r="I17" i="3"/>
  <c r="E17" i="3"/>
  <c r="L16" i="3"/>
  <c r="I16" i="3"/>
  <c r="E16" i="3"/>
  <c r="L15" i="3"/>
  <c r="I15" i="3"/>
  <c r="E15" i="3"/>
  <c r="L14" i="3"/>
  <c r="I14" i="3"/>
  <c r="E14" i="3"/>
  <c r="L13" i="3"/>
  <c r="I13" i="3"/>
  <c r="E13" i="3"/>
  <c r="L12" i="3"/>
  <c r="I12" i="3"/>
  <c r="E12" i="3"/>
  <c r="L11" i="3"/>
  <c r="I11" i="3"/>
  <c r="E11" i="3"/>
  <c r="L10" i="3"/>
  <c r="I10" i="3"/>
  <c r="E10" i="3"/>
  <c r="L9" i="3"/>
  <c r="I9" i="3"/>
  <c r="E9" i="3"/>
  <c r="L8" i="3"/>
  <c r="I8" i="3"/>
  <c r="E8" i="3"/>
  <c r="L7" i="3"/>
  <c r="I7" i="3"/>
  <c r="E7" i="3"/>
  <c r="L6" i="3"/>
  <c r="I6" i="3"/>
  <c r="E6" i="3"/>
  <c r="L15" i="2" l="1"/>
  <c r="B20" i="2" s="1"/>
  <c r="D11" i="2"/>
  <c r="J16" i="2"/>
  <c r="C18" i="2" s="1"/>
  <c r="D9" i="2"/>
  <c r="J15" i="2"/>
  <c r="B18" i="2" s="1"/>
  <c r="L16" i="2"/>
  <c r="C20" i="2" s="1"/>
  <c r="K16" i="2"/>
  <c r="C19" i="2" s="1"/>
  <c r="K15" i="2"/>
  <c r="B19" i="2" s="1"/>
  <c r="I16" i="2"/>
  <c r="C17" i="2" s="1"/>
  <c r="I15" i="2"/>
  <c r="B17" i="2" s="1"/>
  <c r="L34" i="3"/>
  <c r="K34" i="3" s="1"/>
  <c r="E34" i="3"/>
  <c r="I34" i="3"/>
  <c r="H34" i="3" s="1"/>
  <c r="C22" i="2" l="1"/>
  <c r="B22" i="2"/>
  <c r="D34" i="3"/>
  <c r="D36" i="3" s="1"/>
  <c r="E36" i="3"/>
</calcChain>
</file>

<file path=xl/sharedStrings.xml><?xml version="1.0" encoding="utf-8"?>
<sst xmlns="http://schemas.openxmlformats.org/spreadsheetml/2006/main" count="834" uniqueCount="310">
  <si>
    <t xml:space="preserve">Valuation Report </t>
  </si>
  <si>
    <t>Date:</t>
  </si>
  <si>
    <t>CPC Name:</t>
  </si>
  <si>
    <t>Date Of Property Visit</t>
  </si>
  <si>
    <t>Name of the builder group</t>
  </si>
  <si>
    <t>Name of the builder company</t>
  </si>
  <si>
    <t>Name of the Project</t>
  </si>
  <si>
    <t>Name / No of the Building</t>
  </si>
  <si>
    <t>Docouments Provided</t>
  </si>
  <si>
    <t>Approved Layout, Approved Building Plan, CC</t>
  </si>
  <si>
    <t>RERA No.</t>
  </si>
  <si>
    <t xml:space="preserve">Project location details       </t>
  </si>
  <si>
    <t>Road</t>
  </si>
  <si>
    <t>District</t>
  </si>
  <si>
    <t>City</t>
  </si>
  <si>
    <t>Pin Code</t>
  </si>
  <si>
    <t>Near by Landmark</t>
  </si>
  <si>
    <t xml:space="preserve">Distance from city centre: </t>
  </si>
  <si>
    <t>all available at  1 to 2 km.</t>
  </si>
  <si>
    <t>Does property have Electricity / Water / Drainage Connection</t>
  </si>
  <si>
    <t>Yes</t>
  </si>
  <si>
    <t>Class of locality</t>
  </si>
  <si>
    <t>Nature of land with topographical condtion</t>
  </si>
  <si>
    <t>Plane</t>
  </si>
  <si>
    <t xml:space="preserve">Nature of the locality </t>
  </si>
  <si>
    <t>Quality of infrastructure in vicinity</t>
  </si>
  <si>
    <t>Good</t>
  </si>
  <si>
    <t>Boundaries</t>
  </si>
  <si>
    <t>East</t>
  </si>
  <si>
    <t>West</t>
  </si>
  <si>
    <t>South</t>
  </si>
  <si>
    <t>North</t>
  </si>
  <si>
    <t>As per deed</t>
  </si>
  <si>
    <t>NA</t>
  </si>
  <si>
    <t>At site</t>
  </si>
  <si>
    <t>Does the boundaries at site match, as mentioned in the Docoumentation: NA</t>
  </si>
  <si>
    <t>Type of Structure : RCC Frame Structure</t>
  </si>
  <si>
    <t xml:space="preserve">Latitude &amp; Longitude </t>
  </si>
  <si>
    <t>Approval details:</t>
  </si>
  <si>
    <t xml:space="preserve">Approved usage of the Property:                                                                                                                                             </t>
  </si>
  <si>
    <t xml:space="preserve">(Restrictive Covenants in regard to Land Use, if any)    </t>
  </si>
  <si>
    <t>No</t>
  </si>
  <si>
    <t>Area Statement Details :</t>
  </si>
  <si>
    <t>Total land area of the project in Sq. Mt.</t>
  </si>
  <si>
    <t>Permissible FSI</t>
  </si>
  <si>
    <t>Permissible TDR/Paid FSI</t>
  </si>
  <si>
    <t>Total FSI availaible for the project</t>
  </si>
  <si>
    <t>Total Approved Builtup area of the project in Sq. Mt.</t>
  </si>
  <si>
    <t>Total number of Buildings</t>
  </si>
  <si>
    <t xml:space="preserve">Approval Detail : Plan approval </t>
  </si>
  <si>
    <t xml:space="preserve">Layout Approval No     </t>
  </si>
  <si>
    <t>Dated</t>
  </si>
  <si>
    <t xml:space="preserve">Approved Floor plan No.  </t>
  </si>
  <si>
    <t>Commencement Certificate No.</t>
  </si>
  <si>
    <t xml:space="preserve">O. Certificate No.: </t>
  </si>
  <si>
    <t xml:space="preserve">Date of approval: </t>
  </si>
  <si>
    <t xml:space="preserve">Commencement date of construction </t>
  </si>
  <si>
    <t>Expected Completion</t>
  </si>
  <si>
    <t>Building wise Construction details</t>
  </si>
  <si>
    <t>Approved area of the building in Sq.Mt</t>
  </si>
  <si>
    <t>Approved no of units</t>
  </si>
  <si>
    <t>Approved no of Floors</t>
  </si>
  <si>
    <t>Quality of construction: Good</t>
  </si>
  <si>
    <t>Type of Work</t>
  </si>
  <si>
    <t>Plinth</t>
  </si>
  <si>
    <t>RCC</t>
  </si>
  <si>
    <t>Plaster</t>
  </si>
  <si>
    <t>Flooring</t>
  </si>
  <si>
    <t>Finishing</t>
  </si>
  <si>
    <t>Violations Observed if any : NA</t>
  </si>
  <si>
    <t>Recommended Rates of the Property :</t>
  </si>
  <si>
    <t xml:space="preserve">Recommended rate of Parking </t>
  </si>
  <si>
    <t>Distressed valuation of the Property</t>
  </si>
  <si>
    <t>Building &amp; Wing</t>
  </si>
  <si>
    <t>Total Carpet Area</t>
  </si>
  <si>
    <t>Total Saleable Area</t>
  </si>
  <si>
    <t>A</t>
  </si>
  <si>
    <t>Total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</si>
  <si>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</si>
  <si>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</si>
  <si>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</si>
  <si>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</si>
  <si>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</si>
  <si>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Saleable area</t>
  </si>
  <si>
    <t>PLC Y/N</t>
  </si>
  <si>
    <t>Floor</t>
  </si>
  <si>
    <t>N</t>
  </si>
  <si>
    <t>Undertaking :</t>
  </si>
  <si>
    <t>1) We have personally visited the property &amp; identified the same based on the documents provided.</t>
  </si>
  <si>
    <t>2) I/We have no direct or Indirect Interest in the property being valued</t>
  </si>
  <si>
    <t>3) The information furnished above is true and correct to my/our knowledge.</t>
  </si>
  <si>
    <t>4) Legal title of the property is not verified by us.</t>
  </si>
  <si>
    <t>5) Gross carpet area =  Net Carpet area + Fungible area.</t>
  </si>
  <si>
    <t>6) Fungible Area= Enclosed Balcony + Flower Bed + Covered Balcony + Service Slab + Duct + Chajja + Wheather Shed area.</t>
  </si>
  <si>
    <t xml:space="preserve">PHOTOGRAPHS OF PROPERTY : 
</t>
  </si>
  <si>
    <t>Google Map :</t>
  </si>
  <si>
    <t xml:space="preserve">Remarks:  </t>
  </si>
  <si>
    <t>Particulars</t>
  </si>
  <si>
    <t>plinth</t>
  </si>
  <si>
    <t>slab</t>
  </si>
  <si>
    <t>rcc</t>
  </si>
  <si>
    <t>Bricks</t>
  </si>
  <si>
    <t>Wood &amp; painting</t>
  </si>
  <si>
    <t>Progress</t>
  </si>
  <si>
    <t xml:space="preserve">Bricks </t>
  </si>
  <si>
    <t xml:space="preserve">Recommended </t>
  </si>
  <si>
    <t>plaster</t>
  </si>
  <si>
    <t>Recommended</t>
  </si>
  <si>
    <t>total</t>
  </si>
  <si>
    <t xml:space="preserve">Floor No </t>
  </si>
  <si>
    <t>Flat</t>
  </si>
  <si>
    <t>Discription</t>
  </si>
  <si>
    <t>Carpet</t>
  </si>
  <si>
    <t>Fungible</t>
  </si>
  <si>
    <t>Terrace</t>
  </si>
  <si>
    <t>L</t>
  </si>
  <si>
    <t>W</t>
  </si>
  <si>
    <t>Hall</t>
  </si>
  <si>
    <t>CB</t>
  </si>
  <si>
    <t>FB</t>
  </si>
  <si>
    <t>kitch</t>
  </si>
  <si>
    <t>Bed1</t>
  </si>
  <si>
    <t>Bed2</t>
  </si>
  <si>
    <t>toilet1</t>
  </si>
  <si>
    <t>DB</t>
  </si>
  <si>
    <t>toilet2</t>
  </si>
  <si>
    <t>toilet3</t>
  </si>
  <si>
    <t>passage1</t>
  </si>
  <si>
    <t>passage2</t>
  </si>
  <si>
    <t>passage3</t>
  </si>
  <si>
    <t>passage4</t>
  </si>
  <si>
    <t>Residential Area Details :</t>
  </si>
  <si>
    <t>Basement</t>
  </si>
  <si>
    <t>Podium</t>
  </si>
  <si>
    <t>Ground</t>
  </si>
  <si>
    <t>Upper Floor</t>
  </si>
  <si>
    <t>CTS/ Survey No</t>
  </si>
  <si>
    <t>Locality/Village</t>
  </si>
  <si>
    <t>Taluka</t>
  </si>
  <si>
    <r>
      <t xml:space="preserve">Proposed Amenities :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 xml:space="preserve">                                               </t>
    </r>
  </si>
  <si>
    <r>
      <rPr>
        <sz val="12"/>
        <rFont val="Times New Roman"/>
        <family val="1"/>
      </rPr>
      <t>1.Vitrified tiles flooring 2. Granite Kitchen Platform  3. Decorative Enternace  etc.</t>
    </r>
    <r>
      <rPr>
        <b/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 xml:space="preserve">                                               </t>
    </r>
  </si>
  <si>
    <t>Excavation in process</t>
  </si>
  <si>
    <t>Excavation Completed</t>
  </si>
  <si>
    <t>Footing in Process</t>
  </si>
  <si>
    <t>Footing Completed</t>
  </si>
  <si>
    <t>Plinth in process</t>
  </si>
  <si>
    <t>Plinth completed</t>
  </si>
  <si>
    <t>Accessibility to the Project from the City: (Proximity to civic amenities like school, hospital, market, etc.)</t>
  </si>
  <si>
    <t xml:space="preserve">total floor </t>
  </si>
  <si>
    <t>Parking</t>
  </si>
  <si>
    <t>Rate</t>
  </si>
  <si>
    <t>Palghar</t>
  </si>
  <si>
    <t>100000/-</t>
  </si>
  <si>
    <t>Ulwe, karanjade</t>
  </si>
  <si>
    <t>200000/-</t>
  </si>
  <si>
    <t>Panvel</t>
  </si>
  <si>
    <t>300000/-</t>
  </si>
  <si>
    <t>Mumbai - G + 15</t>
  </si>
  <si>
    <t>500000/-</t>
  </si>
  <si>
    <t>Mumbai - G + 25</t>
  </si>
  <si>
    <t>800000/-</t>
  </si>
  <si>
    <t>Mumbai - G + 35</t>
  </si>
  <si>
    <t>1000000/-</t>
  </si>
  <si>
    <t>Thane - G + 7</t>
  </si>
  <si>
    <t>Thane - G + 15</t>
  </si>
  <si>
    <t>400000/-</t>
  </si>
  <si>
    <t>Thane - G + 25</t>
  </si>
  <si>
    <t>600000/-</t>
  </si>
  <si>
    <t>Inspected By :</t>
  </si>
  <si>
    <t>Report Prepared By :</t>
  </si>
  <si>
    <t>No. of Units</t>
  </si>
  <si>
    <t>Authorized Signatory
Name &amp; Seal of the agency</t>
  </si>
  <si>
    <t>Axis Goregaon</t>
  </si>
  <si>
    <t>TW Gardens</t>
  </si>
  <si>
    <t>P51800024368</t>
  </si>
  <si>
    <t>809-A/1/19-A/5 &amp; 809-A/1/19-A/6</t>
  </si>
  <si>
    <t>Poisar</t>
  </si>
  <si>
    <t>Gokul Towers Road</t>
  </si>
  <si>
    <t>Borivali</t>
  </si>
  <si>
    <t>About 4.7 Km from Kandivali Railway Station</t>
  </si>
  <si>
    <t>Internal Road</t>
  </si>
  <si>
    <t>Thakur Public School</t>
  </si>
  <si>
    <t>CHE/A-3922/BP(WS)AR</t>
  </si>
  <si>
    <t>Kandivali</t>
  </si>
  <si>
    <t xml:space="preserve"> School</t>
  </si>
  <si>
    <t>Open Plot</t>
  </si>
  <si>
    <t>Pratiksha</t>
  </si>
  <si>
    <t>A Wing</t>
  </si>
  <si>
    <t>B Wing</t>
  </si>
  <si>
    <t>1st Floor</t>
  </si>
  <si>
    <t>2nd Floor</t>
  </si>
  <si>
    <t>3rd Floor</t>
  </si>
  <si>
    <t>4th Floor</t>
  </si>
  <si>
    <t>5th Floor</t>
  </si>
  <si>
    <t>3BHK</t>
  </si>
  <si>
    <t>Flat/Shop No.</t>
  </si>
  <si>
    <t xml:space="preserve">Residential </t>
  </si>
  <si>
    <t>Upper Class</t>
  </si>
  <si>
    <t>Developed</t>
  </si>
  <si>
    <t>Proposed no of Floors</t>
  </si>
  <si>
    <t>Ground Floor For Parking &amp; Departmental Store (Part Amenities)</t>
  </si>
  <si>
    <t>Market Research Data</t>
  </si>
  <si>
    <t>Source</t>
  </si>
  <si>
    <t>Distance from proposed property</t>
  </si>
  <si>
    <t>Net Carpet</t>
  </si>
  <si>
    <t>Saleable Area</t>
  </si>
  <si>
    <t>Rate on Saleable</t>
  </si>
  <si>
    <t>Market Value</t>
  </si>
  <si>
    <t>99 Acres</t>
  </si>
  <si>
    <t>Average</t>
  </si>
  <si>
    <t xml:space="preserve">Valuation Adopted </t>
  </si>
  <si>
    <t>2BHK</t>
  </si>
  <si>
    <t>4BHK</t>
  </si>
  <si>
    <t>M/s.Vasudev C.Wadhwa Construction</t>
  </si>
  <si>
    <t>Construction details:</t>
  </si>
  <si>
    <t>Floors</t>
  </si>
  <si>
    <t xml:space="preserve">Stage of construction: </t>
  </si>
  <si>
    <t>All work Completed. OC Received.</t>
  </si>
  <si>
    <t>Slab/Floor</t>
  </si>
  <si>
    <t>Complition %</t>
  </si>
  <si>
    <t>Progress %</t>
  </si>
  <si>
    <t>Disbursement %</t>
  </si>
  <si>
    <t>Piling Work in process</t>
  </si>
  <si>
    <t>Excavation</t>
  </si>
  <si>
    <t>RCC (Including podiums)</t>
  </si>
  <si>
    <t>Brickwork</t>
  </si>
  <si>
    <t>Brickwork &amp; Internal Plaster</t>
  </si>
  <si>
    <t>Internal Plaster</t>
  </si>
  <si>
    <t>Basement 1</t>
  </si>
  <si>
    <t>Ext. Plaster &amp; Plumbing</t>
  </si>
  <si>
    <t>External Plaster &amp; Plumbing</t>
  </si>
  <si>
    <t>Basement 2</t>
  </si>
  <si>
    <t>Flooring &amp; Fitting</t>
  </si>
  <si>
    <t>Basement 3</t>
  </si>
  <si>
    <t>Painting &amp; Wooden</t>
  </si>
  <si>
    <t>Basement 4</t>
  </si>
  <si>
    <t>Building Common Amenities</t>
  </si>
  <si>
    <t>Possession</t>
  </si>
  <si>
    <t>Meter Room</t>
  </si>
  <si>
    <t>6th Floor</t>
  </si>
  <si>
    <t>Refuge Area</t>
  </si>
  <si>
    <t>Mumbai</t>
  </si>
  <si>
    <t>8,00,000/-</t>
  </si>
  <si>
    <t>Recommended rate of the flat Per Sq. Ft. (on Saleable area)</t>
  </si>
  <si>
    <t>02 Wings</t>
  </si>
  <si>
    <t>B Wing = 2B + G + 1st To 5th Level Podium + 6th to 36th Floor</t>
  </si>
  <si>
    <t>A &amp; B Wing = 2B + G + 1st To 5th Level Podium + 6th to 36th Floor</t>
  </si>
  <si>
    <t>A Wing = 2B + G + 1st To 5th Level Podium + 6th to 36th Floor</t>
  </si>
  <si>
    <t>2.5BHK</t>
  </si>
  <si>
    <t>A &amp; B Wing</t>
  </si>
  <si>
    <t>Location Link</t>
  </si>
  <si>
    <t>https://goo.gl/maps/cv9Rkn7jLaJoNseH9?coh=178572&amp;entry=tt</t>
  </si>
  <si>
    <t xml:space="preserve">Office No. 1031, Wing J, Akshar Business Park, Plot No. 03 Sector 25, Near APMC Market, 
Vashi, Navi Mumbai, Maharashtra 400703 TEL: 022-46090378/79/8
E mail : vsjcapf@gmail.com. Web site : www.vsjadon.com </t>
  </si>
  <si>
    <t>19.2097347,72.8733853</t>
  </si>
  <si>
    <t>1st Floor for Residential (Part Podium)</t>
  </si>
  <si>
    <t>2nd Floor for Residential (Part Podium)</t>
  </si>
  <si>
    <t>3rd Floor for Residential (Part Podium)</t>
  </si>
  <si>
    <t>4th Floor for Residential (Part Podium)</t>
  </si>
  <si>
    <t>5th Floor for Residential (Part Podium)</t>
  </si>
  <si>
    <t>6th Floor for Residential (Part Podium)</t>
  </si>
  <si>
    <t>16th &amp; 26th Floor</t>
  </si>
  <si>
    <t>18th Floor</t>
  </si>
  <si>
    <t>14th, 21st &amp; 28th Floor (Part Refuge Area)</t>
  </si>
  <si>
    <t>24th &amp; 25th Floor</t>
  </si>
  <si>
    <t>30th Floor</t>
  </si>
  <si>
    <t>32nd Floor</t>
  </si>
  <si>
    <t>33rd Floor</t>
  </si>
  <si>
    <t>34th Floor</t>
  </si>
  <si>
    <t>Refuge Area &amp; Store Room</t>
  </si>
  <si>
    <t>36th Floor</t>
  </si>
  <si>
    <t>36th Floor (Part Terrace Area)</t>
  </si>
  <si>
    <t>35th Floor (Part Refuge Area)</t>
  </si>
  <si>
    <t>Terrace Area</t>
  </si>
  <si>
    <t>1st &amp; 2nd Basement Floor for Parking &amp; Tanks</t>
  </si>
  <si>
    <t>6th Floor for Residential (Part Podium) &amp; Fitness Center</t>
  </si>
  <si>
    <t>7th Floor (Part Refuge Area)</t>
  </si>
  <si>
    <t>6BHK</t>
  </si>
  <si>
    <t>1BHK</t>
  </si>
  <si>
    <t>part refuge at 3rd flat</t>
  </si>
  <si>
    <r>
      <t>7th</t>
    </r>
    <r>
      <rPr>
        <b/>
        <sz val="12"/>
        <color indexed="8"/>
        <rFont val="Times New Roman"/>
        <family val="1"/>
      </rPr>
      <t xml:space="preserve"> Floor (Part Refuge Area)</t>
    </r>
  </si>
  <si>
    <t>8th to 13th, 15th, 17th, 19th, 20th, 22nd, 23rd, 27th, 29th &amp; 31st Floor</t>
  </si>
  <si>
    <t>Flats = 410</t>
  </si>
  <si>
    <t>Layout Plan :</t>
  </si>
  <si>
    <t>17000 to 18600 &amp; OC</t>
  </si>
  <si>
    <t>Nikhil</t>
  </si>
  <si>
    <t>Cost Sheet</t>
  </si>
  <si>
    <t xml:space="preserve">Society Formation </t>
  </si>
  <si>
    <t>45,000/-</t>
  </si>
  <si>
    <t>Water &amp; MSEB</t>
  </si>
  <si>
    <t>50,000/-</t>
  </si>
  <si>
    <t>Amenties Charges</t>
  </si>
  <si>
    <t>2,00,000/-</t>
  </si>
  <si>
    <t>Gas Connection</t>
  </si>
  <si>
    <t>25,000/-</t>
  </si>
  <si>
    <t>Consultancy Charges</t>
  </si>
  <si>
    <t>1,36,000/-</t>
  </si>
  <si>
    <t>Contact Details ( Name &amp; Contact No.)</t>
  </si>
  <si>
    <t>CHE/A-3922/BP(WS) AR/FCC/6/Amend
Valid Up to: This C.C. extended further for entire work of proposed building No. 1 comprising of 2nd level basement for Municipal Parking Lot use + 1st level basement partly for Municipal Parking Lot use &amp; partly for building services and parking for building u/ref. + Wing ‘A’ &amp; 'B' comprising of Ground floor for Departmental Store + 1st to 5th level podium for Surface parking and partly for residential users + 6th stilt to 36th upper residential floors + LMR &amp; OHT
as per the approved amended plans dated 19.05.2023.</t>
  </si>
  <si>
    <t>Valid upto date: 
08/03/2024</t>
  </si>
  <si>
    <t>CHE/A-3922/BP(WS) AR/OCC/1/New
Approved upto : Wing ‘A’ &amp; ‘B’ with 1st Basement (Partly to be handed over to BMC as a parking Lot and part Basement for commercial/Residential Parking), 2nd Level Basement (to be handed over to BMC as a parking Lot) and Ground Floor (Departmental Store).</t>
  </si>
  <si>
    <t>CHE/A-3922/BP(WS) AR/OCC/1/New
Approved upto : Wing ‘B’ Part 2nd basement + Part 1st basement + Ground floor (Pt.) for stilt + 1st Podium (Pt.) to 5th Podium (Pt.) for Parking &amp; Part Residential floors + 6th podium (Pt.) with Part Residential floor + 7th to 36th upper Residential floors.</t>
  </si>
  <si>
    <t>Disbursment %</t>
  </si>
  <si>
    <t>Pooja</t>
  </si>
  <si>
    <t>Rahul Salve</t>
  </si>
  <si>
    <t>CHE/A-3922/BP(WS) AR/OCC/2/New
Approved upto : Building No. 1 Wing ‘A &amp; B’ with common 1st Basement &amp; 2nd Basement + Ground floor for stilt &amp; Departmental Store + 1st Podium to 5th Podium for Parking &amp; Part Residential floors + 6th podium with Fitness Center &amp; Part Residential floor + 7th to 35th+ 36th (pt.) upper Residential floors of Wing ‘A’ &amp; 7th to 36th upper Residential floors of Wing ‘B’.</t>
  </si>
  <si>
    <t>Projected life of the structure: 60 Years</t>
  </si>
  <si>
    <t>Material laying at Site: Nothing</t>
  </si>
  <si>
    <t>Completed</t>
  </si>
  <si>
    <t>Wheather the construction is as per approved Building plan : Yes</t>
  </si>
  <si>
    <r>
      <t xml:space="preserve">1. A &amp; B Wing - All work Completed. OC Received.
2. We considered Saleable area as per our calculation.
3. We considered Carpet area as per Approved Plan.
4. We considered Gross carpet area = Net carpet.
5. We have considered rate by verifying it from market inquire.
6. Car parking is subjected to authentic documentation.
7. We have updated latest Plans (on 31/05/2023).
</t>
    </r>
    <r>
      <rPr>
        <b/>
        <sz val="12"/>
        <color theme="1"/>
        <rFont val="Times New Roman"/>
        <family val="1"/>
      </rPr>
      <t>8. In Wing A, Flat No. 3 &amp; 4 is merged and mentioned as 3 on 16th, 26th, 32nd, 35th Floor.
      Flat No. 5 &amp; 6 is merged and mentioned as 5 on 30th &amp; 35th Floor.
      Flat No. 7 &amp; 8 is merged and mentioned as 7 on 18th Floor.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9. In Wing B, Flat No.1 &amp; 2 is merged and mentioned as 1 on 32nd to 36th Floor.
      Flat No. 4 &amp; 5 is merged and mentioned as 4 on 24th, 25th, 35th &amp; 36th Floor.
10. The construction percentage is given as per the proposed number of floors.
11. We have updated revised approved CC for Wing A &amp; B (on 08/11/2023).
12. We have updated OC from MCGM site (On 18/08/2024).
13. We have updated full OC for Wing A &amp; B (On 16/07/2025).
14. On site we met Ms. Nikita : 8928707701.</t>
    </r>
    <r>
      <rPr>
        <b/>
        <sz val="12"/>
        <color rgb="FFFF0000"/>
        <rFont val="Times New Roman"/>
        <family val="1"/>
      </rPr>
      <t xml:space="preserve">
8. On Site, we meet Mr. Jayesh - 9869801680.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</si>
</sst>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"/>
    <numFmt numFmtId="166" formatCode="_(* #,##0_);_(* \(#,##0\);_(* &quot;-&quot;??_);_(@_)"/>
  </numFmts>
  <fonts count="23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1.5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/>
    <xf numFmtId="0" fontId="2" fillId="0" borderId="0"/>
    <xf numFmtId="9" fontId="11" fillId="0" borderId="0" applyFont="0" applyFill="0" applyBorder="0" applyAlignment="0" applyProtection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90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 wrapText="1"/>
    </xf>
    <xf numFmtId="0" fontId="0" fillId="3" borderId="4" xfId="0" applyFill="1" applyBorder="1"/>
    <xf numFmtId="0" fontId="0" fillId="0" borderId="9" xfId="0" applyBorder="1"/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0" fontId="0" fillId="0" borderId="4" xfId="0" applyBorder="1"/>
    <xf numFmtId="0" fontId="10" fillId="0" borderId="4" xfId="0" applyFont="1" applyBorder="1" applyAlignment="1">
      <alignment horizontal="center" vertical="center"/>
    </xf>
    <xf numFmtId="0" fontId="7" fillId="0" borderId="0" xfId="1" applyFont="1"/>
    <xf numFmtId="0" fontId="6" fillId="2" borderId="4" xfId="1" applyFont="1" applyFill="1" applyBorder="1" applyAlignment="1">
      <alignment vertical="top"/>
    </xf>
    <xf numFmtId="0" fontId="6" fillId="0" borderId="0" xfId="2" applyFont="1"/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0" fillId="0" borderId="0" xfId="1" applyFont="1"/>
    <xf numFmtId="0" fontId="6" fillId="2" borderId="4" xfId="1" applyFont="1" applyFill="1" applyBorder="1" applyAlignment="1">
      <alignment horizontal="left" vertical="top"/>
    </xf>
    <xf numFmtId="0" fontId="16" fillId="0" borderId="0" xfId="0" applyFont="1"/>
    <xf numFmtId="0" fontId="16" fillId="0" borderId="4" xfId="0" applyFont="1" applyBorder="1"/>
    <xf numFmtId="0" fontId="17" fillId="0" borderId="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3" borderId="4" xfId="0" applyFont="1" applyFill="1" applyBorder="1"/>
    <xf numFmtId="0" fontId="16" fillId="0" borderId="4" xfId="0" applyFont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9" fontId="16" fillId="0" borderId="0" xfId="4" applyFont="1" applyBorder="1"/>
    <xf numFmtId="0" fontId="15" fillId="0" borderId="4" xfId="0" applyFont="1" applyBorder="1" applyAlignment="1">
      <alignment horizontal="center"/>
    </xf>
    <xf numFmtId="0" fontId="16" fillId="0" borderId="0" xfId="0" applyFont="1" applyAlignment="1">
      <alignment wrapText="1"/>
    </xf>
    <xf numFmtId="0" fontId="16" fillId="0" borderId="13" xfId="0" applyFont="1" applyBorder="1"/>
    <xf numFmtId="0" fontId="16" fillId="0" borderId="4" xfId="0" applyFont="1" applyBorder="1" applyAlignment="1">
      <alignment wrapText="1"/>
    </xf>
    <xf numFmtId="9" fontId="16" fillId="0" borderId="4" xfId="4" applyFont="1" applyBorder="1"/>
    <xf numFmtId="9" fontId="16" fillId="0" borderId="0" xfId="0" applyNumberFormat="1" applyFont="1"/>
    <xf numFmtId="0" fontId="16" fillId="0" borderId="0" xfId="0" applyFont="1" applyAlignment="1">
      <alignment horizontal="right"/>
    </xf>
    <xf numFmtId="1" fontId="7" fillId="0" borderId="4" xfId="0" applyNumberFormat="1" applyFont="1" applyBorder="1" applyAlignment="1">
      <alignment horizontal="center" vertical="center"/>
    </xf>
    <xf numFmtId="1" fontId="10" fillId="0" borderId="4" xfId="1" applyNumberFormat="1" applyFont="1" applyBorder="1" applyAlignment="1">
      <alignment horizontal="center" vertical="top" wrapText="1"/>
    </xf>
    <xf numFmtId="1" fontId="17" fillId="0" borderId="4" xfId="1" applyNumberFormat="1" applyFont="1" applyBorder="1" applyAlignment="1">
      <alignment horizontal="center" vertical="top" wrapText="1"/>
    </xf>
    <xf numFmtId="0" fontId="13" fillId="0" borderId="0" xfId="0" applyFont="1"/>
    <xf numFmtId="14" fontId="0" fillId="0" borderId="0" xfId="0" applyNumberFormat="1"/>
    <xf numFmtId="0" fontId="5" fillId="0" borderId="0" xfId="5"/>
    <xf numFmtId="0" fontId="1" fillId="0" borderId="0" xfId="6"/>
    <xf numFmtId="0" fontId="9" fillId="0" borderId="4" xfId="6" applyFont="1" applyBorder="1" applyAlignment="1">
      <alignment horizontal="center" vertical="top" wrapText="1"/>
    </xf>
    <xf numFmtId="0" fontId="1" fillId="0" borderId="4" xfId="6" applyBorder="1" applyAlignment="1">
      <alignment horizontal="center" vertical="center"/>
    </xf>
    <xf numFmtId="0" fontId="1" fillId="0" borderId="4" xfId="6" applyBorder="1" applyAlignment="1">
      <alignment horizontal="left" vertical="center"/>
    </xf>
    <xf numFmtId="1" fontId="1" fillId="0" borderId="4" xfId="6" applyNumberFormat="1" applyBorder="1" applyAlignment="1">
      <alignment horizontal="center" vertical="center"/>
    </xf>
    <xf numFmtId="166" fontId="1" fillId="0" borderId="4" xfId="7" applyNumberFormat="1" applyFont="1" applyBorder="1" applyAlignment="1">
      <alignment horizontal="right" vertical="center"/>
    </xf>
    <xf numFmtId="0" fontId="9" fillId="0" borderId="4" xfId="6" applyFont="1" applyBorder="1" applyAlignment="1">
      <alignment horizontal="center" vertical="center"/>
    </xf>
    <xf numFmtId="1" fontId="19" fillId="0" borderId="4" xfId="6" applyNumberFormat="1" applyFont="1" applyBorder="1" applyAlignment="1">
      <alignment horizontal="center" vertical="center"/>
    </xf>
    <xf numFmtId="0" fontId="5" fillId="0" borderId="4" xfId="5" applyBorder="1" applyAlignment="1">
      <alignment horizontal="center" vertical="center"/>
    </xf>
    <xf numFmtId="0" fontId="20" fillId="0" borderId="0" xfId="5" applyFont="1"/>
    <xf numFmtId="0" fontId="13" fillId="0" borderId="16" xfId="1" applyFont="1" applyBorder="1" applyAlignment="1" applyProtection="1">
      <alignment horizontal="center" vertical="top"/>
      <protection locked="0"/>
    </xf>
    <xf numFmtId="0" fontId="13" fillId="0" borderId="4" xfId="1" applyFont="1" applyBorder="1" applyAlignment="1" applyProtection="1">
      <alignment horizontal="center" vertical="top"/>
      <protection locked="0"/>
    </xf>
    <xf numFmtId="0" fontId="7" fillId="0" borderId="0" xfId="1" applyFont="1" applyProtection="1">
      <protection hidden="1"/>
    </xf>
    <xf numFmtId="0" fontId="16" fillId="0" borderId="0" xfId="0" applyFont="1" applyProtection="1">
      <protection hidden="1"/>
    </xf>
    <xf numFmtId="1" fontId="0" fillId="0" borderId="0" xfId="0" applyNumberFormat="1"/>
    <xf numFmtId="1" fontId="0" fillId="0" borderId="0" xfId="0" applyNumberFormat="1" applyAlignment="1">
      <alignment horizontal="right"/>
    </xf>
    <xf numFmtId="1" fontId="7" fillId="0" borderId="0" xfId="1" applyNumberFormat="1" applyFont="1" applyAlignment="1">
      <alignment horizontal="center" vertical="center"/>
    </xf>
    <xf numFmtId="0" fontId="13" fillId="0" borderId="1" xfId="1" applyFont="1" applyBorder="1" applyAlignment="1" applyProtection="1">
      <alignment horizontal="center" vertical="top"/>
      <protection locked="0"/>
    </xf>
    <xf numFmtId="0" fontId="13" fillId="0" borderId="4" xfId="1" applyFont="1" applyBorder="1" applyAlignment="1" applyProtection="1">
      <alignment horizontal="center" vertical="top" wrapText="1"/>
      <protection locked="0"/>
    </xf>
    <xf numFmtId="0" fontId="13" fillId="0" borderId="4" xfId="1" applyFont="1" applyBorder="1" applyAlignment="1" applyProtection="1">
      <alignment horizontal="center" wrapText="1"/>
      <protection locked="0"/>
    </xf>
    <xf numFmtId="1" fontId="13" fillId="0" borderId="4" xfId="1" applyNumberFormat="1" applyFont="1" applyBorder="1" applyAlignment="1" applyProtection="1">
      <alignment horizontal="center" wrapText="1"/>
      <protection locked="0"/>
    </xf>
    <xf numFmtId="0" fontId="13" fillId="0" borderId="19" xfId="1" applyFont="1" applyBorder="1" applyAlignment="1" applyProtection="1">
      <alignment horizontal="center" wrapText="1"/>
      <protection locked="0"/>
    </xf>
    <xf numFmtId="14" fontId="6" fillId="2" borderId="4" xfId="1" applyNumberFormat="1" applyFont="1" applyFill="1" applyBorder="1" applyAlignment="1">
      <alignment horizontal="left" vertical="top"/>
    </xf>
    <xf numFmtId="2" fontId="7" fillId="0" borderId="0" xfId="1" applyNumberFormat="1" applyFont="1" applyAlignment="1">
      <alignment horizontal="center" vertical="center"/>
    </xf>
    <xf numFmtId="1" fontId="6" fillId="0" borderId="13" xfId="1" applyNumberFormat="1" applyFont="1" applyBorder="1" applyAlignment="1">
      <alignment horizontal="center" vertical="center" wrapText="1"/>
    </xf>
    <xf numFmtId="1" fontId="13" fillId="0" borderId="4" xfId="1" applyNumberFormat="1" applyFont="1" applyBorder="1" applyAlignment="1">
      <alignment horizontal="center" vertical="center" wrapText="1"/>
    </xf>
    <xf numFmtId="1" fontId="13" fillId="0" borderId="13" xfId="1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" fontId="10" fillId="0" borderId="27" xfId="0" applyNumberFormat="1" applyFont="1" applyBorder="1" applyAlignment="1">
      <alignment horizontal="center" vertical="center"/>
    </xf>
    <xf numFmtId="14" fontId="7" fillId="0" borderId="0" xfId="1" applyNumberFormat="1" applyFont="1"/>
    <xf numFmtId="0" fontId="8" fillId="2" borderId="4" xfId="1" applyFont="1" applyFill="1" applyBorder="1" applyAlignment="1">
      <alignment horizontal="left" vertical="top"/>
    </xf>
    <xf numFmtId="0" fontId="13" fillId="0" borderId="16" xfId="1" applyFont="1" applyBorder="1" applyAlignment="1" applyProtection="1">
      <alignment horizontal="center" vertical="top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0" fontId="13" fillId="0" borderId="4" xfId="1" applyFont="1" applyBorder="1" applyAlignment="1" applyProtection="1">
      <alignment horizontal="center" vertical="top"/>
      <protection locked="0"/>
    </xf>
    <xf numFmtId="0" fontId="13" fillId="0" borderId="4" xfId="1" applyFont="1" applyBorder="1" applyAlignment="1" applyProtection="1">
      <alignment horizontal="center" vertical="top" wrapText="1"/>
      <protection locked="0"/>
    </xf>
    <xf numFmtId="0" fontId="13" fillId="0" borderId="13" xfId="1" applyFont="1" applyBorder="1" applyAlignment="1" applyProtection="1">
      <alignment horizontal="center" wrapText="1"/>
      <protection locked="0"/>
    </xf>
    <xf numFmtId="0" fontId="13" fillId="0" borderId="13" xfId="1" applyFont="1" applyBorder="1" applyAlignment="1" applyProtection="1">
      <alignment horizontal="center" vertical="top"/>
      <protection locked="0"/>
    </xf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1" fontId="6" fillId="0" borderId="7" xfId="1" applyNumberFormat="1" applyFont="1" applyBorder="1" applyAlignment="1">
      <alignment horizontal="center" vertical="center" wrapText="1"/>
    </xf>
    <xf numFmtId="0" fontId="13" fillId="0" borderId="16" xfId="1" applyFont="1" applyBorder="1" applyAlignment="1" applyProtection="1">
      <alignment horizontal="center" vertical="top" wrapText="1"/>
      <protection locked="0"/>
    </xf>
    <xf numFmtId="0" fontId="13" fillId="0" borderId="1" xfId="1" applyFont="1" applyBorder="1" applyAlignment="1" applyProtection="1">
      <alignment horizontal="center" vertical="top" wrapText="1"/>
      <protection locked="0"/>
    </xf>
    <xf numFmtId="9" fontId="13" fillId="2" borderId="4" xfId="1" applyNumberFormat="1" applyFont="1" applyFill="1" applyBorder="1" applyAlignment="1" applyProtection="1">
      <alignment horizontal="center" vertical="center" wrapText="1"/>
      <protection hidden="1"/>
    </xf>
    <xf numFmtId="0" fontId="13" fillId="0" borderId="31" xfId="1" applyFont="1" applyBorder="1" applyAlignment="1" applyProtection="1">
      <alignment horizontal="center" vertical="top" wrapText="1"/>
      <protection locked="0"/>
    </xf>
    <xf numFmtId="0" fontId="13" fillId="0" borderId="5" xfId="1" applyFont="1" applyBorder="1" applyAlignment="1" applyProtection="1">
      <alignment horizontal="center" vertical="top" wrapText="1"/>
      <protection locked="0"/>
    </xf>
    <xf numFmtId="9" fontId="13" fillId="2" borderId="13" xfId="1" applyNumberFormat="1" applyFont="1" applyFill="1" applyBorder="1" applyAlignment="1" applyProtection="1">
      <alignment horizontal="center" vertical="center" wrapText="1"/>
      <protection hidden="1"/>
    </xf>
    <xf numFmtId="0" fontId="14" fillId="0" borderId="14" xfId="1" applyFont="1" applyBorder="1" applyAlignment="1" applyProtection="1">
      <alignment horizontal="center" vertical="top" wrapText="1"/>
      <protection locked="0"/>
    </xf>
    <xf numFmtId="0" fontId="14" fillId="0" borderId="15" xfId="1" applyFont="1" applyBorder="1" applyAlignment="1" applyProtection="1">
      <alignment horizontal="center" vertical="top" wrapText="1"/>
      <protection locked="0"/>
    </xf>
    <xf numFmtId="0" fontId="14" fillId="0" borderId="23" xfId="1" applyFont="1" applyBorder="1" applyAlignment="1" applyProtection="1">
      <alignment horizontal="left" vertical="top" wrapText="1"/>
      <protection locked="0"/>
    </xf>
    <xf numFmtId="0" fontId="14" fillId="0" borderId="24" xfId="1" applyFont="1" applyBorder="1" applyAlignment="1" applyProtection="1">
      <alignment horizontal="left" vertical="top" wrapText="1"/>
      <protection locked="0"/>
    </xf>
    <xf numFmtId="0" fontId="13" fillId="0" borderId="13" xfId="1" applyFont="1" applyBorder="1" applyAlignment="1" applyProtection="1">
      <alignment horizontal="center" vertical="top"/>
      <protection locked="0"/>
    </xf>
    <xf numFmtId="0" fontId="13" fillId="0" borderId="32" xfId="1" applyFont="1" applyBorder="1" applyAlignment="1" applyProtection="1">
      <alignment horizontal="center" vertical="top"/>
      <protection locked="0"/>
    </xf>
    <xf numFmtId="0" fontId="14" fillId="0" borderId="16" xfId="1" applyFont="1" applyBorder="1" applyAlignment="1" applyProtection="1">
      <alignment horizontal="left" vertical="top" wrapText="1"/>
      <protection locked="0"/>
    </xf>
    <xf numFmtId="0" fontId="14" fillId="0" borderId="4" xfId="1" applyFont="1" applyBorder="1" applyAlignment="1" applyProtection="1">
      <alignment horizontal="left" vertical="top" wrapText="1"/>
      <protection locked="0"/>
    </xf>
    <xf numFmtId="0" fontId="14" fillId="0" borderId="17" xfId="1" applyFont="1" applyBorder="1" applyAlignment="1" applyProtection="1">
      <alignment horizontal="left" vertical="top" wrapText="1"/>
      <protection locked="0"/>
    </xf>
    <xf numFmtId="0" fontId="13" fillId="0" borderId="21" xfId="1" applyFont="1" applyBorder="1" applyAlignment="1" applyProtection="1">
      <alignment horizontal="center" vertical="top" wrapText="1"/>
      <protection locked="0"/>
    </xf>
    <xf numFmtId="0" fontId="13" fillId="0" borderId="2" xfId="1" applyFont="1" applyBorder="1" applyAlignment="1" applyProtection="1">
      <alignment horizontal="center" vertical="top" wrapText="1"/>
      <protection locked="0"/>
    </xf>
    <xf numFmtId="0" fontId="13" fillId="0" borderId="4" xfId="1" applyFont="1" applyBorder="1" applyAlignment="1" applyProtection="1">
      <alignment horizontal="center" vertical="top" wrapText="1"/>
      <protection locked="0"/>
    </xf>
    <xf numFmtId="0" fontId="13" fillId="0" borderId="17" xfId="1" applyFont="1" applyBorder="1" applyAlignment="1" applyProtection="1">
      <alignment horizontal="center" vertical="top" wrapText="1"/>
      <protection locked="0"/>
    </xf>
    <xf numFmtId="1" fontId="6" fillId="0" borderId="11" xfId="1" applyNumberFormat="1" applyFont="1" applyBorder="1" applyAlignment="1">
      <alignment horizontal="center" vertical="center" wrapText="1"/>
    </xf>
    <xf numFmtId="1" fontId="6" fillId="0" borderId="12" xfId="1" applyNumberFormat="1" applyFont="1" applyBorder="1" applyAlignment="1">
      <alignment horizontal="center" vertical="center" wrapText="1"/>
    </xf>
    <xf numFmtId="1" fontId="6" fillId="0" borderId="8" xfId="1" applyNumberFormat="1" applyFont="1" applyBorder="1" applyAlignment="1">
      <alignment horizontal="center" vertical="center" wrapText="1"/>
    </xf>
    <xf numFmtId="1" fontId="6" fillId="0" borderId="10" xfId="1" applyNumberFormat="1" applyFont="1" applyBorder="1" applyAlignment="1">
      <alignment horizontal="center" vertical="center" wrapText="1"/>
    </xf>
    <xf numFmtId="9" fontId="13" fillId="2" borderId="17" xfId="1" applyNumberFormat="1" applyFont="1" applyFill="1" applyBorder="1" applyAlignment="1" applyProtection="1">
      <alignment horizontal="center" vertical="center" wrapText="1"/>
      <protection hidden="1"/>
    </xf>
    <xf numFmtId="9" fontId="13" fillId="2" borderId="32" xfId="1" applyNumberFormat="1" applyFont="1" applyFill="1" applyBorder="1" applyAlignment="1" applyProtection="1">
      <alignment horizontal="center" vertical="center" wrapText="1"/>
      <protection hidden="1"/>
    </xf>
    <xf numFmtId="0" fontId="13" fillId="0" borderId="16" xfId="1" applyFont="1" applyBorder="1" applyAlignment="1" applyProtection="1">
      <alignment horizontal="center" vertical="top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1" fontId="6" fillId="0" borderId="2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/>
    </xf>
    <xf numFmtId="0" fontId="13" fillId="0" borderId="2" xfId="1" applyFont="1" applyBorder="1" applyAlignment="1">
      <alignment horizontal="left" vertical="top"/>
    </xf>
    <xf numFmtId="0" fontId="13" fillId="0" borderId="3" xfId="1" applyFont="1" applyBorder="1" applyAlignment="1">
      <alignment horizontal="left" vertical="top"/>
    </xf>
    <xf numFmtId="9" fontId="13" fillId="2" borderId="19" xfId="1" applyNumberFormat="1" applyFont="1" applyFill="1" applyBorder="1" applyAlignment="1" applyProtection="1">
      <alignment horizontal="center" vertical="center" wrapText="1"/>
      <protection hidden="1"/>
    </xf>
    <xf numFmtId="9" fontId="13" fillId="2" borderId="20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6" fillId="0" borderId="3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 wrapText="1"/>
    </xf>
    <xf numFmtId="1" fontId="8" fillId="0" borderId="4" xfId="0" applyNumberFormat="1" applyFont="1" applyBorder="1" applyAlignment="1">
      <alignment horizontal="left" vertical="top" wrapText="1"/>
    </xf>
    <xf numFmtId="0" fontId="14" fillId="0" borderId="4" xfId="2" applyFont="1" applyBorder="1" applyAlignment="1">
      <alignment horizontal="left" vertical="top" wrapText="1"/>
    </xf>
    <xf numFmtId="0" fontId="6" fillId="0" borderId="1" xfId="1" applyFont="1" applyBorder="1" applyAlignment="1">
      <alignment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1" fontId="8" fillId="0" borderId="25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1" fontId="14" fillId="0" borderId="28" xfId="0" applyNumberFormat="1" applyFont="1" applyBorder="1" applyAlignment="1">
      <alignment horizontal="center" vertical="top" wrapText="1"/>
    </xf>
    <xf numFmtId="1" fontId="14" fillId="0" borderId="26" xfId="0" applyNumberFormat="1" applyFont="1" applyBorder="1" applyAlignment="1">
      <alignment horizontal="center" vertical="top" wrapText="1"/>
    </xf>
    <xf numFmtId="1" fontId="14" fillId="0" borderId="29" xfId="0" applyNumberFormat="1" applyFont="1" applyBorder="1" applyAlignment="1">
      <alignment horizontal="center" vertical="top" wrapText="1"/>
    </xf>
    <xf numFmtId="1" fontId="8" fillId="0" borderId="28" xfId="0" applyNumberFormat="1" applyFont="1" applyBorder="1" applyAlignment="1">
      <alignment horizontal="center" vertical="top" wrapText="1"/>
    </xf>
    <xf numFmtId="1" fontId="8" fillId="0" borderId="26" xfId="0" applyNumberFormat="1" applyFont="1" applyBorder="1" applyAlignment="1">
      <alignment horizontal="center" vertical="top" wrapText="1"/>
    </xf>
    <xf numFmtId="1" fontId="8" fillId="0" borderId="30" xfId="0" applyNumberFormat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1" fontId="10" fillId="0" borderId="1" xfId="1" applyNumberFormat="1" applyFont="1" applyBorder="1" applyAlignment="1">
      <alignment horizontal="center" vertical="top" wrapText="1"/>
    </xf>
    <xf numFmtId="1" fontId="10" fillId="0" borderId="3" xfId="1" applyNumberFormat="1" applyFont="1" applyBorder="1" applyAlignment="1">
      <alignment horizontal="center" vertical="top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  <xf numFmtId="1" fontId="7" fillId="0" borderId="7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13" fillId="2" borderId="1" xfId="1" applyFont="1" applyFill="1" applyBorder="1" applyAlignment="1">
      <alignment horizontal="left" vertical="top" wrapText="1"/>
    </xf>
    <xf numFmtId="0" fontId="13" fillId="2" borderId="2" xfId="1" applyFont="1" applyFill="1" applyBorder="1" applyAlignment="1">
      <alignment horizontal="left" vertical="top" wrapText="1"/>
    </xf>
    <xf numFmtId="0" fontId="13" fillId="2" borderId="3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8" fillId="0" borderId="2" xfId="1" applyFont="1" applyBorder="1" applyAlignment="1">
      <alignment horizontal="left" vertical="top"/>
    </xf>
    <xf numFmtId="0" fontId="8" fillId="0" borderId="3" xfId="1" applyFont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/>
    </xf>
    <xf numFmtId="0" fontId="6" fillId="2" borderId="2" xfId="1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left" vertical="top"/>
    </xf>
    <xf numFmtId="0" fontId="14" fillId="2" borderId="1" xfId="1" applyFont="1" applyFill="1" applyBorder="1" applyAlignment="1">
      <alignment horizontal="left" vertical="top"/>
    </xf>
    <xf numFmtId="0" fontId="14" fillId="2" borderId="2" xfId="1" applyFont="1" applyFill="1" applyBorder="1" applyAlignment="1">
      <alignment horizontal="left" vertical="top"/>
    </xf>
    <xf numFmtId="0" fontId="14" fillId="2" borderId="3" xfId="1" applyFont="1" applyFill="1" applyBorder="1" applyAlignment="1">
      <alignment horizontal="left" vertical="top"/>
    </xf>
    <xf numFmtId="0" fontId="14" fillId="0" borderId="1" xfId="1" applyFont="1" applyBorder="1" applyAlignment="1">
      <alignment horizontal="left" vertical="top"/>
    </xf>
    <xf numFmtId="0" fontId="14" fillId="0" borderId="3" xfId="1" applyFont="1" applyBorder="1" applyAlignment="1">
      <alignment horizontal="left" vertical="top"/>
    </xf>
    <xf numFmtId="0" fontId="14" fillId="0" borderId="1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13" fillId="0" borderId="8" xfId="1" applyFont="1" applyBorder="1" applyAlignment="1">
      <alignment horizontal="left" vertical="top"/>
    </xf>
    <xf numFmtId="0" fontId="13" fillId="0" borderId="9" xfId="1" applyFont="1" applyBorder="1" applyAlignment="1">
      <alignment horizontal="left" vertical="top"/>
    </xf>
    <xf numFmtId="0" fontId="13" fillId="0" borderId="10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3" xfId="1" applyFont="1" applyBorder="1" applyAlignment="1">
      <alignment vertical="top"/>
    </xf>
    <xf numFmtId="0" fontId="6" fillId="0" borderId="1" xfId="1" applyFont="1" applyBorder="1" applyAlignment="1">
      <alignment horizontal="center" vertical="top"/>
    </xf>
    <xf numFmtId="0" fontId="6" fillId="0" borderId="3" xfId="1" applyFont="1" applyBorder="1" applyAlignment="1">
      <alignment horizontal="center" vertical="top"/>
    </xf>
    <xf numFmtId="0" fontId="13" fillId="0" borderId="1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4" fillId="0" borderId="1" xfId="1" applyFont="1" applyBorder="1" applyAlignment="1" applyProtection="1">
      <alignment horizontal="left" vertical="top" wrapText="1"/>
      <protection locked="0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3" fillId="0" borderId="22" xfId="1" applyFont="1" applyBorder="1" applyAlignment="1" applyProtection="1">
      <alignment horizontal="center" vertical="top" wrapText="1"/>
      <protection locked="0"/>
    </xf>
    <xf numFmtId="0" fontId="13" fillId="0" borderId="4" xfId="1" applyFont="1" applyBorder="1" applyAlignment="1" applyProtection="1">
      <alignment horizontal="center" vertical="top"/>
      <protection locked="0"/>
    </xf>
    <xf numFmtId="0" fontId="13" fillId="0" borderId="17" xfId="1" applyFont="1" applyBorder="1" applyAlignment="1" applyProtection="1">
      <alignment horizontal="center" vertical="top"/>
      <protection locked="0"/>
    </xf>
    <xf numFmtId="0" fontId="6" fillId="0" borderId="4" xfId="1" applyFont="1" applyBorder="1" applyAlignment="1">
      <alignment horizontal="left" vertical="top"/>
    </xf>
    <xf numFmtId="14" fontId="6" fillId="0" borderId="4" xfId="1" applyNumberFormat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top"/>
    </xf>
    <xf numFmtId="0" fontId="7" fillId="0" borderId="3" xfId="1" applyFont="1" applyBorder="1" applyAlignment="1">
      <alignment horizontal="left"/>
    </xf>
    <xf numFmtId="14" fontId="6" fillId="0" borderId="1" xfId="1" applyNumberFormat="1" applyFont="1" applyBorder="1" applyAlignment="1">
      <alignment horizontal="left" vertical="top" wrapText="1"/>
    </xf>
    <xf numFmtId="14" fontId="6" fillId="0" borderId="2" xfId="1" applyNumberFormat="1" applyFont="1" applyBorder="1" applyAlignment="1">
      <alignment horizontal="left" vertical="top" wrapText="1"/>
    </xf>
    <xf numFmtId="14" fontId="6" fillId="0" borderId="3" xfId="1" applyNumberFormat="1" applyFont="1" applyBorder="1" applyAlignment="1">
      <alignment horizontal="left" vertical="top" wrapText="1"/>
    </xf>
    <xf numFmtId="0" fontId="6" fillId="2" borderId="4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14" fontId="8" fillId="0" borderId="1" xfId="1" applyNumberFormat="1" applyFont="1" applyBorder="1" applyAlignment="1">
      <alignment horizontal="left" vertical="top" wrapText="1"/>
    </xf>
    <xf numFmtId="14" fontId="8" fillId="0" borderId="2" xfId="1" applyNumberFormat="1" applyFont="1" applyBorder="1" applyAlignment="1">
      <alignment horizontal="left" vertical="top" wrapText="1"/>
    </xf>
    <xf numFmtId="14" fontId="8" fillId="0" borderId="3" xfId="1" applyNumberFormat="1" applyFont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2" borderId="2" xfId="1" applyFont="1" applyFill="1" applyBorder="1" applyAlignment="1">
      <alignment horizontal="left" vertical="top"/>
    </xf>
    <xf numFmtId="0" fontId="8" fillId="2" borderId="3" xfId="1" applyFont="1" applyFill="1" applyBorder="1" applyAlignment="1">
      <alignment horizontal="left" vertical="top"/>
    </xf>
    <xf numFmtId="0" fontId="6" fillId="0" borderId="8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13" fillId="0" borderId="4" xfId="1" applyFont="1" applyBorder="1" applyAlignment="1">
      <alignment horizontal="left" vertical="top"/>
    </xf>
    <xf numFmtId="0" fontId="6" fillId="0" borderId="5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7" fillId="0" borderId="1" xfId="1" applyFont="1" applyBorder="1" applyAlignment="1" applyProtection="1">
      <alignment horizontal="left" vertical="center" wrapText="1"/>
      <protection locked="0"/>
    </xf>
    <xf numFmtId="0" fontId="7" fillId="0" borderId="2" xfId="1" applyFont="1" applyBorder="1" applyAlignment="1" applyProtection="1">
      <alignment horizontal="left" vertical="center" wrapText="1"/>
      <protection locked="0"/>
    </xf>
    <xf numFmtId="0" fontId="7" fillId="0" borderId="3" xfId="1" applyFont="1" applyBorder="1" applyAlignment="1" applyProtection="1">
      <alignment horizontal="left" vertical="center" wrapText="1"/>
      <protection locked="0"/>
    </xf>
    <xf numFmtId="0" fontId="6" fillId="2" borderId="4" xfId="1" applyFont="1" applyFill="1" applyBorder="1" applyAlignment="1">
      <alignment horizontal="left" vertical="top"/>
    </xf>
    <xf numFmtId="0" fontId="6" fillId="0" borderId="4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/>
    </xf>
    <xf numFmtId="0" fontId="6" fillId="0" borderId="6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8" xfId="1" applyFont="1" applyBorder="1" applyAlignment="1">
      <alignment horizontal="left" vertical="top"/>
    </xf>
    <xf numFmtId="0" fontId="6" fillId="0" borderId="9" xfId="1" applyFont="1" applyBorder="1" applyAlignment="1">
      <alignment horizontal="left" vertical="top"/>
    </xf>
    <xf numFmtId="0" fontId="6" fillId="0" borderId="10" xfId="1" applyFont="1" applyBorder="1" applyAlignment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14" fontId="6" fillId="0" borderId="2" xfId="1" applyNumberFormat="1" applyFont="1" applyBorder="1" applyAlignment="1">
      <alignment horizontal="left" vertical="top"/>
    </xf>
    <xf numFmtId="14" fontId="6" fillId="0" borderId="3" xfId="1" applyNumberFormat="1" applyFont="1" applyBorder="1" applyAlignment="1">
      <alignment horizontal="left" vertical="top"/>
    </xf>
    <xf numFmtId="0" fontId="12" fillId="0" borderId="1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18" fillId="0" borderId="4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left"/>
    </xf>
    <xf numFmtId="0" fontId="7" fillId="0" borderId="1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9" xfId="1" applyNumberFormat="1" applyFont="1" applyBorder="1" applyAlignment="1">
      <alignment horizontal="center" vertical="center" wrapText="1"/>
    </xf>
    <xf numFmtId="1" fontId="13" fillId="0" borderId="1" xfId="1" applyNumberFormat="1" applyFont="1" applyBorder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0" fontId="14" fillId="0" borderId="33" xfId="1" applyFont="1" applyBorder="1" applyAlignment="1" applyProtection="1">
      <alignment horizontal="center" vertical="center" wrapText="1"/>
      <protection locked="0"/>
    </xf>
    <xf numFmtId="0" fontId="14" fillId="0" borderId="7" xfId="1" applyFont="1" applyBorder="1" applyAlignment="1" applyProtection="1">
      <alignment horizontal="center" vertical="center" wrapText="1"/>
      <protection locked="0"/>
    </xf>
    <xf numFmtId="0" fontId="14" fillId="0" borderId="35" xfId="1" applyFont="1" applyBorder="1" applyAlignment="1" applyProtection="1">
      <alignment horizontal="center" vertical="center" wrapText="1"/>
      <protection locked="0"/>
    </xf>
    <xf numFmtId="0" fontId="14" fillId="0" borderId="36" xfId="1" applyFont="1" applyBorder="1" applyAlignment="1" applyProtection="1">
      <alignment horizontal="center" vertical="center" wrapText="1"/>
      <protection locked="0"/>
    </xf>
    <xf numFmtId="9" fontId="14" fillId="0" borderId="5" xfId="1" applyNumberFormat="1" applyFont="1" applyBorder="1" applyAlignment="1" applyProtection="1">
      <alignment horizontal="center" vertical="center" wrapText="1"/>
      <protection locked="0"/>
    </xf>
    <xf numFmtId="0" fontId="14" fillId="0" borderId="6" xfId="1" applyFont="1" applyBorder="1" applyAlignment="1" applyProtection="1">
      <alignment horizontal="center" vertical="center" wrapText="1"/>
      <protection locked="0"/>
    </xf>
    <xf numFmtId="0" fontId="14" fillId="0" borderId="37" xfId="1" applyFont="1" applyBorder="1" applyAlignment="1" applyProtection="1">
      <alignment horizontal="center" vertical="center" wrapText="1"/>
      <protection locked="0"/>
    </xf>
    <xf numFmtId="0" fontId="14" fillId="0" borderId="38" xfId="1" applyFont="1" applyBorder="1" applyAlignment="1" applyProtection="1">
      <alignment horizontal="center" vertical="center" wrapText="1"/>
      <protection locked="0"/>
    </xf>
    <xf numFmtId="9" fontId="14" fillId="2" borderId="5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7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37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36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6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34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38" xfId="1" applyNumberFormat="1" applyFont="1" applyFill="1" applyBorder="1" applyAlignment="1" applyProtection="1">
      <alignment horizontal="center" vertical="center" wrapText="1"/>
      <protection hidden="1"/>
    </xf>
    <xf numFmtId="9" fontId="14" fillId="2" borderId="39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6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5" fillId="0" borderId="4" xfId="0" applyFont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8" fillId="0" borderId="4" xfId="1" applyFont="1" applyBorder="1" applyAlignment="1">
      <alignment horizontal="left" vertical="top"/>
    </xf>
    <xf numFmtId="0" fontId="21" fillId="0" borderId="4" xfId="8" applyFill="1" applyBorder="1" applyAlignment="1">
      <alignment horizontal="left" vertical="top"/>
    </xf>
    <xf numFmtId="0" fontId="13" fillId="0" borderId="4" xfId="1" applyFont="1" applyBorder="1" applyAlignment="1" applyProtection="1">
      <alignment horizontal="left" vertical="center" wrapText="1"/>
      <protection locked="0"/>
    </xf>
    <xf numFmtId="2" fontId="6" fillId="0" borderId="4" xfId="1" applyNumberFormat="1" applyFont="1" applyBorder="1" applyAlignment="1">
      <alignment horizontal="left" vertical="top" wrapText="1"/>
    </xf>
    <xf numFmtId="165" fontId="6" fillId="0" borderId="4" xfId="1" applyNumberFormat="1" applyFont="1" applyBorder="1" applyAlignment="1">
      <alignment horizontal="left" vertical="top"/>
    </xf>
    <xf numFmtId="2" fontId="6" fillId="0" borderId="4" xfId="1" applyNumberFormat="1" applyFont="1" applyBorder="1" applyAlignment="1">
      <alignment horizontal="left" vertical="top"/>
    </xf>
    <xf numFmtId="0" fontId="8" fillId="0" borderId="1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1" fontId="6" fillId="0" borderId="4" xfId="1" applyNumberFormat="1" applyFont="1" applyBorder="1" applyAlignment="1">
      <alignment horizontal="center" vertical="center" wrapText="1"/>
    </xf>
  </cellXfs>
  <cellStyles count="9">
    <cellStyle name="Comma 2" xfId="7"/>
    <cellStyle name="Excel Built-in Normal" xfId="2"/>
    <cellStyle name="Excel Built-in Normal 2" xfId="5"/>
    <cellStyle name="Hyperlink" xfId="8" builtinId="8"/>
    <cellStyle name="Normal" xfId="0" builtinId="0"/>
    <cellStyle name="Normal 2" xfId="3"/>
    <cellStyle name="Normal 3" xfId="1"/>
    <cellStyle name="Normal 4" xfId="6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eg"/><Relationship Id="rId1" Type="http://schemas.openxmlformats.org/officeDocument/2006/relationships/image" Target="../media/image2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eg"/><Relationship Id="rId1" Type="http://schemas.openxmlformats.org/officeDocument/2006/relationships/image" Target="../media/image2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384832</xdr:colOff>
      <xdr:row>427</xdr:row>
      <xdr:rowOff>48013</xdr:rowOff>
    </xdr:from>
    <xdr:to>
      <xdr:col>8</xdr:col>
      <xdr:colOff>100098</xdr:colOff>
      <xdr:row>441</xdr:row>
      <xdr:rowOff>145056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1156" y="91734542"/>
          <a:ext cx="4802736" cy="29209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392414</xdr:colOff>
      <xdr:row>442</xdr:row>
      <xdr:rowOff>63304</xdr:rowOff>
    </xdr:from>
    <xdr:to>
      <xdr:col>8</xdr:col>
      <xdr:colOff>95469</xdr:colOff>
      <xdr:row>456</xdr:row>
      <xdr:rowOff>163272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8738" y="94775422"/>
          <a:ext cx="4790525" cy="292385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15</xdr:col>
      <xdr:colOff>204032</xdr:colOff>
      <xdr:row>365</xdr:row>
      <xdr:rowOff>137583</xdr:rowOff>
    </xdr:from>
    <xdr:ext cx="836126" cy="342786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329107" y="55677858"/>
          <a:ext cx="836126" cy="3427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600" b="1">
              <a:solidFill>
                <a:srgbClr val="FF0000"/>
              </a:solidFill>
            </a:rPr>
            <a:t>B Wing </a:t>
          </a:r>
        </a:p>
      </xdr:txBody>
    </xdr:sp>
    <xdr:clientData/>
  </xdr:oneCellAnchor>
  <xdr:twoCellAnchor editAs="oneCell">
    <xdr:from>
      <xdr:col>0</xdr:col>
      <xdr:colOff>381004</xdr:colOff>
      <xdr:row>388</xdr:row>
      <xdr:rowOff>112060</xdr:rowOff>
    </xdr:from>
    <xdr:to>
      <xdr:col>9</xdr:col>
      <xdr:colOff>236916</xdr:colOff>
      <xdr:row>404</xdr:row>
      <xdr:rowOff>142004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4" y="82714517"/>
          <a:ext cx="6125847" cy="321046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94592</xdr:colOff>
      <xdr:row>405</xdr:row>
      <xdr:rowOff>117811</xdr:rowOff>
    </xdr:from>
    <xdr:to>
      <xdr:col>7</xdr:col>
      <xdr:colOff>366445</xdr:colOff>
      <xdr:row>423</xdr:row>
      <xdr:rowOff>8416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004" y="87165105"/>
          <a:ext cx="3600000" cy="35213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</xdr:col>
      <xdr:colOff>851647</xdr:colOff>
      <xdr:row>394</xdr:row>
      <xdr:rowOff>115957</xdr:rowOff>
    </xdr:from>
    <xdr:to>
      <xdr:col>6</xdr:col>
      <xdr:colOff>33618</xdr:colOff>
      <xdr:row>401</xdr:row>
      <xdr:rowOff>100853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08777" y="83911109"/>
          <a:ext cx="1724732" cy="1376374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6</xdr:col>
      <xdr:colOff>17930</xdr:colOff>
      <xdr:row>394</xdr:row>
      <xdr:rowOff>118782</xdr:rowOff>
    </xdr:from>
    <xdr:to>
      <xdr:col>8</xdr:col>
      <xdr:colOff>129989</xdr:colOff>
      <xdr:row>401</xdr:row>
      <xdr:rowOff>96370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108077" y="84947311"/>
          <a:ext cx="1725706" cy="138953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oneCellAnchor>
    <xdr:from>
      <xdr:col>3</xdr:col>
      <xdr:colOff>331305</xdr:colOff>
      <xdr:row>392</xdr:row>
      <xdr:rowOff>198782</xdr:rowOff>
    </xdr:from>
    <xdr:ext cx="607089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65783" y="83596369"/>
          <a:ext cx="607089" cy="2645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 b="1"/>
            <a:t>Wing A</a:t>
          </a:r>
        </a:p>
      </xdr:txBody>
    </xdr:sp>
    <xdr:clientData/>
  </xdr:oneCellAnchor>
  <xdr:oneCellAnchor>
    <xdr:from>
      <xdr:col>6</xdr:col>
      <xdr:colOff>732183</xdr:colOff>
      <xdr:row>393</xdr:row>
      <xdr:rowOff>19878</xdr:rowOff>
    </xdr:from>
    <xdr:ext cx="607089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832074" y="83616248"/>
          <a:ext cx="607089" cy="2645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 b="1"/>
            <a:t>Wing B</a:t>
          </a:r>
        </a:p>
      </xdr:txBody>
    </xdr:sp>
    <xdr:clientData/>
  </xdr:oneCellAnchor>
  <xdr:oneCellAnchor>
    <xdr:from>
      <xdr:col>11</xdr:col>
      <xdr:colOff>0</xdr:colOff>
      <xdr:row>344</xdr:row>
      <xdr:rowOff>0</xdr:rowOff>
    </xdr:from>
    <xdr:ext cx="845424" cy="342786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053294" y="76551118"/>
          <a:ext cx="845424" cy="34278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 Wing </a:t>
          </a:r>
        </a:p>
      </xdr:txBody>
    </xdr:sp>
    <xdr:clientData/>
  </xdr:oneCellAnchor>
  <xdr:oneCellAnchor>
    <xdr:from>
      <xdr:col>15</xdr:col>
      <xdr:colOff>551057</xdr:colOff>
      <xdr:row>344</xdr:row>
      <xdr:rowOff>0</xdr:rowOff>
    </xdr:from>
    <xdr:ext cx="845424" cy="342786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1174233" y="76551118"/>
          <a:ext cx="845424" cy="34278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 Wing </a:t>
          </a:r>
        </a:p>
      </xdr:txBody>
    </xdr:sp>
    <xdr:clientData/>
  </xdr:oneCellAnchor>
  <xdr:twoCellAnchor>
    <xdr:from>
      <xdr:col>10</xdr:col>
      <xdr:colOff>238125</xdr:colOff>
      <xdr:row>343</xdr:row>
      <xdr:rowOff>161925</xdr:rowOff>
    </xdr:from>
    <xdr:to>
      <xdr:col>19</xdr:col>
      <xdr:colOff>192115</xdr:colOff>
      <xdr:row>384</xdr:row>
      <xdr:rowOff>175609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D7931139-0AED-4287-929F-7CA13D7A7353}"/>
            </a:ext>
          </a:extLst>
        </xdr:cNvPr>
        <xdr:cNvGrpSpPr/>
      </xdr:nvGrpSpPr>
      <xdr:grpSpPr>
        <a:xfrm>
          <a:off x="7413625" y="75599925"/>
          <a:ext cx="6176990" cy="8084534"/>
          <a:chOff x="718722" y="246184"/>
          <a:chExt cx="5897590" cy="8214709"/>
        </a:xfrm>
      </xdr:grpSpPr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8228E743-D9AF-4CEC-A67B-8582504AB2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731512" y="246184"/>
            <a:ext cx="2697187" cy="36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C3576158-2BDB-4645-AB06-300ADDB8E9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00388" y="246184"/>
            <a:ext cx="2697187" cy="36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80679446-6B7A-4975-9BDB-96860B3F1F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18722" y="4026876"/>
            <a:ext cx="1888030" cy="252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5" name="Picture 24">
            <a:extLst>
              <a:ext uri="{FF2B5EF4-FFF2-40B4-BE49-F238E27FC236}">
                <a16:creationId xmlns:a16="http://schemas.microsoft.com/office/drawing/2014/main" id="{5C07B9AC-D61C-4762-86E9-8FE1DACC42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717813" y="4026876"/>
            <a:ext cx="1888030" cy="252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3818BE6B-6D74-4678-996C-EEE3D0ED19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728282" y="4026876"/>
            <a:ext cx="1888030" cy="252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7" name="Picture 26">
            <a:extLst>
              <a:ext uri="{FF2B5EF4-FFF2-40B4-BE49-F238E27FC236}">
                <a16:creationId xmlns:a16="http://schemas.microsoft.com/office/drawing/2014/main" id="{6EB20213-1D1B-4B6E-82BF-50E7CF4396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251180" y="6660893"/>
            <a:ext cx="1348594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F7FAFE98-539A-4928-BF4A-3E8DED7628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740450" y="6660893"/>
            <a:ext cx="1348594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0" name="TextBox 46">
            <a:extLst>
              <a:ext uri="{FF2B5EF4-FFF2-40B4-BE49-F238E27FC236}">
                <a16:creationId xmlns:a16="http://schemas.microsoft.com/office/drawing/2014/main" id="{5A211163-FAAF-40FD-A26C-E1FABD5561DC}"/>
              </a:ext>
            </a:extLst>
          </xdr:cNvPr>
          <xdr:cNvSpPr txBox="1"/>
        </xdr:nvSpPr>
        <xdr:spPr>
          <a:xfrm>
            <a:off x="1295280" y="3476852"/>
            <a:ext cx="87556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rgbClr val="FF0000"/>
                </a:solidFill>
              </a:rPr>
              <a:t>Wing A</a:t>
            </a:r>
            <a:endParaRPr lang="en-IN" b="1">
              <a:solidFill>
                <a:srgbClr val="FF0000"/>
              </a:solidFill>
            </a:endParaRPr>
          </a:p>
        </xdr:txBody>
      </xdr:sp>
      <xdr:sp macro="" textlink="">
        <xdr:nvSpPr>
          <xdr:cNvPr id="31" name="TextBox 47">
            <a:extLst>
              <a:ext uri="{FF2B5EF4-FFF2-40B4-BE49-F238E27FC236}">
                <a16:creationId xmlns:a16="http://schemas.microsoft.com/office/drawing/2014/main" id="{083B982C-1493-48FC-AE26-9CE8F6444768}"/>
              </a:ext>
            </a:extLst>
          </xdr:cNvPr>
          <xdr:cNvSpPr txBox="1"/>
        </xdr:nvSpPr>
        <xdr:spPr>
          <a:xfrm>
            <a:off x="5604043" y="534359"/>
            <a:ext cx="86594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solidFill>
                  <a:srgbClr val="FF0000"/>
                </a:solidFill>
              </a:rPr>
              <a:t>Wing B</a:t>
            </a:r>
            <a:endParaRPr lang="en-IN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0</xdr:col>
      <xdr:colOff>368300</xdr:colOff>
      <xdr:row>344</xdr:row>
      <xdr:rowOff>146050</xdr:rowOff>
    </xdr:from>
    <xdr:to>
      <xdr:col>9</xdr:col>
      <xdr:colOff>284452</xdr:colOff>
      <xdr:row>381</xdr:row>
      <xdr:rowOff>138742</xdr:rowOff>
    </xdr:to>
    <xdr:grpSp>
      <xdr:nvGrpSpPr>
        <xdr:cNvPr id="5" name="Group 4"/>
        <xdr:cNvGrpSpPr/>
      </xdr:nvGrpSpPr>
      <xdr:grpSpPr>
        <a:xfrm>
          <a:off x="368300" y="75780900"/>
          <a:ext cx="6482052" cy="7276142"/>
          <a:chOff x="368300" y="75533250"/>
          <a:chExt cx="6482052" cy="7276142"/>
        </a:xfrm>
      </xdr:grpSpPr>
      <xdr:pic>
        <xdr:nvPicPr>
          <xdr:cNvPr id="38" name="Picture 37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76632" y="80649392"/>
            <a:ext cx="2865387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9" name="Picture 38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68300" y="75533250"/>
            <a:ext cx="2057724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0" name="Picture 39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73980" y="78379321"/>
            <a:ext cx="1624519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1" name="Picture 40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80464" y="75533250"/>
            <a:ext cx="2057724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2" name="Picture 41"/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792628" y="75533250"/>
            <a:ext cx="2057724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3" name="Picture 42"/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18404" y="78379321"/>
            <a:ext cx="1624519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4" name="Picture 43"/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929556" y="78379321"/>
            <a:ext cx="2876000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57838</xdr:colOff>
      <xdr:row>13</xdr:row>
      <xdr:rowOff>0</xdr:rowOff>
    </xdr:from>
    <xdr:to>
      <xdr:col>6</xdr:col>
      <xdr:colOff>60163</xdr:colOff>
      <xdr:row>31</xdr:row>
      <xdr:rowOff>171000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863" y="2857500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0</xdr:colOff>
      <xdr:row>32</xdr:row>
      <xdr:rowOff>168352</xdr:rowOff>
    </xdr:from>
    <xdr:to>
      <xdr:col>6</xdr:col>
      <xdr:colOff>2325</xdr:colOff>
      <xdr:row>51</xdr:row>
      <xdr:rowOff>148852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025" y="6645352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174691</xdr:colOff>
      <xdr:row>13</xdr:row>
      <xdr:rowOff>0</xdr:rowOff>
    </xdr:from>
    <xdr:to>
      <xdr:col>15</xdr:col>
      <xdr:colOff>81766</xdr:colOff>
      <xdr:row>31</xdr:row>
      <xdr:rowOff>171000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6516" y="2857500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191101</xdr:colOff>
      <xdr:row>32</xdr:row>
      <xdr:rowOff>186279</xdr:rowOff>
    </xdr:from>
    <xdr:to>
      <xdr:col>15</xdr:col>
      <xdr:colOff>98176</xdr:colOff>
      <xdr:row>51</xdr:row>
      <xdr:rowOff>166779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2926" y="6663279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333789</xdr:colOff>
      <xdr:row>13</xdr:row>
      <xdr:rowOff>22779</xdr:rowOff>
    </xdr:from>
    <xdr:to>
      <xdr:col>26</xdr:col>
      <xdr:colOff>345639</xdr:colOff>
      <xdr:row>32</xdr:row>
      <xdr:rowOff>3279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1664" y="2880279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25</xdr:row>
      <xdr:rowOff>0</xdr:rowOff>
    </xdr:from>
    <xdr:to>
      <xdr:col>7</xdr:col>
      <xdr:colOff>294337</xdr:colOff>
      <xdr:row>36</xdr:row>
      <xdr:rowOff>64500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25" y="3048000"/>
          <a:ext cx="1618312" cy="216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440125</xdr:colOff>
      <xdr:row>25</xdr:row>
      <xdr:rowOff>0</xdr:rowOff>
    </xdr:from>
    <xdr:to>
      <xdr:col>9</xdr:col>
      <xdr:colOff>334412</xdr:colOff>
      <xdr:row>36</xdr:row>
      <xdr:rowOff>64500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2225" y="3048000"/>
          <a:ext cx="1618312" cy="216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65313</xdr:rowOff>
    </xdr:from>
    <xdr:to>
      <xdr:col>7</xdr:col>
      <xdr:colOff>377428</xdr:colOff>
      <xdr:row>25</xdr:row>
      <xdr:rowOff>65313</xdr:rowOff>
    </xdr:to>
    <xdr:pic>
      <xdr:nvPicPr>
        <xdr:cNvPr id="2" name="Picture 1" descr="G:\Pratu Office\Pratu Office Work\AXIS Apf\March 2021\T W Gardens\insp-49989-919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9200" y="255813"/>
          <a:ext cx="3425428" cy="4572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557351</xdr:colOff>
      <xdr:row>1</xdr:row>
      <xdr:rowOff>0</xdr:rowOff>
    </xdr:from>
    <xdr:to>
      <xdr:col>13</xdr:col>
      <xdr:colOff>325179</xdr:colOff>
      <xdr:row>25</xdr:row>
      <xdr:rowOff>0</xdr:rowOff>
    </xdr:to>
    <xdr:pic>
      <xdr:nvPicPr>
        <xdr:cNvPr id="3" name="Picture 2" descr="G:\Pratu Office\Pratu Office Work\AXIS Apf\March 2021\T W Gardens\insp-49989-922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24551" y="190500"/>
          <a:ext cx="3425428" cy="4572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20</xdr:col>
      <xdr:colOff>607974</xdr:colOff>
      <xdr:row>74</xdr:row>
      <xdr:rowOff>75286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5800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cv9Rkn7jLaJoNseH9?coh=178572&amp;entry=tt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6"/>
  <sheetViews>
    <sheetView tabSelected="1" showWhiteSpace="0" view="pageBreakPreview" topLeftCell="A331" zoomScaleNormal="100" zoomScaleSheetLayoutView="100" zoomScalePageLayoutView="70" workbookViewId="0">
      <selection activeCell="A332" sqref="A332:J332"/>
    </sheetView>
  </sheetViews>
  <sheetFormatPr defaultRowHeight="15.5" x14ac:dyDescent="0.35"/>
  <cols>
    <col min="1" max="1" width="9.26953125" style="10" customWidth="1"/>
    <col min="2" max="2" width="14" style="10" customWidth="1"/>
    <col min="3" max="3" width="14.7265625" style="10" customWidth="1"/>
    <col min="4" max="4" width="7.26953125" style="10" customWidth="1"/>
    <col min="5" max="5" width="5.54296875" style="10" customWidth="1"/>
    <col min="6" max="6" width="10.54296875" style="10" customWidth="1"/>
    <col min="7" max="7" width="11.7265625" style="10" customWidth="1"/>
    <col min="8" max="8" width="12.453125" style="10" bestFit="1" customWidth="1"/>
    <col min="9" max="9" width="8.453125" style="10" customWidth="1"/>
    <col min="10" max="10" width="8.7265625" style="10" customWidth="1"/>
    <col min="11" max="11" width="12.453125" style="10" customWidth="1"/>
    <col min="12" max="15" width="9.26953125" style="10"/>
    <col min="16" max="16" width="11.7265625" style="10" bestFit="1" customWidth="1"/>
    <col min="17" max="256" width="9.26953125" style="10"/>
    <col min="257" max="257" width="8.7265625" style="10" customWidth="1"/>
    <col min="258" max="258" width="9.7265625" style="10" customWidth="1"/>
    <col min="259" max="259" width="14.453125" style="10" customWidth="1"/>
    <col min="260" max="260" width="7.26953125" style="10" customWidth="1"/>
    <col min="261" max="261" width="5.54296875" style="10" customWidth="1"/>
    <col min="262" max="262" width="9" style="10" customWidth="1"/>
    <col min="263" max="264" width="9.7265625" style="10" customWidth="1"/>
    <col min="265" max="265" width="11.26953125" style="10" customWidth="1"/>
    <col min="266" max="266" width="2.7265625" style="10" customWidth="1"/>
    <col min="267" max="267" width="3.54296875" style="10" customWidth="1"/>
    <col min="268" max="512" width="9.26953125" style="10"/>
    <col min="513" max="513" width="8.7265625" style="10" customWidth="1"/>
    <col min="514" max="514" width="9.7265625" style="10" customWidth="1"/>
    <col min="515" max="515" width="14.453125" style="10" customWidth="1"/>
    <col min="516" max="516" width="7.26953125" style="10" customWidth="1"/>
    <col min="517" max="517" width="5.54296875" style="10" customWidth="1"/>
    <col min="518" max="518" width="9" style="10" customWidth="1"/>
    <col min="519" max="520" width="9.7265625" style="10" customWidth="1"/>
    <col min="521" max="521" width="11.26953125" style="10" customWidth="1"/>
    <col min="522" max="522" width="2.7265625" style="10" customWidth="1"/>
    <col min="523" max="523" width="3.54296875" style="10" customWidth="1"/>
    <col min="524" max="768" width="9.26953125" style="10"/>
    <col min="769" max="769" width="8.7265625" style="10" customWidth="1"/>
    <col min="770" max="770" width="9.7265625" style="10" customWidth="1"/>
    <col min="771" max="771" width="14.453125" style="10" customWidth="1"/>
    <col min="772" max="772" width="7.26953125" style="10" customWidth="1"/>
    <col min="773" max="773" width="5.54296875" style="10" customWidth="1"/>
    <col min="774" max="774" width="9" style="10" customWidth="1"/>
    <col min="775" max="776" width="9.7265625" style="10" customWidth="1"/>
    <col min="777" max="777" width="11.26953125" style="10" customWidth="1"/>
    <col min="778" max="778" width="2.7265625" style="10" customWidth="1"/>
    <col min="779" max="779" width="3.54296875" style="10" customWidth="1"/>
    <col min="780" max="1024" width="9.26953125" style="10"/>
    <col min="1025" max="1025" width="8.7265625" style="10" customWidth="1"/>
    <col min="1026" max="1026" width="9.7265625" style="10" customWidth="1"/>
    <col min="1027" max="1027" width="14.453125" style="10" customWidth="1"/>
    <col min="1028" max="1028" width="7.26953125" style="10" customWidth="1"/>
    <col min="1029" max="1029" width="5.54296875" style="10" customWidth="1"/>
    <col min="1030" max="1030" width="9" style="10" customWidth="1"/>
    <col min="1031" max="1032" width="9.7265625" style="10" customWidth="1"/>
    <col min="1033" max="1033" width="11.26953125" style="10" customWidth="1"/>
    <col min="1034" max="1034" width="2.7265625" style="10" customWidth="1"/>
    <col min="1035" max="1035" width="3.54296875" style="10" customWidth="1"/>
    <col min="1036" max="1280" width="9.26953125" style="10"/>
    <col min="1281" max="1281" width="8.7265625" style="10" customWidth="1"/>
    <col min="1282" max="1282" width="9.7265625" style="10" customWidth="1"/>
    <col min="1283" max="1283" width="14.453125" style="10" customWidth="1"/>
    <col min="1284" max="1284" width="7.26953125" style="10" customWidth="1"/>
    <col min="1285" max="1285" width="5.54296875" style="10" customWidth="1"/>
    <col min="1286" max="1286" width="9" style="10" customWidth="1"/>
    <col min="1287" max="1288" width="9.7265625" style="10" customWidth="1"/>
    <col min="1289" max="1289" width="11.26953125" style="10" customWidth="1"/>
    <col min="1290" max="1290" width="2.7265625" style="10" customWidth="1"/>
    <col min="1291" max="1291" width="3.54296875" style="10" customWidth="1"/>
    <col min="1292" max="1536" width="9.26953125" style="10"/>
    <col min="1537" max="1537" width="8.7265625" style="10" customWidth="1"/>
    <col min="1538" max="1538" width="9.7265625" style="10" customWidth="1"/>
    <col min="1539" max="1539" width="14.453125" style="10" customWidth="1"/>
    <col min="1540" max="1540" width="7.26953125" style="10" customWidth="1"/>
    <col min="1541" max="1541" width="5.54296875" style="10" customWidth="1"/>
    <col min="1542" max="1542" width="9" style="10" customWidth="1"/>
    <col min="1543" max="1544" width="9.7265625" style="10" customWidth="1"/>
    <col min="1545" max="1545" width="11.26953125" style="10" customWidth="1"/>
    <col min="1546" max="1546" width="2.7265625" style="10" customWidth="1"/>
    <col min="1547" max="1547" width="3.54296875" style="10" customWidth="1"/>
    <col min="1548" max="1792" width="9.26953125" style="10"/>
    <col min="1793" max="1793" width="8.7265625" style="10" customWidth="1"/>
    <col min="1794" max="1794" width="9.7265625" style="10" customWidth="1"/>
    <col min="1795" max="1795" width="14.453125" style="10" customWidth="1"/>
    <col min="1796" max="1796" width="7.26953125" style="10" customWidth="1"/>
    <col min="1797" max="1797" width="5.54296875" style="10" customWidth="1"/>
    <col min="1798" max="1798" width="9" style="10" customWidth="1"/>
    <col min="1799" max="1800" width="9.7265625" style="10" customWidth="1"/>
    <col min="1801" max="1801" width="11.26953125" style="10" customWidth="1"/>
    <col min="1802" max="1802" width="2.7265625" style="10" customWidth="1"/>
    <col min="1803" max="1803" width="3.54296875" style="10" customWidth="1"/>
    <col min="1804" max="2048" width="9.26953125" style="10"/>
    <col min="2049" max="2049" width="8.7265625" style="10" customWidth="1"/>
    <col min="2050" max="2050" width="9.7265625" style="10" customWidth="1"/>
    <col min="2051" max="2051" width="14.453125" style="10" customWidth="1"/>
    <col min="2052" max="2052" width="7.26953125" style="10" customWidth="1"/>
    <col min="2053" max="2053" width="5.54296875" style="10" customWidth="1"/>
    <col min="2054" max="2054" width="9" style="10" customWidth="1"/>
    <col min="2055" max="2056" width="9.7265625" style="10" customWidth="1"/>
    <col min="2057" max="2057" width="11.26953125" style="10" customWidth="1"/>
    <col min="2058" max="2058" width="2.7265625" style="10" customWidth="1"/>
    <col min="2059" max="2059" width="3.54296875" style="10" customWidth="1"/>
    <col min="2060" max="2304" width="9.26953125" style="10"/>
    <col min="2305" max="2305" width="8.7265625" style="10" customWidth="1"/>
    <col min="2306" max="2306" width="9.7265625" style="10" customWidth="1"/>
    <col min="2307" max="2307" width="14.453125" style="10" customWidth="1"/>
    <col min="2308" max="2308" width="7.26953125" style="10" customWidth="1"/>
    <col min="2309" max="2309" width="5.54296875" style="10" customWidth="1"/>
    <col min="2310" max="2310" width="9" style="10" customWidth="1"/>
    <col min="2311" max="2312" width="9.7265625" style="10" customWidth="1"/>
    <col min="2313" max="2313" width="11.26953125" style="10" customWidth="1"/>
    <col min="2314" max="2314" width="2.7265625" style="10" customWidth="1"/>
    <col min="2315" max="2315" width="3.54296875" style="10" customWidth="1"/>
    <col min="2316" max="2560" width="9.26953125" style="10"/>
    <col min="2561" max="2561" width="8.7265625" style="10" customWidth="1"/>
    <col min="2562" max="2562" width="9.7265625" style="10" customWidth="1"/>
    <col min="2563" max="2563" width="14.453125" style="10" customWidth="1"/>
    <col min="2564" max="2564" width="7.26953125" style="10" customWidth="1"/>
    <col min="2565" max="2565" width="5.54296875" style="10" customWidth="1"/>
    <col min="2566" max="2566" width="9" style="10" customWidth="1"/>
    <col min="2567" max="2568" width="9.7265625" style="10" customWidth="1"/>
    <col min="2569" max="2569" width="11.26953125" style="10" customWidth="1"/>
    <col min="2570" max="2570" width="2.7265625" style="10" customWidth="1"/>
    <col min="2571" max="2571" width="3.54296875" style="10" customWidth="1"/>
    <col min="2572" max="2816" width="9.26953125" style="10"/>
    <col min="2817" max="2817" width="8.7265625" style="10" customWidth="1"/>
    <col min="2818" max="2818" width="9.7265625" style="10" customWidth="1"/>
    <col min="2819" max="2819" width="14.453125" style="10" customWidth="1"/>
    <col min="2820" max="2820" width="7.26953125" style="10" customWidth="1"/>
    <col min="2821" max="2821" width="5.54296875" style="10" customWidth="1"/>
    <col min="2822" max="2822" width="9" style="10" customWidth="1"/>
    <col min="2823" max="2824" width="9.7265625" style="10" customWidth="1"/>
    <col min="2825" max="2825" width="11.26953125" style="10" customWidth="1"/>
    <col min="2826" max="2826" width="2.7265625" style="10" customWidth="1"/>
    <col min="2827" max="2827" width="3.54296875" style="10" customWidth="1"/>
    <col min="2828" max="3072" width="9.26953125" style="10"/>
    <col min="3073" max="3073" width="8.7265625" style="10" customWidth="1"/>
    <col min="3074" max="3074" width="9.7265625" style="10" customWidth="1"/>
    <col min="3075" max="3075" width="14.453125" style="10" customWidth="1"/>
    <col min="3076" max="3076" width="7.26953125" style="10" customWidth="1"/>
    <col min="3077" max="3077" width="5.54296875" style="10" customWidth="1"/>
    <col min="3078" max="3078" width="9" style="10" customWidth="1"/>
    <col min="3079" max="3080" width="9.7265625" style="10" customWidth="1"/>
    <col min="3081" max="3081" width="11.26953125" style="10" customWidth="1"/>
    <col min="3082" max="3082" width="2.7265625" style="10" customWidth="1"/>
    <col min="3083" max="3083" width="3.54296875" style="10" customWidth="1"/>
    <col min="3084" max="3328" width="9.26953125" style="10"/>
    <col min="3329" max="3329" width="8.7265625" style="10" customWidth="1"/>
    <col min="3330" max="3330" width="9.7265625" style="10" customWidth="1"/>
    <col min="3331" max="3331" width="14.453125" style="10" customWidth="1"/>
    <col min="3332" max="3332" width="7.26953125" style="10" customWidth="1"/>
    <col min="3333" max="3333" width="5.54296875" style="10" customWidth="1"/>
    <col min="3334" max="3334" width="9" style="10" customWidth="1"/>
    <col min="3335" max="3336" width="9.7265625" style="10" customWidth="1"/>
    <col min="3337" max="3337" width="11.26953125" style="10" customWidth="1"/>
    <col min="3338" max="3338" width="2.7265625" style="10" customWidth="1"/>
    <col min="3339" max="3339" width="3.54296875" style="10" customWidth="1"/>
    <col min="3340" max="3584" width="9.26953125" style="10"/>
    <col min="3585" max="3585" width="8.7265625" style="10" customWidth="1"/>
    <col min="3586" max="3586" width="9.7265625" style="10" customWidth="1"/>
    <col min="3587" max="3587" width="14.453125" style="10" customWidth="1"/>
    <col min="3588" max="3588" width="7.26953125" style="10" customWidth="1"/>
    <col min="3589" max="3589" width="5.54296875" style="10" customWidth="1"/>
    <col min="3590" max="3590" width="9" style="10" customWidth="1"/>
    <col min="3591" max="3592" width="9.7265625" style="10" customWidth="1"/>
    <col min="3593" max="3593" width="11.26953125" style="10" customWidth="1"/>
    <col min="3594" max="3594" width="2.7265625" style="10" customWidth="1"/>
    <col min="3595" max="3595" width="3.54296875" style="10" customWidth="1"/>
    <col min="3596" max="3840" width="9.26953125" style="10"/>
    <col min="3841" max="3841" width="8.7265625" style="10" customWidth="1"/>
    <col min="3842" max="3842" width="9.7265625" style="10" customWidth="1"/>
    <col min="3843" max="3843" width="14.453125" style="10" customWidth="1"/>
    <col min="3844" max="3844" width="7.26953125" style="10" customWidth="1"/>
    <col min="3845" max="3845" width="5.54296875" style="10" customWidth="1"/>
    <col min="3846" max="3846" width="9" style="10" customWidth="1"/>
    <col min="3847" max="3848" width="9.7265625" style="10" customWidth="1"/>
    <col min="3849" max="3849" width="11.26953125" style="10" customWidth="1"/>
    <col min="3850" max="3850" width="2.7265625" style="10" customWidth="1"/>
    <col min="3851" max="3851" width="3.54296875" style="10" customWidth="1"/>
    <col min="3852" max="4096" width="9.26953125" style="10"/>
    <col min="4097" max="4097" width="8.7265625" style="10" customWidth="1"/>
    <col min="4098" max="4098" width="9.7265625" style="10" customWidth="1"/>
    <col min="4099" max="4099" width="14.453125" style="10" customWidth="1"/>
    <col min="4100" max="4100" width="7.26953125" style="10" customWidth="1"/>
    <col min="4101" max="4101" width="5.54296875" style="10" customWidth="1"/>
    <col min="4102" max="4102" width="9" style="10" customWidth="1"/>
    <col min="4103" max="4104" width="9.7265625" style="10" customWidth="1"/>
    <col min="4105" max="4105" width="11.26953125" style="10" customWidth="1"/>
    <col min="4106" max="4106" width="2.7265625" style="10" customWidth="1"/>
    <col min="4107" max="4107" width="3.54296875" style="10" customWidth="1"/>
    <col min="4108" max="4352" width="9.26953125" style="10"/>
    <col min="4353" max="4353" width="8.7265625" style="10" customWidth="1"/>
    <col min="4354" max="4354" width="9.7265625" style="10" customWidth="1"/>
    <col min="4355" max="4355" width="14.453125" style="10" customWidth="1"/>
    <col min="4356" max="4356" width="7.26953125" style="10" customWidth="1"/>
    <col min="4357" max="4357" width="5.54296875" style="10" customWidth="1"/>
    <col min="4358" max="4358" width="9" style="10" customWidth="1"/>
    <col min="4359" max="4360" width="9.7265625" style="10" customWidth="1"/>
    <col min="4361" max="4361" width="11.26953125" style="10" customWidth="1"/>
    <col min="4362" max="4362" width="2.7265625" style="10" customWidth="1"/>
    <col min="4363" max="4363" width="3.54296875" style="10" customWidth="1"/>
    <col min="4364" max="4608" width="9.26953125" style="10"/>
    <col min="4609" max="4609" width="8.7265625" style="10" customWidth="1"/>
    <col min="4610" max="4610" width="9.7265625" style="10" customWidth="1"/>
    <col min="4611" max="4611" width="14.453125" style="10" customWidth="1"/>
    <col min="4612" max="4612" width="7.26953125" style="10" customWidth="1"/>
    <col min="4613" max="4613" width="5.54296875" style="10" customWidth="1"/>
    <col min="4614" max="4614" width="9" style="10" customWidth="1"/>
    <col min="4615" max="4616" width="9.7265625" style="10" customWidth="1"/>
    <col min="4617" max="4617" width="11.26953125" style="10" customWidth="1"/>
    <col min="4618" max="4618" width="2.7265625" style="10" customWidth="1"/>
    <col min="4619" max="4619" width="3.54296875" style="10" customWidth="1"/>
    <col min="4620" max="4864" width="9.26953125" style="10"/>
    <col min="4865" max="4865" width="8.7265625" style="10" customWidth="1"/>
    <col min="4866" max="4866" width="9.7265625" style="10" customWidth="1"/>
    <col min="4867" max="4867" width="14.453125" style="10" customWidth="1"/>
    <col min="4868" max="4868" width="7.26953125" style="10" customWidth="1"/>
    <col min="4869" max="4869" width="5.54296875" style="10" customWidth="1"/>
    <col min="4870" max="4870" width="9" style="10" customWidth="1"/>
    <col min="4871" max="4872" width="9.7265625" style="10" customWidth="1"/>
    <col min="4873" max="4873" width="11.26953125" style="10" customWidth="1"/>
    <col min="4874" max="4874" width="2.7265625" style="10" customWidth="1"/>
    <col min="4875" max="4875" width="3.54296875" style="10" customWidth="1"/>
    <col min="4876" max="5120" width="9.26953125" style="10"/>
    <col min="5121" max="5121" width="8.7265625" style="10" customWidth="1"/>
    <col min="5122" max="5122" width="9.7265625" style="10" customWidth="1"/>
    <col min="5123" max="5123" width="14.453125" style="10" customWidth="1"/>
    <col min="5124" max="5124" width="7.26953125" style="10" customWidth="1"/>
    <col min="5125" max="5125" width="5.54296875" style="10" customWidth="1"/>
    <col min="5126" max="5126" width="9" style="10" customWidth="1"/>
    <col min="5127" max="5128" width="9.7265625" style="10" customWidth="1"/>
    <col min="5129" max="5129" width="11.26953125" style="10" customWidth="1"/>
    <col min="5130" max="5130" width="2.7265625" style="10" customWidth="1"/>
    <col min="5131" max="5131" width="3.54296875" style="10" customWidth="1"/>
    <col min="5132" max="5376" width="9.26953125" style="10"/>
    <col min="5377" max="5377" width="8.7265625" style="10" customWidth="1"/>
    <col min="5378" max="5378" width="9.7265625" style="10" customWidth="1"/>
    <col min="5379" max="5379" width="14.453125" style="10" customWidth="1"/>
    <col min="5380" max="5380" width="7.26953125" style="10" customWidth="1"/>
    <col min="5381" max="5381" width="5.54296875" style="10" customWidth="1"/>
    <col min="5382" max="5382" width="9" style="10" customWidth="1"/>
    <col min="5383" max="5384" width="9.7265625" style="10" customWidth="1"/>
    <col min="5385" max="5385" width="11.26953125" style="10" customWidth="1"/>
    <col min="5386" max="5386" width="2.7265625" style="10" customWidth="1"/>
    <col min="5387" max="5387" width="3.54296875" style="10" customWidth="1"/>
    <col min="5388" max="5632" width="9.26953125" style="10"/>
    <col min="5633" max="5633" width="8.7265625" style="10" customWidth="1"/>
    <col min="5634" max="5634" width="9.7265625" style="10" customWidth="1"/>
    <col min="5635" max="5635" width="14.453125" style="10" customWidth="1"/>
    <col min="5636" max="5636" width="7.26953125" style="10" customWidth="1"/>
    <col min="5637" max="5637" width="5.54296875" style="10" customWidth="1"/>
    <col min="5638" max="5638" width="9" style="10" customWidth="1"/>
    <col min="5639" max="5640" width="9.7265625" style="10" customWidth="1"/>
    <col min="5641" max="5641" width="11.26953125" style="10" customWidth="1"/>
    <col min="5642" max="5642" width="2.7265625" style="10" customWidth="1"/>
    <col min="5643" max="5643" width="3.54296875" style="10" customWidth="1"/>
    <col min="5644" max="5888" width="9.26953125" style="10"/>
    <col min="5889" max="5889" width="8.7265625" style="10" customWidth="1"/>
    <col min="5890" max="5890" width="9.7265625" style="10" customWidth="1"/>
    <col min="5891" max="5891" width="14.453125" style="10" customWidth="1"/>
    <col min="5892" max="5892" width="7.26953125" style="10" customWidth="1"/>
    <col min="5893" max="5893" width="5.54296875" style="10" customWidth="1"/>
    <col min="5894" max="5894" width="9" style="10" customWidth="1"/>
    <col min="5895" max="5896" width="9.7265625" style="10" customWidth="1"/>
    <col min="5897" max="5897" width="11.26953125" style="10" customWidth="1"/>
    <col min="5898" max="5898" width="2.7265625" style="10" customWidth="1"/>
    <col min="5899" max="5899" width="3.54296875" style="10" customWidth="1"/>
    <col min="5900" max="6144" width="9.26953125" style="10"/>
    <col min="6145" max="6145" width="8.7265625" style="10" customWidth="1"/>
    <col min="6146" max="6146" width="9.7265625" style="10" customWidth="1"/>
    <col min="6147" max="6147" width="14.453125" style="10" customWidth="1"/>
    <col min="6148" max="6148" width="7.26953125" style="10" customWidth="1"/>
    <col min="6149" max="6149" width="5.54296875" style="10" customWidth="1"/>
    <col min="6150" max="6150" width="9" style="10" customWidth="1"/>
    <col min="6151" max="6152" width="9.7265625" style="10" customWidth="1"/>
    <col min="6153" max="6153" width="11.26953125" style="10" customWidth="1"/>
    <col min="6154" max="6154" width="2.7265625" style="10" customWidth="1"/>
    <col min="6155" max="6155" width="3.54296875" style="10" customWidth="1"/>
    <col min="6156" max="6400" width="9.26953125" style="10"/>
    <col min="6401" max="6401" width="8.7265625" style="10" customWidth="1"/>
    <col min="6402" max="6402" width="9.7265625" style="10" customWidth="1"/>
    <col min="6403" max="6403" width="14.453125" style="10" customWidth="1"/>
    <col min="6404" max="6404" width="7.26953125" style="10" customWidth="1"/>
    <col min="6405" max="6405" width="5.54296875" style="10" customWidth="1"/>
    <col min="6406" max="6406" width="9" style="10" customWidth="1"/>
    <col min="6407" max="6408" width="9.7265625" style="10" customWidth="1"/>
    <col min="6409" max="6409" width="11.26953125" style="10" customWidth="1"/>
    <col min="6410" max="6410" width="2.7265625" style="10" customWidth="1"/>
    <col min="6411" max="6411" width="3.54296875" style="10" customWidth="1"/>
    <col min="6412" max="6656" width="9.26953125" style="10"/>
    <col min="6657" max="6657" width="8.7265625" style="10" customWidth="1"/>
    <col min="6658" max="6658" width="9.7265625" style="10" customWidth="1"/>
    <col min="6659" max="6659" width="14.453125" style="10" customWidth="1"/>
    <col min="6660" max="6660" width="7.26953125" style="10" customWidth="1"/>
    <col min="6661" max="6661" width="5.54296875" style="10" customWidth="1"/>
    <col min="6662" max="6662" width="9" style="10" customWidth="1"/>
    <col min="6663" max="6664" width="9.7265625" style="10" customWidth="1"/>
    <col min="6665" max="6665" width="11.26953125" style="10" customWidth="1"/>
    <col min="6666" max="6666" width="2.7265625" style="10" customWidth="1"/>
    <col min="6667" max="6667" width="3.54296875" style="10" customWidth="1"/>
    <col min="6668" max="6912" width="9.26953125" style="10"/>
    <col min="6913" max="6913" width="8.7265625" style="10" customWidth="1"/>
    <col min="6914" max="6914" width="9.7265625" style="10" customWidth="1"/>
    <col min="6915" max="6915" width="14.453125" style="10" customWidth="1"/>
    <col min="6916" max="6916" width="7.26953125" style="10" customWidth="1"/>
    <col min="6917" max="6917" width="5.54296875" style="10" customWidth="1"/>
    <col min="6918" max="6918" width="9" style="10" customWidth="1"/>
    <col min="6919" max="6920" width="9.7265625" style="10" customWidth="1"/>
    <col min="6921" max="6921" width="11.26953125" style="10" customWidth="1"/>
    <col min="6922" max="6922" width="2.7265625" style="10" customWidth="1"/>
    <col min="6923" max="6923" width="3.54296875" style="10" customWidth="1"/>
    <col min="6924" max="7168" width="9.26953125" style="10"/>
    <col min="7169" max="7169" width="8.7265625" style="10" customWidth="1"/>
    <col min="7170" max="7170" width="9.7265625" style="10" customWidth="1"/>
    <col min="7171" max="7171" width="14.453125" style="10" customWidth="1"/>
    <col min="7172" max="7172" width="7.26953125" style="10" customWidth="1"/>
    <col min="7173" max="7173" width="5.54296875" style="10" customWidth="1"/>
    <col min="7174" max="7174" width="9" style="10" customWidth="1"/>
    <col min="7175" max="7176" width="9.7265625" style="10" customWidth="1"/>
    <col min="7177" max="7177" width="11.26953125" style="10" customWidth="1"/>
    <col min="7178" max="7178" width="2.7265625" style="10" customWidth="1"/>
    <col min="7179" max="7179" width="3.54296875" style="10" customWidth="1"/>
    <col min="7180" max="7424" width="9.26953125" style="10"/>
    <col min="7425" max="7425" width="8.7265625" style="10" customWidth="1"/>
    <col min="7426" max="7426" width="9.7265625" style="10" customWidth="1"/>
    <col min="7427" max="7427" width="14.453125" style="10" customWidth="1"/>
    <col min="7428" max="7428" width="7.26953125" style="10" customWidth="1"/>
    <col min="7429" max="7429" width="5.54296875" style="10" customWidth="1"/>
    <col min="7430" max="7430" width="9" style="10" customWidth="1"/>
    <col min="7431" max="7432" width="9.7265625" style="10" customWidth="1"/>
    <col min="7433" max="7433" width="11.26953125" style="10" customWidth="1"/>
    <col min="7434" max="7434" width="2.7265625" style="10" customWidth="1"/>
    <col min="7435" max="7435" width="3.54296875" style="10" customWidth="1"/>
    <col min="7436" max="7680" width="9.26953125" style="10"/>
    <col min="7681" max="7681" width="8.7265625" style="10" customWidth="1"/>
    <col min="7682" max="7682" width="9.7265625" style="10" customWidth="1"/>
    <col min="7683" max="7683" width="14.453125" style="10" customWidth="1"/>
    <col min="7684" max="7684" width="7.26953125" style="10" customWidth="1"/>
    <col min="7685" max="7685" width="5.54296875" style="10" customWidth="1"/>
    <col min="7686" max="7686" width="9" style="10" customWidth="1"/>
    <col min="7687" max="7688" width="9.7265625" style="10" customWidth="1"/>
    <col min="7689" max="7689" width="11.26953125" style="10" customWidth="1"/>
    <col min="7690" max="7690" width="2.7265625" style="10" customWidth="1"/>
    <col min="7691" max="7691" width="3.54296875" style="10" customWidth="1"/>
    <col min="7692" max="7936" width="9.26953125" style="10"/>
    <col min="7937" max="7937" width="8.7265625" style="10" customWidth="1"/>
    <col min="7938" max="7938" width="9.7265625" style="10" customWidth="1"/>
    <col min="7939" max="7939" width="14.453125" style="10" customWidth="1"/>
    <col min="7940" max="7940" width="7.26953125" style="10" customWidth="1"/>
    <col min="7941" max="7941" width="5.54296875" style="10" customWidth="1"/>
    <col min="7942" max="7942" width="9" style="10" customWidth="1"/>
    <col min="7943" max="7944" width="9.7265625" style="10" customWidth="1"/>
    <col min="7945" max="7945" width="11.26953125" style="10" customWidth="1"/>
    <col min="7946" max="7946" width="2.7265625" style="10" customWidth="1"/>
    <col min="7947" max="7947" width="3.54296875" style="10" customWidth="1"/>
    <col min="7948" max="8192" width="9.26953125" style="10"/>
    <col min="8193" max="8193" width="8.7265625" style="10" customWidth="1"/>
    <col min="8194" max="8194" width="9.7265625" style="10" customWidth="1"/>
    <col min="8195" max="8195" width="14.453125" style="10" customWidth="1"/>
    <col min="8196" max="8196" width="7.26953125" style="10" customWidth="1"/>
    <col min="8197" max="8197" width="5.54296875" style="10" customWidth="1"/>
    <col min="8198" max="8198" width="9" style="10" customWidth="1"/>
    <col min="8199" max="8200" width="9.7265625" style="10" customWidth="1"/>
    <col min="8201" max="8201" width="11.26953125" style="10" customWidth="1"/>
    <col min="8202" max="8202" width="2.7265625" style="10" customWidth="1"/>
    <col min="8203" max="8203" width="3.54296875" style="10" customWidth="1"/>
    <col min="8204" max="8448" width="9.26953125" style="10"/>
    <col min="8449" max="8449" width="8.7265625" style="10" customWidth="1"/>
    <col min="8450" max="8450" width="9.7265625" style="10" customWidth="1"/>
    <col min="8451" max="8451" width="14.453125" style="10" customWidth="1"/>
    <col min="8452" max="8452" width="7.26953125" style="10" customWidth="1"/>
    <col min="8453" max="8453" width="5.54296875" style="10" customWidth="1"/>
    <col min="8454" max="8454" width="9" style="10" customWidth="1"/>
    <col min="8455" max="8456" width="9.7265625" style="10" customWidth="1"/>
    <col min="8457" max="8457" width="11.26953125" style="10" customWidth="1"/>
    <col min="8458" max="8458" width="2.7265625" style="10" customWidth="1"/>
    <col min="8459" max="8459" width="3.54296875" style="10" customWidth="1"/>
    <col min="8460" max="8704" width="9.26953125" style="10"/>
    <col min="8705" max="8705" width="8.7265625" style="10" customWidth="1"/>
    <col min="8706" max="8706" width="9.7265625" style="10" customWidth="1"/>
    <col min="8707" max="8707" width="14.453125" style="10" customWidth="1"/>
    <col min="8708" max="8708" width="7.26953125" style="10" customWidth="1"/>
    <col min="8709" max="8709" width="5.54296875" style="10" customWidth="1"/>
    <col min="8710" max="8710" width="9" style="10" customWidth="1"/>
    <col min="8711" max="8712" width="9.7265625" style="10" customWidth="1"/>
    <col min="8713" max="8713" width="11.26953125" style="10" customWidth="1"/>
    <col min="8714" max="8714" width="2.7265625" style="10" customWidth="1"/>
    <col min="8715" max="8715" width="3.54296875" style="10" customWidth="1"/>
    <col min="8716" max="8960" width="9.26953125" style="10"/>
    <col min="8961" max="8961" width="8.7265625" style="10" customWidth="1"/>
    <col min="8962" max="8962" width="9.7265625" style="10" customWidth="1"/>
    <col min="8963" max="8963" width="14.453125" style="10" customWidth="1"/>
    <col min="8964" max="8964" width="7.26953125" style="10" customWidth="1"/>
    <col min="8965" max="8965" width="5.54296875" style="10" customWidth="1"/>
    <col min="8966" max="8966" width="9" style="10" customWidth="1"/>
    <col min="8967" max="8968" width="9.7265625" style="10" customWidth="1"/>
    <col min="8969" max="8969" width="11.26953125" style="10" customWidth="1"/>
    <col min="8970" max="8970" width="2.7265625" style="10" customWidth="1"/>
    <col min="8971" max="8971" width="3.54296875" style="10" customWidth="1"/>
    <col min="8972" max="9216" width="9.26953125" style="10"/>
    <col min="9217" max="9217" width="8.7265625" style="10" customWidth="1"/>
    <col min="9218" max="9218" width="9.7265625" style="10" customWidth="1"/>
    <col min="9219" max="9219" width="14.453125" style="10" customWidth="1"/>
    <col min="9220" max="9220" width="7.26953125" style="10" customWidth="1"/>
    <col min="9221" max="9221" width="5.54296875" style="10" customWidth="1"/>
    <col min="9222" max="9222" width="9" style="10" customWidth="1"/>
    <col min="9223" max="9224" width="9.7265625" style="10" customWidth="1"/>
    <col min="9225" max="9225" width="11.26953125" style="10" customWidth="1"/>
    <col min="9226" max="9226" width="2.7265625" style="10" customWidth="1"/>
    <col min="9227" max="9227" width="3.54296875" style="10" customWidth="1"/>
    <col min="9228" max="9472" width="9.26953125" style="10"/>
    <col min="9473" max="9473" width="8.7265625" style="10" customWidth="1"/>
    <col min="9474" max="9474" width="9.7265625" style="10" customWidth="1"/>
    <col min="9475" max="9475" width="14.453125" style="10" customWidth="1"/>
    <col min="9476" max="9476" width="7.26953125" style="10" customWidth="1"/>
    <col min="9477" max="9477" width="5.54296875" style="10" customWidth="1"/>
    <col min="9478" max="9478" width="9" style="10" customWidth="1"/>
    <col min="9479" max="9480" width="9.7265625" style="10" customWidth="1"/>
    <col min="9481" max="9481" width="11.26953125" style="10" customWidth="1"/>
    <col min="9482" max="9482" width="2.7265625" style="10" customWidth="1"/>
    <col min="9483" max="9483" width="3.54296875" style="10" customWidth="1"/>
    <col min="9484" max="9728" width="9.26953125" style="10"/>
    <col min="9729" max="9729" width="8.7265625" style="10" customWidth="1"/>
    <col min="9730" max="9730" width="9.7265625" style="10" customWidth="1"/>
    <col min="9731" max="9731" width="14.453125" style="10" customWidth="1"/>
    <col min="9732" max="9732" width="7.26953125" style="10" customWidth="1"/>
    <col min="9733" max="9733" width="5.54296875" style="10" customWidth="1"/>
    <col min="9734" max="9734" width="9" style="10" customWidth="1"/>
    <col min="9735" max="9736" width="9.7265625" style="10" customWidth="1"/>
    <col min="9737" max="9737" width="11.26953125" style="10" customWidth="1"/>
    <col min="9738" max="9738" width="2.7265625" style="10" customWidth="1"/>
    <col min="9739" max="9739" width="3.54296875" style="10" customWidth="1"/>
    <col min="9740" max="9984" width="9.26953125" style="10"/>
    <col min="9985" max="9985" width="8.7265625" style="10" customWidth="1"/>
    <col min="9986" max="9986" width="9.7265625" style="10" customWidth="1"/>
    <col min="9987" max="9987" width="14.453125" style="10" customWidth="1"/>
    <col min="9988" max="9988" width="7.26953125" style="10" customWidth="1"/>
    <col min="9989" max="9989" width="5.54296875" style="10" customWidth="1"/>
    <col min="9990" max="9990" width="9" style="10" customWidth="1"/>
    <col min="9991" max="9992" width="9.7265625" style="10" customWidth="1"/>
    <col min="9993" max="9993" width="11.26953125" style="10" customWidth="1"/>
    <col min="9994" max="9994" width="2.7265625" style="10" customWidth="1"/>
    <col min="9995" max="9995" width="3.54296875" style="10" customWidth="1"/>
    <col min="9996" max="10240" width="9.26953125" style="10"/>
    <col min="10241" max="10241" width="8.7265625" style="10" customWidth="1"/>
    <col min="10242" max="10242" width="9.7265625" style="10" customWidth="1"/>
    <col min="10243" max="10243" width="14.453125" style="10" customWidth="1"/>
    <col min="10244" max="10244" width="7.26953125" style="10" customWidth="1"/>
    <col min="10245" max="10245" width="5.54296875" style="10" customWidth="1"/>
    <col min="10246" max="10246" width="9" style="10" customWidth="1"/>
    <col min="10247" max="10248" width="9.7265625" style="10" customWidth="1"/>
    <col min="10249" max="10249" width="11.26953125" style="10" customWidth="1"/>
    <col min="10250" max="10250" width="2.7265625" style="10" customWidth="1"/>
    <col min="10251" max="10251" width="3.54296875" style="10" customWidth="1"/>
    <col min="10252" max="10496" width="9.26953125" style="10"/>
    <col min="10497" max="10497" width="8.7265625" style="10" customWidth="1"/>
    <col min="10498" max="10498" width="9.7265625" style="10" customWidth="1"/>
    <col min="10499" max="10499" width="14.453125" style="10" customWidth="1"/>
    <col min="10500" max="10500" width="7.26953125" style="10" customWidth="1"/>
    <col min="10501" max="10501" width="5.54296875" style="10" customWidth="1"/>
    <col min="10502" max="10502" width="9" style="10" customWidth="1"/>
    <col min="10503" max="10504" width="9.7265625" style="10" customWidth="1"/>
    <col min="10505" max="10505" width="11.26953125" style="10" customWidth="1"/>
    <col min="10506" max="10506" width="2.7265625" style="10" customWidth="1"/>
    <col min="10507" max="10507" width="3.54296875" style="10" customWidth="1"/>
    <col min="10508" max="10752" width="9.26953125" style="10"/>
    <col min="10753" max="10753" width="8.7265625" style="10" customWidth="1"/>
    <col min="10754" max="10754" width="9.7265625" style="10" customWidth="1"/>
    <col min="10755" max="10755" width="14.453125" style="10" customWidth="1"/>
    <col min="10756" max="10756" width="7.26953125" style="10" customWidth="1"/>
    <col min="10757" max="10757" width="5.54296875" style="10" customWidth="1"/>
    <col min="10758" max="10758" width="9" style="10" customWidth="1"/>
    <col min="10759" max="10760" width="9.7265625" style="10" customWidth="1"/>
    <col min="10761" max="10761" width="11.26953125" style="10" customWidth="1"/>
    <col min="10762" max="10762" width="2.7265625" style="10" customWidth="1"/>
    <col min="10763" max="10763" width="3.54296875" style="10" customWidth="1"/>
    <col min="10764" max="11008" width="9.26953125" style="10"/>
    <col min="11009" max="11009" width="8.7265625" style="10" customWidth="1"/>
    <col min="11010" max="11010" width="9.7265625" style="10" customWidth="1"/>
    <col min="11011" max="11011" width="14.453125" style="10" customWidth="1"/>
    <col min="11012" max="11012" width="7.26953125" style="10" customWidth="1"/>
    <col min="11013" max="11013" width="5.54296875" style="10" customWidth="1"/>
    <col min="11014" max="11014" width="9" style="10" customWidth="1"/>
    <col min="11015" max="11016" width="9.7265625" style="10" customWidth="1"/>
    <col min="11017" max="11017" width="11.26953125" style="10" customWidth="1"/>
    <col min="11018" max="11018" width="2.7265625" style="10" customWidth="1"/>
    <col min="11019" max="11019" width="3.54296875" style="10" customWidth="1"/>
    <col min="11020" max="11264" width="9.26953125" style="10"/>
    <col min="11265" max="11265" width="8.7265625" style="10" customWidth="1"/>
    <col min="11266" max="11266" width="9.7265625" style="10" customWidth="1"/>
    <col min="11267" max="11267" width="14.453125" style="10" customWidth="1"/>
    <col min="11268" max="11268" width="7.26953125" style="10" customWidth="1"/>
    <col min="11269" max="11269" width="5.54296875" style="10" customWidth="1"/>
    <col min="11270" max="11270" width="9" style="10" customWidth="1"/>
    <col min="11271" max="11272" width="9.7265625" style="10" customWidth="1"/>
    <col min="11273" max="11273" width="11.26953125" style="10" customWidth="1"/>
    <col min="11274" max="11274" width="2.7265625" style="10" customWidth="1"/>
    <col min="11275" max="11275" width="3.54296875" style="10" customWidth="1"/>
    <col min="11276" max="11520" width="9.26953125" style="10"/>
    <col min="11521" max="11521" width="8.7265625" style="10" customWidth="1"/>
    <col min="11522" max="11522" width="9.7265625" style="10" customWidth="1"/>
    <col min="11523" max="11523" width="14.453125" style="10" customWidth="1"/>
    <col min="11524" max="11524" width="7.26953125" style="10" customWidth="1"/>
    <col min="11525" max="11525" width="5.54296875" style="10" customWidth="1"/>
    <col min="11526" max="11526" width="9" style="10" customWidth="1"/>
    <col min="11527" max="11528" width="9.7265625" style="10" customWidth="1"/>
    <col min="11529" max="11529" width="11.26953125" style="10" customWidth="1"/>
    <col min="11530" max="11530" width="2.7265625" style="10" customWidth="1"/>
    <col min="11531" max="11531" width="3.54296875" style="10" customWidth="1"/>
    <col min="11532" max="11776" width="9.26953125" style="10"/>
    <col min="11777" max="11777" width="8.7265625" style="10" customWidth="1"/>
    <col min="11778" max="11778" width="9.7265625" style="10" customWidth="1"/>
    <col min="11779" max="11779" width="14.453125" style="10" customWidth="1"/>
    <col min="11780" max="11780" width="7.26953125" style="10" customWidth="1"/>
    <col min="11781" max="11781" width="5.54296875" style="10" customWidth="1"/>
    <col min="11782" max="11782" width="9" style="10" customWidth="1"/>
    <col min="11783" max="11784" width="9.7265625" style="10" customWidth="1"/>
    <col min="11785" max="11785" width="11.26953125" style="10" customWidth="1"/>
    <col min="11786" max="11786" width="2.7265625" style="10" customWidth="1"/>
    <col min="11787" max="11787" width="3.54296875" style="10" customWidth="1"/>
    <col min="11788" max="12032" width="9.26953125" style="10"/>
    <col min="12033" max="12033" width="8.7265625" style="10" customWidth="1"/>
    <col min="12034" max="12034" width="9.7265625" style="10" customWidth="1"/>
    <col min="12035" max="12035" width="14.453125" style="10" customWidth="1"/>
    <col min="12036" max="12036" width="7.26953125" style="10" customWidth="1"/>
    <col min="12037" max="12037" width="5.54296875" style="10" customWidth="1"/>
    <col min="12038" max="12038" width="9" style="10" customWidth="1"/>
    <col min="12039" max="12040" width="9.7265625" style="10" customWidth="1"/>
    <col min="12041" max="12041" width="11.26953125" style="10" customWidth="1"/>
    <col min="12042" max="12042" width="2.7265625" style="10" customWidth="1"/>
    <col min="12043" max="12043" width="3.54296875" style="10" customWidth="1"/>
    <col min="12044" max="12288" width="9.26953125" style="10"/>
    <col min="12289" max="12289" width="8.7265625" style="10" customWidth="1"/>
    <col min="12290" max="12290" width="9.7265625" style="10" customWidth="1"/>
    <col min="12291" max="12291" width="14.453125" style="10" customWidth="1"/>
    <col min="12292" max="12292" width="7.26953125" style="10" customWidth="1"/>
    <col min="12293" max="12293" width="5.54296875" style="10" customWidth="1"/>
    <col min="12294" max="12294" width="9" style="10" customWidth="1"/>
    <col min="12295" max="12296" width="9.7265625" style="10" customWidth="1"/>
    <col min="12297" max="12297" width="11.26953125" style="10" customWidth="1"/>
    <col min="12298" max="12298" width="2.7265625" style="10" customWidth="1"/>
    <col min="12299" max="12299" width="3.54296875" style="10" customWidth="1"/>
    <col min="12300" max="12544" width="9.26953125" style="10"/>
    <col min="12545" max="12545" width="8.7265625" style="10" customWidth="1"/>
    <col min="12546" max="12546" width="9.7265625" style="10" customWidth="1"/>
    <col min="12547" max="12547" width="14.453125" style="10" customWidth="1"/>
    <col min="12548" max="12548" width="7.26953125" style="10" customWidth="1"/>
    <col min="12549" max="12549" width="5.54296875" style="10" customWidth="1"/>
    <col min="12550" max="12550" width="9" style="10" customWidth="1"/>
    <col min="12551" max="12552" width="9.7265625" style="10" customWidth="1"/>
    <col min="12553" max="12553" width="11.26953125" style="10" customWidth="1"/>
    <col min="12554" max="12554" width="2.7265625" style="10" customWidth="1"/>
    <col min="12555" max="12555" width="3.54296875" style="10" customWidth="1"/>
    <col min="12556" max="12800" width="9.26953125" style="10"/>
    <col min="12801" max="12801" width="8.7265625" style="10" customWidth="1"/>
    <col min="12802" max="12802" width="9.7265625" style="10" customWidth="1"/>
    <col min="12803" max="12803" width="14.453125" style="10" customWidth="1"/>
    <col min="12804" max="12804" width="7.26953125" style="10" customWidth="1"/>
    <col min="12805" max="12805" width="5.54296875" style="10" customWidth="1"/>
    <col min="12806" max="12806" width="9" style="10" customWidth="1"/>
    <col min="12807" max="12808" width="9.7265625" style="10" customWidth="1"/>
    <col min="12809" max="12809" width="11.26953125" style="10" customWidth="1"/>
    <col min="12810" max="12810" width="2.7265625" style="10" customWidth="1"/>
    <col min="12811" max="12811" width="3.54296875" style="10" customWidth="1"/>
    <col min="12812" max="13056" width="9.26953125" style="10"/>
    <col min="13057" max="13057" width="8.7265625" style="10" customWidth="1"/>
    <col min="13058" max="13058" width="9.7265625" style="10" customWidth="1"/>
    <col min="13059" max="13059" width="14.453125" style="10" customWidth="1"/>
    <col min="13060" max="13060" width="7.26953125" style="10" customWidth="1"/>
    <col min="13061" max="13061" width="5.54296875" style="10" customWidth="1"/>
    <col min="13062" max="13062" width="9" style="10" customWidth="1"/>
    <col min="13063" max="13064" width="9.7265625" style="10" customWidth="1"/>
    <col min="13065" max="13065" width="11.26953125" style="10" customWidth="1"/>
    <col min="13066" max="13066" width="2.7265625" style="10" customWidth="1"/>
    <col min="13067" max="13067" width="3.54296875" style="10" customWidth="1"/>
    <col min="13068" max="13312" width="9.26953125" style="10"/>
    <col min="13313" max="13313" width="8.7265625" style="10" customWidth="1"/>
    <col min="13314" max="13314" width="9.7265625" style="10" customWidth="1"/>
    <col min="13315" max="13315" width="14.453125" style="10" customWidth="1"/>
    <col min="13316" max="13316" width="7.26953125" style="10" customWidth="1"/>
    <col min="13317" max="13317" width="5.54296875" style="10" customWidth="1"/>
    <col min="13318" max="13318" width="9" style="10" customWidth="1"/>
    <col min="13319" max="13320" width="9.7265625" style="10" customWidth="1"/>
    <col min="13321" max="13321" width="11.26953125" style="10" customWidth="1"/>
    <col min="13322" max="13322" width="2.7265625" style="10" customWidth="1"/>
    <col min="13323" max="13323" width="3.54296875" style="10" customWidth="1"/>
    <col min="13324" max="13568" width="9.26953125" style="10"/>
    <col min="13569" max="13569" width="8.7265625" style="10" customWidth="1"/>
    <col min="13570" max="13570" width="9.7265625" style="10" customWidth="1"/>
    <col min="13571" max="13571" width="14.453125" style="10" customWidth="1"/>
    <col min="13572" max="13572" width="7.26953125" style="10" customWidth="1"/>
    <col min="13573" max="13573" width="5.54296875" style="10" customWidth="1"/>
    <col min="13574" max="13574" width="9" style="10" customWidth="1"/>
    <col min="13575" max="13576" width="9.7265625" style="10" customWidth="1"/>
    <col min="13577" max="13577" width="11.26953125" style="10" customWidth="1"/>
    <col min="13578" max="13578" width="2.7265625" style="10" customWidth="1"/>
    <col min="13579" max="13579" width="3.54296875" style="10" customWidth="1"/>
    <col min="13580" max="13824" width="9.26953125" style="10"/>
    <col min="13825" max="13825" width="8.7265625" style="10" customWidth="1"/>
    <col min="13826" max="13826" width="9.7265625" style="10" customWidth="1"/>
    <col min="13827" max="13827" width="14.453125" style="10" customWidth="1"/>
    <col min="13828" max="13828" width="7.26953125" style="10" customWidth="1"/>
    <col min="13829" max="13829" width="5.54296875" style="10" customWidth="1"/>
    <col min="13830" max="13830" width="9" style="10" customWidth="1"/>
    <col min="13831" max="13832" width="9.7265625" style="10" customWidth="1"/>
    <col min="13833" max="13833" width="11.26953125" style="10" customWidth="1"/>
    <col min="13834" max="13834" width="2.7265625" style="10" customWidth="1"/>
    <col min="13835" max="13835" width="3.54296875" style="10" customWidth="1"/>
    <col min="13836" max="14080" width="9.26953125" style="10"/>
    <col min="14081" max="14081" width="8.7265625" style="10" customWidth="1"/>
    <col min="14082" max="14082" width="9.7265625" style="10" customWidth="1"/>
    <col min="14083" max="14083" width="14.453125" style="10" customWidth="1"/>
    <col min="14084" max="14084" width="7.26953125" style="10" customWidth="1"/>
    <col min="14085" max="14085" width="5.54296875" style="10" customWidth="1"/>
    <col min="14086" max="14086" width="9" style="10" customWidth="1"/>
    <col min="14087" max="14088" width="9.7265625" style="10" customWidth="1"/>
    <col min="14089" max="14089" width="11.26953125" style="10" customWidth="1"/>
    <col min="14090" max="14090" width="2.7265625" style="10" customWidth="1"/>
    <col min="14091" max="14091" width="3.54296875" style="10" customWidth="1"/>
    <col min="14092" max="14336" width="9.26953125" style="10"/>
    <col min="14337" max="14337" width="8.7265625" style="10" customWidth="1"/>
    <col min="14338" max="14338" width="9.7265625" style="10" customWidth="1"/>
    <col min="14339" max="14339" width="14.453125" style="10" customWidth="1"/>
    <col min="14340" max="14340" width="7.26953125" style="10" customWidth="1"/>
    <col min="14341" max="14341" width="5.54296875" style="10" customWidth="1"/>
    <col min="14342" max="14342" width="9" style="10" customWidth="1"/>
    <col min="14343" max="14344" width="9.7265625" style="10" customWidth="1"/>
    <col min="14345" max="14345" width="11.26953125" style="10" customWidth="1"/>
    <col min="14346" max="14346" width="2.7265625" style="10" customWidth="1"/>
    <col min="14347" max="14347" width="3.54296875" style="10" customWidth="1"/>
    <col min="14348" max="14592" width="9.26953125" style="10"/>
    <col min="14593" max="14593" width="8.7265625" style="10" customWidth="1"/>
    <col min="14594" max="14594" width="9.7265625" style="10" customWidth="1"/>
    <col min="14595" max="14595" width="14.453125" style="10" customWidth="1"/>
    <col min="14596" max="14596" width="7.26953125" style="10" customWidth="1"/>
    <col min="14597" max="14597" width="5.54296875" style="10" customWidth="1"/>
    <col min="14598" max="14598" width="9" style="10" customWidth="1"/>
    <col min="14599" max="14600" width="9.7265625" style="10" customWidth="1"/>
    <col min="14601" max="14601" width="11.26953125" style="10" customWidth="1"/>
    <col min="14602" max="14602" width="2.7265625" style="10" customWidth="1"/>
    <col min="14603" max="14603" width="3.54296875" style="10" customWidth="1"/>
    <col min="14604" max="14848" width="9.26953125" style="10"/>
    <col min="14849" max="14849" width="8.7265625" style="10" customWidth="1"/>
    <col min="14850" max="14850" width="9.7265625" style="10" customWidth="1"/>
    <col min="14851" max="14851" width="14.453125" style="10" customWidth="1"/>
    <col min="14852" max="14852" width="7.26953125" style="10" customWidth="1"/>
    <col min="14853" max="14853" width="5.54296875" style="10" customWidth="1"/>
    <col min="14854" max="14854" width="9" style="10" customWidth="1"/>
    <col min="14855" max="14856" width="9.7265625" style="10" customWidth="1"/>
    <col min="14857" max="14857" width="11.26953125" style="10" customWidth="1"/>
    <col min="14858" max="14858" width="2.7265625" style="10" customWidth="1"/>
    <col min="14859" max="14859" width="3.54296875" style="10" customWidth="1"/>
    <col min="14860" max="15104" width="9.26953125" style="10"/>
    <col min="15105" max="15105" width="8.7265625" style="10" customWidth="1"/>
    <col min="15106" max="15106" width="9.7265625" style="10" customWidth="1"/>
    <col min="15107" max="15107" width="14.453125" style="10" customWidth="1"/>
    <col min="15108" max="15108" width="7.26953125" style="10" customWidth="1"/>
    <col min="15109" max="15109" width="5.54296875" style="10" customWidth="1"/>
    <col min="15110" max="15110" width="9" style="10" customWidth="1"/>
    <col min="15111" max="15112" width="9.7265625" style="10" customWidth="1"/>
    <col min="15113" max="15113" width="11.26953125" style="10" customWidth="1"/>
    <col min="15114" max="15114" width="2.7265625" style="10" customWidth="1"/>
    <col min="15115" max="15115" width="3.54296875" style="10" customWidth="1"/>
    <col min="15116" max="15360" width="9.26953125" style="10"/>
    <col min="15361" max="15361" width="8.7265625" style="10" customWidth="1"/>
    <col min="15362" max="15362" width="9.7265625" style="10" customWidth="1"/>
    <col min="15363" max="15363" width="14.453125" style="10" customWidth="1"/>
    <col min="15364" max="15364" width="7.26953125" style="10" customWidth="1"/>
    <col min="15365" max="15365" width="5.54296875" style="10" customWidth="1"/>
    <col min="15366" max="15366" width="9" style="10" customWidth="1"/>
    <col min="15367" max="15368" width="9.7265625" style="10" customWidth="1"/>
    <col min="15369" max="15369" width="11.26953125" style="10" customWidth="1"/>
    <col min="15370" max="15370" width="2.7265625" style="10" customWidth="1"/>
    <col min="15371" max="15371" width="3.54296875" style="10" customWidth="1"/>
    <col min="15372" max="15616" width="9.26953125" style="10"/>
    <col min="15617" max="15617" width="8.7265625" style="10" customWidth="1"/>
    <col min="15618" max="15618" width="9.7265625" style="10" customWidth="1"/>
    <col min="15619" max="15619" width="14.453125" style="10" customWidth="1"/>
    <col min="15620" max="15620" width="7.26953125" style="10" customWidth="1"/>
    <col min="15621" max="15621" width="5.54296875" style="10" customWidth="1"/>
    <col min="15622" max="15622" width="9" style="10" customWidth="1"/>
    <col min="15623" max="15624" width="9.7265625" style="10" customWidth="1"/>
    <col min="15625" max="15625" width="11.26953125" style="10" customWidth="1"/>
    <col min="15626" max="15626" width="2.7265625" style="10" customWidth="1"/>
    <col min="15627" max="15627" width="3.54296875" style="10" customWidth="1"/>
    <col min="15628" max="15872" width="9.26953125" style="10"/>
    <col min="15873" max="15873" width="8.7265625" style="10" customWidth="1"/>
    <col min="15874" max="15874" width="9.7265625" style="10" customWidth="1"/>
    <col min="15875" max="15875" width="14.453125" style="10" customWidth="1"/>
    <col min="15876" max="15876" width="7.26953125" style="10" customWidth="1"/>
    <col min="15877" max="15877" width="5.54296875" style="10" customWidth="1"/>
    <col min="15878" max="15878" width="9" style="10" customWidth="1"/>
    <col min="15879" max="15880" width="9.7265625" style="10" customWidth="1"/>
    <col min="15881" max="15881" width="11.26953125" style="10" customWidth="1"/>
    <col min="15882" max="15882" width="2.7265625" style="10" customWidth="1"/>
    <col min="15883" max="15883" width="3.54296875" style="10" customWidth="1"/>
    <col min="15884" max="16128" width="9.26953125" style="10"/>
    <col min="16129" max="16129" width="8.7265625" style="10" customWidth="1"/>
    <col min="16130" max="16130" width="9.7265625" style="10" customWidth="1"/>
    <col min="16131" max="16131" width="14.453125" style="10" customWidth="1"/>
    <col min="16132" max="16132" width="7.26953125" style="10" customWidth="1"/>
    <col min="16133" max="16133" width="5.54296875" style="10" customWidth="1"/>
    <col min="16134" max="16134" width="9" style="10" customWidth="1"/>
    <col min="16135" max="16136" width="9.7265625" style="10" customWidth="1"/>
    <col min="16137" max="16137" width="11.26953125" style="10" customWidth="1"/>
    <col min="16138" max="16138" width="2.7265625" style="10" customWidth="1"/>
    <col min="16139" max="16139" width="3.54296875" style="10" customWidth="1"/>
    <col min="16140" max="16384" width="9.26953125" style="10"/>
  </cols>
  <sheetData>
    <row r="1" spans="1:10" ht="46.5" customHeight="1" x14ac:dyDescent="0.35">
      <c r="A1" s="237" t="s">
        <v>252</v>
      </c>
      <c r="B1" s="238"/>
      <c r="C1" s="238"/>
      <c r="D1" s="238"/>
      <c r="E1" s="238"/>
      <c r="F1" s="238"/>
      <c r="G1" s="238"/>
      <c r="H1" s="238"/>
      <c r="I1" s="238"/>
      <c r="J1" s="239"/>
    </row>
    <row r="2" spans="1:10" ht="16.5" customHeight="1" x14ac:dyDescent="0.35">
      <c r="A2" s="139" t="s">
        <v>0</v>
      </c>
      <c r="B2" s="140"/>
      <c r="C2" s="140"/>
      <c r="D2" s="140"/>
      <c r="E2" s="140"/>
      <c r="F2" s="140"/>
      <c r="G2" s="140"/>
      <c r="H2" s="140"/>
      <c r="I2" s="140"/>
      <c r="J2" s="141"/>
    </row>
    <row r="3" spans="1:10" x14ac:dyDescent="0.35">
      <c r="A3" s="115" t="s">
        <v>1</v>
      </c>
      <c r="B3" s="116"/>
      <c r="C3" s="116"/>
      <c r="D3" s="116"/>
      <c r="E3" s="117"/>
      <c r="F3" s="234" t="str">
        <f ca="1">TEXT(TODAY(),"DD/MM/YYYY")</f>
        <v>16/07/2025</v>
      </c>
      <c r="G3" s="235"/>
      <c r="H3" s="235"/>
      <c r="I3" s="235"/>
      <c r="J3" s="236"/>
    </row>
    <row r="4" spans="1:10" ht="15" customHeight="1" x14ac:dyDescent="0.35">
      <c r="A4" s="115" t="s">
        <v>2</v>
      </c>
      <c r="B4" s="116"/>
      <c r="C4" s="116"/>
      <c r="D4" s="116"/>
      <c r="E4" s="117"/>
      <c r="F4" s="221" t="s">
        <v>172</v>
      </c>
      <c r="G4" s="222"/>
      <c r="H4" s="222"/>
      <c r="I4" s="222"/>
      <c r="J4" s="223"/>
    </row>
    <row r="5" spans="1:10" x14ac:dyDescent="0.35">
      <c r="A5" s="115" t="s">
        <v>3</v>
      </c>
      <c r="B5" s="116"/>
      <c r="C5" s="116"/>
      <c r="D5" s="116"/>
      <c r="E5" s="117"/>
      <c r="F5" s="234">
        <v>45853</v>
      </c>
      <c r="G5" s="235"/>
      <c r="H5" s="235"/>
      <c r="I5" s="235"/>
      <c r="J5" s="236"/>
    </row>
    <row r="6" spans="1:10" ht="16.5" customHeight="1" x14ac:dyDescent="0.35">
      <c r="A6" s="115" t="s">
        <v>4</v>
      </c>
      <c r="B6" s="116"/>
      <c r="C6" s="116"/>
      <c r="D6" s="116"/>
      <c r="E6" s="117"/>
      <c r="F6" s="118" t="s">
        <v>213</v>
      </c>
      <c r="G6" s="119"/>
      <c r="H6" s="119"/>
      <c r="I6" s="119"/>
      <c r="J6" s="120"/>
    </row>
    <row r="7" spans="1:10" ht="15" customHeight="1" x14ac:dyDescent="0.35">
      <c r="A7" s="115" t="s">
        <v>5</v>
      </c>
      <c r="B7" s="116"/>
      <c r="C7" s="116"/>
      <c r="D7" s="116"/>
      <c r="E7" s="117"/>
      <c r="F7" s="118" t="str">
        <f>F6</f>
        <v>M/s.Vasudev C.Wadhwa Construction</v>
      </c>
      <c r="G7" s="119"/>
      <c r="H7" s="119"/>
      <c r="I7" s="119"/>
      <c r="J7" s="120"/>
    </row>
    <row r="8" spans="1:10" x14ac:dyDescent="0.35">
      <c r="A8" s="115" t="s">
        <v>6</v>
      </c>
      <c r="B8" s="116"/>
      <c r="C8" s="116"/>
      <c r="D8" s="116"/>
      <c r="E8" s="117"/>
      <c r="F8" s="166" t="s">
        <v>173</v>
      </c>
      <c r="G8" s="167"/>
      <c r="H8" s="167"/>
      <c r="I8" s="167"/>
      <c r="J8" s="168"/>
    </row>
    <row r="9" spans="1:10" x14ac:dyDescent="0.35">
      <c r="A9" s="115" t="s">
        <v>296</v>
      </c>
      <c r="B9" s="116"/>
      <c r="C9" s="116"/>
      <c r="D9" s="116"/>
      <c r="E9" s="117"/>
      <c r="F9" s="115">
        <v>2239578400</v>
      </c>
      <c r="G9" s="116"/>
      <c r="H9" s="116"/>
      <c r="I9" s="116"/>
      <c r="J9" s="117"/>
    </row>
    <row r="10" spans="1:10" x14ac:dyDescent="0.35">
      <c r="A10" s="115" t="s">
        <v>7</v>
      </c>
      <c r="B10" s="116"/>
      <c r="C10" s="116"/>
      <c r="D10" s="116"/>
      <c r="E10" s="117"/>
      <c r="F10" s="110" t="s">
        <v>249</v>
      </c>
      <c r="G10" s="111"/>
      <c r="H10" s="111"/>
      <c r="I10" s="111"/>
      <c r="J10" s="112"/>
    </row>
    <row r="11" spans="1:10" ht="16.5" customHeight="1" x14ac:dyDescent="0.35">
      <c r="A11" s="115" t="s">
        <v>8</v>
      </c>
      <c r="B11" s="116"/>
      <c r="C11" s="116"/>
      <c r="D11" s="116"/>
      <c r="E11" s="117"/>
      <c r="F11" s="121" t="s">
        <v>9</v>
      </c>
      <c r="G11" s="122"/>
      <c r="H11" s="122"/>
      <c r="I11" s="122"/>
      <c r="J11" s="220"/>
    </row>
    <row r="12" spans="1:10" x14ac:dyDescent="0.35">
      <c r="A12" s="115" t="s">
        <v>10</v>
      </c>
      <c r="B12" s="116"/>
      <c r="C12" s="116"/>
      <c r="D12" s="116"/>
      <c r="E12" s="117"/>
      <c r="F12" s="115" t="s">
        <v>174</v>
      </c>
      <c r="G12" s="116"/>
      <c r="H12" s="116"/>
      <c r="I12" s="116"/>
      <c r="J12" s="117"/>
    </row>
    <row r="13" spans="1:10" ht="32.25" customHeight="1" x14ac:dyDescent="0.35">
      <c r="A13" s="225" t="s">
        <v>11</v>
      </c>
      <c r="B13" s="225"/>
      <c r="C13" s="118" t="str">
        <f>CONCATENATE((IF(OR(F8="",F8="NA"),"",F8)),", ",(IF(OR(A14="",A14="NA"),"",A14)),".",(IF(OR(C14="",C14="NA"),"",C14)),", ",(IF(OR(C15="",C15="NA"),"",C15)),", ",(IF(OR(H15="",H15="NA"),"",H15)),", ",(IF(OR(C16="",C16="NA"),"",C16)),", ",(IF(OR(C17="",C17="NA"),"",C17)),", ",(IF(OR(H16="",H16="NA"),"",H16)),".")</f>
        <v>TW Gardens, CTS/ Survey No.809-A/1/19-A/5 &amp; 809-A/1/19-A/6, Gokul Towers Road, Poisar, Kandivali, Borivali, Mumbai.</v>
      </c>
      <c r="D13" s="119"/>
      <c r="E13" s="119"/>
      <c r="F13" s="119"/>
      <c r="G13" s="119"/>
      <c r="H13" s="119"/>
      <c r="I13" s="119"/>
      <c r="J13" s="120"/>
    </row>
    <row r="14" spans="1:10" x14ac:dyDescent="0.35">
      <c r="A14" s="118" t="s">
        <v>136</v>
      </c>
      <c r="B14" s="120"/>
      <c r="C14" s="121" t="s">
        <v>175</v>
      </c>
      <c r="D14" s="122"/>
      <c r="E14" s="122"/>
      <c r="F14" s="122"/>
      <c r="G14" s="122"/>
      <c r="H14" s="122"/>
      <c r="I14" s="122"/>
      <c r="J14" s="220"/>
    </row>
    <row r="15" spans="1:10" ht="15.75" customHeight="1" x14ac:dyDescent="0.35">
      <c r="A15" s="118" t="s">
        <v>12</v>
      </c>
      <c r="B15" s="120"/>
      <c r="C15" s="217" t="s">
        <v>177</v>
      </c>
      <c r="D15" s="217"/>
      <c r="E15" s="217"/>
      <c r="F15" s="218" t="s">
        <v>137</v>
      </c>
      <c r="G15" s="219"/>
      <c r="H15" s="121" t="s">
        <v>176</v>
      </c>
      <c r="I15" s="122"/>
      <c r="J15" s="220"/>
    </row>
    <row r="16" spans="1:10" x14ac:dyDescent="0.35">
      <c r="A16" s="196" t="s">
        <v>14</v>
      </c>
      <c r="B16" s="196"/>
      <c r="C16" s="217" t="s">
        <v>183</v>
      </c>
      <c r="D16" s="217"/>
      <c r="E16" s="217"/>
      <c r="F16" s="218" t="s">
        <v>13</v>
      </c>
      <c r="G16" s="219"/>
      <c r="H16" s="251" t="s">
        <v>241</v>
      </c>
      <c r="I16" s="251"/>
      <c r="J16" s="251"/>
    </row>
    <row r="17" spans="1:10" x14ac:dyDescent="0.35">
      <c r="A17" s="196" t="s">
        <v>138</v>
      </c>
      <c r="B17" s="196"/>
      <c r="C17" s="121" t="s">
        <v>178</v>
      </c>
      <c r="D17" s="122"/>
      <c r="E17" s="220"/>
      <c r="F17" s="218" t="s">
        <v>15</v>
      </c>
      <c r="G17" s="219"/>
      <c r="H17" s="121">
        <v>400101</v>
      </c>
      <c r="I17" s="122"/>
      <c r="J17" s="220"/>
    </row>
    <row r="18" spans="1:10" ht="32.25" customHeight="1" x14ac:dyDescent="0.35">
      <c r="A18" s="196" t="s">
        <v>16</v>
      </c>
      <c r="B18" s="196"/>
      <c r="C18" s="224" t="s">
        <v>181</v>
      </c>
      <c r="D18" s="224"/>
      <c r="E18" s="224"/>
      <c r="F18" s="225" t="s">
        <v>17</v>
      </c>
      <c r="G18" s="225"/>
      <c r="H18" s="122" t="s">
        <v>179</v>
      </c>
      <c r="I18" s="122"/>
      <c r="J18" s="220"/>
    </row>
    <row r="19" spans="1:10" ht="15" customHeight="1" x14ac:dyDescent="0.35">
      <c r="A19" s="218" t="s">
        <v>147</v>
      </c>
      <c r="B19" s="226"/>
      <c r="C19" s="226"/>
      <c r="D19" s="226"/>
      <c r="E19" s="219"/>
      <c r="F19" s="228" t="s">
        <v>18</v>
      </c>
      <c r="G19" s="229"/>
      <c r="H19" s="229"/>
      <c r="I19" s="229"/>
      <c r="J19" s="230"/>
    </row>
    <row r="20" spans="1:10" ht="18.75" customHeight="1" x14ac:dyDescent="0.35">
      <c r="A20" s="215"/>
      <c r="B20" s="216"/>
      <c r="C20" s="216"/>
      <c r="D20" s="216"/>
      <c r="E20" s="227"/>
      <c r="F20" s="231"/>
      <c r="G20" s="232"/>
      <c r="H20" s="232"/>
      <c r="I20" s="232"/>
      <c r="J20" s="233"/>
    </row>
    <row r="21" spans="1:10" ht="15" customHeight="1" x14ac:dyDescent="0.35">
      <c r="A21" s="218" t="s">
        <v>19</v>
      </c>
      <c r="B21" s="226"/>
      <c r="C21" s="226"/>
      <c r="D21" s="226"/>
      <c r="E21" s="219"/>
      <c r="F21" s="218" t="s">
        <v>20</v>
      </c>
      <c r="G21" s="226"/>
      <c r="H21" s="226"/>
      <c r="I21" s="226"/>
      <c r="J21" s="219"/>
    </row>
    <row r="22" spans="1:10" x14ac:dyDescent="0.35">
      <c r="A22" s="215"/>
      <c r="B22" s="216"/>
      <c r="C22" s="216"/>
      <c r="D22" s="216"/>
      <c r="E22" s="227"/>
      <c r="F22" s="215"/>
      <c r="G22" s="216"/>
      <c r="H22" s="216"/>
      <c r="I22" s="216"/>
      <c r="J22" s="227"/>
    </row>
    <row r="23" spans="1:10" ht="15" customHeight="1" x14ac:dyDescent="0.35">
      <c r="A23" s="115" t="s">
        <v>21</v>
      </c>
      <c r="B23" s="116"/>
      <c r="C23" s="116"/>
      <c r="D23" s="116"/>
      <c r="E23" s="117"/>
      <c r="F23" s="221" t="s">
        <v>197</v>
      </c>
      <c r="G23" s="222"/>
      <c r="H23" s="222"/>
      <c r="I23" s="222"/>
      <c r="J23" s="223"/>
    </row>
    <row r="24" spans="1:10" x14ac:dyDescent="0.35">
      <c r="A24" s="115" t="s">
        <v>22</v>
      </c>
      <c r="B24" s="116"/>
      <c r="C24" s="116"/>
      <c r="D24" s="116"/>
      <c r="E24" s="117"/>
      <c r="F24" s="221" t="s">
        <v>23</v>
      </c>
      <c r="G24" s="222"/>
      <c r="H24" s="222"/>
      <c r="I24" s="222"/>
      <c r="J24" s="223"/>
    </row>
    <row r="25" spans="1:10" ht="15" customHeight="1" x14ac:dyDescent="0.35">
      <c r="A25" s="115" t="s">
        <v>24</v>
      </c>
      <c r="B25" s="116"/>
      <c r="C25" s="116"/>
      <c r="D25" s="116"/>
      <c r="E25" s="117"/>
      <c r="F25" s="221" t="s">
        <v>198</v>
      </c>
      <c r="G25" s="222"/>
      <c r="H25" s="222"/>
      <c r="I25" s="222"/>
      <c r="J25" s="223"/>
    </row>
    <row r="26" spans="1:10" x14ac:dyDescent="0.35">
      <c r="A26" s="115" t="s">
        <v>25</v>
      </c>
      <c r="B26" s="116"/>
      <c r="C26" s="116"/>
      <c r="D26" s="116"/>
      <c r="E26" s="117"/>
      <c r="F26" s="221" t="s">
        <v>26</v>
      </c>
      <c r="G26" s="222"/>
      <c r="H26" s="222"/>
      <c r="I26" s="222"/>
      <c r="J26" s="223"/>
    </row>
    <row r="27" spans="1:10" x14ac:dyDescent="0.35">
      <c r="A27" s="252" t="s">
        <v>27</v>
      </c>
      <c r="B27" s="253"/>
      <c r="C27" s="252" t="s">
        <v>28</v>
      </c>
      <c r="D27" s="253"/>
      <c r="E27" s="252" t="s">
        <v>29</v>
      </c>
      <c r="F27" s="253"/>
      <c r="G27" s="252" t="s">
        <v>31</v>
      </c>
      <c r="H27" s="253"/>
      <c r="I27" s="252" t="s">
        <v>30</v>
      </c>
      <c r="J27" s="253"/>
    </row>
    <row r="28" spans="1:10" x14ac:dyDescent="0.35">
      <c r="A28" s="186" t="s">
        <v>32</v>
      </c>
      <c r="B28" s="187"/>
      <c r="C28" s="186" t="s">
        <v>33</v>
      </c>
      <c r="D28" s="187"/>
      <c r="E28" s="186" t="s">
        <v>33</v>
      </c>
      <c r="F28" s="187"/>
      <c r="G28" s="186" t="s">
        <v>33</v>
      </c>
      <c r="H28" s="187"/>
      <c r="I28" s="186" t="s">
        <v>33</v>
      </c>
      <c r="J28" s="187"/>
    </row>
    <row r="29" spans="1:10" x14ac:dyDescent="0.35">
      <c r="A29" s="186" t="s">
        <v>34</v>
      </c>
      <c r="B29" s="187"/>
      <c r="C29" s="207" t="s">
        <v>185</v>
      </c>
      <c r="D29" s="208"/>
      <c r="E29" s="207" t="s">
        <v>180</v>
      </c>
      <c r="F29" s="208"/>
      <c r="G29" s="207" t="s">
        <v>177</v>
      </c>
      <c r="H29" s="208"/>
      <c r="I29" s="207" t="s">
        <v>184</v>
      </c>
      <c r="J29" s="208"/>
    </row>
    <row r="30" spans="1:10" x14ac:dyDescent="0.35">
      <c r="A30" s="196" t="s">
        <v>35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 x14ac:dyDescent="0.35">
      <c r="A31" s="196" t="s">
        <v>36</v>
      </c>
      <c r="B31" s="196"/>
      <c r="C31" s="196"/>
      <c r="D31" s="196"/>
      <c r="E31" s="196"/>
      <c r="F31" s="196"/>
      <c r="G31" s="196"/>
      <c r="H31" s="196"/>
      <c r="I31" s="196"/>
      <c r="J31" s="196"/>
    </row>
    <row r="32" spans="1:10" x14ac:dyDescent="0.35">
      <c r="A32" s="281" t="s">
        <v>37</v>
      </c>
      <c r="B32" s="281"/>
      <c r="C32" s="196" t="s">
        <v>253</v>
      </c>
      <c r="D32" s="196"/>
      <c r="E32" s="196"/>
      <c r="F32" s="196"/>
      <c r="G32" s="196"/>
      <c r="H32" s="196"/>
      <c r="I32" s="196"/>
      <c r="J32" s="196"/>
    </row>
    <row r="33" spans="1:10" x14ac:dyDescent="0.35">
      <c r="A33" s="281" t="s">
        <v>250</v>
      </c>
      <c r="B33" s="281"/>
      <c r="C33" s="282" t="s">
        <v>251</v>
      </c>
      <c r="D33" s="196"/>
      <c r="E33" s="196"/>
      <c r="F33" s="196"/>
      <c r="G33" s="196"/>
      <c r="H33" s="196"/>
      <c r="I33" s="196"/>
      <c r="J33" s="196"/>
    </row>
    <row r="34" spans="1:10" x14ac:dyDescent="0.35">
      <c r="A34" s="281" t="s">
        <v>38</v>
      </c>
      <c r="B34" s="281"/>
      <c r="C34" s="281"/>
      <c r="D34" s="281"/>
      <c r="E34" s="281"/>
      <c r="F34" s="281"/>
      <c r="G34" s="281"/>
      <c r="H34" s="281"/>
      <c r="I34" s="281"/>
      <c r="J34" s="281"/>
    </row>
    <row r="35" spans="1:10" ht="15" customHeight="1" x14ac:dyDescent="0.35">
      <c r="A35" s="225" t="s">
        <v>39</v>
      </c>
      <c r="B35" s="225"/>
      <c r="C35" s="225"/>
      <c r="D35" s="225"/>
      <c r="E35" s="225"/>
      <c r="F35" s="283" t="s">
        <v>196</v>
      </c>
      <c r="G35" s="283"/>
      <c r="H35" s="283"/>
      <c r="I35" s="283"/>
      <c r="J35" s="283"/>
    </row>
    <row r="36" spans="1:10" ht="15" customHeight="1" x14ac:dyDescent="0.35">
      <c r="A36" s="225" t="s">
        <v>40</v>
      </c>
      <c r="B36" s="225"/>
      <c r="C36" s="225"/>
      <c r="D36" s="225"/>
      <c r="E36" s="225"/>
      <c r="F36" s="225" t="s">
        <v>41</v>
      </c>
      <c r="G36" s="225"/>
      <c r="H36" s="225"/>
      <c r="I36" s="225"/>
      <c r="J36" s="225"/>
    </row>
    <row r="37" spans="1:10" x14ac:dyDescent="0.35">
      <c r="A37" s="281" t="s">
        <v>42</v>
      </c>
      <c r="B37" s="281"/>
      <c r="C37" s="281"/>
      <c r="D37" s="281"/>
      <c r="E37" s="281"/>
      <c r="F37" s="281"/>
      <c r="G37" s="281"/>
      <c r="H37" s="281"/>
      <c r="I37" s="281"/>
      <c r="J37" s="281"/>
    </row>
    <row r="38" spans="1:10" x14ac:dyDescent="0.35">
      <c r="A38" s="196" t="s">
        <v>43</v>
      </c>
      <c r="B38" s="196"/>
      <c r="C38" s="196"/>
      <c r="D38" s="196"/>
      <c r="E38" s="196"/>
      <c r="F38" s="284">
        <v>10471.1</v>
      </c>
      <c r="G38" s="284"/>
      <c r="H38" s="284"/>
      <c r="I38" s="284"/>
      <c r="J38" s="284"/>
    </row>
    <row r="39" spans="1:10" x14ac:dyDescent="0.35">
      <c r="A39" s="196" t="s">
        <v>44</v>
      </c>
      <c r="B39" s="196"/>
      <c r="C39" s="196"/>
      <c r="D39" s="196"/>
      <c r="E39" s="196"/>
      <c r="F39" s="285">
        <v>1</v>
      </c>
      <c r="G39" s="285"/>
      <c r="H39" s="285"/>
      <c r="I39" s="285"/>
      <c r="J39" s="285"/>
    </row>
    <row r="40" spans="1:10" x14ac:dyDescent="0.35">
      <c r="A40" s="196" t="s">
        <v>45</v>
      </c>
      <c r="B40" s="196"/>
      <c r="C40" s="196"/>
      <c r="D40" s="196"/>
      <c r="E40" s="196"/>
      <c r="F40" s="285">
        <f>F42/F38-F39</f>
        <v>2.5648461002186971</v>
      </c>
      <c r="G40" s="285"/>
      <c r="H40" s="285"/>
      <c r="I40" s="285"/>
      <c r="J40" s="285"/>
    </row>
    <row r="41" spans="1:10" x14ac:dyDescent="0.35">
      <c r="A41" s="196" t="s">
        <v>46</v>
      </c>
      <c r="B41" s="196"/>
      <c r="C41" s="196"/>
      <c r="D41" s="196"/>
      <c r="E41" s="196"/>
      <c r="F41" s="285">
        <f>F39+F40</f>
        <v>3.5648461002186971</v>
      </c>
      <c r="G41" s="285"/>
      <c r="H41" s="285"/>
      <c r="I41" s="285"/>
      <c r="J41" s="285"/>
    </row>
    <row r="42" spans="1:10" x14ac:dyDescent="0.35">
      <c r="A42" s="196" t="s">
        <v>47</v>
      </c>
      <c r="B42" s="196"/>
      <c r="C42" s="196"/>
      <c r="D42" s="196"/>
      <c r="E42" s="196"/>
      <c r="F42" s="286">
        <v>37327.86</v>
      </c>
      <c r="G42" s="286"/>
      <c r="H42" s="286"/>
      <c r="I42" s="286"/>
      <c r="J42" s="286"/>
    </row>
    <row r="43" spans="1:10" ht="17.25" customHeight="1" x14ac:dyDescent="0.35">
      <c r="A43" s="196" t="s">
        <v>48</v>
      </c>
      <c r="B43" s="196"/>
      <c r="C43" s="196"/>
      <c r="D43" s="196"/>
      <c r="E43" s="196"/>
      <c r="F43" s="217" t="s">
        <v>244</v>
      </c>
      <c r="G43" s="217"/>
      <c r="H43" s="217"/>
      <c r="I43" s="217"/>
      <c r="J43" s="217"/>
    </row>
    <row r="44" spans="1:10" x14ac:dyDescent="0.35">
      <c r="A44" s="166" t="s">
        <v>49</v>
      </c>
      <c r="B44" s="167"/>
      <c r="C44" s="167"/>
      <c r="D44" s="167"/>
      <c r="E44" s="167"/>
      <c r="F44" s="167"/>
      <c r="G44" s="167"/>
      <c r="H44" s="167"/>
      <c r="I44" s="167"/>
      <c r="J44" s="168"/>
    </row>
    <row r="45" spans="1:10" x14ac:dyDescent="0.35">
      <c r="A45" s="118" t="s">
        <v>50</v>
      </c>
      <c r="B45" s="120"/>
      <c r="C45" s="204" t="s">
        <v>182</v>
      </c>
      <c r="D45" s="205"/>
      <c r="E45" s="205"/>
      <c r="F45" s="206"/>
      <c r="G45" s="16" t="s">
        <v>51</v>
      </c>
      <c r="H45" s="200">
        <v>45065</v>
      </c>
      <c r="I45" s="119"/>
      <c r="J45" s="120"/>
    </row>
    <row r="46" spans="1:10" x14ac:dyDescent="0.35">
      <c r="A46" s="118" t="s">
        <v>52</v>
      </c>
      <c r="B46" s="120"/>
      <c r="C46" s="204" t="str">
        <f>C45</f>
        <v>CHE/A-3922/BP(WS)AR</v>
      </c>
      <c r="D46" s="205"/>
      <c r="E46" s="205"/>
      <c r="F46" s="206"/>
      <c r="G46" s="16" t="s">
        <v>51</v>
      </c>
      <c r="H46" s="200">
        <f>H45</f>
        <v>45065</v>
      </c>
      <c r="I46" s="201"/>
      <c r="J46" s="202"/>
    </row>
    <row r="47" spans="1:10" ht="253.15" customHeight="1" x14ac:dyDescent="0.35">
      <c r="A47" s="118" t="s">
        <v>53</v>
      </c>
      <c r="B47" s="120"/>
      <c r="C47" s="204" t="s">
        <v>297</v>
      </c>
      <c r="D47" s="170"/>
      <c r="E47" s="170"/>
      <c r="F47" s="171"/>
      <c r="G47" s="11" t="s">
        <v>51</v>
      </c>
      <c r="H47" s="60">
        <v>45139</v>
      </c>
      <c r="I47" s="203" t="s">
        <v>298</v>
      </c>
      <c r="J47" s="203"/>
    </row>
    <row r="48" spans="1:10" ht="138.4" customHeight="1" x14ac:dyDescent="0.35">
      <c r="A48" s="240" t="s">
        <v>54</v>
      </c>
      <c r="B48" s="242"/>
      <c r="C48" s="212" t="s">
        <v>299</v>
      </c>
      <c r="D48" s="213"/>
      <c r="E48" s="213"/>
      <c r="F48" s="214" t="s">
        <v>55</v>
      </c>
      <c r="G48" s="68" t="s">
        <v>51</v>
      </c>
      <c r="H48" s="209">
        <v>45105</v>
      </c>
      <c r="I48" s="210" t="s">
        <v>33</v>
      </c>
      <c r="J48" s="211"/>
    </row>
    <row r="49" spans="1:12" ht="124.5" customHeight="1" x14ac:dyDescent="0.35">
      <c r="A49" s="246"/>
      <c r="B49" s="248"/>
      <c r="C49" s="212" t="s">
        <v>300</v>
      </c>
      <c r="D49" s="213"/>
      <c r="E49" s="213"/>
      <c r="F49" s="214" t="s">
        <v>55</v>
      </c>
      <c r="G49" s="68" t="s">
        <v>51</v>
      </c>
      <c r="H49" s="209">
        <v>45509</v>
      </c>
      <c r="I49" s="210"/>
      <c r="J49" s="211"/>
    </row>
    <row r="50" spans="1:12" ht="170.5" customHeight="1" x14ac:dyDescent="0.35">
      <c r="A50" s="287"/>
      <c r="B50" s="288"/>
      <c r="C50" s="212" t="s">
        <v>304</v>
      </c>
      <c r="D50" s="213"/>
      <c r="E50" s="213"/>
      <c r="F50" s="214" t="s">
        <v>55</v>
      </c>
      <c r="G50" s="68" t="s">
        <v>51</v>
      </c>
      <c r="H50" s="209">
        <v>45847</v>
      </c>
      <c r="I50" s="210"/>
      <c r="J50" s="211"/>
    </row>
    <row r="51" spans="1:12" x14ac:dyDescent="0.35">
      <c r="A51" s="196" t="s">
        <v>56</v>
      </c>
      <c r="B51" s="196"/>
      <c r="C51" s="196"/>
      <c r="D51" s="197">
        <v>38785</v>
      </c>
      <c r="E51" s="198"/>
      <c r="F51" s="115" t="s">
        <v>57</v>
      </c>
      <c r="G51" s="199"/>
      <c r="H51" s="110" t="s">
        <v>307</v>
      </c>
      <c r="I51" s="111"/>
      <c r="J51" s="112"/>
    </row>
    <row r="52" spans="1:12" x14ac:dyDescent="0.35">
      <c r="A52" s="183" t="s">
        <v>58</v>
      </c>
      <c r="B52" s="184"/>
      <c r="C52" s="184"/>
      <c r="D52" s="184"/>
      <c r="E52" s="184"/>
      <c r="F52" s="184"/>
      <c r="G52" s="184"/>
      <c r="H52" s="184"/>
      <c r="I52" s="184"/>
      <c r="J52" s="185"/>
    </row>
    <row r="53" spans="1:12" ht="15.75" customHeight="1" x14ac:dyDescent="0.35">
      <c r="A53" s="115" t="s">
        <v>59</v>
      </c>
      <c r="B53" s="116"/>
      <c r="C53" s="117"/>
      <c r="D53" s="186">
        <v>27655.69</v>
      </c>
      <c r="E53" s="187"/>
      <c r="F53" s="188" t="s">
        <v>60</v>
      </c>
      <c r="G53" s="189"/>
      <c r="H53" s="188" t="s">
        <v>281</v>
      </c>
      <c r="I53" s="190"/>
      <c r="J53" s="189"/>
    </row>
    <row r="54" spans="1:12" x14ac:dyDescent="0.35">
      <c r="A54" s="121" t="s">
        <v>61</v>
      </c>
      <c r="B54" s="122"/>
      <c r="C54" s="110" t="s">
        <v>246</v>
      </c>
      <c r="D54" s="111"/>
      <c r="E54" s="111"/>
      <c r="F54" s="111"/>
      <c r="G54" s="111"/>
      <c r="H54" s="111"/>
      <c r="I54" s="111"/>
      <c r="J54" s="112"/>
    </row>
    <row r="55" spans="1:12" ht="17.25" customHeight="1" x14ac:dyDescent="0.35">
      <c r="A55" s="121" t="s">
        <v>199</v>
      </c>
      <c r="B55" s="122"/>
      <c r="C55" s="110" t="s">
        <v>246</v>
      </c>
      <c r="D55" s="111"/>
      <c r="E55" s="111"/>
      <c r="F55" s="111"/>
      <c r="G55" s="111"/>
      <c r="H55" s="111"/>
      <c r="I55" s="111"/>
      <c r="J55" s="112"/>
    </row>
    <row r="56" spans="1:12" ht="15.75" customHeight="1" x14ac:dyDescent="0.35">
      <c r="A56" s="115" t="s">
        <v>62</v>
      </c>
      <c r="B56" s="116"/>
      <c r="C56" s="116"/>
      <c r="D56" s="118" t="s">
        <v>305</v>
      </c>
      <c r="E56" s="119"/>
      <c r="F56" s="119"/>
      <c r="G56" s="119"/>
      <c r="H56" s="119"/>
      <c r="I56" s="119"/>
      <c r="J56" s="120"/>
    </row>
    <row r="57" spans="1:12" ht="16" thickBot="1" x14ac:dyDescent="0.4">
      <c r="A57" s="110" t="s">
        <v>306</v>
      </c>
      <c r="B57" s="111"/>
      <c r="C57" s="111"/>
      <c r="D57" s="111"/>
      <c r="E57" s="111"/>
      <c r="F57" s="111"/>
      <c r="G57" s="111"/>
      <c r="H57" s="111"/>
      <c r="I57" s="111"/>
      <c r="J57" s="112"/>
    </row>
    <row r="58" spans="1:12" x14ac:dyDescent="0.35">
      <c r="A58" s="88" t="s">
        <v>214</v>
      </c>
      <c r="B58" s="89"/>
      <c r="C58" s="90" t="s">
        <v>247</v>
      </c>
      <c r="D58" s="90"/>
      <c r="E58" s="90"/>
      <c r="F58" s="90"/>
      <c r="G58" s="90"/>
      <c r="H58" s="90"/>
      <c r="I58" s="90"/>
      <c r="J58" s="91"/>
      <c r="K58" s="50" t="str">
        <f ca="1">(IF(F64&gt;99%,"All work completed. Please provide OC.",IF(F64&gt;89.8%,"Plinth, RCC, Brick, Plaster, Flooring, Painting work Completed. Finishing work is in process.",IF(F64&lt;94%,(IF(C64=0,"Work not yet Started.",IF(D64=25%,"Piling work in process",IF(D64=50%,"Excavation work in process",IF(D64=100%,"Excavation work Completed. ","0")))&amp;(IF(C65=0%,"",IF(C65=L66,"Footing work is process",IF(C65=L67,"Footing work Completed",IF(C65=L68,"1st Basement Completed",IF(C65=L69,"1st &amp; 2nd Basement Completed",IF(C65=L70,"1st to 3rd Basement Completed",IF(C65=L71,"1st to 4th Basement Completed",IF(C65=L72,"Plinth work is process",IF(C65=L73,"Plinth work completed","0")))))))))))&amp;(IF(C66=(D59+G59+I59),", RCC Slab",IF(C66&gt;0,", RCC upto "&amp;C66&amp;" Slab",""))&amp;(IF(C67=I59,", Brickwork",IF(C67&gt;0,", Brickwork upto "&amp;C67&amp;" Floor",""))&amp;(IF(C68=I59,", Internal Plaster",IF(C68&gt;0,", Internal Plaster upto "&amp;C68&amp;" Floor",""))&amp;(IF(C69=I59,", External Plaster",IF(C69&gt;0,", External Plaster upto "&amp;C69&amp;" Floor",""))&amp;(IF(C70=I59,", Flooring",IF(C70&gt;0,", Flooring upto "&amp;C70&amp;" Floor",""))&amp;(IF(C71=I59,", Painting",IF(C71&gt;0,", Painting upto "&amp;C71&amp;" Floor",""))&amp;(IF(C72&gt;0,", Finishing upto "&amp;C72&amp;" Floor","")&amp;(IF(C66&gt;0.5," Completed",""))))))))))))))</f>
        <v>All work completed. Please provide OC.</v>
      </c>
      <c r="L58" s="50"/>
    </row>
    <row r="59" spans="1:12" ht="15" customHeight="1" x14ac:dyDescent="0.35">
      <c r="A59" s="48" t="s">
        <v>132</v>
      </c>
      <c r="B59" s="55">
        <v>2</v>
      </c>
      <c r="C59" s="49" t="s">
        <v>134</v>
      </c>
      <c r="D59" s="49">
        <v>1</v>
      </c>
      <c r="E59" s="194" t="s">
        <v>133</v>
      </c>
      <c r="F59" s="194"/>
      <c r="G59" s="49">
        <v>0</v>
      </c>
      <c r="H59" s="49" t="s">
        <v>215</v>
      </c>
      <c r="I59" s="194">
        <f ca="1">--TRIM(RIGHT(SUBSTITUTE(LEFT(C58,_xlfn.AGGREGATE(16,6,FIND({0,1,2,3,4,5,6,7,8,9},C58,ROW(INDIRECT("1:"&amp;LEN(C58)))),1))," ",REPT(" ",LEN(C58))),LEN(C58)))</f>
        <v>36</v>
      </c>
      <c r="J59" s="195"/>
      <c r="K59" s="50"/>
      <c r="L59" s="50"/>
    </row>
    <row r="60" spans="1:12" x14ac:dyDescent="0.35">
      <c r="A60" s="94" t="s">
        <v>216</v>
      </c>
      <c r="B60" s="191"/>
      <c r="C60" s="95" t="str">
        <f>K60</f>
        <v>All work Completed. OC Received.</v>
      </c>
      <c r="D60" s="95"/>
      <c r="E60" s="95"/>
      <c r="F60" s="95"/>
      <c r="G60" s="95"/>
      <c r="H60" s="95"/>
      <c r="I60" s="95"/>
      <c r="J60" s="96"/>
      <c r="K60" s="50" t="s">
        <v>217</v>
      </c>
      <c r="L60" s="50"/>
    </row>
    <row r="61" spans="1:12" ht="15" customHeight="1" x14ac:dyDescent="0.35">
      <c r="A61" s="258" t="s">
        <v>220</v>
      </c>
      <c r="B61" s="259"/>
      <c r="C61" s="262">
        <v>1</v>
      </c>
      <c r="D61" s="263"/>
      <c r="E61" s="259"/>
      <c r="F61" s="266" t="s">
        <v>301</v>
      </c>
      <c r="G61" s="267"/>
      <c r="H61" s="266">
        <v>1</v>
      </c>
      <c r="I61" s="270"/>
      <c r="J61" s="271"/>
      <c r="K61" s="51"/>
      <c r="L61" s="52"/>
    </row>
    <row r="62" spans="1:12" ht="15" customHeight="1" thickBot="1" x14ac:dyDescent="0.4">
      <c r="A62" s="260"/>
      <c r="B62" s="261"/>
      <c r="C62" s="264"/>
      <c r="D62" s="265"/>
      <c r="E62" s="261"/>
      <c r="F62" s="268"/>
      <c r="G62" s="269"/>
      <c r="H62" s="268"/>
      <c r="I62" s="272"/>
      <c r="J62" s="273"/>
      <c r="K62" s="51"/>
      <c r="L62" s="52"/>
    </row>
    <row r="63" spans="1:12" hidden="1" x14ac:dyDescent="0.35">
      <c r="A63" s="97" t="s">
        <v>63</v>
      </c>
      <c r="B63" s="98"/>
      <c r="C63" s="56" t="s">
        <v>218</v>
      </c>
      <c r="D63" s="99" t="s">
        <v>219</v>
      </c>
      <c r="E63" s="99"/>
      <c r="F63" s="99" t="s">
        <v>220</v>
      </c>
      <c r="G63" s="99"/>
      <c r="H63" s="99" t="s">
        <v>221</v>
      </c>
      <c r="I63" s="99"/>
      <c r="J63" s="100"/>
      <c r="K63" s="51" t="s">
        <v>222</v>
      </c>
      <c r="L63" s="10">
        <f ca="1">I59*25%</f>
        <v>9</v>
      </c>
    </row>
    <row r="64" spans="1:12" ht="15" hidden="1" customHeight="1" x14ac:dyDescent="0.35">
      <c r="A64" s="82" t="s">
        <v>223</v>
      </c>
      <c r="B64" s="83"/>
      <c r="C64" s="57">
        <f ca="1">L65</f>
        <v>36</v>
      </c>
      <c r="D64" s="84">
        <f ca="1">((100/I59)*C64)/100</f>
        <v>1</v>
      </c>
      <c r="E64" s="84"/>
      <c r="F64" s="84">
        <f ca="1">(((C65/I59*10)+(40/(D59+G59+I59)*C66)+(7.5/(I59)*C67)+(7.5/(I59)*C68)+(10/I59*C69)+(10/I59*C70)+(5/I59*C71)+(5/I59*C72)+(5/I59*C73))/100)</f>
        <v>1</v>
      </c>
      <c r="G64" s="84"/>
      <c r="H64" s="84">
        <f ca="1">((((C64/I59)*20)+((C65/I59)*25)+(30/(I59+G59+D59)*C66)+(5/I59*C67)+(5/I59*C68)+(5/I59*C69)+(5/I59*C70)+(0/I59*C71)+(0/I59*C72)+(5/I59*C73))/100)</f>
        <v>1</v>
      </c>
      <c r="I64" s="84"/>
      <c r="J64" s="105"/>
      <c r="K64" s="51" t="s">
        <v>141</v>
      </c>
      <c r="L64" s="51">
        <f ca="1">I59*50%</f>
        <v>18</v>
      </c>
    </row>
    <row r="65" spans="1:12" ht="15" hidden="1" customHeight="1" x14ac:dyDescent="0.35">
      <c r="A65" s="82" t="s">
        <v>64</v>
      </c>
      <c r="B65" s="83"/>
      <c r="C65" s="58">
        <f ca="1">L73</f>
        <v>36</v>
      </c>
      <c r="D65" s="84">
        <f ca="1">((100/I59)*C65)/100</f>
        <v>1</v>
      </c>
      <c r="E65" s="84"/>
      <c r="F65" s="84"/>
      <c r="G65" s="84"/>
      <c r="H65" s="84"/>
      <c r="I65" s="84"/>
      <c r="J65" s="105"/>
      <c r="K65" s="51" t="s">
        <v>142</v>
      </c>
      <c r="L65" s="51">
        <f ca="1">I59</f>
        <v>36</v>
      </c>
    </row>
    <row r="66" spans="1:12" ht="15" hidden="1" customHeight="1" x14ac:dyDescent="0.35">
      <c r="A66" s="107" t="s">
        <v>224</v>
      </c>
      <c r="B66" s="108"/>
      <c r="C66" s="58">
        <v>37</v>
      </c>
      <c r="D66" s="84">
        <f ca="1">((100/(D59+G59+I59))*C66)/100</f>
        <v>1</v>
      </c>
      <c r="E66" s="84"/>
      <c r="F66" s="84"/>
      <c r="G66" s="84"/>
      <c r="H66" s="84"/>
      <c r="I66" s="84"/>
      <c r="J66" s="105"/>
      <c r="K66" s="51" t="s">
        <v>143</v>
      </c>
      <c r="L66" s="52">
        <f ca="1">(IF(B59&gt;1,(I59/(B59+2)),I59/4))</f>
        <v>9</v>
      </c>
    </row>
    <row r="67" spans="1:12" ht="15" hidden="1" customHeight="1" x14ac:dyDescent="0.35">
      <c r="A67" s="82" t="s">
        <v>225</v>
      </c>
      <c r="B67" s="83" t="s">
        <v>226</v>
      </c>
      <c r="C67" s="58">
        <f>C66-1</f>
        <v>36</v>
      </c>
      <c r="D67" s="84">
        <f ca="1">((100/I59)*C67)/100</f>
        <v>1</v>
      </c>
      <c r="E67" s="84"/>
      <c r="F67" s="84"/>
      <c r="G67" s="84"/>
      <c r="H67" s="84"/>
      <c r="I67" s="84"/>
      <c r="J67" s="105"/>
      <c r="K67" s="51" t="s">
        <v>144</v>
      </c>
      <c r="L67" s="52">
        <f ca="1">(IF(B59&gt;1,(I59/(B59+2)+L66),I59/4+L66))</f>
        <v>18</v>
      </c>
    </row>
    <row r="68" spans="1:12" ht="15" hidden="1" customHeight="1" x14ac:dyDescent="0.35">
      <c r="A68" s="82" t="s">
        <v>227</v>
      </c>
      <c r="B68" s="83" t="s">
        <v>226</v>
      </c>
      <c r="C68" s="58">
        <v>36</v>
      </c>
      <c r="D68" s="84">
        <f ca="1">((100/I59)*C68)/100</f>
        <v>1</v>
      </c>
      <c r="E68" s="84"/>
      <c r="F68" s="84"/>
      <c r="G68" s="84"/>
      <c r="H68" s="84"/>
      <c r="I68" s="84"/>
      <c r="J68" s="105"/>
      <c r="K68" s="51" t="s">
        <v>228</v>
      </c>
      <c r="L68" s="52">
        <f ca="1">(IF(B59&gt;1,(I59/(B59+2)+L67),0))</f>
        <v>27</v>
      </c>
    </row>
    <row r="69" spans="1:12" ht="15" hidden="1" customHeight="1" x14ac:dyDescent="0.35">
      <c r="A69" s="82" t="s">
        <v>229</v>
      </c>
      <c r="B69" s="83" t="s">
        <v>230</v>
      </c>
      <c r="C69" s="58">
        <v>36</v>
      </c>
      <c r="D69" s="84">
        <f ca="1">((100/(I59))*C69)/100</f>
        <v>1</v>
      </c>
      <c r="E69" s="84"/>
      <c r="F69" s="84"/>
      <c r="G69" s="84"/>
      <c r="H69" s="84"/>
      <c r="I69" s="84"/>
      <c r="J69" s="105"/>
      <c r="K69" s="51" t="s">
        <v>231</v>
      </c>
      <c r="L69" s="52">
        <f>(IF(B59&gt;2,(I59/(B59+2)+L68),0))</f>
        <v>0</v>
      </c>
    </row>
    <row r="70" spans="1:12" ht="15" hidden="1" customHeight="1" x14ac:dyDescent="0.35">
      <c r="A70" s="82" t="s">
        <v>232</v>
      </c>
      <c r="B70" s="83" t="s">
        <v>232</v>
      </c>
      <c r="C70" s="57">
        <v>36</v>
      </c>
      <c r="D70" s="84">
        <f ca="1">((100/I59)*C70)/100</f>
        <v>1</v>
      </c>
      <c r="E70" s="84"/>
      <c r="F70" s="84"/>
      <c r="G70" s="84"/>
      <c r="H70" s="84"/>
      <c r="I70" s="84"/>
      <c r="J70" s="105"/>
      <c r="K70" s="51" t="s">
        <v>233</v>
      </c>
      <c r="L70" s="53">
        <f>(IF(B59&gt;3,(I59/(B59+2)+L69),0))</f>
        <v>0</v>
      </c>
    </row>
    <row r="71" spans="1:12" ht="15" hidden="1" customHeight="1" x14ac:dyDescent="0.35">
      <c r="A71" s="82" t="s">
        <v>234</v>
      </c>
      <c r="B71" s="83"/>
      <c r="C71" s="57">
        <v>36</v>
      </c>
      <c r="D71" s="84">
        <f ca="1">((100/I59)*C71)/100</f>
        <v>1</v>
      </c>
      <c r="E71" s="84"/>
      <c r="F71" s="84"/>
      <c r="G71" s="84"/>
      <c r="H71" s="84"/>
      <c r="I71" s="84"/>
      <c r="J71" s="105"/>
      <c r="K71" s="51" t="s">
        <v>235</v>
      </c>
      <c r="L71" s="52">
        <f>(IF(B59&gt;4,(I59/(B59+2)+L70),0))</f>
        <v>0</v>
      </c>
    </row>
    <row r="72" spans="1:12" ht="15" hidden="1" customHeight="1" x14ac:dyDescent="0.35">
      <c r="A72" s="82" t="s">
        <v>236</v>
      </c>
      <c r="B72" s="83" t="s">
        <v>236</v>
      </c>
      <c r="C72" s="57">
        <v>36</v>
      </c>
      <c r="D72" s="84">
        <f ca="1">((100/(I59))*C72)/100</f>
        <v>1</v>
      </c>
      <c r="E72" s="84"/>
      <c r="F72" s="84"/>
      <c r="G72" s="84"/>
      <c r="H72" s="84"/>
      <c r="I72" s="84"/>
      <c r="J72" s="105"/>
      <c r="K72" s="51" t="s">
        <v>145</v>
      </c>
      <c r="L72" s="52">
        <f>(IF(B59=1,(I59/(B59+3)+L67),IF(B59=0,(I59/4+L67),IF(B59&gt;1,0))))</f>
        <v>0</v>
      </c>
    </row>
    <row r="73" spans="1:12" ht="15" hidden="1" customHeight="1" thickBot="1" x14ac:dyDescent="0.4">
      <c r="A73" s="192" t="s">
        <v>237</v>
      </c>
      <c r="B73" s="193"/>
      <c r="C73" s="59">
        <v>36</v>
      </c>
      <c r="D73" s="113">
        <f ca="1">((100/(I59))*C73)/100</f>
        <v>1</v>
      </c>
      <c r="E73" s="113"/>
      <c r="F73" s="113"/>
      <c r="G73" s="113"/>
      <c r="H73" s="113"/>
      <c r="I73" s="113"/>
      <c r="J73" s="114"/>
      <c r="K73" s="51" t="s">
        <v>146</v>
      </c>
      <c r="L73" s="52">
        <f ca="1">(IF(B59&gt;1.5,(I59/(B59+2)+L67+MAX(0,L68-L67)+MAX(0,L69-L68)+MAX(0,L70-L69)+MAX(0,L71-L70)+MAX(0,L72-L71)),IF(B59=1,(I59/(B59+3)+L72),IF(B59=0,I59/4+L72))))</f>
        <v>36</v>
      </c>
    </row>
    <row r="74" spans="1:12" x14ac:dyDescent="0.35">
      <c r="A74" s="88" t="s">
        <v>214</v>
      </c>
      <c r="B74" s="89"/>
      <c r="C74" s="90" t="s">
        <v>245</v>
      </c>
      <c r="D74" s="90"/>
      <c r="E74" s="90"/>
      <c r="F74" s="90"/>
      <c r="G74" s="90"/>
      <c r="H74" s="90"/>
      <c r="I74" s="90"/>
      <c r="J74" s="91"/>
      <c r="K74" s="50" t="str">
        <f ca="1">(IF(F78&gt;99%,"All work completed. Please provide OC.",IF(F78&gt;89.8%,"Plinth, RCC, Brick, Plaster, Flooring, Painting work Completed. Finishing work is in process.",IF(F78&lt;94%,(IF(C78=0,"Work not yet Started.",IF(D78=25%,"Piling work in process",IF(D78=50%,"Excavation work in process",IF(D78=100%,"Excavation work Completed. ","0")))&amp;(IF(C79=0%,"",IF(C79=L80,"Footing work is process",IF(C79=L81,"Footing work Completed",IF(C79=L82,"1st Basement Completed",IF(C79=L83,"1st &amp; 2nd Basement Completed",IF(C79=L84,"1st to 3rd Basement Completed",IF(C79=L85,"1st to 4th Basement Completed",IF(C79=L86,"Plinth work is process",IF(C79=L87,"Plinth work completed","0")))))))))))&amp;(IF(C80=(D75+G75+I75),", RCC Slab",IF(C80&gt;0,", RCC upto "&amp;C80&amp;" Slab",""))&amp;(IF(C81=I75,", Brickwork",IF(C81&gt;0,", Brickwork upto "&amp;C81&amp;" Floor",""))&amp;(IF(C82=I75,", Internal Plaster",IF(C82&gt;0,", Internal Plaster upto "&amp;C82&amp;" Floor",""))&amp;(IF(C83=I75,", External Plaster",IF(C83&gt;0,", External Plaster upto "&amp;C83&amp;" Floor",""))&amp;(IF(C84=I75,", Flooring",IF(C84&gt;0,", Flooring upto "&amp;C84&amp;" Floor",""))&amp;(IF(C85=I75,", Painting",IF(C85&gt;0,", Painting upto "&amp;C85&amp;" Floor",""))&amp;(IF(C86&gt;0,", Finishing upto "&amp;C86&amp;" Floor","")&amp;(IF(C80&gt;0.5," Completed",""))))))))))))))</f>
        <v>All work completed. Please provide OC.</v>
      </c>
      <c r="L74" s="50"/>
    </row>
    <row r="75" spans="1:12" ht="15" customHeight="1" x14ac:dyDescent="0.35">
      <c r="A75" s="69" t="s">
        <v>132</v>
      </c>
      <c r="B75" s="70">
        <v>2</v>
      </c>
      <c r="C75" s="74" t="s">
        <v>134</v>
      </c>
      <c r="D75" s="71">
        <v>1</v>
      </c>
      <c r="E75" s="92" t="s">
        <v>133</v>
      </c>
      <c r="F75" s="92"/>
      <c r="G75" s="74">
        <v>0</v>
      </c>
      <c r="H75" s="74" t="s">
        <v>215</v>
      </c>
      <c r="I75" s="92">
        <f ca="1">--TRIM(RIGHT(SUBSTITUTE(LEFT(C74,_xlfn.AGGREGATE(16,6,FIND({0,1,2,3,4,5,6,7,8,9},C74,ROW(INDIRECT("1:"&amp;LEN(C74)))),1))," ",REPT(" ",LEN(C74))),LEN(C74)))</f>
        <v>36</v>
      </c>
      <c r="J75" s="93"/>
      <c r="K75" s="50"/>
      <c r="L75" s="50"/>
    </row>
    <row r="76" spans="1:12" x14ac:dyDescent="0.35">
      <c r="A76" s="94" t="s">
        <v>216</v>
      </c>
      <c r="B76" s="95"/>
      <c r="C76" s="95" t="str">
        <f>K76</f>
        <v>All work Completed. OC Received.</v>
      </c>
      <c r="D76" s="95"/>
      <c r="E76" s="95"/>
      <c r="F76" s="95"/>
      <c r="G76" s="95"/>
      <c r="H76" s="95"/>
      <c r="I76" s="95"/>
      <c r="J76" s="96"/>
      <c r="K76" s="50" t="s">
        <v>217</v>
      </c>
      <c r="L76" s="50"/>
    </row>
    <row r="77" spans="1:12" ht="15" hidden="1" customHeight="1" x14ac:dyDescent="0.35">
      <c r="A77" s="97" t="s">
        <v>63</v>
      </c>
      <c r="B77" s="98"/>
      <c r="C77" s="72" t="s">
        <v>218</v>
      </c>
      <c r="D77" s="99" t="s">
        <v>219</v>
      </c>
      <c r="E77" s="99"/>
      <c r="F77" s="99" t="s">
        <v>220</v>
      </c>
      <c r="G77" s="99"/>
      <c r="H77" s="99" t="s">
        <v>221</v>
      </c>
      <c r="I77" s="99"/>
      <c r="J77" s="100"/>
      <c r="K77" s="51" t="s">
        <v>222</v>
      </c>
      <c r="L77" s="10">
        <f ca="1">I75*25%</f>
        <v>9</v>
      </c>
    </row>
    <row r="78" spans="1:12" ht="15" hidden="1" customHeight="1" x14ac:dyDescent="0.35">
      <c r="A78" s="82" t="s">
        <v>223</v>
      </c>
      <c r="B78" s="83"/>
      <c r="C78" s="57">
        <f ca="1">L79</f>
        <v>36</v>
      </c>
      <c r="D78" s="84">
        <f ca="1">((100/I75)*C78)/100</f>
        <v>1</v>
      </c>
      <c r="E78" s="84"/>
      <c r="F78" s="84">
        <f ca="1">(((C79/I75*10)+(40/(D75+G75+I75)*C80)+(7.5/(I75)*C81)+(7.5/(I75)*C82)+(10/I75*C83)+(10/I75*C84)+(5/I75*C85)+(5/I75*C86)+(5/I75*C87))/100)</f>
        <v>1</v>
      </c>
      <c r="G78" s="84"/>
      <c r="H78" s="84">
        <f ca="1">((((C78/I75)*20)+((C79/I75)*25)+(30/(I75+G75+D75)*C80)+(5/I75*C81)+(5/I75*C82)+(5/I75*C83)+(5/I75*C84)+(0/I75*C85)+(0/I75*C86)+(5/I75*C87))/100)</f>
        <v>1</v>
      </c>
      <c r="I78" s="84"/>
      <c r="J78" s="105"/>
      <c r="K78" s="51" t="s">
        <v>141</v>
      </c>
      <c r="L78" s="51">
        <f ca="1">I75*50%</f>
        <v>18</v>
      </c>
    </row>
    <row r="79" spans="1:12" ht="15" hidden="1" customHeight="1" x14ac:dyDescent="0.35">
      <c r="A79" s="82" t="s">
        <v>64</v>
      </c>
      <c r="B79" s="83"/>
      <c r="C79" s="58">
        <f ca="1">L87</f>
        <v>36</v>
      </c>
      <c r="D79" s="84">
        <f ca="1">((100/I75)*C79)/100</f>
        <v>1</v>
      </c>
      <c r="E79" s="84"/>
      <c r="F79" s="84"/>
      <c r="G79" s="84"/>
      <c r="H79" s="84"/>
      <c r="I79" s="84"/>
      <c r="J79" s="105"/>
      <c r="K79" s="51" t="s">
        <v>142</v>
      </c>
      <c r="L79" s="51">
        <f ca="1">I75</f>
        <v>36</v>
      </c>
    </row>
    <row r="80" spans="1:12" ht="15" hidden="1" customHeight="1" x14ac:dyDescent="0.35">
      <c r="A80" s="107" t="s">
        <v>224</v>
      </c>
      <c r="B80" s="108"/>
      <c r="C80" s="58">
        <v>37</v>
      </c>
      <c r="D80" s="84">
        <f ca="1">((100/(D75+G75+I75))*C80)/100</f>
        <v>1</v>
      </c>
      <c r="E80" s="84"/>
      <c r="F80" s="84"/>
      <c r="G80" s="84"/>
      <c r="H80" s="84"/>
      <c r="I80" s="84"/>
      <c r="J80" s="105"/>
      <c r="K80" s="51" t="s">
        <v>143</v>
      </c>
      <c r="L80" s="52">
        <f ca="1">(IF(B75&gt;1,(I75/(B75+2)),I75/4))</f>
        <v>9</v>
      </c>
    </row>
    <row r="81" spans="1:16" ht="15" hidden="1" customHeight="1" x14ac:dyDescent="0.35">
      <c r="A81" s="82" t="s">
        <v>225</v>
      </c>
      <c r="B81" s="83" t="s">
        <v>226</v>
      </c>
      <c r="C81" s="58">
        <f>C80-1</f>
        <v>36</v>
      </c>
      <c r="D81" s="84">
        <f ca="1">((100/I75)*C81)/100</f>
        <v>1</v>
      </c>
      <c r="E81" s="84"/>
      <c r="F81" s="84"/>
      <c r="G81" s="84"/>
      <c r="H81" s="84"/>
      <c r="I81" s="84"/>
      <c r="J81" s="105"/>
      <c r="K81" s="51" t="s">
        <v>144</v>
      </c>
      <c r="L81" s="52">
        <f ca="1">(IF(B75&gt;1,(I75/(B75+2)+L80),I75/4+L80))</f>
        <v>18</v>
      </c>
    </row>
    <row r="82" spans="1:16" ht="15" hidden="1" customHeight="1" x14ac:dyDescent="0.35">
      <c r="A82" s="82" t="s">
        <v>227</v>
      </c>
      <c r="B82" s="83" t="s">
        <v>226</v>
      </c>
      <c r="C82" s="58">
        <v>36</v>
      </c>
      <c r="D82" s="84">
        <f ca="1">((100/I75)*C82)/100</f>
        <v>1</v>
      </c>
      <c r="E82" s="84"/>
      <c r="F82" s="84"/>
      <c r="G82" s="84"/>
      <c r="H82" s="84"/>
      <c r="I82" s="84"/>
      <c r="J82" s="105"/>
      <c r="K82" s="51" t="s">
        <v>228</v>
      </c>
      <c r="L82" s="52">
        <f ca="1">(IF(B75&gt;1,(I75/(B75+2)+L81),0))</f>
        <v>27</v>
      </c>
    </row>
    <row r="83" spans="1:16" ht="15" hidden="1" customHeight="1" x14ac:dyDescent="0.35">
      <c r="A83" s="82" t="s">
        <v>229</v>
      </c>
      <c r="B83" s="83" t="s">
        <v>230</v>
      </c>
      <c r="C83" s="58">
        <v>36</v>
      </c>
      <c r="D83" s="84">
        <f ca="1">((100/(I75))*C83)/100</f>
        <v>1</v>
      </c>
      <c r="E83" s="84"/>
      <c r="F83" s="84"/>
      <c r="G83" s="84"/>
      <c r="H83" s="84"/>
      <c r="I83" s="84"/>
      <c r="J83" s="105"/>
      <c r="K83" s="51" t="s">
        <v>231</v>
      </c>
      <c r="L83" s="52">
        <f>(IF(B75&gt;2,(I75/(B75+2)+L82),0))</f>
        <v>0</v>
      </c>
    </row>
    <row r="84" spans="1:16" ht="15" hidden="1" customHeight="1" x14ac:dyDescent="0.35">
      <c r="A84" s="82" t="s">
        <v>232</v>
      </c>
      <c r="B84" s="83" t="s">
        <v>232</v>
      </c>
      <c r="C84" s="58">
        <v>36</v>
      </c>
      <c r="D84" s="84">
        <f ca="1">((100/I75)*C84)/100</f>
        <v>1</v>
      </c>
      <c r="E84" s="84"/>
      <c r="F84" s="84"/>
      <c r="G84" s="84"/>
      <c r="H84" s="84"/>
      <c r="I84" s="84"/>
      <c r="J84" s="105"/>
      <c r="K84" s="51" t="s">
        <v>233</v>
      </c>
      <c r="L84" s="53">
        <f>(IF(B75&gt;3,(I75/(B75+2)+L83),0))</f>
        <v>0</v>
      </c>
    </row>
    <row r="85" spans="1:16" ht="15" hidden="1" customHeight="1" x14ac:dyDescent="0.35">
      <c r="A85" s="82" t="s">
        <v>234</v>
      </c>
      <c r="B85" s="83"/>
      <c r="C85" s="58">
        <v>36</v>
      </c>
      <c r="D85" s="84">
        <f ca="1">((100/I75)*C85)/100</f>
        <v>1</v>
      </c>
      <c r="E85" s="84"/>
      <c r="F85" s="84"/>
      <c r="G85" s="84"/>
      <c r="H85" s="84"/>
      <c r="I85" s="84"/>
      <c r="J85" s="105"/>
      <c r="K85" s="51" t="s">
        <v>235</v>
      </c>
      <c r="L85" s="52">
        <f>(IF(B75&gt;4,(I75/(B75+2)+L84),0))</f>
        <v>0</v>
      </c>
    </row>
    <row r="86" spans="1:16" ht="15" hidden="1" customHeight="1" x14ac:dyDescent="0.35">
      <c r="A86" s="82" t="s">
        <v>236</v>
      </c>
      <c r="B86" s="83" t="s">
        <v>236</v>
      </c>
      <c r="C86" s="58">
        <v>36</v>
      </c>
      <c r="D86" s="84">
        <f ca="1">((100/(I75))*C86)/100</f>
        <v>1</v>
      </c>
      <c r="E86" s="84"/>
      <c r="F86" s="84"/>
      <c r="G86" s="84"/>
      <c r="H86" s="84"/>
      <c r="I86" s="84"/>
      <c r="J86" s="105"/>
      <c r="K86" s="51" t="s">
        <v>145</v>
      </c>
      <c r="L86" s="52">
        <f>(IF(B75=1,(I75/(B75+3)+L81),IF(B75=0,(I75/4+L81),IF(B75&gt;1,0))))</f>
        <v>0</v>
      </c>
    </row>
    <row r="87" spans="1:16" ht="15" hidden="1" customHeight="1" thickBot="1" x14ac:dyDescent="0.4">
      <c r="A87" s="85" t="s">
        <v>237</v>
      </c>
      <c r="B87" s="86"/>
      <c r="C87" s="73">
        <v>36</v>
      </c>
      <c r="D87" s="87">
        <f ca="1">((100/(I75))*C87)/100</f>
        <v>1</v>
      </c>
      <c r="E87" s="87"/>
      <c r="F87" s="87"/>
      <c r="G87" s="87"/>
      <c r="H87" s="87"/>
      <c r="I87" s="87"/>
      <c r="J87" s="106"/>
      <c r="K87" s="51" t="s">
        <v>146</v>
      </c>
      <c r="L87" s="52">
        <f ca="1">(IF(B75&gt;1.5,(I75/(B75+2)+L81+MAX(0,L82-L81)+MAX(0,L83-L82)+MAX(0,L84-L83)+MAX(0,L85-L84)+MAX(0,L86-L85)),IF(B75=1,(I75/(B75+3)+L86),IF(B75=0,I75/4+L86))))</f>
        <v>36</v>
      </c>
    </row>
    <row r="88" spans="1:16" ht="15" customHeight="1" x14ac:dyDescent="0.35">
      <c r="A88" s="258" t="s">
        <v>220</v>
      </c>
      <c r="B88" s="259"/>
      <c r="C88" s="262">
        <v>1</v>
      </c>
      <c r="D88" s="263"/>
      <c r="E88" s="259"/>
      <c r="F88" s="266" t="s">
        <v>301</v>
      </c>
      <c r="G88" s="267"/>
      <c r="H88" s="266">
        <v>1</v>
      </c>
      <c r="I88" s="270"/>
      <c r="J88" s="271"/>
      <c r="K88" s="51"/>
      <c r="L88" s="52"/>
    </row>
    <row r="89" spans="1:16" ht="15" customHeight="1" thickBot="1" x14ac:dyDescent="0.4">
      <c r="A89" s="260"/>
      <c r="B89" s="261"/>
      <c r="C89" s="264"/>
      <c r="D89" s="265"/>
      <c r="E89" s="261"/>
      <c r="F89" s="268"/>
      <c r="G89" s="269"/>
      <c r="H89" s="268"/>
      <c r="I89" s="272"/>
      <c r="J89" s="273"/>
      <c r="K89" s="51"/>
      <c r="L89" s="52"/>
    </row>
    <row r="90" spans="1:16" x14ac:dyDescent="0.35">
      <c r="A90" s="180" t="s">
        <v>308</v>
      </c>
      <c r="B90" s="181"/>
      <c r="C90" s="181"/>
      <c r="D90" s="181"/>
      <c r="E90" s="181"/>
      <c r="F90" s="181"/>
      <c r="G90" s="181"/>
      <c r="H90" s="181"/>
      <c r="I90" s="181"/>
      <c r="J90" s="182"/>
    </row>
    <row r="91" spans="1:16" x14ac:dyDescent="0.35">
      <c r="A91" s="115" t="s">
        <v>69</v>
      </c>
      <c r="B91" s="116"/>
      <c r="C91" s="116"/>
      <c r="D91" s="116"/>
      <c r="E91" s="116"/>
      <c r="F91" s="116"/>
      <c r="G91" s="116"/>
      <c r="H91" s="116"/>
      <c r="I91" s="116"/>
      <c r="J91" s="117"/>
    </row>
    <row r="92" spans="1:16" ht="15" customHeight="1" x14ac:dyDescent="0.35">
      <c r="A92" s="175" t="s">
        <v>139</v>
      </c>
      <c r="B92" s="176"/>
      <c r="C92" s="177" t="s">
        <v>140</v>
      </c>
      <c r="D92" s="178"/>
      <c r="E92" s="178"/>
      <c r="F92" s="178"/>
      <c r="G92" s="178"/>
      <c r="H92" s="178"/>
      <c r="I92" s="178"/>
      <c r="J92" s="179"/>
    </row>
    <row r="93" spans="1:16" x14ac:dyDescent="0.35">
      <c r="A93" s="166" t="s">
        <v>70</v>
      </c>
      <c r="B93" s="167"/>
      <c r="C93" s="167"/>
      <c r="D93" s="167"/>
      <c r="E93" s="167"/>
      <c r="F93" s="167"/>
      <c r="G93" s="167"/>
      <c r="H93" s="167"/>
      <c r="I93" s="167"/>
      <c r="J93" s="168"/>
    </row>
    <row r="94" spans="1:16" x14ac:dyDescent="0.35">
      <c r="A94" s="110" t="s">
        <v>243</v>
      </c>
      <c r="B94" s="111"/>
      <c r="C94" s="111"/>
      <c r="D94" s="111"/>
      <c r="E94" s="111"/>
      <c r="F94" s="112"/>
      <c r="G94" s="172">
        <v>18600</v>
      </c>
      <c r="H94" s="173"/>
      <c r="I94" s="173"/>
      <c r="J94" s="174"/>
      <c r="K94" s="10" t="s">
        <v>283</v>
      </c>
      <c r="M94" s="10" t="s">
        <v>284</v>
      </c>
      <c r="N94" s="10" t="s">
        <v>285</v>
      </c>
      <c r="P94" s="67">
        <v>45155</v>
      </c>
    </row>
    <row r="95" spans="1:16" x14ac:dyDescent="0.35">
      <c r="A95" s="110" t="s">
        <v>286</v>
      </c>
      <c r="B95" s="111"/>
      <c r="C95" s="111"/>
      <c r="D95" s="111"/>
      <c r="E95" s="111"/>
      <c r="F95" s="112"/>
      <c r="G95" s="163" t="s">
        <v>287</v>
      </c>
      <c r="H95" s="164"/>
      <c r="I95" s="164"/>
      <c r="J95" s="165"/>
    </row>
    <row r="96" spans="1:16" x14ac:dyDescent="0.35">
      <c r="A96" s="110" t="s">
        <v>288</v>
      </c>
      <c r="B96" s="111"/>
      <c r="C96" s="111"/>
      <c r="D96" s="111"/>
      <c r="E96" s="111"/>
      <c r="F96" s="112"/>
      <c r="G96" s="163" t="s">
        <v>289</v>
      </c>
      <c r="H96" s="164"/>
      <c r="I96" s="164"/>
      <c r="J96" s="165"/>
    </row>
    <row r="97" spans="1:10" x14ac:dyDescent="0.35">
      <c r="A97" s="110" t="s">
        <v>290</v>
      </c>
      <c r="B97" s="111"/>
      <c r="C97" s="111"/>
      <c r="D97" s="111"/>
      <c r="E97" s="111"/>
      <c r="F97" s="112"/>
      <c r="G97" s="163" t="s">
        <v>291</v>
      </c>
      <c r="H97" s="164"/>
      <c r="I97" s="164"/>
      <c r="J97" s="165"/>
    </row>
    <row r="98" spans="1:10" x14ac:dyDescent="0.35">
      <c r="A98" s="110" t="s">
        <v>292</v>
      </c>
      <c r="B98" s="111"/>
      <c r="C98" s="111"/>
      <c r="D98" s="111"/>
      <c r="E98" s="111"/>
      <c r="F98" s="112"/>
      <c r="G98" s="163" t="s">
        <v>293</v>
      </c>
      <c r="H98" s="164"/>
      <c r="I98" s="164"/>
      <c r="J98" s="165"/>
    </row>
    <row r="99" spans="1:10" x14ac:dyDescent="0.35">
      <c r="A99" s="110" t="s">
        <v>294</v>
      </c>
      <c r="B99" s="111"/>
      <c r="C99" s="111"/>
      <c r="D99" s="111"/>
      <c r="E99" s="111"/>
      <c r="F99" s="112"/>
      <c r="G99" s="163" t="s">
        <v>295</v>
      </c>
      <c r="H99" s="164"/>
      <c r="I99" s="164"/>
      <c r="J99" s="165"/>
    </row>
    <row r="100" spans="1:10" x14ac:dyDescent="0.35">
      <c r="A100" s="110" t="s">
        <v>71</v>
      </c>
      <c r="B100" s="111"/>
      <c r="C100" s="111"/>
      <c r="D100" s="111"/>
      <c r="E100" s="111"/>
      <c r="F100" s="112"/>
      <c r="G100" s="163" t="s">
        <v>242</v>
      </c>
      <c r="H100" s="164"/>
      <c r="I100" s="164"/>
      <c r="J100" s="165"/>
    </row>
    <row r="101" spans="1:10" s="12" customFormat="1" ht="14.65" customHeight="1" x14ac:dyDescent="0.35">
      <c r="A101" s="166" t="s">
        <v>72</v>
      </c>
      <c r="B101" s="167"/>
      <c r="C101" s="167"/>
      <c r="D101" s="167"/>
      <c r="E101" s="167"/>
      <c r="F101" s="168"/>
      <c r="G101" s="169">
        <f>G94*0.8</f>
        <v>14880</v>
      </c>
      <c r="H101" s="170"/>
      <c r="I101" s="170"/>
      <c r="J101" s="171"/>
    </row>
    <row r="102" spans="1:10" s="1" customFormat="1" x14ac:dyDescent="0.35">
      <c r="A102" s="149" t="s">
        <v>131</v>
      </c>
      <c r="B102" s="150"/>
      <c r="C102" s="150"/>
      <c r="D102" s="150"/>
      <c r="E102" s="150"/>
      <c r="F102" s="150"/>
      <c r="G102" s="150"/>
      <c r="H102" s="150"/>
      <c r="I102" s="150"/>
      <c r="J102" s="151"/>
    </row>
    <row r="103" spans="1:10" s="1" customFormat="1" x14ac:dyDescent="0.35">
      <c r="A103" s="154" t="s">
        <v>73</v>
      </c>
      <c r="B103" s="155"/>
      <c r="C103" s="9" t="s">
        <v>170</v>
      </c>
      <c r="D103" s="156" t="s">
        <v>74</v>
      </c>
      <c r="E103" s="157"/>
      <c r="F103" s="158"/>
      <c r="G103" s="154" t="s">
        <v>75</v>
      </c>
      <c r="H103" s="159"/>
      <c r="I103" s="159"/>
      <c r="J103" s="155"/>
    </row>
    <row r="104" spans="1:10" s="1" customFormat="1" x14ac:dyDescent="0.35">
      <c r="A104" s="152" t="s">
        <v>187</v>
      </c>
      <c r="B104" s="153"/>
      <c r="C104" s="32">
        <f>COUNT(D115)+COUNT(D117:E118)+COUNT(D120:E121)+COUNT(D123:E124)+COUNT(D126:E127)+COUNT(D129:E130)+COUNT(D132:E137)+COUNT(D141:E148)*15+COUNT(D150:E156)*2+COUNT(D158:E164)+COUNT(D166:E171)*3+COUNT(D175:E182)*2+COUNT(D184:E190)+COUNT(D192:E198)+COUNT(D200:E207)+COUNT(D209:E216)+COUNT(D218:E222)+COUNT(D227:E230,D232)</f>
        <v>232</v>
      </c>
      <c r="D104" s="160">
        <f>SUM(D115)+SUM(D117:E118)+SUM(D120:E121)+SUM(D123:E124)+SUM(D126:E127)+SUM(D129:E130)+SUM(D132:E137)+SUM(D141:E148)*15+SUM(D150:E156)*2+SUM(D158:E164)+SUM(D166:E171)*3+SUM(D175:E182)*2+SUM(D184:E190)+SUM(D192:E198)+SUM(D200:E207)+SUM(D209:E216)+SUM(D218:E222)+SUM(D227:E230,D232)</f>
        <v>163898.15363999995</v>
      </c>
      <c r="E104" s="161"/>
      <c r="F104" s="162"/>
      <c r="G104" s="160">
        <f>SUM(G115)+SUM(G117:G118)+SUM(G120:G121)+SUM(G123:G124)+SUM(G126:G127)+SUM(G129:G130)+SUM(G132:G137)+SUM(G141:G148)*15+SUM(G150:G156)*2+SUM(G158:G164)+SUM(G166:G171)*3+SUM(G175:G182)*2+SUM(G184:G190)+SUM(G192:G198)+SUM(G200:G207)+SUM(G209:G216)+SUM(G218:G222)+SUM(G227:G230,G232)</f>
        <v>245847.23046000002</v>
      </c>
      <c r="H104" s="161"/>
      <c r="I104" s="161"/>
      <c r="J104" s="162"/>
    </row>
    <row r="105" spans="1:10" s="1" customFormat="1" ht="16" thickBot="1" x14ac:dyDescent="0.4">
      <c r="A105" s="144" t="s">
        <v>188</v>
      </c>
      <c r="B105" s="145"/>
      <c r="C105" s="65">
        <f>COUNT(D237)+COUNT(D240:E241)+COUNT(D243:E244)+COUNT(D246:E247)+COUNT(D249:E250)+COUNT(D252:E253)+COUNT(D255:E256,D258:E260)+COUNT(D262:E267)*15+COUNT(D269:E274)*2+COUNT(D276:E281)+COUNT(D283:E284,D286:E288)*3+COUNT(D290:E294)*2+COUNT(D296:E301)+COUNT(D303:E307)+COUNT(D309:E313)+COUNT(D315:E319)+COUNT(D321:E324)+COUNT(D326:E329)</f>
        <v>178</v>
      </c>
      <c r="D105" s="146">
        <f>SUM(D237)+SUM(D240:E241)+SUM(D243:E244)+SUM(D246:E247)+SUM(D249:E250)+SUM(D252:E253)+SUM(D255:E256,D258:E260)+SUM(D262:E267)*15+SUM(D269:E274)*2+SUM(D276:E281)+SUM(D283:E284,D286:E288)*3+SUM(D290:E294)*2+SUM(D296:E301)+SUM(D303:E307)+SUM(D309:E313)+SUM(D315:E319)+SUM(D321:E324)+SUM(D326:E329)</f>
        <v>169777.98864</v>
      </c>
      <c r="E105" s="147"/>
      <c r="F105" s="148"/>
      <c r="G105" s="146">
        <f>SUM(G237)+SUM(G240:G241)+SUM(G243:G244)+SUM(G246:G247)+SUM(G249:G250)+SUM(G252:G253)+SUM(G255:G256,G258:G260)+SUM(G262:G267)*15+SUM(G269:G274)*2+SUM(G276:G281)+SUM(G283:G284,G286:G288)*3+SUM(G290:G294)*2+SUM(G296:G301)+SUM(G303:G307)+SUM(G309:G313)+SUM(G315:G319)+SUM(G321:G324)+SUM(G326:G329)</f>
        <v>254666.98295999999</v>
      </c>
      <c r="H105" s="147"/>
      <c r="I105" s="147"/>
      <c r="J105" s="148"/>
    </row>
    <row r="106" spans="1:10" s="1" customFormat="1" ht="16" thickBot="1" x14ac:dyDescent="0.4">
      <c r="A106" s="128" t="s">
        <v>77</v>
      </c>
      <c r="B106" s="129"/>
      <c r="C106" s="66">
        <f>SUM(C104:C105)</f>
        <v>410</v>
      </c>
      <c r="D106" s="130">
        <f>SUM(D104:F105)</f>
        <v>333676.14227999991</v>
      </c>
      <c r="E106" s="131"/>
      <c r="F106" s="132"/>
      <c r="G106" s="133">
        <f>SUM(G104:J105)</f>
        <v>500514.21342000004</v>
      </c>
      <c r="H106" s="134"/>
      <c r="I106" s="134"/>
      <c r="J106" s="135"/>
    </row>
    <row r="107" spans="1:10" s="12" customFormat="1" x14ac:dyDescent="0.35">
      <c r="A107" s="136" t="s">
        <v>78</v>
      </c>
      <c r="B107" s="137"/>
      <c r="C107" s="137"/>
      <c r="D107" s="137"/>
      <c r="E107" s="137"/>
      <c r="F107" s="137"/>
      <c r="G107" s="137"/>
      <c r="H107" s="137"/>
      <c r="I107" s="137"/>
      <c r="J107" s="138"/>
    </row>
    <row r="108" spans="1:10" x14ac:dyDescent="0.35">
      <c r="A108" s="139" t="s">
        <v>79</v>
      </c>
      <c r="B108" s="140"/>
      <c r="C108" s="140"/>
      <c r="D108" s="140"/>
      <c r="E108" s="140"/>
      <c r="F108" s="140"/>
      <c r="G108" s="140"/>
      <c r="H108" s="140"/>
      <c r="I108" s="140"/>
      <c r="J108" s="141"/>
    </row>
    <row r="109" spans="1:10" ht="46.5" customHeight="1" x14ac:dyDescent="0.35">
      <c r="A109" s="142" t="s">
        <v>195</v>
      </c>
      <c r="B109" s="143"/>
      <c r="C109" s="33" t="s">
        <v>80</v>
      </c>
      <c r="D109" s="142" t="s">
        <v>81</v>
      </c>
      <c r="E109" s="143"/>
      <c r="F109" s="34" t="s">
        <v>82</v>
      </c>
      <c r="G109" s="33" t="s">
        <v>83</v>
      </c>
      <c r="H109" s="33" t="s">
        <v>84</v>
      </c>
      <c r="I109" s="142" t="s">
        <v>85</v>
      </c>
      <c r="J109" s="143"/>
    </row>
    <row r="110" spans="1:10" s="2" customFormat="1" x14ac:dyDescent="0.35">
      <c r="A110" s="75" t="s">
        <v>187</v>
      </c>
      <c r="B110" s="76"/>
      <c r="C110" s="76"/>
      <c r="D110" s="76"/>
      <c r="E110" s="76"/>
      <c r="F110" s="76"/>
      <c r="G110" s="76"/>
      <c r="H110" s="76"/>
      <c r="I110" s="76"/>
      <c r="J110" s="77"/>
    </row>
    <row r="111" spans="1:10" s="2" customFormat="1" x14ac:dyDescent="0.35">
      <c r="A111" s="75" t="s">
        <v>273</v>
      </c>
      <c r="B111" s="76"/>
      <c r="C111" s="76"/>
      <c r="D111" s="76"/>
      <c r="E111" s="76"/>
      <c r="F111" s="76"/>
      <c r="G111" s="76"/>
      <c r="H111" s="76"/>
      <c r="I111" s="76"/>
      <c r="J111" s="77"/>
    </row>
    <row r="112" spans="1:10" s="2" customFormat="1" x14ac:dyDescent="0.35">
      <c r="A112" s="75" t="s">
        <v>200</v>
      </c>
      <c r="B112" s="76"/>
      <c r="C112" s="76"/>
      <c r="D112" s="76"/>
      <c r="E112" s="76"/>
      <c r="F112" s="76"/>
      <c r="G112" s="76"/>
      <c r="H112" s="76"/>
      <c r="I112" s="76"/>
      <c r="J112" s="77"/>
    </row>
    <row r="113" spans="1:12" s="2" customFormat="1" x14ac:dyDescent="0.35">
      <c r="A113" s="75" t="s">
        <v>254</v>
      </c>
      <c r="B113" s="76"/>
      <c r="C113" s="76"/>
      <c r="D113" s="76"/>
      <c r="E113" s="76"/>
      <c r="F113" s="76"/>
      <c r="G113" s="76"/>
      <c r="H113" s="76"/>
      <c r="I113" s="76"/>
      <c r="J113" s="77"/>
    </row>
    <row r="114" spans="1:12" s="2" customFormat="1" x14ac:dyDescent="0.35">
      <c r="A114" s="78">
        <v>1</v>
      </c>
      <c r="B114" s="79"/>
      <c r="C114" s="78" t="s">
        <v>238</v>
      </c>
      <c r="D114" s="109"/>
      <c r="E114" s="109"/>
      <c r="F114" s="109"/>
      <c r="G114" s="109"/>
      <c r="H114" s="79"/>
      <c r="I114" s="80" t="s">
        <v>189</v>
      </c>
      <c r="J114" s="81"/>
    </row>
    <row r="115" spans="1:12" s="2" customFormat="1" x14ac:dyDescent="0.35">
      <c r="A115" s="78">
        <v>2</v>
      </c>
      <c r="B115" s="79"/>
      <c r="C115" s="3" t="s">
        <v>248</v>
      </c>
      <c r="D115" s="78">
        <f>72.99*10.764</f>
        <v>785.66435999999987</v>
      </c>
      <c r="E115" s="79"/>
      <c r="F115" s="3">
        <v>0</v>
      </c>
      <c r="G115" s="3">
        <f>D115*1.5+F115</f>
        <v>1178.4965399999999</v>
      </c>
      <c r="H115" s="3" t="s">
        <v>86</v>
      </c>
      <c r="I115" s="103"/>
      <c r="J115" s="104"/>
      <c r="K115" s="54">
        <f>22300000/G115</f>
        <v>18922.414485832942</v>
      </c>
      <c r="L115" s="61">
        <f>G115/D115</f>
        <v>1.5</v>
      </c>
    </row>
    <row r="116" spans="1:12" s="2" customFormat="1" x14ac:dyDescent="0.35">
      <c r="A116" s="75" t="s">
        <v>255</v>
      </c>
      <c r="B116" s="76"/>
      <c r="C116" s="76"/>
      <c r="D116" s="76"/>
      <c r="E116" s="76"/>
      <c r="F116" s="76"/>
      <c r="G116" s="76"/>
      <c r="H116" s="76"/>
      <c r="I116" s="76"/>
      <c r="J116" s="77"/>
    </row>
    <row r="117" spans="1:12" s="2" customFormat="1" x14ac:dyDescent="0.35">
      <c r="A117" s="78">
        <v>1</v>
      </c>
      <c r="B117" s="79"/>
      <c r="C117" s="3" t="s">
        <v>248</v>
      </c>
      <c r="D117" s="78">
        <f t="shared" ref="D117:D130" si="0">72.99*10.764</f>
        <v>785.66435999999987</v>
      </c>
      <c r="E117" s="79"/>
      <c r="F117" s="3">
        <v>0</v>
      </c>
      <c r="G117" s="3">
        <f t="shared" ref="G117:G118" si="1">D117*1.5+F117</f>
        <v>1178.4965399999999</v>
      </c>
      <c r="H117" s="3" t="s">
        <v>86</v>
      </c>
      <c r="I117" s="80" t="s">
        <v>190</v>
      </c>
      <c r="J117" s="81"/>
    </row>
    <row r="118" spans="1:12" s="2" customFormat="1" x14ac:dyDescent="0.35">
      <c r="A118" s="78">
        <v>2</v>
      </c>
      <c r="B118" s="79"/>
      <c r="C118" s="3" t="s">
        <v>248</v>
      </c>
      <c r="D118" s="78">
        <f t="shared" si="0"/>
        <v>785.66435999999987</v>
      </c>
      <c r="E118" s="79"/>
      <c r="F118" s="3">
        <v>0</v>
      </c>
      <c r="G118" s="3">
        <f t="shared" si="1"/>
        <v>1178.4965399999999</v>
      </c>
      <c r="H118" s="3" t="s">
        <v>86</v>
      </c>
      <c r="I118" s="103"/>
      <c r="J118" s="104"/>
    </row>
    <row r="119" spans="1:12" s="2" customFormat="1" x14ac:dyDescent="0.35">
      <c r="A119" s="75" t="s">
        <v>256</v>
      </c>
      <c r="B119" s="76"/>
      <c r="C119" s="76"/>
      <c r="D119" s="76"/>
      <c r="E119" s="76"/>
      <c r="F119" s="76"/>
      <c r="G119" s="76"/>
      <c r="H119" s="76"/>
      <c r="I119" s="76"/>
      <c r="J119" s="77"/>
    </row>
    <row r="120" spans="1:12" s="2" customFormat="1" x14ac:dyDescent="0.35">
      <c r="A120" s="78">
        <v>1</v>
      </c>
      <c r="B120" s="79"/>
      <c r="C120" s="3" t="s">
        <v>248</v>
      </c>
      <c r="D120" s="78">
        <f t="shared" si="0"/>
        <v>785.66435999999987</v>
      </c>
      <c r="E120" s="79"/>
      <c r="F120" s="3">
        <v>0</v>
      </c>
      <c r="G120" s="3">
        <f t="shared" ref="G120:G121" si="2">D120*1.5+F120</f>
        <v>1178.4965399999999</v>
      </c>
      <c r="H120" s="3" t="s">
        <v>86</v>
      </c>
      <c r="I120" s="80" t="s">
        <v>191</v>
      </c>
      <c r="J120" s="81"/>
    </row>
    <row r="121" spans="1:12" s="2" customFormat="1" x14ac:dyDescent="0.35">
      <c r="A121" s="78">
        <v>2</v>
      </c>
      <c r="B121" s="79"/>
      <c r="C121" s="3" t="s">
        <v>248</v>
      </c>
      <c r="D121" s="78">
        <f t="shared" si="0"/>
        <v>785.66435999999987</v>
      </c>
      <c r="E121" s="79"/>
      <c r="F121" s="3">
        <v>0</v>
      </c>
      <c r="G121" s="3">
        <f t="shared" si="2"/>
        <v>1178.4965399999999</v>
      </c>
      <c r="H121" s="3" t="s">
        <v>86</v>
      </c>
      <c r="I121" s="103"/>
      <c r="J121" s="104"/>
    </row>
    <row r="122" spans="1:12" s="2" customFormat="1" ht="15.75" customHeight="1" x14ac:dyDescent="0.35">
      <c r="A122" s="75" t="s">
        <v>257</v>
      </c>
      <c r="B122" s="76"/>
      <c r="C122" s="76"/>
      <c r="D122" s="76"/>
      <c r="E122" s="76"/>
      <c r="F122" s="76"/>
      <c r="G122" s="76"/>
      <c r="H122" s="76"/>
      <c r="I122" s="76"/>
      <c r="J122" s="77"/>
    </row>
    <row r="123" spans="1:12" s="2" customFormat="1" x14ac:dyDescent="0.35">
      <c r="A123" s="78">
        <v>1</v>
      </c>
      <c r="B123" s="79"/>
      <c r="C123" s="3" t="s">
        <v>248</v>
      </c>
      <c r="D123" s="78">
        <f t="shared" si="0"/>
        <v>785.66435999999987</v>
      </c>
      <c r="E123" s="79"/>
      <c r="F123" s="3">
        <v>0</v>
      </c>
      <c r="G123" s="3">
        <f t="shared" ref="G123:G124" si="3">D123*1.5+F123</f>
        <v>1178.4965399999999</v>
      </c>
      <c r="H123" s="3" t="s">
        <v>86</v>
      </c>
      <c r="I123" s="80" t="s">
        <v>192</v>
      </c>
      <c r="J123" s="81"/>
    </row>
    <row r="124" spans="1:12" s="2" customFormat="1" x14ac:dyDescent="0.35">
      <c r="A124" s="78">
        <v>2</v>
      </c>
      <c r="B124" s="79"/>
      <c r="C124" s="3" t="s">
        <v>248</v>
      </c>
      <c r="D124" s="78">
        <f t="shared" si="0"/>
        <v>785.66435999999987</v>
      </c>
      <c r="E124" s="79"/>
      <c r="F124" s="3">
        <v>0</v>
      </c>
      <c r="G124" s="3">
        <f t="shared" si="3"/>
        <v>1178.4965399999999</v>
      </c>
      <c r="H124" s="3" t="s">
        <v>86</v>
      </c>
      <c r="I124" s="103"/>
      <c r="J124" s="104"/>
    </row>
    <row r="125" spans="1:12" s="2" customFormat="1" x14ac:dyDescent="0.35">
      <c r="A125" s="75" t="s">
        <v>258</v>
      </c>
      <c r="B125" s="76"/>
      <c r="C125" s="76"/>
      <c r="D125" s="76"/>
      <c r="E125" s="76"/>
      <c r="F125" s="76"/>
      <c r="G125" s="76"/>
      <c r="H125" s="76"/>
      <c r="I125" s="76"/>
      <c r="J125" s="77"/>
    </row>
    <row r="126" spans="1:12" s="2" customFormat="1" ht="15.75" customHeight="1" x14ac:dyDescent="0.35">
      <c r="A126" s="78">
        <v>1</v>
      </c>
      <c r="B126" s="79"/>
      <c r="C126" s="3" t="s">
        <v>248</v>
      </c>
      <c r="D126" s="78">
        <f t="shared" si="0"/>
        <v>785.66435999999987</v>
      </c>
      <c r="E126" s="79"/>
      <c r="F126" s="3">
        <v>0</v>
      </c>
      <c r="G126" s="3">
        <f t="shared" ref="G126:G127" si="4">D126*1.5+F126</f>
        <v>1178.4965399999999</v>
      </c>
      <c r="H126" s="3" t="s">
        <v>86</v>
      </c>
      <c r="I126" s="80" t="s">
        <v>193</v>
      </c>
      <c r="J126" s="81"/>
    </row>
    <row r="127" spans="1:12" s="2" customFormat="1" x14ac:dyDescent="0.35">
      <c r="A127" s="78">
        <v>2</v>
      </c>
      <c r="B127" s="79"/>
      <c r="C127" s="3" t="s">
        <v>248</v>
      </c>
      <c r="D127" s="78">
        <f t="shared" si="0"/>
        <v>785.66435999999987</v>
      </c>
      <c r="E127" s="79"/>
      <c r="F127" s="3">
        <v>0</v>
      </c>
      <c r="G127" s="3">
        <f t="shared" si="4"/>
        <v>1178.4965399999999</v>
      </c>
      <c r="H127" s="3" t="s">
        <v>86</v>
      </c>
      <c r="I127" s="103"/>
      <c r="J127" s="104"/>
    </row>
    <row r="128" spans="1:12" s="2" customFormat="1" x14ac:dyDescent="0.35">
      <c r="A128" s="75" t="s">
        <v>259</v>
      </c>
      <c r="B128" s="76"/>
      <c r="C128" s="76"/>
      <c r="D128" s="76"/>
      <c r="E128" s="76"/>
      <c r="F128" s="76"/>
      <c r="G128" s="76"/>
      <c r="H128" s="76"/>
      <c r="I128" s="76"/>
      <c r="J128" s="77"/>
    </row>
    <row r="129" spans="1:11" s="2" customFormat="1" ht="15.75" customHeight="1" x14ac:dyDescent="0.35">
      <c r="A129" s="78">
        <v>1</v>
      </c>
      <c r="B129" s="79"/>
      <c r="C129" s="3" t="s">
        <v>248</v>
      </c>
      <c r="D129" s="78">
        <f t="shared" si="0"/>
        <v>785.66435999999987</v>
      </c>
      <c r="E129" s="79"/>
      <c r="F129" s="3">
        <v>0</v>
      </c>
      <c r="G129" s="3">
        <f t="shared" ref="G129:G130" si="5">D129*1.5+F129</f>
        <v>1178.4965399999999</v>
      </c>
      <c r="H129" s="3" t="s">
        <v>86</v>
      </c>
      <c r="I129" s="80" t="s">
        <v>239</v>
      </c>
      <c r="J129" s="81"/>
    </row>
    <row r="130" spans="1:11" s="2" customFormat="1" x14ac:dyDescent="0.35">
      <c r="A130" s="78">
        <v>2</v>
      </c>
      <c r="B130" s="79"/>
      <c r="C130" s="3" t="s">
        <v>248</v>
      </c>
      <c r="D130" s="78">
        <f t="shared" si="0"/>
        <v>785.66435999999987</v>
      </c>
      <c r="E130" s="79"/>
      <c r="F130" s="3">
        <v>0</v>
      </c>
      <c r="G130" s="3">
        <f t="shared" si="5"/>
        <v>1178.4965399999999</v>
      </c>
      <c r="H130" s="3" t="s">
        <v>86</v>
      </c>
      <c r="I130" s="103"/>
      <c r="J130" s="104"/>
    </row>
    <row r="131" spans="1:11" s="2" customFormat="1" x14ac:dyDescent="0.35">
      <c r="A131" s="75" t="s">
        <v>279</v>
      </c>
      <c r="B131" s="76"/>
      <c r="C131" s="76"/>
      <c r="D131" s="76"/>
      <c r="E131" s="76"/>
      <c r="F131" s="76"/>
      <c r="G131" s="76"/>
      <c r="H131" s="76"/>
      <c r="I131" s="76"/>
      <c r="J131" s="77"/>
    </row>
    <row r="132" spans="1:11" s="2" customFormat="1" ht="15.75" customHeight="1" x14ac:dyDescent="0.35">
      <c r="A132" s="78">
        <v>1</v>
      </c>
      <c r="B132" s="79"/>
      <c r="C132" s="3" t="s">
        <v>248</v>
      </c>
      <c r="D132" s="78">
        <f>73.16*10.764</f>
        <v>787.49423999999988</v>
      </c>
      <c r="E132" s="79"/>
      <c r="F132" s="3">
        <v>0</v>
      </c>
      <c r="G132" s="3">
        <f t="shared" ref="G132:G133" si="6">D132*1.5+F132</f>
        <v>1181.2413599999998</v>
      </c>
      <c r="H132" s="3" t="s">
        <v>86</v>
      </c>
      <c r="I132" s="80" t="str">
        <f>A131</f>
        <v>7th Floor (Part Refuge Area)</v>
      </c>
      <c r="J132" s="81"/>
    </row>
    <row r="133" spans="1:11" s="2" customFormat="1" x14ac:dyDescent="0.35">
      <c r="A133" s="78">
        <v>2</v>
      </c>
      <c r="B133" s="79"/>
      <c r="C133" s="3" t="s">
        <v>248</v>
      </c>
      <c r="D133" s="78">
        <f>73.16*10.764</f>
        <v>787.49423999999988</v>
      </c>
      <c r="E133" s="79"/>
      <c r="F133" s="3">
        <v>0</v>
      </c>
      <c r="G133" s="3">
        <f t="shared" si="6"/>
        <v>1181.2413599999998</v>
      </c>
      <c r="H133" s="3" t="s">
        <v>86</v>
      </c>
      <c r="I133" s="101"/>
      <c r="J133" s="102"/>
    </row>
    <row r="134" spans="1:11" s="2" customFormat="1" ht="15.75" customHeight="1" x14ac:dyDescent="0.35">
      <c r="A134" s="78">
        <v>3</v>
      </c>
      <c r="B134" s="79"/>
      <c r="C134" s="3" t="s">
        <v>211</v>
      </c>
      <c r="D134" s="78">
        <f>57.94*10.764</f>
        <v>623.66615999999999</v>
      </c>
      <c r="E134" s="79"/>
      <c r="F134" s="3">
        <v>0</v>
      </c>
      <c r="G134" s="3">
        <f t="shared" ref="G134:G135" si="7">D134*1.5+F134</f>
        <v>935.49923999999999</v>
      </c>
      <c r="H134" s="3" t="s">
        <v>86</v>
      </c>
      <c r="I134" s="101"/>
      <c r="J134" s="102"/>
      <c r="K134" s="2">
        <f>29500000/G134</f>
        <v>31533.964688202206</v>
      </c>
    </row>
    <row r="135" spans="1:11" s="2" customFormat="1" x14ac:dyDescent="0.35">
      <c r="A135" s="78">
        <v>4</v>
      </c>
      <c r="B135" s="79"/>
      <c r="C135" s="3" t="s">
        <v>211</v>
      </c>
      <c r="D135" s="78">
        <f>57.94*10.764</f>
        <v>623.66615999999999</v>
      </c>
      <c r="E135" s="79"/>
      <c r="F135" s="3">
        <v>0</v>
      </c>
      <c r="G135" s="3">
        <f t="shared" si="7"/>
        <v>935.49923999999999</v>
      </c>
      <c r="H135" s="3" t="s">
        <v>86</v>
      </c>
      <c r="I135" s="101"/>
      <c r="J135" s="102"/>
      <c r="K135" s="2">
        <f>18000000/G135</f>
        <v>19241.063199581007</v>
      </c>
    </row>
    <row r="136" spans="1:11" s="2" customFormat="1" ht="15.75" customHeight="1" x14ac:dyDescent="0.35">
      <c r="A136" s="78">
        <v>5</v>
      </c>
      <c r="B136" s="79"/>
      <c r="C136" s="3" t="s">
        <v>211</v>
      </c>
      <c r="D136" s="78">
        <f>63.38*10.764</f>
        <v>682.22231999999997</v>
      </c>
      <c r="E136" s="79"/>
      <c r="F136" s="3">
        <v>0</v>
      </c>
      <c r="G136" s="3">
        <f t="shared" ref="G136:G137" si="8">D136*1.5+F136</f>
        <v>1023.33348</v>
      </c>
      <c r="H136" s="3" t="s">
        <v>86</v>
      </c>
      <c r="I136" s="101"/>
      <c r="J136" s="102"/>
      <c r="K136" s="2">
        <f>29500000/G136</f>
        <v>28827.357431909684</v>
      </c>
    </row>
    <row r="137" spans="1:11" s="2" customFormat="1" x14ac:dyDescent="0.35">
      <c r="A137" s="78">
        <v>6</v>
      </c>
      <c r="B137" s="79"/>
      <c r="C137" s="3" t="s">
        <v>211</v>
      </c>
      <c r="D137" s="78">
        <f>63.38*10.764</f>
        <v>682.22231999999997</v>
      </c>
      <c r="E137" s="79"/>
      <c r="F137" s="3">
        <v>0</v>
      </c>
      <c r="G137" s="3">
        <f t="shared" si="8"/>
        <v>1023.33348</v>
      </c>
      <c r="H137" s="3" t="s">
        <v>86</v>
      </c>
      <c r="I137" s="101"/>
      <c r="J137" s="102"/>
      <c r="K137" s="2">
        <f>18000000/G137</f>
        <v>17589.574026249975</v>
      </c>
    </row>
    <row r="138" spans="1:11" s="2" customFormat="1" ht="15.75" customHeight="1" x14ac:dyDescent="0.35">
      <c r="A138" s="78">
        <v>7</v>
      </c>
      <c r="B138" s="79"/>
      <c r="C138" s="80" t="s">
        <v>240</v>
      </c>
      <c r="D138" s="254"/>
      <c r="E138" s="254"/>
      <c r="F138" s="254"/>
      <c r="G138" s="254"/>
      <c r="H138" s="81"/>
      <c r="I138" s="101"/>
      <c r="J138" s="102"/>
    </row>
    <row r="139" spans="1:11" s="2" customFormat="1" x14ac:dyDescent="0.35">
      <c r="A139" s="78">
        <v>8</v>
      </c>
      <c r="B139" s="79"/>
      <c r="C139" s="103"/>
      <c r="D139" s="255"/>
      <c r="E139" s="255"/>
      <c r="F139" s="255"/>
      <c r="G139" s="255"/>
      <c r="H139" s="104"/>
      <c r="I139" s="103"/>
      <c r="J139" s="104"/>
    </row>
    <row r="140" spans="1:11" s="2" customFormat="1" x14ac:dyDescent="0.35">
      <c r="A140" s="75" t="s">
        <v>280</v>
      </c>
      <c r="B140" s="76"/>
      <c r="C140" s="76"/>
      <c r="D140" s="76"/>
      <c r="E140" s="76"/>
      <c r="F140" s="76"/>
      <c r="G140" s="76"/>
      <c r="H140" s="76"/>
      <c r="I140" s="76"/>
      <c r="J140" s="77"/>
    </row>
    <row r="141" spans="1:11" s="2" customFormat="1" ht="15.75" customHeight="1" x14ac:dyDescent="0.35">
      <c r="A141" s="78">
        <v>1</v>
      </c>
      <c r="B141" s="79"/>
      <c r="C141" s="3" t="s">
        <v>248</v>
      </c>
      <c r="D141" s="78">
        <f>73.16*10.764</f>
        <v>787.49423999999988</v>
      </c>
      <c r="E141" s="79"/>
      <c r="F141" s="3">
        <v>0</v>
      </c>
      <c r="G141" s="3">
        <f t="shared" ref="G141:G146" si="9">D141*1.5+F141</f>
        <v>1181.2413599999998</v>
      </c>
      <c r="H141" s="3" t="s">
        <v>86</v>
      </c>
      <c r="I141" s="80" t="str">
        <f>A140</f>
        <v>8th to 13th, 15th, 17th, 19th, 20th, 22nd, 23rd, 27th, 29th &amp; 31st Floor</v>
      </c>
      <c r="J141" s="81"/>
    </row>
    <row r="142" spans="1:11" s="2" customFormat="1" x14ac:dyDescent="0.35">
      <c r="A142" s="78">
        <v>2</v>
      </c>
      <c r="B142" s="79"/>
      <c r="C142" s="3" t="s">
        <v>248</v>
      </c>
      <c r="D142" s="78">
        <f>73.16*10.764</f>
        <v>787.49423999999988</v>
      </c>
      <c r="E142" s="79"/>
      <c r="F142" s="3">
        <v>0</v>
      </c>
      <c r="G142" s="3">
        <f t="shared" si="9"/>
        <v>1181.2413599999998</v>
      </c>
      <c r="H142" s="3" t="s">
        <v>86</v>
      </c>
      <c r="I142" s="101"/>
      <c r="J142" s="102"/>
    </row>
    <row r="143" spans="1:11" s="2" customFormat="1" ht="15.75" customHeight="1" x14ac:dyDescent="0.35">
      <c r="A143" s="78">
        <v>3</v>
      </c>
      <c r="B143" s="79"/>
      <c r="C143" s="3" t="s">
        <v>211</v>
      </c>
      <c r="D143" s="78">
        <f>57.94*10.764</f>
        <v>623.66615999999999</v>
      </c>
      <c r="E143" s="79"/>
      <c r="F143" s="3">
        <v>0</v>
      </c>
      <c r="G143" s="3">
        <f t="shared" si="9"/>
        <v>935.49923999999999</v>
      </c>
      <c r="H143" s="3" t="s">
        <v>86</v>
      </c>
      <c r="I143" s="101"/>
      <c r="J143" s="102"/>
      <c r="K143" s="2">
        <f>32000000/G143</f>
        <v>34206.334577032903</v>
      </c>
    </row>
    <row r="144" spans="1:11" s="2" customFormat="1" x14ac:dyDescent="0.35">
      <c r="A144" s="78">
        <v>4</v>
      </c>
      <c r="B144" s="79"/>
      <c r="C144" s="3" t="s">
        <v>211</v>
      </c>
      <c r="D144" s="78">
        <f>57.94*10.764</f>
        <v>623.66615999999999</v>
      </c>
      <c r="E144" s="79"/>
      <c r="F144" s="3">
        <v>0</v>
      </c>
      <c r="G144" s="3">
        <f t="shared" si="9"/>
        <v>935.49923999999999</v>
      </c>
      <c r="H144" s="3" t="s">
        <v>86</v>
      </c>
      <c r="I144" s="101"/>
      <c r="J144" s="102"/>
    </row>
    <row r="145" spans="1:13" s="2" customFormat="1" ht="15.75" customHeight="1" x14ac:dyDescent="0.35">
      <c r="A145" s="78">
        <v>5</v>
      </c>
      <c r="B145" s="79"/>
      <c r="C145" s="3" t="s">
        <v>211</v>
      </c>
      <c r="D145" s="78">
        <f>63.38*10.764</f>
        <v>682.22231999999997</v>
      </c>
      <c r="E145" s="79"/>
      <c r="F145" s="3">
        <v>0</v>
      </c>
      <c r="G145" s="3">
        <f t="shared" si="9"/>
        <v>1023.33348</v>
      </c>
      <c r="H145" s="3" t="s">
        <v>86</v>
      </c>
      <c r="I145" s="101"/>
      <c r="J145" s="102"/>
    </row>
    <row r="146" spans="1:13" s="2" customFormat="1" x14ac:dyDescent="0.35">
      <c r="A146" s="78">
        <v>6</v>
      </c>
      <c r="B146" s="79"/>
      <c r="C146" s="3" t="s">
        <v>211</v>
      </c>
      <c r="D146" s="78">
        <f>63.38*10.764</f>
        <v>682.22231999999997</v>
      </c>
      <c r="E146" s="79"/>
      <c r="F146" s="3">
        <v>0</v>
      </c>
      <c r="G146" s="3">
        <f t="shared" si="9"/>
        <v>1023.33348</v>
      </c>
      <c r="H146" s="3" t="s">
        <v>86</v>
      </c>
      <c r="I146" s="101"/>
      <c r="J146" s="102"/>
    </row>
    <row r="147" spans="1:13" s="2" customFormat="1" ht="15.75" customHeight="1" x14ac:dyDescent="0.35">
      <c r="A147" s="78">
        <v>7</v>
      </c>
      <c r="B147" s="79"/>
      <c r="C147" s="3" t="s">
        <v>211</v>
      </c>
      <c r="D147" s="78">
        <f>57.88*10.764</f>
        <v>623.02031999999997</v>
      </c>
      <c r="E147" s="79"/>
      <c r="F147" s="3">
        <v>0</v>
      </c>
      <c r="G147" s="3">
        <f t="shared" ref="G147:G148" si="10">D147*1.5+F147</f>
        <v>934.5304799999999</v>
      </c>
      <c r="H147" s="3" t="s">
        <v>86</v>
      </c>
      <c r="I147" s="101"/>
      <c r="J147" s="102"/>
    </row>
    <row r="148" spans="1:13" s="2" customFormat="1" x14ac:dyDescent="0.35">
      <c r="A148" s="78">
        <v>8</v>
      </c>
      <c r="B148" s="79"/>
      <c r="C148" s="3" t="s">
        <v>211</v>
      </c>
      <c r="D148" s="78">
        <f>57.94*10.764</f>
        <v>623.66615999999999</v>
      </c>
      <c r="E148" s="79"/>
      <c r="F148" s="3">
        <v>0</v>
      </c>
      <c r="G148" s="3">
        <f t="shared" si="10"/>
        <v>935.49923999999999</v>
      </c>
      <c r="H148" s="3" t="s">
        <v>86</v>
      </c>
      <c r="I148" s="103"/>
      <c r="J148" s="104"/>
    </row>
    <row r="149" spans="1:13" s="2" customFormat="1" x14ac:dyDescent="0.35">
      <c r="A149" s="75" t="s">
        <v>260</v>
      </c>
      <c r="B149" s="76"/>
      <c r="C149" s="76"/>
      <c r="D149" s="76"/>
      <c r="E149" s="76"/>
      <c r="F149" s="76"/>
      <c r="G149" s="76"/>
      <c r="H149" s="76"/>
      <c r="I149" s="76"/>
      <c r="J149" s="77"/>
    </row>
    <row r="150" spans="1:13" s="2" customFormat="1" ht="15.75" customHeight="1" x14ac:dyDescent="0.35">
      <c r="A150" s="78">
        <v>1</v>
      </c>
      <c r="B150" s="79"/>
      <c r="C150" s="3" t="s">
        <v>248</v>
      </c>
      <c r="D150" s="78">
        <f>73.16*10.764</f>
        <v>787.49423999999988</v>
      </c>
      <c r="E150" s="79"/>
      <c r="F150" s="3">
        <v>0</v>
      </c>
      <c r="G150" s="3">
        <f t="shared" ref="G150:G156" si="11">D150*1.5+F150</f>
        <v>1181.2413599999998</v>
      </c>
      <c r="H150" s="3" t="s">
        <v>86</v>
      </c>
      <c r="I150" s="80" t="str">
        <f>A149</f>
        <v>16th &amp; 26th Floor</v>
      </c>
      <c r="J150" s="81"/>
    </row>
    <row r="151" spans="1:13" s="2" customFormat="1" x14ac:dyDescent="0.35">
      <c r="A151" s="78">
        <v>2</v>
      </c>
      <c r="B151" s="79"/>
      <c r="C151" s="3" t="s">
        <v>248</v>
      </c>
      <c r="D151" s="78">
        <f>73.16*10.764</f>
        <v>787.49423999999988</v>
      </c>
      <c r="E151" s="79"/>
      <c r="F151" s="3">
        <v>0</v>
      </c>
      <c r="G151" s="3">
        <f t="shared" si="11"/>
        <v>1181.2413599999998</v>
      </c>
      <c r="H151" s="3" t="s">
        <v>86</v>
      </c>
      <c r="I151" s="101"/>
      <c r="J151" s="102"/>
    </row>
    <row r="152" spans="1:13" s="2" customFormat="1" ht="15.75" customHeight="1" x14ac:dyDescent="0.35">
      <c r="A152" s="80">
        <v>3</v>
      </c>
      <c r="B152" s="81"/>
      <c r="C152" s="64" t="s">
        <v>212</v>
      </c>
      <c r="D152" s="80">
        <f>116.75*10.764</f>
        <v>1256.6969999999999</v>
      </c>
      <c r="E152" s="81"/>
      <c r="F152" s="62">
        <v>0</v>
      </c>
      <c r="G152" s="62">
        <f t="shared" si="11"/>
        <v>1885.0454999999997</v>
      </c>
      <c r="H152" s="3" t="s">
        <v>86</v>
      </c>
      <c r="I152" s="101"/>
      <c r="J152" s="102"/>
      <c r="K152" s="2">
        <f>32000000/G152</f>
        <v>16975.717562255129</v>
      </c>
      <c r="M152" s="2">
        <f>4.17*3.45+1.15*1+3.05*4.13+2.17*2.9+3.05*2.98+2.17*1.75+2*(3.05*3.35+3.05*3.35+0.97*1.06+2.29*1.36+2.29*0.6+2.21*1.36+3.05*1)</f>
        <v>111.32689999999999</v>
      </c>
    </row>
    <row r="153" spans="1:13" s="2" customFormat="1" ht="15.75" customHeight="1" x14ac:dyDescent="0.35">
      <c r="A153" s="78">
        <v>5</v>
      </c>
      <c r="B153" s="79"/>
      <c r="C153" s="3" t="s">
        <v>211</v>
      </c>
      <c r="D153" s="78">
        <f>63.38*10.764</f>
        <v>682.22231999999997</v>
      </c>
      <c r="E153" s="79"/>
      <c r="F153" s="3">
        <v>0</v>
      </c>
      <c r="G153" s="3">
        <f t="shared" si="11"/>
        <v>1023.33348</v>
      </c>
      <c r="H153" s="3" t="s">
        <v>86</v>
      </c>
      <c r="I153" s="101"/>
      <c r="J153" s="102"/>
    </row>
    <row r="154" spans="1:13" s="2" customFormat="1" x14ac:dyDescent="0.35">
      <c r="A154" s="78">
        <v>6</v>
      </c>
      <c r="B154" s="79"/>
      <c r="C154" s="3" t="s">
        <v>211</v>
      </c>
      <c r="D154" s="78">
        <f>63.38*10.764</f>
        <v>682.22231999999997</v>
      </c>
      <c r="E154" s="79"/>
      <c r="F154" s="3">
        <v>0</v>
      </c>
      <c r="G154" s="3">
        <f t="shared" si="11"/>
        <v>1023.33348</v>
      </c>
      <c r="H154" s="3" t="s">
        <v>86</v>
      </c>
      <c r="I154" s="101"/>
      <c r="J154" s="102"/>
    </row>
    <row r="155" spans="1:13" s="2" customFormat="1" ht="15.75" customHeight="1" x14ac:dyDescent="0.35">
      <c r="A155" s="78">
        <v>7</v>
      </c>
      <c r="B155" s="79"/>
      <c r="C155" s="3" t="s">
        <v>211</v>
      </c>
      <c r="D155" s="78">
        <f>57.88*10.764</f>
        <v>623.02031999999997</v>
      </c>
      <c r="E155" s="79"/>
      <c r="F155" s="3">
        <v>0</v>
      </c>
      <c r="G155" s="3">
        <f t="shared" si="11"/>
        <v>934.5304799999999</v>
      </c>
      <c r="H155" s="3" t="s">
        <v>86</v>
      </c>
      <c r="I155" s="101"/>
      <c r="J155" s="102"/>
    </row>
    <row r="156" spans="1:13" s="2" customFormat="1" x14ac:dyDescent="0.35">
      <c r="A156" s="78">
        <v>8</v>
      </c>
      <c r="B156" s="79"/>
      <c r="C156" s="3" t="s">
        <v>211</v>
      </c>
      <c r="D156" s="78">
        <f>57.94*10.764</f>
        <v>623.66615999999999</v>
      </c>
      <c r="E156" s="79"/>
      <c r="F156" s="3">
        <v>0</v>
      </c>
      <c r="G156" s="3">
        <f t="shared" si="11"/>
        <v>935.49923999999999</v>
      </c>
      <c r="H156" s="3" t="s">
        <v>86</v>
      </c>
      <c r="I156" s="103"/>
      <c r="J156" s="104"/>
    </row>
    <row r="157" spans="1:13" s="2" customFormat="1" x14ac:dyDescent="0.35">
      <c r="A157" s="75" t="s">
        <v>261</v>
      </c>
      <c r="B157" s="76"/>
      <c r="C157" s="76"/>
      <c r="D157" s="76"/>
      <c r="E157" s="76"/>
      <c r="F157" s="76"/>
      <c r="G157" s="76"/>
      <c r="H157" s="76"/>
      <c r="I157" s="76"/>
      <c r="J157" s="77"/>
    </row>
    <row r="158" spans="1:13" s="2" customFormat="1" ht="15.75" customHeight="1" x14ac:dyDescent="0.35">
      <c r="A158" s="78">
        <v>1</v>
      </c>
      <c r="B158" s="79"/>
      <c r="C158" s="3" t="s">
        <v>248</v>
      </c>
      <c r="D158" s="78">
        <f>73.16*10.764</f>
        <v>787.49423999999988</v>
      </c>
      <c r="E158" s="79"/>
      <c r="F158" s="3">
        <v>0</v>
      </c>
      <c r="G158" s="3">
        <f t="shared" ref="G158:G164" si="12">D158*1.5+F158</f>
        <v>1181.2413599999998</v>
      </c>
      <c r="H158" s="3" t="s">
        <v>86</v>
      </c>
      <c r="I158" s="80" t="str">
        <f>A157</f>
        <v>18th Floor</v>
      </c>
      <c r="J158" s="81"/>
    </row>
    <row r="159" spans="1:13" s="2" customFormat="1" x14ac:dyDescent="0.35">
      <c r="A159" s="78">
        <v>2</v>
      </c>
      <c r="B159" s="79"/>
      <c r="C159" s="3" t="s">
        <v>248</v>
      </c>
      <c r="D159" s="78">
        <f>73.16*10.764</f>
        <v>787.49423999999988</v>
      </c>
      <c r="E159" s="79"/>
      <c r="F159" s="3">
        <v>0</v>
      </c>
      <c r="G159" s="3">
        <f t="shared" si="12"/>
        <v>1181.2413599999998</v>
      </c>
      <c r="H159" s="3" t="s">
        <v>86</v>
      </c>
      <c r="I159" s="101"/>
      <c r="J159" s="102"/>
    </row>
    <row r="160" spans="1:13" s="2" customFormat="1" ht="15.75" customHeight="1" x14ac:dyDescent="0.35">
      <c r="A160" s="78">
        <v>3</v>
      </c>
      <c r="B160" s="79"/>
      <c r="C160" s="3" t="s">
        <v>211</v>
      </c>
      <c r="D160" s="78">
        <f>57.94*10.764</f>
        <v>623.66615999999999</v>
      </c>
      <c r="E160" s="79"/>
      <c r="F160" s="3">
        <v>0</v>
      </c>
      <c r="G160" s="3">
        <f t="shared" si="12"/>
        <v>935.49923999999999</v>
      </c>
      <c r="H160" s="3" t="s">
        <v>86</v>
      </c>
      <c r="I160" s="101"/>
      <c r="J160" s="102"/>
      <c r="K160" s="2">
        <f>32000000/G160</f>
        <v>34206.334577032903</v>
      </c>
    </row>
    <row r="161" spans="1:11" s="2" customFormat="1" x14ac:dyDescent="0.35">
      <c r="A161" s="78">
        <v>4</v>
      </c>
      <c r="B161" s="79"/>
      <c r="C161" s="3" t="s">
        <v>211</v>
      </c>
      <c r="D161" s="78">
        <f>57.94*10.764</f>
        <v>623.66615999999999</v>
      </c>
      <c r="E161" s="79"/>
      <c r="F161" s="3">
        <v>0</v>
      </c>
      <c r="G161" s="3">
        <f t="shared" si="12"/>
        <v>935.49923999999999</v>
      </c>
      <c r="H161" s="3" t="s">
        <v>86</v>
      </c>
      <c r="I161" s="101"/>
      <c r="J161" s="102"/>
    </row>
    <row r="162" spans="1:11" s="2" customFormat="1" ht="15.75" customHeight="1" x14ac:dyDescent="0.35">
      <c r="A162" s="78">
        <v>5</v>
      </c>
      <c r="B162" s="79"/>
      <c r="C162" s="3" t="s">
        <v>211</v>
      </c>
      <c r="D162" s="78">
        <f>63.38*10.764</f>
        <v>682.22231999999997</v>
      </c>
      <c r="E162" s="79"/>
      <c r="F162" s="3">
        <v>0</v>
      </c>
      <c r="G162" s="3">
        <f t="shared" si="12"/>
        <v>1023.33348</v>
      </c>
      <c r="H162" s="3" t="s">
        <v>86</v>
      </c>
      <c r="I162" s="101"/>
      <c r="J162" s="102"/>
    </row>
    <row r="163" spans="1:11" s="2" customFormat="1" x14ac:dyDescent="0.35">
      <c r="A163" s="78">
        <v>6</v>
      </c>
      <c r="B163" s="79"/>
      <c r="C163" s="3" t="s">
        <v>211</v>
      </c>
      <c r="D163" s="78">
        <f>63.38*10.764</f>
        <v>682.22231999999997</v>
      </c>
      <c r="E163" s="79"/>
      <c r="F163" s="3">
        <v>0</v>
      </c>
      <c r="G163" s="3">
        <f t="shared" si="12"/>
        <v>1023.33348</v>
      </c>
      <c r="H163" s="3" t="s">
        <v>86</v>
      </c>
      <c r="I163" s="101"/>
      <c r="J163" s="102"/>
    </row>
    <row r="164" spans="1:11" s="2" customFormat="1" ht="15.75" customHeight="1" x14ac:dyDescent="0.35">
      <c r="A164" s="78">
        <v>7</v>
      </c>
      <c r="B164" s="79"/>
      <c r="C164" s="64" t="s">
        <v>212</v>
      </c>
      <c r="D164" s="80">
        <f>116.22*10.764</f>
        <v>1250.99208</v>
      </c>
      <c r="E164" s="81"/>
      <c r="F164" s="3">
        <v>0</v>
      </c>
      <c r="G164" s="3">
        <f t="shared" si="12"/>
        <v>1876.48812</v>
      </c>
      <c r="H164" s="3" t="s">
        <v>86</v>
      </c>
      <c r="I164" s="101"/>
      <c r="J164" s="102"/>
    </row>
    <row r="165" spans="1:11" s="2" customFormat="1" x14ac:dyDescent="0.35">
      <c r="A165" s="75" t="s">
        <v>262</v>
      </c>
      <c r="B165" s="76"/>
      <c r="C165" s="76"/>
      <c r="D165" s="76"/>
      <c r="E165" s="76"/>
      <c r="F165" s="76"/>
      <c r="G165" s="76"/>
      <c r="H165" s="76"/>
      <c r="I165" s="76"/>
      <c r="J165" s="77"/>
    </row>
    <row r="166" spans="1:11" s="2" customFormat="1" ht="15.75" customHeight="1" x14ac:dyDescent="0.35">
      <c r="A166" s="78">
        <v>1</v>
      </c>
      <c r="B166" s="79"/>
      <c r="C166" s="3" t="s">
        <v>248</v>
      </c>
      <c r="D166" s="78">
        <f>73.16*10.764</f>
        <v>787.49423999999988</v>
      </c>
      <c r="E166" s="79"/>
      <c r="F166" s="3">
        <v>0</v>
      </c>
      <c r="G166" s="3">
        <f t="shared" ref="G166:G171" si="13">D166*1.5+F166</f>
        <v>1181.2413599999998</v>
      </c>
      <c r="H166" s="3" t="s">
        <v>86</v>
      </c>
      <c r="I166" s="80" t="str">
        <f>A165</f>
        <v>14th, 21st &amp; 28th Floor (Part Refuge Area)</v>
      </c>
      <c r="J166" s="81"/>
    </row>
    <row r="167" spans="1:11" s="2" customFormat="1" x14ac:dyDescent="0.35">
      <c r="A167" s="78">
        <v>2</v>
      </c>
      <c r="B167" s="79"/>
      <c r="C167" s="3" t="s">
        <v>248</v>
      </c>
      <c r="D167" s="78">
        <f>73.16*10.764</f>
        <v>787.49423999999988</v>
      </c>
      <c r="E167" s="79"/>
      <c r="F167" s="3">
        <v>0</v>
      </c>
      <c r="G167" s="3">
        <f t="shared" si="13"/>
        <v>1181.2413599999998</v>
      </c>
      <c r="H167" s="3" t="s">
        <v>86</v>
      </c>
      <c r="I167" s="101"/>
      <c r="J167" s="102"/>
    </row>
    <row r="168" spans="1:11" s="2" customFormat="1" ht="15.75" customHeight="1" x14ac:dyDescent="0.35">
      <c r="A168" s="78">
        <v>3</v>
      </c>
      <c r="B168" s="79"/>
      <c r="C168" s="3" t="s">
        <v>211</v>
      </c>
      <c r="D168" s="78">
        <f>57.94*10.764</f>
        <v>623.66615999999999</v>
      </c>
      <c r="E168" s="79"/>
      <c r="F168" s="3">
        <v>0</v>
      </c>
      <c r="G168" s="3">
        <f t="shared" si="13"/>
        <v>935.49923999999999</v>
      </c>
      <c r="H168" s="3" t="s">
        <v>86</v>
      </c>
      <c r="I168" s="101"/>
      <c r="J168" s="102"/>
      <c r="K168" s="2">
        <f>29500000/G168</f>
        <v>31533.964688202206</v>
      </c>
    </row>
    <row r="169" spans="1:11" s="2" customFormat="1" x14ac:dyDescent="0.35">
      <c r="A169" s="78">
        <v>4</v>
      </c>
      <c r="B169" s="79"/>
      <c r="C169" s="3" t="s">
        <v>211</v>
      </c>
      <c r="D169" s="78">
        <f>57.94*10.764</f>
        <v>623.66615999999999</v>
      </c>
      <c r="E169" s="79"/>
      <c r="F169" s="3">
        <v>0</v>
      </c>
      <c r="G169" s="3">
        <f t="shared" si="13"/>
        <v>935.49923999999999</v>
      </c>
      <c r="H169" s="3" t="s">
        <v>86</v>
      </c>
      <c r="I169" s="101"/>
      <c r="J169" s="102"/>
      <c r="K169" s="2">
        <f>18000000/G169</f>
        <v>19241.063199581007</v>
      </c>
    </row>
    <row r="170" spans="1:11" s="2" customFormat="1" ht="15.75" customHeight="1" x14ac:dyDescent="0.35">
      <c r="A170" s="78">
        <v>5</v>
      </c>
      <c r="B170" s="79"/>
      <c r="C170" s="3" t="s">
        <v>211</v>
      </c>
      <c r="D170" s="78">
        <f>63.38*10.764</f>
        <v>682.22231999999997</v>
      </c>
      <c r="E170" s="79"/>
      <c r="F170" s="3">
        <v>0</v>
      </c>
      <c r="G170" s="3">
        <f t="shared" si="13"/>
        <v>1023.33348</v>
      </c>
      <c r="H170" s="3" t="s">
        <v>86</v>
      </c>
      <c r="I170" s="101"/>
      <c r="J170" s="102"/>
      <c r="K170" s="2">
        <f>29500000/G170</f>
        <v>28827.357431909684</v>
      </c>
    </row>
    <row r="171" spans="1:11" s="2" customFormat="1" x14ac:dyDescent="0.35">
      <c r="A171" s="78">
        <v>6</v>
      </c>
      <c r="B171" s="79"/>
      <c r="C171" s="3" t="s">
        <v>211</v>
      </c>
      <c r="D171" s="78">
        <f>63.38*10.764</f>
        <v>682.22231999999997</v>
      </c>
      <c r="E171" s="79"/>
      <c r="F171" s="3">
        <v>0</v>
      </c>
      <c r="G171" s="3">
        <f t="shared" si="13"/>
        <v>1023.33348</v>
      </c>
      <c r="H171" s="3" t="s">
        <v>86</v>
      </c>
      <c r="I171" s="101"/>
      <c r="J171" s="102"/>
      <c r="K171" s="2">
        <f>18000000/G171</f>
        <v>17589.574026249975</v>
      </c>
    </row>
    <row r="172" spans="1:11" s="2" customFormat="1" ht="15.75" customHeight="1" x14ac:dyDescent="0.35">
      <c r="A172" s="78">
        <v>7</v>
      </c>
      <c r="B172" s="79"/>
      <c r="C172" s="80" t="s">
        <v>240</v>
      </c>
      <c r="D172" s="254"/>
      <c r="E172" s="254"/>
      <c r="F172" s="254"/>
      <c r="G172" s="254"/>
      <c r="H172" s="81"/>
      <c r="I172" s="101"/>
      <c r="J172" s="102"/>
    </row>
    <row r="173" spans="1:11" s="2" customFormat="1" x14ac:dyDescent="0.35">
      <c r="A173" s="78">
        <v>8</v>
      </c>
      <c r="B173" s="79"/>
      <c r="C173" s="103"/>
      <c r="D173" s="255"/>
      <c r="E173" s="255"/>
      <c r="F173" s="255"/>
      <c r="G173" s="255"/>
      <c r="H173" s="104"/>
      <c r="I173" s="103"/>
      <c r="J173" s="104"/>
    </row>
    <row r="174" spans="1:11" s="2" customFormat="1" x14ac:dyDescent="0.35">
      <c r="A174" s="75" t="s">
        <v>263</v>
      </c>
      <c r="B174" s="76"/>
      <c r="C174" s="76"/>
      <c r="D174" s="76"/>
      <c r="E174" s="76"/>
      <c r="F174" s="76"/>
      <c r="G174" s="76"/>
      <c r="H174" s="76"/>
      <c r="I174" s="76"/>
      <c r="J174" s="77"/>
    </row>
    <row r="175" spans="1:11" s="2" customFormat="1" ht="15.75" customHeight="1" x14ac:dyDescent="0.35">
      <c r="A175" s="78">
        <v>1</v>
      </c>
      <c r="B175" s="79"/>
      <c r="C175" s="3" t="s">
        <v>248</v>
      </c>
      <c r="D175" s="78">
        <f>73.16*10.764</f>
        <v>787.49423999999988</v>
      </c>
      <c r="E175" s="79"/>
      <c r="F175" s="3">
        <v>0</v>
      </c>
      <c r="G175" s="3">
        <f t="shared" ref="G175:G182" si="14">D175*1.5+F175</f>
        <v>1181.2413599999998</v>
      </c>
      <c r="H175" s="3" t="s">
        <v>86</v>
      </c>
      <c r="I175" s="80" t="str">
        <f>A174</f>
        <v>24th &amp; 25th Floor</v>
      </c>
      <c r="J175" s="81"/>
    </row>
    <row r="176" spans="1:11" s="2" customFormat="1" x14ac:dyDescent="0.35">
      <c r="A176" s="78">
        <v>2</v>
      </c>
      <c r="B176" s="79"/>
      <c r="C176" s="3" t="s">
        <v>248</v>
      </c>
      <c r="D176" s="78">
        <f>73.16*10.764</f>
        <v>787.49423999999988</v>
      </c>
      <c r="E176" s="79"/>
      <c r="F176" s="3">
        <v>0</v>
      </c>
      <c r="G176" s="3">
        <f t="shared" si="14"/>
        <v>1181.2413599999998</v>
      </c>
      <c r="H176" s="3" t="s">
        <v>86</v>
      </c>
      <c r="I176" s="101"/>
      <c r="J176" s="102"/>
    </row>
    <row r="177" spans="1:11" s="2" customFormat="1" ht="15.75" customHeight="1" x14ac:dyDescent="0.35">
      <c r="A177" s="78">
        <v>3</v>
      </c>
      <c r="B177" s="79"/>
      <c r="C177" s="3" t="s">
        <v>211</v>
      </c>
      <c r="D177" s="78">
        <f>57.94*10.764</f>
        <v>623.66615999999999</v>
      </c>
      <c r="E177" s="79"/>
      <c r="F177" s="3">
        <v>0</v>
      </c>
      <c r="G177" s="3">
        <f t="shared" si="14"/>
        <v>935.49923999999999</v>
      </c>
      <c r="H177" s="3" t="s">
        <v>86</v>
      </c>
      <c r="I177" s="101"/>
      <c r="J177" s="102"/>
      <c r="K177" s="2">
        <f>32000000/G177</f>
        <v>34206.334577032903</v>
      </c>
    </row>
    <row r="178" spans="1:11" s="2" customFormat="1" x14ac:dyDescent="0.35">
      <c r="A178" s="78">
        <v>4</v>
      </c>
      <c r="B178" s="79"/>
      <c r="C178" s="3" t="s">
        <v>211</v>
      </c>
      <c r="D178" s="78">
        <f>57.94*10.764</f>
        <v>623.66615999999999</v>
      </c>
      <c r="E178" s="79"/>
      <c r="F178" s="3">
        <v>0</v>
      </c>
      <c r="G178" s="3">
        <f t="shared" si="14"/>
        <v>935.49923999999999</v>
      </c>
      <c r="H178" s="3" t="s">
        <v>86</v>
      </c>
      <c r="I178" s="101"/>
      <c r="J178" s="102"/>
    </row>
    <row r="179" spans="1:11" s="2" customFormat="1" ht="15.75" customHeight="1" x14ac:dyDescent="0.35">
      <c r="A179" s="78">
        <v>5</v>
      </c>
      <c r="B179" s="79"/>
      <c r="C179" s="3" t="s">
        <v>211</v>
      </c>
      <c r="D179" s="78">
        <f>63.38*10.764</f>
        <v>682.22231999999997</v>
      </c>
      <c r="E179" s="79"/>
      <c r="F179" s="3">
        <v>0</v>
      </c>
      <c r="G179" s="3">
        <f t="shared" si="14"/>
        <v>1023.33348</v>
      </c>
      <c r="H179" s="3" t="s">
        <v>86</v>
      </c>
      <c r="I179" s="101"/>
      <c r="J179" s="102"/>
    </row>
    <row r="180" spans="1:11" s="2" customFormat="1" x14ac:dyDescent="0.35">
      <c r="A180" s="78">
        <v>6</v>
      </c>
      <c r="B180" s="79"/>
      <c r="C180" s="3" t="s">
        <v>211</v>
      </c>
      <c r="D180" s="78">
        <f>63.38*10.764</f>
        <v>682.22231999999997</v>
      </c>
      <c r="E180" s="79"/>
      <c r="F180" s="3">
        <v>0</v>
      </c>
      <c r="G180" s="3">
        <f t="shared" si="14"/>
        <v>1023.33348</v>
      </c>
      <c r="H180" s="3" t="s">
        <v>86</v>
      </c>
      <c r="I180" s="101"/>
      <c r="J180" s="102"/>
    </row>
    <row r="181" spans="1:11" s="2" customFormat="1" ht="15.75" customHeight="1" x14ac:dyDescent="0.35">
      <c r="A181" s="78">
        <v>7</v>
      </c>
      <c r="B181" s="79"/>
      <c r="C181" s="3" t="s">
        <v>211</v>
      </c>
      <c r="D181" s="78">
        <f>57.88*10.764</f>
        <v>623.02031999999997</v>
      </c>
      <c r="E181" s="79"/>
      <c r="F181" s="3">
        <v>0</v>
      </c>
      <c r="G181" s="3">
        <f t="shared" si="14"/>
        <v>934.5304799999999</v>
      </c>
      <c r="H181" s="3" t="s">
        <v>86</v>
      </c>
      <c r="I181" s="101"/>
      <c r="J181" s="102"/>
    </row>
    <row r="182" spans="1:11" s="2" customFormat="1" x14ac:dyDescent="0.35">
      <c r="A182" s="78">
        <v>8</v>
      </c>
      <c r="B182" s="79"/>
      <c r="C182" s="3" t="s">
        <v>211</v>
      </c>
      <c r="D182" s="78">
        <f>57.94*10.764</f>
        <v>623.66615999999999</v>
      </c>
      <c r="E182" s="79"/>
      <c r="F182" s="3">
        <v>0</v>
      </c>
      <c r="G182" s="3">
        <f t="shared" si="14"/>
        <v>935.49923999999999</v>
      </c>
      <c r="H182" s="3" t="s">
        <v>86</v>
      </c>
      <c r="I182" s="103"/>
      <c r="J182" s="104"/>
    </row>
    <row r="183" spans="1:11" s="2" customFormat="1" x14ac:dyDescent="0.35">
      <c r="A183" s="75" t="s">
        <v>264</v>
      </c>
      <c r="B183" s="76"/>
      <c r="C183" s="76"/>
      <c r="D183" s="76"/>
      <c r="E183" s="76"/>
      <c r="F183" s="76"/>
      <c r="G183" s="76"/>
      <c r="H183" s="76"/>
      <c r="I183" s="76"/>
      <c r="J183" s="77"/>
    </row>
    <row r="184" spans="1:11" s="2" customFormat="1" ht="15.75" customHeight="1" x14ac:dyDescent="0.35">
      <c r="A184" s="78">
        <v>1</v>
      </c>
      <c r="B184" s="79"/>
      <c r="C184" s="3" t="s">
        <v>248</v>
      </c>
      <c r="D184" s="78">
        <f>73.16*10.764</f>
        <v>787.49423999999988</v>
      </c>
      <c r="E184" s="79"/>
      <c r="F184" s="3">
        <v>0</v>
      </c>
      <c r="G184" s="3">
        <f t="shared" ref="G184:G190" si="15">D184*1.5+F184</f>
        <v>1181.2413599999998</v>
      </c>
      <c r="H184" s="3" t="s">
        <v>86</v>
      </c>
      <c r="I184" s="80" t="str">
        <f>A183</f>
        <v>30th Floor</v>
      </c>
      <c r="J184" s="81"/>
    </row>
    <row r="185" spans="1:11" s="2" customFormat="1" x14ac:dyDescent="0.35">
      <c r="A185" s="78">
        <v>2</v>
      </c>
      <c r="B185" s="79"/>
      <c r="C185" s="3" t="s">
        <v>248</v>
      </c>
      <c r="D185" s="78">
        <f>73.16*10.764</f>
        <v>787.49423999999988</v>
      </c>
      <c r="E185" s="79"/>
      <c r="F185" s="3">
        <v>0</v>
      </c>
      <c r="G185" s="3">
        <f t="shared" si="15"/>
        <v>1181.2413599999998</v>
      </c>
      <c r="H185" s="3" t="s">
        <v>86</v>
      </c>
      <c r="I185" s="101"/>
      <c r="J185" s="102"/>
    </row>
    <row r="186" spans="1:11" s="2" customFormat="1" ht="15.75" customHeight="1" x14ac:dyDescent="0.35">
      <c r="A186" s="78">
        <v>3</v>
      </c>
      <c r="B186" s="79"/>
      <c r="C186" s="3" t="s">
        <v>211</v>
      </c>
      <c r="D186" s="78">
        <f>57.94*10.764</f>
        <v>623.66615999999999</v>
      </c>
      <c r="E186" s="79"/>
      <c r="F186" s="3">
        <v>0</v>
      </c>
      <c r="G186" s="3">
        <f t="shared" si="15"/>
        <v>935.49923999999999</v>
      </c>
      <c r="H186" s="3" t="s">
        <v>86</v>
      </c>
      <c r="I186" s="101"/>
      <c r="J186" s="102"/>
      <c r="K186" s="2">
        <f>32000000/G186</f>
        <v>34206.334577032903</v>
      </c>
    </row>
    <row r="187" spans="1:11" s="2" customFormat="1" x14ac:dyDescent="0.35">
      <c r="A187" s="78">
        <v>4</v>
      </c>
      <c r="B187" s="79"/>
      <c r="C187" s="3" t="s">
        <v>211</v>
      </c>
      <c r="D187" s="78">
        <f>57.94*10.764</f>
        <v>623.66615999999999</v>
      </c>
      <c r="E187" s="79"/>
      <c r="F187" s="3">
        <v>0</v>
      </c>
      <c r="G187" s="3">
        <f t="shared" si="15"/>
        <v>935.49923999999999</v>
      </c>
      <c r="H187" s="3" t="s">
        <v>86</v>
      </c>
      <c r="I187" s="101"/>
      <c r="J187" s="102"/>
    </row>
    <row r="188" spans="1:11" s="2" customFormat="1" ht="15.75" customHeight="1" x14ac:dyDescent="0.35">
      <c r="A188" s="78">
        <v>5</v>
      </c>
      <c r="B188" s="79"/>
      <c r="C188" s="63" t="s">
        <v>212</v>
      </c>
      <c r="D188" s="256">
        <f>127.64*10.764</f>
        <v>1373.91696</v>
      </c>
      <c r="E188" s="257"/>
      <c r="F188" s="3">
        <v>0</v>
      </c>
      <c r="G188" s="3">
        <f t="shared" si="15"/>
        <v>2060.8754399999998</v>
      </c>
      <c r="H188" s="3" t="s">
        <v>86</v>
      </c>
      <c r="I188" s="101"/>
      <c r="J188" s="102"/>
    </row>
    <row r="189" spans="1:11" s="2" customFormat="1" ht="15.75" customHeight="1" x14ac:dyDescent="0.35">
      <c r="A189" s="78">
        <v>7</v>
      </c>
      <c r="B189" s="79"/>
      <c r="C189" s="3" t="s">
        <v>211</v>
      </c>
      <c r="D189" s="78">
        <f>57.88*10.764</f>
        <v>623.02031999999997</v>
      </c>
      <c r="E189" s="79"/>
      <c r="F189" s="3">
        <v>0</v>
      </c>
      <c r="G189" s="3">
        <f t="shared" si="15"/>
        <v>934.5304799999999</v>
      </c>
      <c r="H189" s="3" t="s">
        <v>86</v>
      </c>
      <c r="I189" s="101"/>
      <c r="J189" s="102"/>
    </row>
    <row r="190" spans="1:11" s="2" customFormat="1" x14ac:dyDescent="0.35">
      <c r="A190" s="78">
        <v>8</v>
      </c>
      <c r="B190" s="79"/>
      <c r="C190" s="3" t="s">
        <v>211</v>
      </c>
      <c r="D190" s="78">
        <f>57.94*10.764</f>
        <v>623.66615999999999</v>
      </c>
      <c r="E190" s="79"/>
      <c r="F190" s="3">
        <v>0</v>
      </c>
      <c r="G190" s="3">
        <f t="shared" si="15"/>
        <v>935.49923999999999</v>
      </c>
      <c r="H190" s="3" t="s">
        <v>86</v>
      </c>
      <c r="I190" s="103"/>
      <c r="J190" s="104"/>
    </row>
    <row r="191" spans="1:11" s="2" customFormat="1" x14ac:dyDescent="0.35">
      <c r="A191" s="75" t="s">
        <v>265</v>
      </c>
      <c r="B191" s="76"/>
      <c r="C191" s="76"/>
      <c r="D191" s="76"/>
      <c r="E191" s="76"/>
      <c r="F191" s="76"/>
      <c r="G191" s="76"/>
      <c r="H191" s="76"/>
      <c r="I191" s="76"/>
      <c r="J191" s="77"/>
    </row>
    <row r="192" spans="1:11" s="2" customFormat="1" ht="15.75" customHeight="1" x14ac:dyDescent="0.35">
      <c r="A192" s="78">
        <v>1</v>
      </c>
      <c r="B192" s="79"/>
      <c r="C192" s="3" t="s">
        <v>248</v>
      </c>
      <c r="D192" s="78">
        <f>73.16*10.764</f>
        <v>787.49423999999988</v>
      </c>
      <c r="E192" s="79"/>
      <c r="F192" s="3">
        <v>0</v>
      </c>
      <c r="G192" s="3">
        <f t="shared" ref="G192:G198" si="16">D192*1.5+F192</f>
        <v>1181.2413599999998</v>
      </c>
      <c r="H192" s="3" t="s">
        <v>86</v>
      </c>
      <c r="I192" s="80" t="str">
        <f>A191</f>
        <v>32nd Floor</v>
      </c>
      <c r="J192" s="81"/>
    </row>
    <row r="193" spans="1:13" s="2" customFormat="1" x14ac:dyDescent="0.35">
      <c r="A193" s="78">
        <v>2</v>
      </c>
      <c r="B193" s="79"/>
      <c r="C193" s="3" t="s">
        <v>248</v>
      </c>
      <c r="D193" s="78">
        <f>73.16*10.764</f>
        <v>787.49423999999988</v>
      </c>
      <c r="E193" s="79"/>
      <c r="F193" s="3">
        <v>0</v>
      </c>
      <c r="G193" s="3">
        <f t="shared" si="16"/>
        <v>1181.2413599999998</v>
      </c>
      <c r="H193" s="3" t="s">
        <v>86</v>
      </c>
      <c r="I193" s="101"/>
      <c r="J193" s="102"/>
    </row>
    <row r="194" spans="1:13" s="2" customFormat="1" ht="15.75" customHeight="1" x14ac:dyDescent="0.35">
      <c r="A194" s="80">
        <v>3</v>
      </c>
      <c r="B194" s="81"/>
      <c r="C194" s="64" t="s">
        <v>212</v>
      </c>
      <c r="D194" s="80">
        <f>116.75*10.764</f>
        <v>1256.6969999999999</v>
      </c>
      <c r="E194" s="81"/>
      <c r="F194" s="62">
        <v>0</v>
      </c>
      <c r="G194" s="62">
        <f t="shared" si="16"/>
        <v>1885.0454999999997</v>
      </c>
      <c r="H194" s="3" t="s">
        <v>86</v>
      </c>
      <c r="I194" s="101"/>
      <c r="J194" s="102"/>
      <c r="K194" s="2">
        <f>32000000/G194</f>
        <v>16975.717562255129</v>
      </c>
      <c r="M194" s="2">
        <f>4.17*3.45+1.15*1+3.05*4.13+2.17*2.9+3.05*2.98+2.17*1.75+2*(3.05*3.35+3.05*3.35+0.97*1.06+2.29*1.36+2.29*0.6+2.21*1.36+3.05*1)</f>
        <v>111.32689999999999</v>
      </c>
    </row>
    <row r="195" spans="1:13" s="2" customFormat="1" ht="15.75" customHeight="1" x14ac:dyDescent="0.35">
      <c r="A195" s="78">
        <v>5</v>
      </c>
      <c r="B195" s="79"/>
      <c r="C195" s="3" t="s">
        <v>211</v>
      </c>
      <c r="D195" s="78">
        <f>63.38*10.764</f>
        <v>682.22231999999997</v>
      </c>
      <c r="E195" s="79"/>
      <c r="F195" s="3">
        <v>0</v>
      </c>
      <c r="G195" s="3">
        <f t="shared" si="16"/>
        <v>1023.33348</v>
      </c>
      <c r="H195" s="3" t="s">
        <v>86</v>
      </c>
      <c r="I195" s="101"/>
      <c r="J195" s="102"/>
    </row>
    <row r="196" spans="1:13" s="2" customFormat="1" x14ac:dyDescent="0.35">
      <c r="A196" s="78">
        <v>6</v>
      </c>
      <c r="B196" s="79"/>
      <c r="C196" s="3" t="s">
        <v>211</v>
      </c>
      <c r="D196" s="78">
        <f>63.38*10.764</f>
        <v>682.22231999999997</v>
      </c>
      <c r="E196" s="79"/>
      <c r="F196" s="3">
        <v>0</v>
      </c>
      <c r="G196" s="3">
        <f t="shared" si="16"/>
        <v>1023.33348</v>
      </c>
      <c r="H196" s="3" t="s">
        <v>86</v>
      </c>
      <c r="I196" s="101"/>
      <c r="J196" s="102"/>
    </row>
    <row r="197" spans="1:13" s="2" customFormat="1" ht="15.75" customHeight="1" x14ac:dyDescent="0.35">
      <c r="A197" s="78">
        <v>7</v>
      </c>
      <c r="B197" s="79"/>
      <c r="C197" s="3" t="s">
        <v>211</v>
      </c>
      <c r="D197" s="78">
        <f>57.88*10.764</f>
        <v>623.02031999999997</v>
      </c>
      <c r="E197" s="79"/>
      <c r="F197" s="3">
        <v>0</v>
      </c>
      <c r="G197" s="3">
        <f t="shared" si="16"/>
        <v>934.5304799999999</v>
      </c>
      <c r="H197" s="3" t="s">
        <v>86</v>
      </c>
      <c r="I197" s="101"/>
      <c r="J197" s="102"/>
    </row>
    <row r="198" spans="1:13" s="2" customFormat="1" x14ac:dyDescent="0.35">
      <c r="A198" s="78">
        <v>8</v>
      </c>
      <c r="B198" s="79"/>
      <c r="C198" s="3" t="s">
        <v>211</v>
      </c>
      <c r="D198" s="78">
        <f>57.94*10.764</f>
        <v>623.66615999999999</v>
      </c>
      <c r="E198" s="79"/>
      <c r="F198" s="3">
        <v>0</v>
      </c>
      <c r="G198" s="3">
        <f t="shared" si="16"/>
        <v>935.49923999999999</v>
      </c>
      <c r="H198" s="3" t="s">
        <v>86</v>
      </c>
      <c r="I198" s="103"/>
      <c r="J198" s="104"/>
    </row>
    <row r="199" spans="1:13" s="2" customFormat="1" x14ac:dyDescent="0.35">
      <c r="A199" s="75" t="s">
        <v>266</v>
      </c>
      <c r="B199" s="76"/>
      <c r="C199" s="76"/>
      <c r="D199" s="76"/>
      <c r="E199" s="76"/>
      <c r="F199" s="76"/>
      <c r="G199" s="76"/>
      <c r="H199" s="76"/>
      <c r="I199" s="76"/>
      <c r="J199" s="77"/>
    </row>
    <row r="200" spans="1:13" s="2" customFormat="1" ht="15.75" customHeight="1" x14ac:dyDescent="0.35">
      <c r="A200" s="78">
        <v>1</v>
      </c>
      <c r="B200" s="79"/>
      <c r="C200" s="3" t="s">
        <v>248</v>
      </c>
      <c r="D200" s="78">
        <f>73.16*10.764</f>
        <v>787.49423999999988</v>
      </c>
      <c r="E200" s="79"/>
      <c r="F200" s="3">
        <v>0</v>
      </c>
      <c r="G200" s="3">
        <f t="shared" ref="G200:G207" si="17">D200*1.5+F200</f>
        <v>1181.2413599999998</v>
      </c>
      <c r="H200" s="3" t="s">
        <v>86</v>
      </c>
      <c r="I200" s="80" t="str">
        <f>A199</f>
        <v>33rd Floor</v>
      </c>
      <c r="J200" s="81"/>
    </row>
    <row r="201" spans="1:13" s="2" customFormat="1" x14ac:dyDescent="0.35">
      <c r="A201" s="78">
        <v>2</v>
      </c>
      <c r="B201" s="79"/>
      <c r="C201" s="3" t="s">
        <v>248</v>
      </c>
      <c r="D201" s="78">
        <f>73.16*10.764</f>
        <v>787.49423999999988</v>
      </c>
      <c r="E201" s="79"/>
      <c r="F201" s="3">
        <v>0</v>
      </c>
      <c r="G201" s="3">
        <f t="shared" si="17"/>
        <v>1181.2413599999998</v>
      </c>
      <c r="H201" s="3" t="s">
        <v>86</v>
      </c>
      <c r="I201" s="101"/>
      <c r="J201" s="102"/>
    </row>
    <row r="202" spans="1:13" s="2" customFormat="1" ht="15.75" customHeight="1" x14ac:dyDescent="0.35">
      <c r="A202" s="78">
        <v>3</v>
      </c>
      <c r="B202" s="79"/>
      <c r="C202" s="3" t="s">
        <v>211</v>
      </c>
      <c r="D202" s="78">
        <f>57.94*10.764</f>
        <v>623.66615999999999</v>
      </c>
      <c r="E202" s="79"/>
      <c r="F202" s="3">
        <v>0</v>
      </c>
      <c r="G202" s="3">
        <f t="shared" si="17"/>
        <v>935.49923999999999</v>
      </c>
      <c r="H202" s="3" t="s">
        <v>86</v>
      </c>
      <c r="I202" s="101"/>
      <c r="J202" s="102"/>
      <c r="K202" s="2">
        <f>32000000/G202</f>
        <v>34206.334577032903</v>
      </c>
    </row>
    <row r="203" spans="1:13" s="2" customFormat="1" x14ac:dyDescent="0.35">
      <c r="A203" s="78">
        <v>4</v>
      </c>
      <c r="B203" s="79"/>
      <c r="C203" s="3" t="s">
        <v>211</v>
      </c>
      <c r="D203" s="78">
        <f>57.94*10.764</f>
        <v>623.66615999999999</v>
      </c>
      <c r="E203" s="79"/>
      <c r="F203" s="3">
        <v>0</v>
      </c>
      <c r="G203" s="3">
        <f t="shared" si="17"/>
        <v>935.49923999999999</v>
      </c>
      <c r="H203" s="3" t="s">
        <v>86</v>
      </c>
      <c r="I203" s="101"/>
      <c r="J203" s="102"/>
    </row>
    <row r="204" spans="1:13" s="2" customFormat="1" ht="15.75" customHeight="1" x14ac:dyDescent="0.35">
      <c r="A204" s="78">
        <v>5</v>
      </c>
      <c r="B204" s="79"/>
      <c r="C204" s="3" t="s">
        <v>211</v>
      </c>
      <c r="D204" s="78">
        <f>63.38*10.764</f>
        <v>682.22231999999997</v>
      </c>
      <c r="E204" s="79"/>
      <c r="F204" s="3">
        <v>0</v>
      </c>
      <c r="G204" s="3">
        <f t="shared" si="17"/>
        <v>1023.33348</v>
      </c>
      <c r="H204" s="3" t="s">
        <v>86</v>
      </c>
      <c r="I204" s="101"/>
      <c r="J204" s="102"/>
    </row>
    <row r="205" spans="1:13" s="2" customFormat="1" x14ac:dyDescent="0.35">
      <c r="A205" s="78">
        <v>6</v>
      </c>
      <c r="B205" s="79"/>
      <c r="C205" s="3" t="s">
        <v>211</v>
      </c>
      <c r="D205" s="78">
        <f>63.38*10.764</f>
        <v>682.22231999999997</v>
      </c>
      <c r="E205" s="79"/>
      <c r="F205" s="3">
        <v>0</v>
      </c>
      <c r="G205" s="3">
        <f t="shared" si="17"/>
        <v>1023.33348</v>
      </c>
      <c r="H205" s="3" t="s">
        <v>86</v>
      </c>
      <c r="I205" s="101"/>
      <c r="J205" s="102"/>
    </row>
    <row r="206" spans="1:13" s="2" customFormat="1" ht="15.75" customHeight="1" x14ac:dyDescent="0.35">
      <c r="A206" s="78">
        <v>7</v>
      </c>
      <c r="B206" s="79"/>
      <c r="C206" s="3" t="s">
        <v>211</v>
      </c>
      <c r="D206" s="78">
        <f>57.88*10.764</f>
        <v>623.02031999999997</v>
      </c>
      <c r="E206" s="79"/>
      <c r="F206" s="3">
        <v>0</v>
      </c>
      <c r="G206" s="3">
        <f t="shared" si="17"/>
        <v>934.5304799999999</v>
      </c>
      <c r="H206" s="3" t="s">
        <v>86</v>
      </c>
      <c r="I206" s="101"/>
      <c r="J206" s="102"/>
    </row>
    <row r="207" spans="1:13" s="2" customFormat="1" x14ac:dyDescent="0.35">
      <c r="A207" s="78">
        <v>8</v>
      </c>
      <c r="B207" s="79"/>
      <c r="C207" s="3" t="s">
        <v>211</v>
      </c>
      <c r="D207" s="78">
        <f>57.94*10.764</f>
        <v>623.66615999999999</v>
      </c>
      <c r="E207" s="79"/>
      <c r="F207" s="3">
        <v>0</v>
      </c>
      <c r="G207" s="3">
        <f t="shared" si="17"/>
        <v>935.49923999999999</v>
      </c>
      <c r="H207" s="3" t="s">
        <v>86</v>
      </c>
      <c r="I207" s="103"/>
      <c r="J207" s="104"/>
    </row>
    <row r="208" spans="1:13" s="2" customFormat="1" x14ac:dyDescent="0.35">
      <c r="A208" s="75" t="s">
        <v>267</v>
      </c>
      <c r="B208" s="76"/>
      <c r="C208" s="76"/>
      <c r="D208" s="76"/>
      <c r="E208" s="76"/>
      <c r="F208" s="76"/>
      <c r="G208" s="76"/>
      <c r="H208" s="76"/>
      <c r="I208" s="76"/>
      <c r="J208" s="77"/>
    </row>
    <row r="209" spans="1:11" s="2" customFormat="1" ht="15.75" customHeight="1" x14ac:dyDescent="0.35">
      <c r="A209" s="78">
        <v>1</v>
      </c>
      <c r="B209" s="79"/>
      <c r="C209" s="3" t="s">
        <v>248</v>
      </c>
      <c r="D209" s="78">
        <f>73.16*10.764</f>
        <v>787.49423999999988</v>
      </c>
      <c r="E209" s="79"/>
      <c r="F209" s="3">
        <v>0</v>
      </c>
      <c r="G209" s="3">
        <f t="shared" ref="G209:G216" si="18">D209*1.5+F209</f>
        <v>1181.2413599999998</v>
      </c>
      <c r="H209" s="3" t="s">
        <v>86</v>
      </c>
      <c r="I209" s="80" t="str">
        <f>A208</f>
        <v>34th Floor</v>
      </c>
      <c r="J209" s="81"/>
    </row>
    <row r="210" spans="1:11" s="2" customFormat="1" x14ac:dyDescent="0.35">
      <c r="A210" s="78">
        <v>2</v>
      </c>
      <c r="B210" s="79"/>
      <c r="C210" s="3" t="s">
        <v>248</v>
      </c>
      <c r="D210" s="78">
        <f>73.16*10.764</f>
        <v>787.49423999999988</v>
      </c>
      <c r="E210" s="79"/>
      <c r="F210" s="3">
        <v>0</v>
      </c>
      <c r="G210" s="3">
        <f t="shared" si="18"/>
        <v>1181.2413599999998</v>
      </c>
      <c r="H210" s="3" t="s">
        <v>86</v>
      </c>
      <c r="I210" s="101"/>
      <c r="J210" s="102"/>
    </row>
    <row r="211" spans="1:11" s="2" customFormat="1" ht="15.75" customHeight="1" x14ac:dyDescent="0.35">
      <c r="A211" s="78">
        <v>3</v>
      </c>
      <c r="B211" s="79"/>
      <c r="C211" s="3" t="s">
        <v>211</v>
      </c>
      <c r="D211" s="78">
        <f>57.94*10.764</f>
        <v>623.66615999999999</v>
      </c>
      <c r="E211" s="79"/>
      <c r="F211" s="3">
        <v>0</v>
      </c>
      <c r="G211" s="3">
        <f t="shared" si="18"/>
        <v>935.49923999999999</v>
      </c>
      <c r="H211" s="3" t="s">
        <v>86</v>
      </c>
      <c r="I211" s="101"/>
      <c r="J211" s="102"/>
      <c r="K211" s="2">
        <f>32000000/G211</f>
        <v>34206.334577032903</v>
      </c>
    </row>
    <row r="212" spans="1:11" s="2" customFormat="1" x14ac:dyDescent="0.35">
      <c r="A212" s="78">
        <v>4</v>
      </c>
      <c r="B212" s="79"/>
      <c r="C212" s="3" t="s">
        <v>211</v>
      </c>
      <c r="D212" s="78">
        <f>57.94*10.764</f>
        <v>623.66615999999999</v>
      </c>
      <c r="E212" s="79"/>
      <c r="F212" s="3">
        <v>0</v>
      </c>
      <c r="G212" s="3">
        <f t="shared" si="18"/>
        <v>935.49923999999999</v>
      </c>
      <c r="H212" s="3" t="s">
        <v>86</v>
      </c>
      <c r="I212" s="101"/>
      <c r="J212" s="102"/>
    </row>
    <row r="213" spans="1:11" s="2" customFormat="1" ht="15.75" customHeight="1" x14ac:dyDescent="0.35">
      <c r="A213" s="78">
        <v>5</v>
      </c>
      <c r="B213" s="79"/>
      <c r="C213" s="3" t="s">
        <v>211</v>
      </c>
      <c r="D213" s="78">
        <f>63.38*10.764</f>
        <v>682.22231999999997</v>
      </c>
      <c r="E213" s="79"/>
      <c r="F213" s="3">
        <v>0</v>
      </c>
      <c r="G213" s="3">
        <f t="shared" si="18"/>
        <v>1023.33348</v>
      </c>
      <c r="H213" s="3" t="s">
        <v>86</v>
      </c>
      <c r="I213" s="101"/>
      <c r="J213" s="102"/>
    </row>
    <row r="214" spans="1:11" s="2" customFormat="1" x14ac:dyDescent="0.35">
      <c r="A214" s="78">
        <v>6</v>
      </c>
      <c r="B214" s="79"/>
      <c r="C214" s="3" t="s">
        <v>211</v>
      </c>
      <c r="D214" s="78">
        <f>63.38*10.764</f>
        <v>682.22231999999997</v>
      </c>
      <c r="E214" s="79"/>
      <c r="F214" s="3">
        <v>0</v>
      </c>
      <c r="G214" s="3">
        <f t="shared" si="18"/>
        <v>1023.33348</v>
      </c>
      <c r="H214" s="3" t="s">
        <v>86</v>
      </c>
      <c r="I214" s="101"/>
      <c r="J214" s="102"/>
    </row>
    <row r="215" spans="1:11" s="2" customFormat="1" ht="15.75" customHeight="1" x14ac:dyDescent="0.35">
      <c r="A215" s="78">
        <v>7</v>
      </c>
      <c r="B215" s="79"/>
      <c r="C215" s="3" t="s">
        <v>211</v>
      </c>
      <c r="D215" s="78">
        <f>57.88*10.764</f>
        <v>623.02031999999997</v>
      </c>
      <c r="E215" s="79"/>
      <c r="F215" s="3">
        <v>0</v>
      </c>
      <c r="G215" s="3">
        <f t="shared" si="18"/>
        <v>934.5304799999999</v>
      </c>
      <c r="H215" s="3" t="s">
        <v>86</v>
      </c>
      <c r="I215" s="101"/>
      <c r="J215" s="102"/>
    </row>
    <row r="216" spans="1:11" s="2" customFormat="1" x14ac:dyDescent="0.35">
      <c r="A216" s="78">
        <v>8</v>
      </c>
      <c r="B216" s="79"/>
      <c r="C216" s="3" t="s">
        <v>211</v>
      </c>
      <c r="D216" s="78">
        <f>57.94*10.764</f>
        <v>623.66615999999999</v>
      </c>
      <c r="E216" s="79"/>
      <c r="F216" s="3">
        <v>0</v>
      </c>
      <c r="G216" s="3">
        <f t="shared" si="18"/>
        <v>935.49923999999999</v>
      </c>
      <c r="H216" s="3" t="s">
        <v>86</v>
      </c>
      <c r="I216" s="103"/>
      <c r="J216" s="104"/>
    </row>
    <row r="217" spans="1:11" s="2" customFormat="1" x14ac:dyDescent="0.35">
      <c r="A217" s="75" t="s">
        <v>271</v>
      </c>
      <c r="B217" s="76"/>
      <c r="C217" s="76"/>
      <c r="D217" s="76"/>
      <c r="E217" s="76"/>
      <c r="F217" s="76"/>
      <c r="G217" s="76"/>
      <c r="H217" s="76"/>
      <c r="I217" s="76"/>
      <c r="J217" s="77"/>
    </row>
    <row r="218" spans="1:11" s="2" customFormat="1" ht="15.75" customHeight="1" x14ac:dyDescent="0.35">
      <c r="A218" s="78">
        <v>1</v>
      </c>
      <c r="B218" s="79"/>
      <c r="C218" s="3" t="s">
        <v>248</v>
      </c>
      <c r="D218" s="78">
        <f>73.16*10.764</f>
        <v>787.49423999999988</v>
      </c>
      <c r="E218" s="79"/>
      <c r="F218" s="3">
        <v>0</v>
      </c>
      <c r="G218" s="3">
        <f t="shared" ref="G218:G222" si="19">D218*1.5+F218</f>
        <v>1181.2413599999998</v>
      </c>
      <c r="H218" s="3" t="s">
        <v>86</v>
      </c>
      <c r="I218" s="80" t="str">
        <f>A217</f>
        <v>35th Floor (Part Refuge Area)</v>
      </c>
      <c r="J218" s="81"/>
    </row>
    <row r="219" spans="1:11" s="2" customFormat="1" x14ac:dyDescent="0.35">
      <c r="A219" s="78">
        <v>2</v>
      </c>
      <c r="B219" s="79"/>
      <c r="C219" s="3" t="s">
        <v>248</v>
      </c>
      <c r="D219" s="78">
        <f>73.16*10.764</f>
        <v>787.49423999999988</v>
      </c>
      <c r="E219" s="79"/>
      <c r="F219" s="3">
        <v>0</v>
      </c>
      <c r="G219" s="3">
        <f t="shared" si="19"/>
        <v>1181.2413599999998</v>
      </c>
      <c r="H219" s="3" t="s">
        <v>86</v>
      </c>
      <c r="I219" s="101"/>
      <c r="J219" s="102"/>
    </row>
    <row r="220" spans="1:11" s="2" customFormat="1" ht="15.75" customHeight="1" x14ac:dyDescent="0.35">
      <c r="A220" s="78">
        <v>3</v>
      </c>
      <c r="B220" s="79"/>
      <c r="C220" s="63" t="s">
        <v>212</v>
      </c>
      <c r="D220" s="78">
        <f>116.75*10.764</f>
        <v>1256.6969999999999</v>
      </c>
      <c r="E220" s="79"/>
      <c r="F220" s="3">
        <v>0</v>
      </c>
      <c r="G220" s="3">
        <f t="shared" si="19"/>
        <v>1885.0454999999997</v>
      </c>
      <c r="H220" s="3" t="s">
        <v>86</v>
      </c>
      <c r="I220" s="101"/>
      <c r="J220" s="102"/>
      <c r="K220" s="2">
        <f>32000000/G220</f>
        <v>16975.717562255129</v>
      </c>
    </row>
    <row r="221" spans="1:11" s="2" customFormat="1" ht="15.75" customHeight="1" x14ac:dyDescent="0.35">
      <c r="A221" s="78">
        <v>5</v>
      </c>
      <c r="B221" s="79"/>
      <c r="C221" s="63" t="s">
        <v>212</v>
      </c>
      <c r="D221" s="78">
        <f>127.64*10.764</f>
        <v>1373.91696</v>
      </c>
      <c r="E221" s="79"/>
      <c r="F221" s="3">
        <v>0</v>
      </c>
      <c r="G221" s="3">
        <f t="shared" si="19"/>
        <v>2060.8754399999998</v>
      </c>
      <c r="H221" s="3" t="s">
        <v>86</v>
      </c>
      <c r="I221" s="101"/>
      <c r="J221" s="102"/>
    </row>
    <row r="222" spans="1:11" s="2" customFormat="1" ht="15.75" customHeight="1" x14ac:dyDescent="0.35">
      <c r="A222" s="78">
        <v>7</v>
      </c>
      <c r="B222" s="79"/>
      <c r="C222" s="3" t="s">
        <v>211</v>
      </c>
      <c r="D222" s="78">
        <f>57.88*10.764</f>
        <v>623.02031999999997</v>
      </c>
      <c r="E222" s="79"/>
      <c r="F222" s="3">
        <v>0</v>
      </c>
      <c r="G222" s="3">
        <f t="shared" si="19"/>
        <v>934.5304799999999</v>
      </c>
      <c r="H222" s="3" t="s">
        <v>86</v>
      </c>
      <c r="I222" s="101"/>
      <c r="J222" s="102"/>
    </row>
    <row r="223" spans="1:11" s="2" customFormat="1" x14ac:dyDescent="0.35">
      <c r="A223" s="78">
        <v>8</v>
      </c>
      <c r="B223" s="79"/>
      <c r="C223" s="78" t="s">
        <v>268</v>
      </c>
      <c r="D223" s="109"/>
      <c r="E223" s="109"/>
      <c r="F223" s="109"/>
      <c r="G223" s="109"/>
      <c r="H223" s="79"/>
      <c r="I223" s="103"/>
      <c r="J223" s="104"/>
    </row>
    <row r="224" spans="1:11" s="2" customFormat="1" x14ac:dyDescent="0.35">
      <c r="A224" s="75" t="s">
        <v>270</v>
      </c>
      <c r="B224" s="76"/>
      <c r="C224" s="76"/>
      <c r="D224" s="76"/>
      <c r="E224" s="76"/>
      <c r="F224" s="76"/>
      <c r="G224" s="76"/>
      <c r="H224" s="76"/>
      <c r="I224" s="76"/>
      <c r="J224" s="77"/>
    </row>
    <row r="225" spans="1:11" s="2" customFormat="1" ht="15.75" customHeight="1" x14ac:dyDescent="0.35">
      <c r="A225" s="78">
        <v>1</v>
      </c>
      <c r="B225" s="79"/>
      <c r="C225" s="80" t="s">
        <v>272</v>
      </c>
      <c r="D225" s="254"/>
      <c r="E225" s="254"/>
      <c r="F225" s="254"/>
      <c r="G225" s="254"/>
      <c r="H225" s="81"/>
      <c r="I225" s="80" t="str">
        <f>A224</f>
        <v>36th Floor (Part Terrace Area)</v>
      </c>
      <c r="J225" s="81"/>
    </row>
    <row r="226" spans="1:11" s="2" customFormat="1" x14ac:dyDescent="0.35">
      <c r="A226" s="78">
        <v>2</v>
      </c>
      <c r="B226" s="79"/>
      <c r="C226" s="103"/>
      <c r="D226" s="255"/>
      <c r="E226" s="255"/>
      <c r="F226" s="255"/>
      <c r="G226" s="255"/>
      <c r="H226" s="104"/>
      <c r="I226" s="101"/>
      <c r="J226" s="102"/>
    </row>
    <row r="227" spans="1:11" s="2" customFormat="1" ht="15.75" customHeight="1" x14ac:dyDescent="0.35">
      <c r="A227" s="78">
        <v>3</v>
      </c>
      <c r="B227" s="79"/>
      <c r="C227" s="3" t="s">
        <v>211</v>
      </c>
      <c r="D227" s="78">
        <f>57.94*10.764</f>
        <v>623.66615999999999</v>
      </c>
      <c r="E227" s="79"/>
      <c r="F227" s="3">
        <v>0</v>
      </c>
      <c r="G227" s="3">
        <f t="shared" ref="G227:G232" si="20">D227*1.5+F227</f>
        <v>935.49923999999999</v>
      </c>
      <c r="H227" s="3" t="s">
        <v>86</v>
      </c>
      <c r="I227" s="101"/>
      <c r="J227" s="102"/>
      <c r="K227" s="2">
        <f>32000000/G227</f>
        <v>34206.334577032903</v>
      </c>
    </row>
    <row r="228" spans="1:11" s="2" customFormat="1" x14ac:dyDescent="0.35">
      <c r="A228" s="78">
        <v>4</v>
      </c>
      <c r="B228" s="79"/>
      <c r="C228" s="3" t="s">
        <v>211</v>
      </c>
      <c r="D228" s="78">
        <f>57.94*10.764</f>
        <v>623.66615999999999</v>
      </c>
      <c r="E228" s="79"/>
      <c r="F228" s="3">
        <v>0</v>
      </c>
      <c r="G228" s="3">
        <f t="shared" si="20"/>
        <v>935.49923999999999</v>
      </c>
      <c r="H228" s="3" t="s">
        <v>86</v>
      </c>
      <c r="I228" s="101"/>
      <c r="J228" s="102"/>
    </row>
    <row r="229" spans="1:11" s="2" customFormat="1" ht="15.75" customHeight="1" x14ac:dyDescent="0.35">
      <c r="A229" s="78">
        <v>5</v>
      </c>
      <c r="B229" s="79"/>
      <c r="C229" s="3" t="s">
        <v>211</v>
      </c>
      <c r="D229" s="78">
        <f>63.38*10.764</f>
        <v>682.22231999999997</v>
      </c>
      <c r="E229" s="79"/>
      <c r="F229" s="3">
        <v>0</v>
      </c>
      <c r="G229" s="3">
        <f t="shared" si="20"/>
        <v>1023.33348</v>
      </c>
      <c r="H229" s="3" t="s">
        <v>86</v>
      </c>
      <c r="I229" s="101"/>
      <c r="J229" s="102"/>
    </row>
    <row r="230" spans="1:11" s="2" customFormat="1" x14ac:dyDescent="0.35">
      <c r="A230" s="78">
        <v>6</v>
      </c>
      <c r="B230" s="79"/>
      <c r="C230" s="3" t="s">
        <v>211</v>
      </c>
      <c r="D230" s="78">
        <f>63.38*10.764</f>
        <v>682.22231999999997</v>
      </c>
      <c r="E230" s="79"/>
      <c r="F230" s="3">
        <v>0</v>
      </c>
      <c r="G230" s="3">
        <f t="shared" si="20"/>
        <v>1023.33348</v>
      </c>
      <c r="H230" s="3" t="s">
        <v>86</v>
      </c>
      <c r="I230" s="101"/>
      <c r="J230" s="102"/>
    </row>
    <row r="231" spans="1:11" s="2" customFormat="1" ht="15.75" customHeight="1" x14ac:dyDescent="0.35">
      <c r="A231" s="78">
        <v>7</v>
      </c>
      <c r="B231" s="79"/>
      <c r="C231" s="78" t="s">
        <v>272</v>
      </c>
      <c r="D231" s="109"/>
      <c r="E231" s="109"/>
      <c r="F231" s="109"/>
      <c r="G231" s="109"/>
      <c r="H231" s="79"/>
      <c r="I231" s="101"/>
      <c r="J231" s="102"/>
    </row>
    <row r="232" spans="1:11" s="2" customFormat="1" x14ac:dyDescent="0.35">
      <c r="A232" s="78">
        <v>8</v>
      </c>
      <c r="B232" s="79"/>
      <c r="C232" s="3" t="s">
        <v>211</v>
      </c>
      <c r="D232" s="78">
        <f>57.94*10.764</f>
        <v>623.66615999999999</v>
      </c>
      <c r="E232" s="79"/>
      <c r="F232" s="3">
        <v>0</v>
      </c>
      <c r="G232" s="3">
        <f t="shared" si="20"/>
        <v>935.49923999999999</v>
      </c>
      <c r="H232" s="3" t="s">
        <v>86</v>
      </c>
      <c r="I232" s="103"/>
      <c r="J232" s="104"/>
    </row>
    <row r="233" spans="1:11" s="2" customFormat="1" ht="15.75" customHeight="1" x14ac:dyDescent="0.35">
      <c r="A233" s="75" t="s">
        <v>188</v>
      </c>
      <c r="B233" s="76"/>
      <c r="C233" s="76"/>
      <c r="D233" s="76"/>
      <c r="E233" s="76"/>
      <c r="F233" s="76"/>
      <c r="G233" s="76"/>
      <c r="H233" s="76"/>
      <c r="I233" s="76"/>
      <c r="J233" s="77"/>
    </row>
    <row r="234" spans="1:11" s="2" customFormat="1" ht="15.75" customHeight="1" x14ac:dyDescent="0.35">
      <c r="A234" s="75" t="s">
        <v>273</v>
      </c>
      <c r="B234" s="76"/>
      <c r="C234" s="76"/>
      <c r="D234" s="76"/>
      <c r="E234" s="76"/>
      <c r="F234" s="76"/>
      <c r="G234" s="76"/>
      <c r="H234" s="76"/>
      <c r="I234" s="76"/>
      <c r="J234" s="77"/>
    </row>
    <row r="235" spans="1:11" s="2" customFormat="1" ht="15.75" customHeight="1" x14ac:dyDescent="0.35">
      <c r="A235" s="75" t="s">
        <v>200</v>
      </c>
      <c r="B235" s="76"/>
      <c r="C235" s="76"/>
      <c r="D235" s="76"/>
      <c r="E235" s="76"/>
      <c r="F235" s="76"/>
      <c r="G235" s="76"/>
      <c r="H235" s="76"/>
      <c r="I235" s="76"/>
      <c r="J235" s="77"/>
    </row>
    <row r="236" spans="1:11" s="2" customFormat="1" x14ac:dyDescent="0.35">
      <c r="A236" s="75" t="s">
        <v>254</v>
      </c>
      <c r="B236" s="76"/>
      <c r="C236" s="76"/>
      <c r="D236" s="76"/>
      <c r="E236" s="76"/>
      <c r="F236" s="76"/>
      <c r="G236" s="76"/>
      <c r="H236" s="76"/>
      <c r="I236" s="76"/>
      <c r="J236" s="77"/>
    </row>
    <row r="237" spans="1:11" s="2" customFormat="1" x14ac:dyDescent="0.35">
      <c r="A237" s="78">
        <v>1</v>
      </c>
      <c r="B237" s="79"/>
      <c r="C237" s="3" t="s">
        <v>194</v>
      </c>
      <c r="D237" s="78">
        <f>85.64*10.764</f>
        <v>921.82895999999994</v>
      </c>
      <c r="E237" s="79"/>
      <c r="F237" s="3">
        <v>0</v>
      </c>
      <c r="G237" s="3">
        <f t="shared" ref="G237" si="21">D237*1.5+F237</f>
        <v>1382.74344</v>
      </c>
      <c r="H237" s="3" t="s">
        <v>86</v>
      </c>
      <c r="I237" s="80" t="s">
        <v>189</v>
      </c>
      <c r="J237" s="81"/>
    </row>
    <row r="238" spans="1:11" s="2" customFormat="1" x14ac:dyDescent="0.35">
      <c r="A238" s="78">
        <v>2</v>
      </c>
      <c r="B238" s="79"/>
      <c r="C238" s="78" t="s">
        <v>238</v>
      </c>
      <c r="D238" s="109"/>
      <c r="E238" s="109"/>
      <c r="F238" s="109"/>
      <c r="G238" s="109"/>
      <c r="H238" s="79"/>
      <c r="I238" s="103"/>
      <c r="J238" s="104"/>
    </row>
    <row r="239" spans="1:11" s="2" customFormat="1" x14ac:dyDescent="0.35">
      <c r="A239" s="75" t="s">
        <v>255</v>
      </c>
      <c r="B239" s="76"/>
      <c r="C239" s="76"/>
      <c r="D239" s="76"/>
      <c r="E239" s="76"/>
      <c r="F239" s="76"/>
      <c r="G239" s="76"/>
      <c r="H239" s="76"/>
      <c r="I239" s="76"/>
      <c r="J239" s="77"/>
    </row>
    <row r="240" spans="1:11" s="2" customFormat="1" x14ac:dyDescent="0.35">
      <c r="A240" s="78">
        <v>1</v>
      </c>
      <c r="B240" s="79"/>
      <c r="C240" s="3" t="s">
        <v>194</v>
      </c>
      <c r="D240" s="78">
        <f t="shared" ref="D240:D241" si="22">85.64*10.764</f>
        <v>921.82895999999994</v>
      </c>
      <c r="E240" s="79"/>
      <c r="F240" s="3">
        <v>0</v>
      </c>
      <c r="G240" s="3">
        <f t="shared" ref="G240:G241" si="23">D240*1.5+F240</f>
        <v>1382.74344</v>
      </c>
      <c r="H240" s="3" t="s">
        <v>86</v>
      </c>
      <c r="I240" s="80" t="s">
        <v>190</v>
      </c>
      <c r="J240" s="81"/>
    </row>
    <row r="241" spans="1:10" s="2" customFormat="1" x14ac:dyDescent="0.35">
      <c r="A241" s="78">
        <v>2</v>
      </c>
      <c r="B241" s="79"/>
      <c r="C241" s="3" t="s">
        <v>194</v>
      </c>
      <c r="D241" s="78">
        <f t="shared" si="22"/>
        <v>921.82895999999994</v>
      </c>
      <c r="E241" s="79"/>
      <c r="F241" s="3">
        <v>0</v>
      </c>
      <c r="G241" s="3">
        <f t="shared" si="23"/>
        <v>1382.74344</v>
      </c>
      <c r="H241" s="3" t="s">
        <v>86</v>
      </c>
      <c r="I241" s="103"/>
      <c r="J241" s="104"/>
    </row>
    <row r="242" spans="1:10" s="2" customFormat="1" x14ac:dyDescent="0.35">
      <c r="A242" s="75" t="s">
        <v>256</v>
      </c>
      <c r="B242" s="76"/>
      <c r="C242" s="76"/>
      <c r="D242" s="76"/>
      <c r="E242" s="76"/>
      <c r="F242" s="76"/>
      <c r="G242" s="76"/>
      <c r="H242" s="76"/>
      <c r="I242" s="76"/>
      <c r="J242" s="77"/>
    </row>
    <row r="243" spans="1:10" s="2" customFormat="1" x14ac:dyDescent="0.35">
      <c r="A243" s="78">
        <v>1</v>
      </c>
      <c r="B243" s="79"/>
      <c r="C243" s="3" t="s">
        <v>194</v>
      </c>
      <c r="D243" s="78">
        <f t="shared" ref="D243:D244" si="24">85.64*10.764</f>
        <v>921.82895999999994</v>
      </c>
      <c r="E243" s="79"/>
      <c r="F243" s="3">
        <v>0</v>
      </c>
      <c r="G243" s="3">
        <f t="shared" ref="G243:G244" si="25">D243*1.5+F243</f>
        <v>1382.74344</v>
      </c>
      <c r="H243" s="3" t="s">
        <v>86</v>
      </c>
      <c r="I243" s="80" t="s">
        <v>191</v>
      </c>
      <c r="J243" s="81"/>
    </row>
    <row r="244" spans="1:10" s="2" customFormat="1" x14ac:dyDescent="0.35">
      <c r="A244" s="78">
        <v>2</v>
      </c>
      <c r="B244" s="79"/>
      <c r="C244" s="3" t="s">
        <v>194</v>
      </c>
      <c r="D244" s="78">
        <f t="shared" si="24"/>
        <v>921.82895999999994</v>
      </c>
      <c r="E244" s="79"/>
      <c r="F244" s="3">
        <v>0</v>
      </c>
      <c r="G244" s="3">
        <f t="shared" si="25"/>
        <v>1382.74344</v>
      </c>
      <c r="H244" s="3" t="s">
        <v>86</v>
      </c>
      <c r="I244" s="103"/>
      <c r="J244" s="104"/>
    </row>
    <row r="245" spans="1:10" s="2" customFormat="1" x14ac:dyDescent="0.35">
      <c r="A245" s="75" t="s">
        <v>257</v>
      </c>
      <c r="B245" s="76"/>
      <c r="C245" s="76"/>
      <c r="D245" s="76"/>
      <c r="E245" s="76"/>
      <c r="F245" s="76"/>
      <c r="G245" s="76"/>
      <c r="H245" s="76"/>
      <c r="I245" s="76"/>
      <c r="J245" s="77"/>
    </row>
    <row r="246" spans="1:10" s="2" customFormat="1" x14ac:dyDescent="0.35">
      <c r="A246" s="78">
        <v>1</v>
      </c>
      <c r="B246" s="79"/>
      <c r="C246" s="3" t="s">
        <v>194</v>
      </c>
      <c r="D246" s="78">
        <f t="shared" ref="D246:D253" si="26">85.64*10.764</f>
        <v>921.82895999999994</v>
      </c>
      <c r="E246" s="79"/>
      <c r="F246" s="3">
        <v>0</v>
      </c>
      <c r="G246" s="3">
        <f t="shared" ref="G246:G247" si="27">D246*1.5+F246</f>
        <v>1382.74344</v>
      </c>
      <c r="H246" s="3" t="s">
        <v>86</v>
      </c>
      <c r="I246" s="80" t="s">
        <v>192</v>
      </c>
      <c r="J246" s="81"/>
    </row>
    <row r="247" spans="1:10" s="2" customFormat="1" x14ac:dyDescent="0.35">
      <c r="A247" s="78">
        <v>2</v>
      </c>
      <c r="B247" s="79"/>
      <c r="C247" s="3" t="s">
        <v>194</v>
      </c>
      <c r="D247" s="78">
        <f t="shared" si="26"/>
        <v>921.82895999999994</v>
      </c>
      <c r="E247" s="79"/>
      <c r="F247" s="3">
        <v>0</v>
      </c>
      <c r="G247" s="3">
        <f t="shared" si="27"/>
        <v>1382.74344</v>
      </c>
      <c r="H247" s="3" t="s">
        <v>86</v>
      </c>
      <c r="I247" s="103"/>
      <c r="J247" s="104"/>
    </row>
    <row r="248" spans="1:10" s="2" customFormat="1" x14ac:dyDescent="0.35">
      <c r="A248" s="75" t="s">
        <v>258</v>
      </c>
      <c r="B248" s="76"/>
      <c r="C248" s="76"/>
      <c r="D248" s="76"/>
      <c r="E248" s="76"/>
      <c r="F248" s="76"/>
      <c r="G248" s="76"/>
      <c r="H248" s="76"/>
      <c r="I248" s="76"/>
      <c r="J248" s="77"/>
    </row>
    <row r="249" spans="1:10" s="2" customFormat="1" x14ac:dyDescent="0.35">
      <c r="A249" s="78">
        <v>1</v>
      </c>
      <c r="B249" s="79"/>
      <c r="C249" s="3" t="s">
        <v>194</v>
      </c>
      <c r="D249" s="78">
        <f t="shared" si="26"/>
        <v>921.82895999999994</v>
      </c>
      <c r="E249" s="79"/>
      <c r="F249" s="3">
        <v>0</v>
      </c>
      <c r="G249" s="3">
        <f t="shared" ref="G249:G250" si="28">D249*1.5+F249</f>
        <v>1382.74344</v>
      </c>
      <c r="H249" s="3" t="s">
        <v>86</v>
      </c>
      <c r="I249" s="80" t="s">
        <v>193</v>
      </c>
      <c r="J249" s="81"/>
    </row>
    <row r="250" spans="1:10" s="2" customFormat="1" ht="15.75" customHeight="1" x14ac:dyDescent="0.35">
      <c r="A250" s="78">
        <v>2</v>
      </c>
      <c r="B250" s="79"/>
      <c r="C250" s="3" t="s">
        <v>194</v>
      </c>
      <c r="D250" s="78">
        <f t="shared" si="26"/>
        <v>921.82895999999994</v>
      </c>
      <c r="E250" s="79"/>
      <c r="F250" s="3">
        <v>0</v>
      </c>
      <c r="G250" s="3">
        <f t="shared" si="28"/>
        <v>1382.74344</v>
      </c>
      <c r="H250" s="3" t="s">
        <v>86</v>
      </c>
      <c r="I250" s="103"/>
      <c r="J250" s="104"/>
    </row>
    <row r="251" spans="1:10" s="2" customFormat="1" x14ac:dyDescent="0.35">
      <c r="A251" s="75" t="s">
        <v>274</v>
      </c>
      <c r="B251" s="76"/>
      <c r="C251" s="76"/>
      <c r="D251" s="76"/>
      <c r="E251" s="76"/>
      <c r="F251" s="76"/>
      <c r="G251" s="76"/>
      <c r="H251" s="76"/>
      <c r="I251" s="76"/>
      <c r="J251" s="77"/>
    </row>
    <row r="252" spans="1:10" s="2" customFormat="1" x14ac:dyDescent="0.35">
      <c r="A252" s="78">
        <v>1</v>
      </c>
      <c r="B252" s="79"/>
      <c r="C252" s="3" t="s">
        <v>194</v>
      </c>
      <c r="D252" s="78">
        <f t="shared" si="26"/>
        <v>921.82895999999994</v>
      </c>
      <c r="E252" s="79"/>
      <c r="F252" s="3">
        <v>0</v>
      </c>
      <c r="G252" s="3">
        <f t="shared" ref="G252:G253" si="29">D252*1.5+F252</f>
        <v>1382.74344</v>
      </c>
      <c r="H252" s="3" t="s">
        <v>86</v>
      </c>
      <c r="I252" s="80" t="s">
        <v>239</v>
      </c>
      <c r="J252" s="81"/>
    </row>
    <row r="253" spans="1:10" s="2" customFormat="1" ht="15.75" customHeight="1" x14ac:dyDescent="0.35">
      <c r="A253" s="78">
        <v>2</v>
      </c>
      <c r="B253" s="79"/>
      <c r="C253" s="3" t="s">
        <v>194</v>
      </c>
      <c r="D253" s="78">
        <f t="shared" si="26"/>
        <v>921.82895999999994</v>
      </c>
      <c r="E253" s="79"/>
      <c r="F253" s="3">
        <v>0</v>
      </c>
      <c r="G253" s="3">
        <f t="shared" si="29"/>
        <v>1382.74344</v>
      </c>
      <c r="H253" s="3" t="s">
        <v>86</v>
      </c>
      <c r="I253" s="103"/>
      <c r="J253" s="104"/>
    </row>
    <row r="254" spans="1:10" s="2" customFormat="1" x14ac:dyDescent="0.35">
      <c r="A254" s="75" t="s">
        <v>275</v>
      </c>
      <c r="B254" s="76"/>
      <c r="C254" s="76"/>
      <c r="D254" s="76"/>
      <c r="E254" s="76"/>
      <c r="F254" s="76"/>
      <c r="G254" s="76"/>
      <c r="H254" s="76"/>
      <c r="I254" s="76"/>
      <c r="J254" s="77"/>
    </row>
    <row r="255" spans="1:10" s="2" customFormat="1" ht="15.75" customHeight="1" x14ac:dyDescent="0.35">
      <c r="A255" s="78">
        <v>1</v>
      </c>
      <c r="B255" s="79"/>
      <c r="C255" s="3" t="s">
        <v>194</v>
      </c>
      <c r="D255" s="78">
        <f t="shared" ref="D255:D263" si="30">85.64*10.764</f>
        <v>921.82895999999994</v>
      </c>
      <c r="E255" s="79"/>
      <c r="F255" s="3">
        <v>0</v>
      </c>
      <c r="G255" s="3">
        <f t="shared" ref="G255:G258" si="31">D255*1.5+F255</f>
        <v>1382.74344</v>
      </c>
      <c r="H255" s="3" t="s">
        <v>86</v>
      </c>
      <c r="I255" s="80" t="str">
        <f>A254</f>
        <v>7th Floor (Part Refuge Area)</v>
      </c>
      <c r="J255" s="81"/>
    </row>
    <row r="256" spans="1:10" s="2" customFormat="1" x14ac:dyDescent="0.35">
      <c r="A256" s="78">
        <v>2</v>
      </c>
      <c r="B256" s="79"/>
      <c r="C256" s="3" t="s">
        <v>194</v>
      </c>
      <c r="D256" s="78">
        <f t="shared" si="30"/>
        <v>921.82895999999994</v>
      </c>
      <c r="E256" s="79"/>
      <c r="F256" s="3">
        <v>0</v>
      </c>
      <c r="G256" s="3">
        <f t="shared" si="31"/>
        <v>1382.74344</v>
      </c>
      <c r="H256" s="3" t="s">
        <v>86</v>
      </c>
      <c r="I256" s="101"/>
      <c r="J256" s="102"/>
    </row>
    <row r="257" spans="1:10" s="2" customFormat="1" ht="15.75" customHeight="1" x14ac:dyDescent="0.35">
      <c r="A257" s="78">
        <v>3</v>
      </c>
      <c r="B257" s="79"/>
      <c r="C257" s="78" t="s">
        <v>240</v>
      </c>
      <c r="D257" s="109"/>
      <c r="E257" s="109"/>
      <c r="F257" s="109"/>
      <c r="G257" s="109"/>
      <c r="H257" s="79"/>
      <c r="I257" s="101"/>
      <c r="J257" s="102"/>
    </row>
    <row r="258" spans="1:10" s="2" customFormat="1" x14ac:dyDescent="0.35">
      <c r="A258" s="78">
        <v>4</v>
      </c>
      <c r="B258" s="79"/>
      <c r="C258" s="3" t="s">
        <v>211</v>
      </c>
      <c r="D258" s="78">
        <f>63.38*10.764</f>
        <v>682.22231999999997</v>
      </c>
      <c r="E258" s="79"/>
      <c r="F258" s="3">
        <v>0</v>
      </c>
      <c r="G258" s="3">
        <f t="shared" si="31"/>
        <v>1023.33348</v>
      </c>
      <c r="H258" s="3" t="s">
        <v>86</v>
      </c>
      <c r="I258" s="101"/>
      <c r="J258" s="102"/>
    </row>
    <row r="259" spans="1:10" s="2" customFormat="1" ht="15.75" customHeight="1" x14ac:dyDescent="0.35">
      <c r="A259" s="78">
        <v>5</v>
      </c>
      <c r="B259" s="79"/>
      <c r="C259" s="3" t="s">
        <v>211</v>
      </c>
      <c r="D259" s="78">
        <f>63.38*10.764</f>
        <v>682.22231999999997</v>
      </c>
      <c r="E259" s="79"/>
      <c r="F259" s="3">
        <v>0</v>
      </c>
      <c r="G259" s="3">
        <f t="shared" ref="G259" si="32">D259*1.5+F259</f>
        <v>1023.33348</v>
      </c>
      <c r="H259" s="3" t="s">
        <v>86</v>
      </c>
      <c r="I259" s="101"/>
      <c r="J259" s="102"/>
    </row>
    <row r="260" spans="1:10" s="2" customFormat="1" x14ac:dyDescent="0.35">
      <c r="A260" s="78">
        <v>6</v>
      </c>
      <c r="B260" s="79"/>
      <c r="C260" s="3" t="s">
        <v>194</v>
      </c>
      <c r="D260" s="78">
        <f>(105.41)*10.764</f>
        <v>1134.6332399999999</v>
      </c>
      <c r="E260" s="79"/>
      <c r="F260" s="3">
        <v>0</v>
      </c>
      <c r="G260" s="3">
        <f t="shared" ref="G260" si="33">D260*1.5+F260</f>
        <v>1701.9498599999997</v>
      </c>
      <c r="H260" s="3" t="s">
        <v>86</v>
      </c>
      <c r="I260" s="103"/>
      <c r="J260" s="104"/>
    </row>
    <row r="261" spans="1:10" s="2" customFormat="1" ht="15.75" customHeight="1" x14ac:dyDescent="0.35">
      <c r="A261" s="75" t="s">
        <v>280</v>
      </c>
      <c r="B261" s="76"/>
      <c r="C261" s="76"/>
      <c r="D261" s="76"/>
      <c r="E261" s="76"/>
      <c r="F261" s="76"/>
      <c r="G261" s="76"/>
      <c r="H261" s="76"/>
      <c r="I261" s="76"/>
      <c r="J261" s="77"/>
    </row>
    <row r="262" spans="1:10" s="2" customFormat="1" ht="15.75" customHeight="1" x14ac:dyDescent="0.35">
      <c r="A262" s="78">
        <v>1</v>
      </c>
      <c r="B262" s="79"/>
      <c r="C262" s="3" t="s">
        <v>194</v>
      </c>
      <c r="D262" s="78">
        <f t="shared" si="30"/>
        <v>921.82895999999994</v>
      </c>
      <c r="E262" s="79"/>
      <c r="F262" s="3">
        <v>0</v>
      </c>
      <c r="G262" s="3">
        <f t="shared" ref="G262:G264" si="34">D262*1.5+F262</f>
        <v>1382.74344</v>
      </c>
      <c r="H262" s="3" t="s">
        <v>86</v>
      </c>
      <c r="I262" s="80" t="str">
        <f>A261</f>
        <v>8th to 13th, 15th, 17th, 19th, 20th, 22nd, 23rd, 27th, 29th &amp; 31st Floor</v>
      </c>
      <c r="J262" s="81"/>
    </row>
    <row r="263" spans="1:10" s="2" customFormat="1" x14ac:dyDescent="0.35">
      <c r="A263" s="78">
        <v>2</v>
      </c>
      <c r="B263" s="79"/>
      <c r="C263" s="3" t="s">
        <v>194</v>
      </c>
      <c r="D263" s="78">
        <f t="shared" si="30"/>
        <v>921.82895999999994</v>
      </c>
      <c r="E263" s="79"/>
      <c r="F263" s="3">
        <v>0</v>
      </c>
      <c r="G263" s="3">
        <f t="shared" si="34"/>
        <v>1382.74344</v>
      </c>
      <c r="H263" s="3" t="s">
        <v>86</v>
      </c>
      <c r="I263" s="101"/>
      <c r="J263" s="102"/>
    </row>
    <row r="264" spans="1:10" s="2" customFormat="1" ht="15.75" customHeight="1" x14ac:dyDescent="0.35">
      <c r="A264" s="78">
        <v>3</v>
      </c>
      <c r="B264" s="79"/>
      <c r="C264" s="3" t="s">
        <v>194</v>
      </c>
      <c r="D264" s="78">
        <f>(103.63)*10.764</f>
        <v>1115.4733199999998</v>
      </c>
      <c r="E264" s="79"/>
      <c r="F264" s="3">
        <v>0</v>
      </c>
      <c r="G264" s="3">
        <f t="shared" si="34"/>
        <v>1673.2099799999996</v>
      </c>
      <c r="H264" s="3" t="s">
        <v>86</v>
      </c>
      <c r="I264" s="101"/>
      <c r="J264" s="102"/>
    </row>
    <row r="265" spans="1:10" s="2" customFormat="1" x14ac:dyDescent="0.35">
      <c r="A265" s="78">
        <v>4</v>
      </c>
      <c r="B265" s="79"/>
      <c r="C265" s="3" t="s">
        <v>211</v>
      </c>
      <c r="D265" s="78">
        <f t="shared" ref="D265:D266" si="35">63.38*10.764</f>
        <v>682.22231999999997</v>
      </c>
      <c r="E265" s="79"/>
      <c r="F265" s="3">
        <v>0</v>
      </c>
      <c r="G265" s="3">
        <f t="shared" ref="G265:G267" si="36">D265*1.5+F265</f>
        <v>1023.33348</v>
      </c>
      <c r="H265" s="3" t="s">
        <v>86</v>
      </c>
      <c r="I265" s="101"/>
      <c r="J265" s="102"/>
    </row>
    <row r="266" spans="1:10" s="2" customFormat="1" ht="15.75" customHeight="1" x14ac:dyDescent="0.35">
      <c r="A266" s="78">
        <v>5</v>
      </c>
      <c r="B266" s="79"/>
      <c r="C266" s="3" t="s">
        <v>211</v>
      </c>
      <c r="D266" s="78">
        <f t="shared" si="35"/>
        <v>682.22231999999997</v>
      </c>
      <c r="E266" s="79"/>
      <c r="F266" s="3">
        <v>0</v>
      </c>
      <c r="G266" s="3">
        <f t="shared" si="36"/>
        <v>1023.33348</v>
      </c>
      <c r="H266" s="3" t="s">
        <v>86</v>
      </c>
      <c r="I266" s="101"/>
      <c r="J266" s="102"/>
    </row>
    <row r="267" spans="1:10" s="2" customFormat="1" x14ac:dyDescent="0.35">
      <c r="A267" s="78">
        <v>6</v>
      </c>
      <c r="B267" s="79"/>
      <c r="C267" s="3" t="s">
        <v>194</v>
      </c>
      <c r="D267" s="78">
        <f>(105.41)*10.764</f>
        <v>1134.6332399999999</v>
      </c>
      <c r="E267" s="79"/>
      <c r="F267" s="3">
        <v>0</v>
      </c>
      <c r="G267" s="3">
        <f t="shared" si="36"/>
        <v>1701.9498599999997</v>
      </c>
      <c r="H267" s="3" t="s">
        <v>86</v>
      </c>
      <c r="I267" s="103"/>
      <c r="J267" s="104"/>
    </row>
    <row r="268" spans="1:10" s="2" customFormat="1" ht="15.75" customHeight="1" x14ac:dyDescent="0.35">
      <c r="A268" s="75" t="s">
        <v>260</v>
      </c>
      <c r="B268" s="76"/>
      <c r="C268" s="76"/>
      <c r="D268" s="76"/>
      <c r="E268" s="76"/>
      <c r="F268" s="76"/>
      <c r="G268" s="76"/>
      <c r="H268" s="76"/>
      <c r="I268" s="76"/>
      <c r="J268" s="77"/>
    </row>
    <row r="269" spans="1:10" s="2" customFormat="1" ht="15.75" customHeight="1" x14ac:dyDescent="0.35">
      <c r="A269" s="78">
        <v>1</v>
      </c>
      <c r="B269" s="79"/>
      <c r="C269" s="3" t="s">
        <v>194</v>
      </c>
      <c r="D269" s="78">
        <f t="shared" ref="D269:D284" si="37">85.64*10.764</f>
        <v>921.82895999999994</v>
      </c>
      <c r="E269" s="79"/>
      <c r="F269" s="3">
        <v>0</v>
      </c>
      <c r="G269" s="3">
        <f t="shared" ref="G269:G274" si="38">D269*1.5+F269</f>
        <v>1382.74344</v>
      </c>
      <c r="H269" s="3" t="s">
        <v>86</v>
      </c>
      <c r="I269" s="80" t="str">
        <f>A268</f>
        <v>16th &amp; 26th Floor</v>
      </c>
      <c r="J269" s="81"/>
    </row>
    <row r="270" spans="1:10" s="2" customFormat="1" x14ac:dyDescent="0.35">
      <c r="A270" s="78">
        <v>2</v>
      </c>
      <c r="B270" s="79"/>
      <c r="C270" s="3" t="s">
        <v>194</v>
      </c>
      <c r="D270" s="78">
        <f t="shared" si="37"/>
        <v>921.82895999999994</v>
      </c>
      <c r="E270" s="79"/>
      <c r="F270" s="3">
        <v>0</v>
      </c>
      <c r="G270" s="3">
        <f t="shared" si="38"/>
        <v>1382.74344</v>
      </c>
      <c r="H270" s="3" t="s">
        <v>86</v>
      </c>
      <c r="I270" s="101"/>
      <c r="J270" s="102"/>
    </row>
    <row r="271" spans="1:10" s="2" customFormat="1" ht="15.75" customHeight="1" x14ac:dyDescent="0.35">
      <c r="A271" s="78">
        <v>3</v>
      </c>
      <c r="B271" s="79"/>
      <c r="C271" s="3" t="s">
        <v>194</v>
      </c>
      <c r="D271" s="78">
        <f>(103.63)*10.764</f>
        <v>1115.4733199999998</v>
      </c>
      <c r="E271" s="79"/>
      <c r="F271" s="3">
        <v>0</v>
      </c>
      <c r="G271" s="3">
        <f t="shared" si="38"/>
        <v>1673.2099799999996</v>
      </c>
      <c r="H271" s="3" t="s">
        <v>86</v>
      </c>
      <c r="I271" s="101"/>
      <c r="J271" s="102"/>
    </row>
    <row r="272" spans="1:10" s="2" customFormat="1" x14ac:dyDescent="0.35">
      <c r="A272" s="78">
        <v>4</v>
      </c>
      <c r="B272" s="79"/>
      <c r="C272" s="3" t="s">
        <v>211</v>
      </c>
      <c r="D272" s="78">
        <f t="shared" ref="D272:D273" si="39">63.38*10.764</f>
        <v>682.22231999999997</v>
      </c>
      <c r="E272" s="79"/>
      <c r="F272" s="3">
        <v>0</v>
      </c>
      <c r="G272" s="3">
        <f t="shared" si="38"/>
        <v>1023.33348</v>
      </c>
      <c r="H272" s="3" t="s">
        <v>86</v>
      </c>
      <c r="I272" s="101"/>
      <c r="J272" s="102"/>
    </row>
    <row r="273" spans="1:10" s="2" customFormat="1" ht="15.75" customHeight="1" x14ac:dyDescent="0.35">
      <c r="A273" s="78">
        <v>5</v>
      </c>
      <c r="B273" s="79"/>
      <c r="C273" s="3" t="s">
        <v>211</v>
      </c>
      <c r="D273" s="78">
        <f t="shared" si="39"/>
        <v>682.22231999999997</v>
      </c>
      <c r="E273" s="79"/>
      <c r="F273" s="3">
        <v>0</v>
      </c>
      <c r="G273" s="3">
        <f t="shared" si="38"/>
        <v>1023.33348</v>
      </c>
      <c r="H273" s="3" t="s">
        <v>86</v>
      </c>
      <c r="I273" s="101"/>
      <c r="J273" s="102"/>
    </row>
    <row r="274" spans="1:10" s="2" customFormat="1" x14ac:dyDescent="0.35">
      <c r="A274" s="78">
        <v>6</v>
      </c>
      <c r="B274" s="79"/>
      <c r="C274" s="3" t="s">
        <v>194</v>
      </c>
      <c r="D274" s="78">
        <f>(105.41)*10.764</f>
        <v>1134.6332399999999</v>
      </c>
      <c r="E274" s="79"/>
      <c r="F274" s="3">
        <v>0</v>
      </c>
      <c r="G274" s="3">
        <f t="shared" si="38"/>
        <v>1701.9498599999997</v>
      </c>
      <c r="H274" s="3" t="s">
        <v>86</v>
      </c>
      <c r="I274" s="103"/>
      <c r="J274" s="104"/>
    </row>
    <row r="275" spans="1:10" s="2" customFormat="1" ht="15.75" customHeight="1" x14ac:dyDescent="0.35">
      <c r="A275" s="75" t="s">
        <v>261</v>
      </c>
      <c r="B275" s="76"/>
      <c r="C275" s="76"/>
      <c r="D275" s="76"/>
      <c r="E275" s="76"/>
      <c r="F275" s="76"/>
      <c r="G275" s="76"/>
      <c r="H275" s="76"/>
      <c r="I275" s="76"/>
      <c r="J275" s="77"/>
    </row>
    <row r="276" spans="1:10" s="2" customFormat="1" ht="15.75" customHeight="1" x14ac:dyDescent="0.35">
      <c r="A276" s="78">
        <v>1</v>
      </c>
      <c r="B276" s="79"/>
      <c r="C276" s="3" t="s">
        <v>194</v>
      </c>
      <c r="D276" s="78">
        <f t="shared" si="37"/>
        <v>921.82895999999994</v>
      </c>
      <c r="E276" s="79"/>
      <c r="F276" s="3">
        <v>0</v>
      </c>
      <c r="G276" s="3">
        <f t="shared" ref="G276:G281" si="40">D276*1.5+F276</f>
        <v>1382.74344</v>
      </c>
      <c r="H276" s="3" t="s">
        <v>86</v>
      </c>
      <c r="I276" s="80" t="str">
        <f>A275</f>
        <v>18th Floor</v>
      </c>
      <c r="J276" s="81"/>
    </row>
    <row r="277" spans="1:10" s="2" customFormat="1" x14ac:dyDescent="0.35">
      <c r="A277" s="78">
        <v>2</v>
      </c>
      <c r="B277" s="79"/>
      <c r="C277" s="3" t="s">
        <v>194</v>
      </c>
      <c r="D277" s="78">
        <f t="shared" si="37"/>
        <v>921.82895999999994</v>
      </c>
      <c r="E277" s="79"/>
      <c r="F277" s="3">
        <v>0</v>
      </c>
      <c r="G277" s="3">
        <f t="shared" si="40"/>
        <v>1382.74344</v>
      </c>
      <c r="H277" s="3" t="s">
        <v>86</v>
      </c>
      <c r="I277" s="101"/>
      <c r="J277" s="102"/>
    </row>
    <row r="278" spans="1:10" s="2" customFormat="1" ht="15.75" customHeight="1" x14ac:dyDescent="0.35">
      <c r="A278" s="78">
        <v>3</v>
      </c>
      <c r="B278" s="79"/>
      <c r="C278" s="3" t="s">
        <v>194</v>
      </c>
      <c r="D278" s="78">
        <f>(103.63)*10.764</f>
        <v>1115.4733199999998</v>
      </c>
      <c r="E278" s="79"/>
      <c r="F278" s="3">
        <v>0</v>
      </c>
      <c r="G278" s="3">
        <f t="shared" si="40"/>
        <v>1673.2099799999996</v>
      </c>
      <c r="H278" s="3" t="s">
        <v>86</v>
      </c>
      <c r="I278" s="101"/>
      <c r="J278" s="102"/>
    </row>
    <row r="279" spans="1:10" s="2" customFormat="1" x14ac:dyDescent="0.35">
      <c r="A279" s="78">
        <v>4</v>
      </c>
      <c r="B279" s="79"/>
      <c r="C279" s="3" t="s">
        <v>211</v>
      </c>
      <c r="D279" s="78">
        <f t="shared" ref="D279:D280" si="41">63.38*10.764</f>
        <v>682.22231999999997</v>
      </c>
      <c r="E279" s="79"/>
      <c r="F279" s="3">
        <v>0</v>
      </c>
      <c r="G279" s="3">
        <f t="shared" si="40"/>
        <v>1023.33348</v>
      </c>
      <c r="H279" s="3" t="s">
        <v>86</v>
      </c>
      <c r="I279" s="101"/>
      <c r="J279" s="102"/>
    </row>
    <row r="280" spans="1:10" s="2" customFormat="1" ht="15.75" customHeight="1" x14ac:dyDescent="0.35">
      <c r="A280" s="78">
        <v>5</v>
      </c>
      <c r="B280" s="79"/>
      <c r="C280" s="3" t="s">
        <v>211</v>
      </c>
      <c r="D280" s="78">
        <f t="shared" si="41"/>
        <v>682.22231999999997</v>
      </c>
      <c r="E280" s="79"/>
      <c r="F280" s="3">
        <v>0</v>
      </c>
      <c r="G280" s="3">
        <f t="shared" si="40"/>
        <v>1023.33348</v>
      </c>
      <c r="H280" s="3" t="s">
        <v>86</v>
      </c>
      <c r="I280" s="101"/>
      <c r="J280" s="102"/>
    </row>
    <row r="281" spans="1:10" s="2" customFormat="1" x14ac:dyDescent="0.35">
      <c r="A281" s="78">
        <v>6</v>
      </c>
      <c r="B281" s="79"/>
      <c r="C281" s="3" t="s">
        <v>194</v>
      </c>
      <c r="D281" s="78">
        <f>(105.41)*10.764</f>
        <v>1134.6332399999999</v>
      </c>
      <c r="E281" s="79"/>
      <c r="F281" s="3">
        <v>0</v>
      </c>
      <c r="G281" s="3">
        <f t="shared" si="40"/>
        <v>1701.9498599999997</v>
      </c>
      <c r="H281" s="3" t="s">
        <v>86</v>
      </c>
      <c r="I281" s="103"/>
      <c r="J281" s="104"/>
    </row>
    <row r="282" spans="1:10" s="2" customFormat="1" ht="15.75" customHeight="1" x14ac:dyDescent="0.35">
      <c r="A282" s="75" t="s">
        <v>262</v>
      </c>
      <c r="B282" s="76"/>
      <c r="C282" s="76"/>
      <c r="D282" s="76"/>
      <c r="E282" s="76"/>
      <c r="F282" s="76"/>
      <c r="G282" s="76"/>
      <c r="H282" s="76"/>
      <c r="I282" s="76"/>
      <c r="J282" s="77"/>
    </row>
    <row r="283" spans="1:10" s="2" customFormat="1" ht="15.75" customHeight="1" x14ac:dyDescent="0.35">
      <c r="A283" s="78">
        <v>1</v>
      </c>
      <c r="B283" s="79"/>
      <c r="C283" s="3" t="s">
        <v>194</v>
      </c>
      <c r="D283" s="78">
        <f t="shared" si="37"/>
        <v>921.82895999999994</v>
      </c>
      <c r="E283" s="79"/>
      <c r="F283" s="3">
        <v>0</v>
      </c>
      <c r="G283" s="3">
        <f t="shared" ref="G283:G288" si="42">D283*1.5+F283</f>
        <v>1382.74344</v>
      </c>
      <c r="H283" s="3" t="s">
        <v>86</v>
      </c>
      <c r="I283" s="80" t="str">
        <f>A282</f>
        <v>14th, 21st &amp; 28th Floor (Part Refuge Area)</v>
      </c>
      <c r="J283" s="81"/>
    </row>
    <row r="284" spans="1:10" s="2" customFormat="1" x14ac:dyDescent="0.35">
      <c r="A284" s="78">
        <v>2</v>
      </c>
      <c r="B284" s="79"/>
      <c r="C284" s="3" t="s">
        <v>194</v>
      </c>
      <c r="D284" s="78">
        <f t="shared" si="37"/>
        <v>921.82895999999994</v>
      </c>
      <c r="E284" s="79"/>
      <c r="F284" s="3">
        <v>0</v>
      </c>
      <c r="G284" s="3">
        <f t="shared" si="42"/>
        <v>1382.74344</v>
      </c>
      <c r="H284" s="3" t="s">
        <v>86</v>
      </c>
      <c r="I284" s="101"/>
      <c r="J284" s="102"/>
    </row>
    <row r="285" spans="1:10" s="2" customFormat="1" ht="15.75" customHeight="1" x14ac:dyDescent="0.35">
      <c r="A285" s="78">
        <v>3</v>
      </c>
      <c r="B285" s="79"/>
      <c r="C285" s="78" t="s">
        <v>240</v>
      </c>
      <c r="D285" s="109"/>
      <c r="E285" s="109"/>
      <c r="F285" s="109"/>
      <c r="G285" s="109"/>
      <c r="H285" s="79"/>
      <c r="I285" s="101"/>
      <c r="J285" s="102"/>
    </row>
    <row r="286" spans="1:10" s="2" customFormat="1" x14ac:dyDescent="0.35">
      <c r="A286" s="78">
        <v>4</v>
      </c>
      <c r="B286" s="79"/>
      <c r="C286" s="3" t="s">
        <v>211</v>
      </c>
      <c r="D286" s="78">
        <f t="shared" ref="D286:D287" si="43">63.38*10.764</f>
        <v>682.22231999999997</v>
      </c>
      <c r="E286" s="79"/>
      <c r="F286" s="3">
        <v>0</v>
      </c>
      <c r="G286" s="3">
        <f t="shared" si="42"/>
        <v>1023.33348</v>
      </c>
      <c r="H286" s="3" t="s">
        <v>86</v>
      </c>
      <c r="I286" s="101"/>
      <c r="J286" s="102"/>
    </row>
    <row r="287" spans="1:10" s="2" customFormat="1" ht="15.75" customHeight="1" x14ac:dyDescent="0.35">
      <c r="A287" s="78">
        <v>5</v>
      </c>
      <c r="B287" s="79"/>
      <c r="C287" s="3" t="s">
        <v>211</v>
      </c>
      <c r="D287" s="78">
        <f t="shared" si="43"/>
        <v>682.22231999999997</v>
      </c>
      <c r="E287" s="79"/>
      <c r="F287" s="3">
        <v>0</v>
      </c>
      <c r="G287" s="3">
        <f t="shared" si="42"/>
        <v>1023.33348</v>
      </c>
      <c r="H287" s="3" t="s">
        <v>86</v>
      </c>
      <c r="I287" s="101"/>
      <c r="J287" s="102"/>
    </row>
    <row r="288" spans="1:10" s="2" customFormat="1" x14ac:dyDescent="0.35">
      <c r="A288" s="78">
        <v>6</v>
      </c>
      <c r="B288" s="79"/>
      <c r="C288" s="3" t="s">
        <v>194</v>
      </c>
      <c r="D288" s="78">
        <f>(105.41)*10.764</f>
        <v>1134.6332399999999</v>
      </c>
      <c r="E288" s="79"/>
      <c r="F288" s="3">
        <v>0</v>
      </c>
      <c r="G288" s="3">
        <f t="shared" si="42"/>
        <v>1701.9498599999997</v>
      </c>
      <c r="H288" s="3" t="s">
        <v>86</v>
      </c>
      <c r="I288" s="103"/>
      <c r="J288" s="104"/>
    </row>
    <row r="289" spans="1:10" s="2" customFormat="1" ht="15.75" customHeight="1" x14ac:dyDescent="0.35">
      <c r="A289" s="75" t="s">
        <v>263</v>
      </c>
      <c r="B289" s="76"/>
      <c r="C289" s="76"/>
      <c r="D289" s="76"/>
      <c r="E289" s="76"/>
      <c r="F289" s="76"/>
      <c r="G289" s="76"/>
      <c r="H289" s="76"/>
      <c r="I289" s="76"/>
      <c r="J289" s="77"/>
    </row>
    <row r="290" spans="1:10" s="2" customFormat="1" ht="15.75" customHeight="1" x14ac:dyDescent="0.35">
      <c r="A290" s="78">
        <v>1</v>
      </c>
      <c r="B290" s="79"/>
      <c r="C290" s="3" t="s">
        <v>194</v>
      </c>
      <c r="D290" s="78">
        <f t="shared" ref="D290:D291" si="44">85.64*10.764</f>
        <v>921.82895999999994</v>
      </c>
      <c r="E290" s="79"/>
      <c r="F290" s="3">
        <v>0</v>
      </c>
      <c r="G290" s="3">
        <f t="shared" ref="G290:G294" si="45">D290*1.5+F290</f>
        <v>1382.74344</v>
      </c>
      <c r="H290" s="3" t="s">
        <v>86</v>
      </c>
      <c r="I290" s="80" t="str">
        <f>A289</f>
        <v>24th &amp; 25th Floor</v>
      </c>
      <c r="J290" s="81"/>
    </row>
    <row r="291" spans="1:10" s="2" customFormat="1" x14ac:dyDescent="0.35">
      <c r="A291" s="78">
        <v>2</v>
      </c>
      <c r="B291" s="79"/>
      <c r="C291" s="3" t="s">
        <v>194</v>
      </c>
      <c r="D291" s="78">
        <f t="shared" si="44"/>
        <v>921.82895999999994</v>
      </c>
      <c r="E291" s="79"/>
      <c r="F291" s="3">
        <v>0</v>
      </c>
      <c r="G291" s="3">
        <f t="shared" si="45"/>
        <v>1382.74344</v>
      </c>
      <c r="H291" s="3" t="s">
        <v>86</v>
      </c>
      <c r="I291" s="101"/>
      <c r="J291" s="102"/>
    </row>
    <row r="292" spans="1:10" s="2" customFormat="1" ht="15.75" customHeight="1" x14ac:dyDescent="0.35">
      <c r="A292" s="78">
        <v>3</v>
      </c>
      <c r="B292" s="79"/>
      <c r="C292" s="3" t="s">
        <v>194</v>
      </c>
      <c r="D292" s="78">
        <f>(103.63)*10.764</f>
        <v>1115.4733199999998</v>
      </c>
      <c r="E292" s="79"/>
      <c r="F292" s="3">
        <v>0</v>
      </c>
      <c r="G292" s="3">
        <f t="shared" si="45"/>
        <v>1673.2099799999996</v>
      </c>
      <c r="H292" s="3" t="s">
        <v>86</v>
      </c>
      <c r="I292" s="101"/>
      <c r="J292" s="102"/>
    </row>
    <row r="293" spans="1:10" s="2" customFormat="1" ht="15.75" customHeight="1" x14ac:dyDescent="0.35">
      <c r="A293" s="78">
        <v>4</v>
      </c>
      <c r="B293" s="79"/>
      <c r="C293" s="3" t="s">
        <v>212</v>
      </c>
      <c r="D293" s="78">
        <f>(127.64)*10.764</f>
        <v>1373.91696</v>
      </c>
      <c r="E293" s="79"/>
      <c r="F293" s="3">
        <v>0</v>
      </c>
      <c r="G293" s="3">
        <f t="shared" si="45"/>
        <v>2060.8754399999998</v>
      </c>
      <c r="H293" s="3" t="s">
        <v>86</v>
      </c>
      <c r="I293" s="101"/>
      <c r="J293" s="102"/>
    </row>
    <row r="294" spans="1:10" s="2" customFormat="1" x14ac:dyDescent="0.35">
      <c r="A294" s="78">
        <v>6</v>
      </c>
      <c r="B294" s="79"/>
      <c r="C294" s="3" t="s">
        <v>194</v>
      </c>
      <c r="D294" s="78">
        <f>(105.41)*10.764</f>
        <v>1134.6332399999999</v>
      </c>
      <c r="E294" s="79"/>
      <c r="F294" s="3">
        <v>0</v>
      </c>
      <c r="G294" s="3">
        <f t="shared" si="45"/>
        <v>1701.9498599999997</v>
      </c>
      <c r="H294" s="3" t="s">
        <v>86</v>
      </c>
      <c r="I294" s="103"/>
      <c r="J294" s="104"/>
    </row>
    <row r="295" spans="1:10" s="2" customFormat="1" ht="15.75" customHeight="1" x14ac:dyDescent="0.35">
      <c r="A295" s="75" t="s">
        <v>264</v>
      </c>
      <c r="B295" s="76"/>
      <c r="C295" s="76"/>
      <c r="D295" s="76"/>
      <c r="E295" s="76"/>
      <c r="F295" s="76"/>
      <c r="G295" s="76"/>
      <c r="H295" s="76"/>
      <c r="I295" s="76"/>
      <c r="J295" s="77"/>
    </row>
    <row r="296" spans="1:10" s="2" customFormat="1" ht="15.75" customHeight="1" x14ac:dyDescent="0.35">
      <c r="A296" s="78">
        <v>1</v>
      </c>
      <c r="B296" s="79"/>
      <c r="C296" s="3" t="s">
        <v>194</v>
      </c>
      <c r="D296" s="78">
        <f t="shared" ref="D296:D297" si="46">85.64*10.764</f>
        <v>921.82895999999994</v>
      </c>
      <c r="E296" s="79"/>
      <c r="F296" s="3">
        <v>0</v>
      </c>
      <c r="G296" s="3">
        <f t="shared" ref="G296:G301" si="47">D296*1.5+F296</f>
        <v>1382.74344</v>
      </c>
      <c r="H296" s="3" t="s">
        <v>86</v>
      </c>
      <c r="I296" s="80" t="str">
        <f>A295</f>
        <v>30th Floor</v>
      </c>
      <c r="J296" s="81"/>
    </row>
    <row r="297" spans="1:10" s="2" customFormat="1" x14ac:dyDescent="0.35">
      <c r="A297" s="78">
        <v>2</v>
      </c>
      <c r="B297" s="79"/>
      <c r="C297" s="3" t="s">
        <v>194</v>
      </c>
      <c r="D297" s="78">
        <f t="shared" si="46"/>
        <v>921.82895999999994</v>
      </c>
      <c r="E297" s="79"/>
      <c r="F297" s="3">
        <v>0</v>
      </c>
      <c r="G297" s="3">
        <f t="shared" si="47"/>
        <v>1382.74344</v>
      </c>
      <c r="H297" s="3" t="s">
        <v>86</v>
      </c>
      <c r="I297" s="101"/>
      <c r="J297" s="102"/>
    </row>
    <row r="298" spans="1:10" s="2" customFormat="1" ht="15.75" customHeight="1" x14ac:dyDescent="0.35">
      <c r="A298" s="78">
        <v>3</v>
      </c>
      <c r="B298" s="79"/>
      <c r="C298" s="3" t="s">
        <v>194</v>
      </c>
      <c r="D298" s="78">
        <f>(103.63)*10.764</f>
        <v>1115.4733199999998</v>
      </c>
      <c r="E298" s="79"/>
      <c r="F298" s="3">
        <v>0</v>
      </c>
      <c r="G298" s="3">
        <f t="shared" si="47"/>
        <v>1673.2099799999996</v>
      </c>
      <c r="H298" s="3" t="s">
        <v>86</v>
      </c>
      <c r="I298" s="101"/>
      <c r="J298" s="102"/>
    </row>
    <row r="299" spans="1:10" s="2" customFormat="1" x14ac:dyDescent="0.35">
      <c r="A299" s="78">
        <v>4</v>
      </c>
      <c r="B299" s="79"/>
      <c r="C299" s="3" t="s">
        <v>211</v>
      </c>
      <c r="D299" s="78">
        <f t="shared" ref="D299:D300" si="48">63.38*10.764</f>
        <v>682.22231999999997</v>
      </c>
      <c r="E299" s="79"/>
      <c r="F299" s="3">
        <v>0</v>
      </c>
      <c r="G299" s="3">
        <f t="shared" si="47"/>
        <v>1023.33348</v>
      </c>
      <c r="H299" s="3" t="s">
        <v>86</v>
      </c>
      <c r="I299" s="101"/>
      <c r="J299" s="102"/>
    </row>
    <row r="300" spans="1:10" s="2" customFormat="1" ht="15.75" customHeight="1" x14ac:dyDescent="0.35">
      <c r="A300" s="78">
        <v>5</v>
      </c>
      <c r="B300" s="79"/>
      <c r="C300" s="3" t="s">
        <v>211</v>
      </c>
      <c r="D300" s="78">
        <f t="shared" si="48"/>
        <v>682.22231999999997</v>
      </c>
      <c r="E300" s="79"/>
      <c r="F300" s="3">
        <v>0</v>
      </c>
      <c r="G300" s="3">
        <f t="shared" si="47"/>
        <v>1023.33348</v>
      </c>
      <c r="H300" s="3" t="s">
        <v>86</v>
      </c>
      <c r="I300" s="101"/>
      <c r="J300" s="102"/>
    </row>
    <row r="301" spans="1:10" s="2" customFormat="1" x14ac:dyDescent="0.35">
      <c r="A301" s="78">
        <v>6</v>
      </c>
      <c r="B301" s="79"/>
      <c r="C301" s="3" t="s">
        <v>194</v>
      </c>
      <c r="D301" s="78">
        <f>(105.41)*10.764</f>
        <v>1134.6332399999999</v>
      </c>
      <c r="E301" s="79"/>
      <c r="F301" s="3">
        <v>0</v>
      </c>
      <c r="G301" s="3">
        <f t="shared" si="47"/>
        <v>1701.9498599999997</v>
      </c>
      <c r="H301" s="3" t="s">
        <v>86</v>
      </c>
      <c r="I301" s="103"/>
      <c r="J301" s="104"/>
    </row>
    <row r="302" spans="1:10" s="2" customFormat="1" ht="15.75" customHeight="1" x14ac:dyDescent="0.35">
      <c r="A302" s="75" t="s">
        <v>265</v>
      </c>
      <c r="B302" s="76"/>
      <c r="C302" s="76"/>
      <c r="D302" s="76"/>
      <c r="E302" s="76"/>
      <c r="F302" s="76"/>
      <c r="G302" s="76"/>
      <c r="H302" s="76"/>
      <c r="I302" s="76"/>
      <c r="J302" s="77"/>
    </row>
    <row r="303" spans="1:10" s="2" customFormat="1" ht="15.75" customHeight="1" x14ac:dyDescent="0.35">
      <c r="A303" s="78">
        <v>1</v>
      </c>
      <c r="B303" s="79"/>
      <c r="C303" s="3" t="s">
        <v>276</v>
      </c>
      <c r="D303" s="78">
        <f>(184.83)*10.764</f>
        <v>1989.5101199999999</v>
      </c>
      <c r="E303" s="79"/>
      <c r="F303" s="3">
        <v>0</v>
      </c>
      <c r="G303" s="3">
        <f t="shared" ref="G303:G307" si="49">D303*1.5+F303</f>
        <v>2984.2651799999999</v>
      </c>
      <c r="H303" s="3" t="s">
        <v>86</v>
      </c>
      <c r="I303" s="80" t="str">
        <f>A302</f>
        <v>32nd Floor</v>
      </c>
      <c r="J303" s="81"/>
    </row>
    <row r="304" spans="1:10" s="2" customFormat="1" ht="15.75" customHeight="1" x14ac:dyDescent="0.35">
      <c r="A304" s="78">
        <v>3</v>
      </c>
      <c r="B304" s="79"/>
      <c r="C304" s="3" t="s">
        <v>194</v>
      </c>
      <c r="D304" s="78">
        <f>(103.63)*10.764</f>
        <v>1115.4733199999998</v>
      </c>
      <c r="E304" s="79"/>
      <c r="F304" s="3">
        <v>0</v>
      </c>
      <c r="G304" s="3">
        <f t="shared" si="49"/>
        <v>1673.2099799999996</v>
      </c>
      <c r="H304" s="3" t="s">
        <v>86</v>
      </c>
      <c r="I304" s="101"/>
      <c r="J304" s="102"/>
    </row>
    <row r="305" spans="1:10" s="2" customFormat="1" x14ac:dyDescent="0.35">
      <c r="A305" s="78">
        <v>4</v>
      </c>
      <c r="B305" s="79"/>
      <c r="C305" s="3" t="s">
        <v>211</v>
      </c>
      <c r="D305" s="78">
        <f t="shared" ref="D305:D306" si="50">63.38*10.764</f>
        <v>682.22231999999997</v>
      </c>
      <c r="E305" s="79"/>
      <c r="F305" s="3">
        <v>0</v>
      </c>
      <c r="G305" s="3">
        <f t="shared" si="49"/>
        <v>1023.33348</v>
      </c>
      <c r="H305" s="3" t="s">
        <v>86</v>
      </c>
      <c r="I305" s="101"/>
      <c r="J305" s="102"/>
    </row>
    <row r="306" spans="1:10" s="2" customFormat="1" ht="15.75" customHeight="1" x14ac:dyDescent="0.35">
      <c r="A306" s="78">
        <v>5</v>
      </c>
      <c r="B306" s="79"/>
      <c r="C306" s="3" t="s">
        <v>211</v>
      </c>
      <c r="D306" s="78">
        <f t="shared" si="50"/>
        <v>682.22231999999997</v>
      </c>
      <c r="E306" s="79"/>
      <c r="F306" s="3">
        <v>0</v>
      </c>
      <c r="G306" s="3">
        <f t="shared" si="49"/>
        <v>1023.33348</v>
      </c>
      <c r="H306" s="3" t="s">
        <v>86</v>
      </c>
      <c r="I306" s="101"/>
      <c r="J306" s="102"/>
    </row>
    <row r="307" spans="1:10" s="2" customFormat="1" x14ac:dyDescent="0.35">
      <c r="A307" s="78">
        <v>6</v>
      </c>
      <c r="B307" s="79"/>
      <c r="C307" s="3" t="s">
        <v>194</v>
      </c>
      <c r="D307" s="78">
        <f>(105.41)*10.764</f>
        <v>1134.6332399999999</v>
      </c>
      <c r="E307" s="79"/>
      <c r="F307" s="3">
        <v>0</v>
      </c>
      <c r="G307" s="3">
        <f t="shared" si="49"/>
        <v>1701.9498599999997</v>
      </c>
      <c r="H307" s="3" t="s">
        <v>86</v>
      </c>
      <c r="I307" s="103"/>
      <c r="J307" s="104"/>
    </row>
    <row r="308" spans="1:10" s="2" customFormat="1" ht="15.75" customHeight="1" x14ac:dyDescent="0.35">
      <c r="A308" s="75" t="s">
        <v>266</v>
      </c>
      <c r="B308" s="76"/>
      <c r="C308" s="76"/>
      <c r="D308" s="76"/>
      <c r="E308" s="76"/>
      <c r="F308" s="76"/>
      <c r="G308" s="76"/>
      <c r="H308" s="76"/>
      <c r="I308" s="76"/>
      <c r="J308" s="77"/>
    </row>
    <row r="309" spans="1:10" s="2" customFormat="1" ht="15.75" customHeight="1" x14ac:dyDescent="0.35">
      <c r="A309" s="78">
        <v>1</v>
      </c>
      <c r="B309" s="79"/>
      <c r="C309" s="3" t="s">
        <v>194</v>
      </c>
      <c r="D309" s="78">
        <f>(184.83)*10.764</f>
        <v>1989.5101199999999</v>
      </c>
      <c r="E309" s="79"/>
      <c r="F309" s="3">
        <v>0</v>
      </c>
      <c r="G309" s="3">
        <f t="shared" ref="G309:G313" si="51">D309*1.5+F309</f>
        <v>2984.2651799999999</v>
      </c>
      <c r="H309" s="3" t="s">
        <v>86</v>
      </c>
      <c r="I309" s="80" t="str">
        <f>A308</f>
        <v>33rd Floor</v>
      </c>
      <c r="J309" s="81"/>
    </row>
    <row r="310" spans="1:10" s="2" customFormat="1" ht="15.75" customHeight="1" x14ac:dyDescent="0.35">
      <c r="A310" s="78">
        <v>3</v>
      </c>
      <c r="B310" s="79"/>
      <c r="C310" s="3" t="s">
        <v>194</v>
      </c>
      <c r="D310" s="78">
        <f>(103.63)*10.764</f>
        <v>1115.4733199999998</v>
      </c>
      <c r="E310" s="79"/>
      <c r="F310" s="3">
        <v>0</v>
      </c>
      <c r="G310" s="3">
        <f t="shared" si="51"/>
        <v>1673.2099799999996</v>
      </c>
      <c r="H310" s="3" t="s">
        <v>86</v>
      </c>
      <c r="I310" s="101"/>
      <c r="J310" s="102"/>
    </row>
    <row r="311" spans="1:10" s="2" customFormat="1" x14ac:dyDescent="0.35">
      <c r="A311" s="78">
        <v>4</v>
      </c>
      <c r="B311" s="79"/>
      <c r="C311" s="3" t="s">
        <v>211</v>
      </c>
      <c r="D311" s="78">
        <f t="shared" ref="D311:D312" si="52">63.38*10.764</f>
        <v>682.22231999999997</v>
      </c>
      <c r="E311" s="79"/>
      <c r="F311" s="3">
        <v>0</v>
      </c>
      <c r="G311" s="3">
        <f t="shared" si="51"/>
        <v>1023.33348</v>
      </c>
      <c r="H311" s="3" t="s">
        <v>86</v>
      </c>
      <c r="I311" s="101"/>
      <c r="J311" s="102"/>
    </row>
    <row r="312" spans="1:10" s="2" customFormat="1" ht="15.75" customHeight="1" x14ac:dyDescent="0.35">
      <c r="A312" s="78">
        <v>5</v>
      </c>
      <c r="B312" s="79"/>
      <c r="C312" s="3" t="s">
        <v>211</v>
      </c>
      <c r="D312" s="78">
        <f t="shared" si="52"/>
        <v>682.22231999999997</v>
      </c>
      <c r="E312" s="79"/>
      <c r="F312" s="3">
        <v>0</v>
      </c>
      <c r="G312" s="3">
        <f t="shared" si="51"/>
        <v>1023.33348</v>
      </c>
      <c r="H312" s="3" t="s">
        <v>86</v>
      </c>
      <c r="I312" s="101"/>
      <c r="J312" s="102"/>
    </row>
    <row r="313" spans="1:10" s="2" customFormat="1" x14ac:dyDescent="0.35">
      <c r="A313" s="78">
        <v>6</v>
      </c>
      <c r="B313" s="79"/>
      <c r="C313" s="3" t="s">
        <v>194</v>
      </c>
      <c r="D313" s="78">
        <f>(105.41)*10.764</f>
        <v>1134.6332399999999</v>
      </c>
      <c r="E313" s="79"/>
      <c r="F313" s="3">
        <v>0</v>
      </c>
      <c r="G313" s="3">
        <f t="shared" si="51"/>
        <v>1701.9498599999997</v>
      </c>
      <c r="H313" s="3" t="s">
        <v>86</v>
      </c>
      <c r="I313" s="103"/>
      <c r="J313" s="104"/>
    </row>
    <row r="314" spans="1:10" s="2" customFormat="1" ht="15.75" customHeight="1" x14ac:dyDescent="0.35">
      <c r="A314" s="75" t="s">
        <v>267</v>
      </c>
      <c r="B314" s="76"/>
      <c r="C314" s="76"/>
      <c r="D314" s="76"/>
      <c r="E314" s="76"/>
      <c r="F314" s="76"/>
      <c r="G314" s="76"/>
      <c r="H314" s="76"/>
      <c r="I314" s="76"/>
      <c r="J314" s="77"/>
    </row>
    <row r="315" spans="1:10" s="2" customFormat="1" ht="15.75" customHeight="1" x14ac:dyDescent="0.35">
      <c r="A315" s="78">
        <v>1</v>
      </c>
      <c r="B315" s="79"/>
      <c r="C315" s="3" t="s">
        <v>212</v>
      </c>
      <c r="D315" s="78">
        <f>(184.83)*10.764</f>
        <v>1989.5101199999999</v>
      </c>
      <c r="E315" s="79"/>
      <c r="F315" s="3">
        <v>0</v>
      </c>
      <c r="G315" s="3">
        <f t="shared" ref="G315:G319" si="53">D315*1.5+F315</f>
        <v>2984.2651799999999</v>
      </c>
      <c r="H315" s="3" t="s">
        <v>86</v>
      </c>
      <c r="I315" s="80" t="str">
        <f>A314</f>
        <v>34th Floor</v>
      </c>
      <c r="J315" s="81"/>
    </row>
    <row r="316" spans="1:10" s="2" customFormat="1" ht="15.75" customHeight="1" x14ac:dyDescent="0.35">
      <c r="A316" s="78">
        <v>3</v>
      </c>
      <c r="B316" s="79"/>
      <c r="C316" s="3" t="s">
        <v>194</v>
      </c>
      <c r="D316" s="78">
        <f>(103.63)*10.764</f>
        <v>1115.4733199999998</v>
      </c>
      <c r="E316" s="79"/>
      <c r="F316" s="3">
        <v>0</v>
      </c>
      <c r="G316" s="3">
        <f t="shared" si="53"/>
        <v>1673.2099799999996</v>
      </c>
      <c r="H316" s="3" t="s">
        <v>86</v>
      </c>
      <c r="I316" s="101"/>
      <c r="J316" s="102"/>
    </row>
    <row r="317" spans="1:10" s="2" customFormat="1" x14ac:dyDescent="0.35">
      <c r="A317" s="78">
        <v>4</v>
      </c>
      <c r="B317" s="79"/>
      <c r="C317" s="3" t="s">
        <v>211</v>
      </c>
      <c r="D317" s="78">
        <f t="shared" ref="D317:D318" si="54">63.38*10.764</f>
        <v>682.22231999999997</v>
      </c>
      <c r="E317" s="79"/>
      <c r="F317" s="3">
        <v>0</v>
      </c>
      <c r="G317" s="3">
        <f t="shared" si="53"/>
        <v>1023.33348</v>
      </c>
      <c r="H317" s="3" t="s">
        <v>86</v>
      </c>
      <c r="I317" s="101"/>
      <c r="J317" s="102"/>
    </row>
    <row r="318" spans="1:10" s="2" customFormat="1" ht="15.75" customHeight="1" x14ac:dyDescent="0.35">
      <c r="A318" s="78">
        <v>5</v>
      </c>
      <c r="B318" s="79"/>
      <c r="C318" s="3" t="s">
        <v>211</v>
      </c>
      <c r="D318" s="78">
        <f t="shared" si="54"/>
        <v>682.22231999999997</v>
      </c>
      <c r="E318" s="79"/>
      <c r="F318" s="3">
        <v>0</v>
      </c>
      <c r="G318" s="3">
        <f t="shared" si="53"/>
        <v>1023.33348</v>
      </c>
      <c r="H318" s="3" t="s">
        <v>86</v>
      </c>
      <c r="I318" s="101"/>
      <c r="J318" s="102"/>
    </row>
    <row r="319" spans="1:10" s="2" customFormat="1" x14ac:dyDescent="0.35">
      <c r="A319" s="78">
        <v>6</v>
      </c>
      <c r="B319" s="79"/>
      <c r="C319" s="3" t="s">
        <v>194</v>
      </c>
      <c r="D319" s="78">
        <f>(105.41)*10.764</f>
        <v>1134.6332399999999</v>
      </c>
      <c r="E319" s="79"/>
      <c r="F319" s="3">
        <v>0</v>
      </c>
      <c r="G319" s="3">
        <f t="shared" si="53"/>
        <v>1701.9498599999997</v>
      </c>
      <c r="H319" s="3" t="s">
        <v>86</v>
      </c>
      <c r="I319" s="103"/>
      <c r="J319" s="104"/>
    </row>
    <row r="320" spans="1:10" s="2" customFormat="1" ht="15.75" customHeight="1" x14ac:dyDescent="0.35">
      <c r="A320" s="75" t="s">
        <v>271</v>
      </c>
      <c r="B320" s="76"/>
      <c r="C320" s="76"/>
      <c r="D320" s="76"/>
      <c r="E320" s="76"/>
      <c r="F320" s="76"/>
      <c r="G320" s="76"/>
      <c r="H320" s="76"/>
      <c r="I320" s="76"/>
      <c r="J320" s="77"/>
    </row>
    <row r="321" spans="1:11" s="2" customFormat="1" ht="15.75" customHeight="1" x14ac:dyDescent="0.35">
      <c r="A321" s="78">
        <v>1</v>
      </c>
      <c r="B321" s="79"/>
      <c r="C321" s="3" t="s">
        <v>194</v>
      </c>
      <c r="D321" s="78">
        <f>(184.83)*10.764</f>
        <v>1989.5101199999999</v>
      </c>
      <c r="E321" s="79"/>
      <c r="F321" s="3">
        <v>0</v>
      </c>
      <c r="G321" s="3">
        <f t="shared" ref="G321:G324" si="55">D321*1.5+F321</f>
        <v>2984.2651799999999</v>
      </c>
      <c r="H321" s="3" t="s">
        <v>86</v>
      </c>
      <c r="I321" s="80" t="str">
        <f>A320</f>
        <v>35th Floor (Part Refuge Area)</v>
      </c>
      <c r="J321" s="81"/>
    </row>
    <row r="322" spans="1:11" s="2" customFormat="1" ht="15.75" customHeight="1" x14ac:dyDescent="0.35">
      <c r="A322" s="78">
        <v>3</v>
      </c>
      <c r="B322" s="79"/>
      <c r="C322" s="3" t="s">
        <v>277</v>
      </c>
      <c r="D322" s="78">
        <f>(65.2)*10.764</f>
        <v>701.81280000000004</v>
      </c>
      <c r="E322" s="79"/>
      <c r="F322" s="3">
        <v>0</v>
      </c>
      <c r="G322" s="3">
        <f t="shared" si="55"/>
        <v>1052.7192</v>
      </c>
      <c r="H322" s="3" t="s">
        <v>86</v>
      </c>
      <c r="I322" s="101"/>
      <c r="J322" s="102"/>
      <c r="K322" s="2" t="s">
        <v>278</v>
      </c>
    </row>
    <row r="323" spans="1:11" s="2" customFormat="1" x14ac:dyDescent="0.35">
      <c r="A323" s="78">
        <v>4</v>
      </c>
      <c r="B323" s="79"/>
      <c r="C323" s="3" t="s">
        <v>212</v>
      </c>
      <c r="D323" s="78">
        <f>127.64*10.764</f>
        <v>1373.91696</v>
      </c>
      <c r="E323" s="79"/>
      <c r="F323" s="3">
        <v>0</v>
      </c>
      <c r="G323" s="3">
        <f t="shared" si="55"/>
        <v>2060.8754399999998</v>
      </c>
      <c r="H323" s="3" t="s">
        <v>86</v>
      </c>
      <c r="I323" s="101"/>
      <c r="J323" s="102"/>
    </row>
    <row r="324" spans="1:11" s="2" customFormat="1" x14ac:dyDescent="0.35">
      <c r="A324" s="78">
        <v>6</v>
      </c>
      <c r="B324" s="79"/>
      <c r="C324" s="3" t="s">
        <v>194</v>
      </c>
      <c r="D324" s="78">
        <f>(105.41)*10.764</f>
        <v>1134.6332399999999</v>
      </c>
      <c r="E324" s="79"/>
      <c r="F324" s="3">
        <v>0</v>
      </c>
      <c r="G324" s="3">
        <f t="shared" si="55"/>
        <v>1701.9498599999997</v>
      </c>
      <c r="H324" s="3" t="s">
        <v>86</v>
      </c>
      <c r="I324" s="103"/>
      <c r="J324" s="104"/>
    </row>
    <row r="325" spans="1:11" s="2" customFormat="1" ht="15.75" customHeight="1" x14ac:dyDescent="0.35">
      <c r="A325" s="75" t="s">
        <v>269</v>
      </c>
      <c r="B325" s="76"/>
      <c r="C325" s="76"/>
      <c r="D325" s="76"/>
      <c r="E325" s="76"/>
      <c r="F325" s="76"/>
      <c r="G325" s="76"/>
      <c r="H325" s="76"/>
      <c r="I325" s="76"/>
      <c r="J325" s="77"/>
    </row>
    <row r="326" spans="1:11" s="2" customFormat="1" ht="15.75" customHeight="1" x14ac:dyDescent="0.35">
      <c r="A326" s="289">
        <v>1</v>
      </c>
      <c r="B326" s="289"/>
      <c r="C326" s="3" t="s">
        <v>212</v>
      </c>
      <c r="D326" s="289">
        <f>(184.83)*10.764</f>
        <v>1989.5101199999999</v>
      </c>
      <c r="E326" s="289"/>
      <c r="F326" s="3">
        <v>0</v>
      </c>
      <c r="G326" s="3">
        <f t="shared" ref="G326:G329" si="56">D326*1.5+F326</f>
        <v>2984.2651799999999</v>
      </c>
      <c r="H326" s="3" t="s">
        <v>86</v>
      </c>
      <c r="I326" s="289" t="str">
        <f>A325</f>
        <v>36th Floor</v>
      </c>
      <c r="J326" s="289"/>
    </row>
    <row r="327" spans="1:11" s="2" customFormat="1" ht="15.75" customHeight="1" x14ac:dyDescent="0.35">
      <c r="A327" s="289">
        <v>3</v>
      </c>
      <c r="B327" s="289"/>
      <c r="C327" s="3" t="s">
        <v>194</v>
      </c>
      <c r="D327" s="289">
        <f>(103.63)*10.764</f>
        <v>1115.4733199999998</v>
      </c>
      <c r="E327" s="289"/>
      <c r="F327" s="3">
        <v>0</v>
      </c>
      <c r="G327" s="3">
        <f t="shared" si="56"/>
        <v>1673.2099799999996</v>
      </c>
      <c r="H327" s="3" t="s">
        <v>86</v>
      </c>
      <c r="I327" s="289"/>
      <c r="J327" s="289"/>
    </row>
    <row r="328" spans="1:11" s="2" customFormat="1" x14ac:dyDescent="0.35">
      <c r="A328" s="289">
        <v>4</v>
      </c>
      <c r="B328" s="289"/>
      <c r="C328" s="3" t="s">
        <v>212</v>
      </c>
      <c r="D328" s="289">
        <f>127.64*10.764</f>
        <v>1373.91696</v>
      </c>
      <c r="E328" s="289"/>
      <c r="F328" s="3">
        <v>0</v>
      </c>
      <c r="G328" s="3">
        <f t="shared" si="56"/>
        <v>2060.8754399999998</v>
      </c>
      <c r="H328" s="3" t="s">
        <v>86</v>
      </c>
      <c r="I328" s="289"/>
      <c r="J328" s="289"/>
    </row>
    <row r="329" spans="1:11" s="2" customFormat="1" x14ac:dyDescent="0.35">
      <c r="A329" s="289">
        <v>6</v>
      </c>
      <c r="B329" s="289"/>
      <c r="C329" s="3" t="s">
        <v>194</v>
      </c>
      <c r="D329" s="289">
        <f>(105.41)*10.764</f>
        <v>1134.6332399999999</v>
      </c>
      <c r="E329" s="289"/>
      <c r="F329" s="3">
        <v>0</v>
      </c>
      <c r="G329" s="3">
        <f t="shared" si="56"/>
        <v>1701.9498599999997</v>
      </c>
      <c r="H329" s="3" t="s">
        <v>86</v>
      </c>
      <c r="I329" s="289"/>
      <c r="J329" s="289"/>
    </row>
    <row r="330" spans="1:11" s="1" customFormat="1" x14ac:dyDescent="0.35">
      <c r="A330" s="123" t="s">
        <v>96</v>
      </c>
      <c r="B330" s="123"/>
      <c r="C330" s="123"/>
      <c r="D330" s="123"/>
      <c r="E330" s="123"/>
      <c r="F330" s="123"/>
      <c r="G330" s="123"/>
      <c r="H330" s="123"/>
      <c r="I330" s="123"/>
      <c r="J330" s="123"/>
    </row>
    <row r="331" spans="1:11" s="35" customFormat="1" ht="259" customHeight="1" x14ac:dyDescent="0.35">
      <c r="A331" s="124" t="s">
        <v>309</v>
      </c>
      <c r="B331" s="124"/>
      <c r="C331" s="124"/>
      <c r="D331" s="124"/>
      <c r="E331" s="124"/>
      <c r="F331" s="124"/>
      <c r="G331" s="124"/>
      <c r="H331" s="124"/>
      <c r="I331" s="124"/>
      <c r="J331" s="124"/>
    </row>
    <row r="332" spans="1:11" x14ac:dyDescent="0.35">
      <c r="A332" s="125" t="s">
        <v>87</v>
      </c>
      <c r="B332" s="126"/>
      <c r="C332" s="126"/>
      <c r="D332" s="126"/>
      <c r="E332" s="126"/>
      <c r="F332" s="126"/>
      <c r="G332" s="126"/>
      <c r="H332" s="126"/>
      <c r="I332" s="126"/>
      <c r="J332" s="127"/>
    </row>
    <row r="333" spans="1:11" x14ac:dyDescent="0.35">
      <c r="A333" s="115" t="s">
        <v>88</v>
      </c>
      <c r="B333" s="116"/>
      <c r="C333" s="116"/>
      <c r="D333" s="116"/>
      <c r="E333" s="116"/>
      <c r="F333" s="116"/>
      <c r="G333" s="116"/>
      <c r="H333" s="116"/>
      <c r="I333" s="116"/>
      <c r="J333" s="117"/>
    </row>
    <row r="334" spans="1:11" ht="15.75" customHeight="1" x14ac:dyDescent="0.35">
      <c r="A334" s="125" t="s">
        <v>89</v>
      </c>
      <c r="B334" s="126"/>
      <c r="C334" s="126"/>
      <c r="D334" s="126"/>
      <c r="E334" s="126"/>
      <c r="F334" s="126"/>
      <c r="G334" s="126"/>
      <c r="H334" s="126"/>
      <c r="I334" s="126"/>
      <c r="J334" s="127"/>
    </row>
    <row r="335" spans="1:11" x14ac:dyDescent="0.35">
      <c r="A335" s="115" t="s">
        <v>90</v>
      </c>
      <c r="B335" s="116"/>
      <c r="C335" s="116"/>
      <c r="D335" s="116"/>
      <c r="E335" s="116"/>
      <c r="F335" s="116"/>
      <c r="G335" s="116"/>
      <c r="H335" s="116"/>
      <c r="I335" s="116"/>
      <c r="J335" s="117"/>
    </row>
    <row r="336" spans="1:11" x14ac:dyDescent="0.35">
      <c r="A336" s="115" t="s">
        <v>91</v>
      </c>
      <c r="B336" s="116"/>
      <c r="C336" s="116"/>
      <c r="D336" s="116"/>
      <c r="E336" s="116"/>
      <c r="F336" s="116"/>
      <c r="G336" s="116"/>
      <c r="H336" s="116"/>
      <c r="I336" s="116"/>
      <c r="J336" s="117"/>
    </row>
    <row r="337" spans="1:10" x14ac:dyDescent="0.35">
      <c r="A337" s="115" t="s">
        <v>92</v>
      </c>
      <c r="B337" s="116"/>
      <c r="C337" s="116"/>
      <c r="D337" s="116"/>
      <c r="E337" s="116"/>
      <c r="F337" s="116"/>
      <c r="G337" s="116"/>
      <c r="H337" s="116"/>
      <c r="I337" s="116"/>
      <c r="J337" s="117"/>
    </row>
    <row r="338" spans="1:10" x14ac:dyDescent="0.35">
      <c r="A338" s="118" t="s">
        <v>93</v>
      </c>
      <c r="B338" s="119"/>
      <c r="C338" s="119"/>
      <c r="D338" s="119"/>
      <c r="E338" s="119"/>
      <c r="F338" s="119"/>
      <c r="G338" s="119"/>
      <c r="H338" s="119"/>
      <c r="I338" s="119"/>
      <c r="J338" s="120"/>
    </row>
    <row r="339" spans="1:10" x14ac:dyDescent="0.35">
      <c r="A339" s="249" t="s">
        <v>168</v>
      </c>
      <c r="B339" s="249"/>
      <c r="C339" s="250" t="s">
        <v>303</v>
      </c>
      <c r="D339" s="250"/>
      <c r="E339" s="250" t="s">
        <v>169</v>
      </c>
      <c r="F339" s="250"/>
      <c r="G339" s="250"/>
      <c r="H339" s="250" t="s">
        <v>302</v>
      </c>
      <c r="I339" s="250"/>
      <c r="J339" s="250"/>
    </row>
    <row r="340" spans="1:10" x14ac:dyDescent="0.35">
      <c r="A340" s="240" t="s">
        <v>171</v>
      </c>
      <c r="B340" s="241"/>
      <c r="C340" s="241"/>
      <c r="D340" s="241"/>
      <c r="E340" s="241"/>
      <c r="F340" s="241"/>
      <c r="G340" s="241"/>
      <c r="H340" s="241"/>
      <c r="I340" s="241"/>
      <c r="J340" s="242"/>
    </row>
    <row r="341" spans="1:10" x14ac:dyDescent="0.35">
      <c r="A341" s="243"/>
      <c r="B341" s="244"/>
      <c r="C341" s="244"/>
      <c r="D341" s="244"/>
      <c r="E341" s="244"/>
      <c r="F341" s="244"/>
      <c r="G341" s="244"/>
      <c r="H341" s="244"/>
      <c r="I341" s="244"/>
      <c r="J341" s="245"/>
    </row>
    <row r="342" spans="1:10" x14ac:dyDescent="0.35">
      <c r="A342" s="243"/>
      <c r="B342" s="244"/>
      <c r="C342" s="244"/>
      <c r="D342" s="244"/>
      <c r="E342" s="244"/>
      <c r="F342" s="244"/>
      <c r="G342" s="244"/>
      <c r="H342" s="244"/>
      <c r="I342" s="244"/>
      <c r="J342" s="245"/>
    </row>
    <row r="343" spans="1:10" x14ac:dyDescent="0.35">
      <c r="A343" s="246"/>
      <c r="B343" s="247"/>
      <c r="C343" s="247"/>
      <c r="D343" s="247"/>
      <c r="E343" s="247"/>
      <c r="F343" s="247"/>
      <c r="G343" s="247"/>
      <c r="H343" s="247"/>
      <c r="I343" s="247"/>
      <c r="J343" s="248"/>
    </row>
    <row r="344" spans="1:10" x14ac:dyDescent="0.35">
      <c r="A344" s="13" t="s">
        <v>94</v>
      </c>
      <c r="D344" s="15" t="str">
        <f>F8</f>
        <v>TW Gardens</v>
      </c>
      <c r="E344" s="15"/>
      <c r="F344" s="15"/>
    </row>
    <row r="363" spans="3:5" x14ac:dyDescent="0.35">
      <c r="C363" s="14"/>
      <c r="D363" s="14"/>
      <c r="E363" s="13"/>
    </row>
    <row r="387" spans="1:1" x14ac:dyDescent="0.35">
      <c r="A387" s="15" t="s">
        <v>282</v>
      </c>
    </row>
    <row r="426" spans="1:1" x14ac:dyDescent="0.35">
      <c r="A426" s="15" t="s">
        <v>95</v>
      </c>
    </row>
  </sheetData>
  <mergeCells count="683">
    <mergeCell ref="C50:F50"/>
    <mergeCell ref="H50:J50"/>
    <mergeCell ref="A50:B50"/>
    <mergeCell ref="A61:B62"/>
    <mergeCell ref="C61:E62"/>
    <mergeCell ref="F61:G62"/>
    <mergeCell ref="H61:J62"/>
    <mergeCell ref="A88:B89"/>
    <mergeCell ref="C88:E89"/>
    <mergeCell ref="F88:G89"/>
    <mergeCell ref="H88:J89"/>
    <mergeCell ref="A48:B49"/>
    <mergeCell ref="C49:F49"/>
    <mergeCell ref="H49:J49"/>
    <mergeCell ref="A314:J314"/>
    <mergeCell ref="A315:B315"/>
    <mergeCell ref="D315:E315"/>
    <mergeCell ref="I315:J319"/>
    <mergeCell ref="A316:B316"/>
    <mergeCell ref="D316:E316"/>
    <mergeCell ref="A317:B317"/>
    <mergeCell ref="D317:E317"/>
    <mergeCell ref="A318:B318"/>
    <mergeCell ref="D318:E318"/>
    <mergeCell ref="A319:B319"/>
    <mergeCell ref="D319:E319"/>
    <mergeCell ref="A308:J308"/>
    <mergeCell ref="A309:B309"/>
    <mergeCell ref="D309:E309"/>
    <mergeCell ref="I309:J313"/>
    <mergeCell ref="A310:B310"/>
    <mergeCell ref="D310:E310"/>
    <mergeCell ref="A311:B311"/>
    <mergeCell ref="D311:E311"/>
    <mergeCell ref="A312:B312"/>
    <mergeCell ref="A325:J325"/>
    <mergeCell ref="A326:B326"/>
    <mergeCell ref="D326:E326"/>
    <mergeCell ref="A327:B327"/>
    <mergeCell ref="D327:E327"/>
    <mergeCell ref="D312:E312"/>
    <mergeCell ref="A313:B313"/>
    <mergeCell ref="D313:E313"/>
    <mergeCell ref="A328:B328"/>
    <mergeCell ref="D328:E328"/>
    <mergeCell ref="A329:B329"/>
    <mergeCell ref="D329:E329"/>
    <mergeCell ref="I326:J329"/>
    <mergeCell ref="A320:J320"/>
    <mergeCell ref="A321:B321"/>
    <mergeCell ref="D321:E321"/>
    <mergeCell ref="I321:J324"/>
    <mergeCell ref="A322:B322"/>
    <mergeCell ref="D322:E322"/>
    <mergeCell ref="A323:B323"/>
    <mergeCell ref="D323:E323"/>
    <mergeCell ref="A324:B324"/>
    <mergeCell ref="D324:E324"/>
    <mergeCell ref="A302:J302"/>
    <mergeCell ref="A303:B303"/>
    <mergeCell ref="D303:E303"/>
    <mergeCell ref="I303:J307"/>
    <mergeCell ref="A304:B304"/>
    <mergeCell ref="D304:E304"/>
    <mergeCell ref="A305:B305"/>
    <mergeCell ref="D305:E305"/>
    <mergeCell ref="A306:B306"/>
    <mergeCell ref="D306:E306"/>
    <mergeCell ref="A307:B307"/>
    <mergeCell ref="D307:E307"/>
    <mergeCell ref="A295:J295"/>
    <mergeCell ref="A296:B296"/>
    <mergeCell ref="D296:E296"/>
    <mergeCell ref="I296:J301"/>
    <mergeCell ref="A297:B297"/>
    <mergeCell ref="D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289:J289"/>
    <mergeCell ref="A290:B290"/>
    <mergeCell ref="D290:E290"/>
    <mergeCell ref="I290:J294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75:J275"/>
    <mergeCell ref="A276:B276"/>
    <mergeCell ref="D276:E276"/>
    <mergeCell ref="I276:J281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J282"/>
    <mergeCell ref="A283:B283"/>
    <mergeCell ref="D283:E283"/>
    <mergeCell ref="I283:J288"/>
    <mergeCell ref="A284:B284"/>
    <mergeCell ref="D284:E284"/>
    <mergeCell ref="A285:B285"/>
    <mergeCell ref="A286:B286"/>
    <mergeCell ref="D286:E286"/>
    <mergeCell ref="A287:B287"/>
    <mergeCell ref="D287:E287"/>
    <mergeCell ref="A288:B288"/>
    <mergeCell ref="D288:E288"/>
    <mergeCell ref="C285:H285"/>
    <mergeCell ref="A268:J268"/>
    <mergeCell ref="A269:B269"/>
    <mergeCell ref="D269:E269"/>
    <mergeCell ref="I269:J274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24:J224"/>
    <mergeCell ref="A225:B225"/>
    <mergeCell ref="I225:J232"/>
    <mergeCell ref="A226:B226"/>
    <mergeCell ref="A227:B227"/>
    <mergeCell ref="D227:E227"/>
    <mergeCell ref="A228:B228"/>
    <mergeCell ref="D228:E228"/>
    <mergeCell ref="A229:B229"/>
    <mergeCell ref="D229:E229"/>
    <mergeCell ref="A230:B230"/>
    <mergeCell ref="D230:E230"/>
    <mergeCell ref="A231:B231"/>
    <mergeCell ref="A232:B232"/>
    <mergeCell ref="D232:E232"/>
    <mergeCell ref="C225:H226"/>
    <mergeCell ref="C231:H231"/>
    <mergeCell ref="A217:J217"/>
    <mergeCell ref="A218:B218"/>
    <mergeCell ref="D218:E218"/>
    <mergeCell ref="I218:J223"/>
    <mergeCell ref="A219:B219"/>
    <mergeCell ref="D219:E219"/>
    <mergeCell ref="A220:B220"/>
    <mergeCell ref="D220:E220"/>
    <mergeCell ref="D221:E221"/>
    <mergeCell ref="A221:B221"/>
    <mergeCell ref="A222:B222"/>
    <mergeCell ref="D222:E222"/>
    <mergeCell ref="A223:B223"/>
    <mergeCell ref="C223:H223"/>
    <mergeCell ref="A208:J208"/>
    <mergeCell ref="A209:B209"/>
    <mergeCell ref="D209:E209"/>
    <mergeCell ref="I209:J216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199:J199"/>
    <mergeCell ref="A200:B200"/>
    <mergeCell ref="D200:E200"/>
    <mergeCell ref="I200:J207"/>
    <mergeCell ref="A201:B201"/>
    <mergeCell ref="D201:E201"/>
    <mergeCell ref="A202:B202"/>
    <mergeCell ref="D202:E202"/>
    <mergeCell ref="A203:B203"/>
    <mergeCell ref="D203:E203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191:J191"/>
    <mergeCell ref="A192:B192"/>
    <mergeCell ref="D192:E192"/>
    <mergeCell ref="I192:J198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83:J183"/>
    <mergeCell ref="A184:B184"/>
    <mergeCell ref="D184:E184"/>
    <mergeCell ref="I184:J190"/>
    <mergeCell ref="A185:B185"/>
    <mergeCell ref="D185:E185"/>
    <mergeCell ref="A186:B186"/>
    <mergeCell ref="D186:E186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75:B175"/>
    <mergeCell ref="D175:E175"/>
    <mergeCell ref="I175:J182"/>
    <mergeCell ref="A176:B176"/>
    <mergeCell ref="D176:E176"/>
    <mergeCell ref="A177:B177"/>
    <mergeCell ref="D177:E177"/>
    <mergeCell ref="A178:B178"/>
    <mergeCell ref="D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C172:H173"/>
    <mergeCell ref="A174:J174"/>
    <mergeCell ref="A172:B172"/>
    <mergeCell ref="A173:B173"/>
    <mergeCell ref="A158:B158"/>
    <mergeCell ref="D158:E158"/>
    <mergeCell ref="I158:J164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5:J165"/>
    <mergeCell ref="A169:B169"/>
    <mergeCell ref="D169:E169"/>
    <mergeCell ref="A170:B170"/>
    <mergeCell ref="D170:E170"/>
    <mergeCell ref="A171:B171"/>
    <mergeCell ref="D171:E171"/>
    <mergeCell ref="A137:B137"/>
    <mergeCell ref="D137:E137"/>
    <mergeCell ref="A145:B145"/>
    <mergeCell ref="D145:E145"/>
    <mergeCell ref="A146:B146"/>
    <mergeCell ref="D146:E146"/>
    <mergeCell ref="A153:B153"/>
    <mergeCell ref="D153:E153"/>
    <mergeCell ref="A154:B154"/>
    <mergeCell ref="D154:E154"/>
    <mergeCell ref="A144:B144"/>
    <mergeCell ref="D144:E144"/>
    <mergeCell ref="A147:B147"/>
    <mergeCell ref="D147:E147"/>
    <mergeCell ref="A148:B148"/>
    <mergeCell ref="D148:E148"/>
    <mergeCell ref="C138:H139"/>
    <mergeCell ref="A149:J149"/>
    <mergeCell ref="A150:B150"/>
    <mergeCell ref="D150:E150"/>
    <mergeCell ref="I150:J156"/>
    <mergeCell ref="A151:B151"/>
    <mergeCell ref="D151:E151"/>
    <mergeCell ref="A152:B152"/>
    <mergeCell ref="A122:J122"/>
    <mergeCell ref="A123:B123"/>
    <mergeCell ref="D123:E123"/>
    <mergeCell ref="I123:J124"/>
    <mergeCell ref="A124:B124"/>
    <mergeCell ref="D124:E124"/>
    <mergeCell ref="A125:J125"/>
    <mergeCell ref="A126:B126"/>
    <mergeCell ref="D136:E136"/>
    <mergeCell ref="A117:B117"/>
    <mergeCell ref="D117:E117"/>
    <mergeCell ref="I117:J118"/>
    <mergeCell ref="A118:B118"/>
    <mergeCell ref="D118:E118"/>
    <mergeCell ref="A119:J119"/>
    <mergeCell ref="A120:B120"/>
    <mergeCell ref="D120:E120"/>
    <mergeCell ref="I120:J121"/>
    <mergeCell ref="A121:B121"/>
    <mergeCell ref="D121:E121"/>
    <mergeCell ref="A241:B241"/>
    <mergeCell ref="I132:J139"/>
    <mergeCell ref="A140:J140"/>
    <mergeCell ref="A141:B141"/>
    <mergeCell ref="D141:E141"/>
    <mergeCell ref="A139:B139"/>
    <mergeCell ref="I237:J238"/>
    <mergeCell ref="A239:J239"/>
    <mergeCell ref="I240:J241"/>
    <mergeCell ref="I141:J148"/>
    <mergeCell ref="A142:B142"/>
    <mergeCell ref="D142:E142"/>
    <mergeCell ref="A143:B143"/>
    <mergeCell ref="D143:E143"/>
    <mergeCell ref="A133:B133"/>
    <mergeCell ref="A134:B134"/>
    <mergeCell ref="D134:E134"/>
    <mergeCell ref="A166:B166"/>
    <mergeCell ref="D166:E166"/>
    <mergeCell ref="I166:J173"/>
    <mergeCell ref="A167:B167"/>
    <mergeCell ref="D156:E156"/>
    <mergeCell ref="D152:E152"/>
    <mergeCell ref="A136:B136"/>
    <mergeCell ref="A340:J343"/>
    <mergeCell ref="A339:B339"/>
    <mergeCell ref="E339:G339"/>
    <mergeCell ref="C339:D339"/>
    <mergeCell ref="H339:J339"/>
    <mergeCell ref="A16:B16"/>
    <mergeCell ref="C16:E16"/>
    <mergeCell ref="F16:G16"/>
    <mergeCell ref="H16:J16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9:E39"/>
    <mergeCell ref="F39:J39"/>
    <mergeCell ref="A35:E35"/>
    <mergeCell ref="F35:J35"/>
    <mergeCell ref="A30:J30"/>
    <mergeCell ref="A1:J1"/>
    <mergeCell ref="A2:J2"/>
    <mergeCell ref="A3:E3"/>
    <mergeCell ref="F3:J3"/>
    <mergeCell ref="A4:E4"/>
    <mergeCell ref="A8:E8"/>
    <mergeCell ref="F8:J8"/>
    <mergeCell ref="A9:E9"/>
    <mergeCell ref="F9:J9"/>
    <mergeCell ref="F4:J4"/>
    <mergeCell ref="A10:E10"/>
    <mergeCell ref="F10:J10"/>
    <mergeCell ref="A5:E5"/>
    <mergeCell ref="F5:J5"/>
    <mergeCell ref="A6:E6"/>
    <mergeCell ref="F6:J6"/>
    <mergeCell ref="A7:E7"/>
    <mergeCell ref="F7:J7"/>
    <mergeCell ref="A14:B14"/>
    <mergeCell ref="A11:E11"/>
    <mergeCell ref="F11:J11"/>
    <mergeCell ref="A12:E12"/>
    <mergeCell ref="F12:J12"/>
    <mergeCell ref="A13:B13"/>
    <mergeCell ref="C13:J13"/>
    <mergeCell ref="C14:J14"/>
    <mergeCell ref="A15:B15"/>
    <mergeCell ref="C15:E15"/>
    <mergeCell ref="F15:G15"/>
    <mergeCell ref="H15:J15"/>
    <mergeCell ref="A24:E24"/>
    <mergeCell ref="A25:E25"/>
    <mergeCell ref="F25:J25"/>
    <mergeCell ref="F24:J24"/>
    <mergeCell ref="A26:E26"/>
    <mergeCell ref="F26:J26"/>
    <mergeCell ref="A23:E23"/>
    <mergeCell ref="F23:J23"/>
    <mergeCell ref="A17:B17"/>
    <mergeCell ref="C17:E17"/>
    <mergeCell ref="F17:G17"/>
    <mergeCell ref="H17:J17"/>
    <mergeCell ref="A18:B18"/>
    <mergeCell ref="C18:E18"/>
    <mergeCell ref="F18:G18"/>
    <mergeCell ref="H18:J18"/>
    <mergeCell ref="A19:E20"/>
    <mergeCell ref="F19:J20"/>
    <mergeCell ref="A21:E22"/>
    <mergeCell ref="F21:J22"/>
    <mergeCell ref="A29:B29"/>
    <mergeCell ref="C29:D29"/>
    <mergeCell ref="E29:F29"/>
    <mergeCell ref="G29:H29"/>
    <mergeCell ref="I29:J29"/>
    <mergeCell ref="A31:J31"/>
    <mergeCell ref="A32:B32"/>
    <mergeCell ref="C32:J32"/>
    <mergeCell ref="H48:J48"/>
    <mergeCell ref="C48:F48"/>
    <mergeCell ref="F36:J36"/>
    <mergeCell ref="A37:J37"/>
    <mergeCell ref="A33:B33"/>
    <mergeCell ref="C33:J33"/>
    <mergeCell ref="A34:J34"/>
    <mergeCell ref="A36:E36"/>
    <mergeCell ref="A51:C51"/>
    <mergeCell ref="D51:E51"/>
    <mergeCell ref="F51:G51"/>
    <mergeCell ref="H51:J51"/>
    <mergeCell ref="A38:E38"/>
    <mergeCell ref="F38:J38"/>
    <mergeCell ref="H45:J45"/>
    <mergeCell ref="H46:J46"/>
    <mergeCell ref="I47:J47"/>
    <mergeCell ref="A46:B46"/>
    <mergeCell ref="C46:F46"/>
    <mergeCell ref="A47:B47"/>
    <mergeCell ref="C47:F47"/>
    <mergeCell ref="A45:B45"/>
    <mergeCell ref="C45:F45"/>
    <mergeCell ref="A40:E40"/>
    <mergeCell ref="F40:J40"/>
    <mergeCell ref="A41:E41"/>
    <mergeCell ref="F41:J41"/>
    <mergeCell ref="A42:E42"/>
    <mergeCell ref="F42:J42"/>
    <mergeCell ref="A43:E43"/>
    <mergeCell ref="F43:J43"/>
    <mergeCell ref="A44:J44"/>
    <mergeCell ref="A57:J57"/>
    <mergeCell ref="A90:J90"/>
    <mergeCell ref="D83:E83"/>
    <mergeCell ref="A52:J52"/>
    <mergeCell ref="A53:C53"/>
    <mergeCell ref="D53:E53"/>
    <mergeCell ref="F53:G53"/>
    <mergeCell ref="H53:J53"/>
    <mergeCell ref="A58:B58"/>
    <mergeCell ref="A60:B60"/>
    <mergeCell ref="A63:B63"/>
    <mergeCell ref="A64:B64"/>
    <mergeCell ref="A65:B65"/>
    <mergeCell ref="A66:B66"/>
    <mergeCell ref="A67:B67"/>
    <mergeCell ref="A68:B68"/>
    <mergeCell ref="A69:B69"/>
    <mergeCell ref="A71:B71"/>
    <mergeCell ref="A72:B72"/>
    <mergeCell ref="A73:B73"/>
    <mergeCell ref="C58:J58"/>
    <mergeCell ref="E59:F59"/>
    <mergeCell ref="I59:J59"/>
    <mergeCell ref="F63:G63"/>
    <mergeCell ref="A95:F95"/>
    <mergeCell ref="G95:J95"/>
    <mergeCell ref="A101:F101"/>
    <mergeCell ref="G101:J101"/>
    <mergeCell ref="A93:J93"/>
    <mergeCell ref="A94:F94"/>
    <mergeCell ref="G94:J94"/>
    <mergeCell ref="A91:J91"/>
    <mergeCell ref="A92:B92"/>
    <mergeCell ref="C92:J92"/>
    <mergeCell ref="A96:F96"/>
    <mergeCell ref="G96:J96"/>
    <mergeCell ref="A97:F97"/>
    <mergeCell ref="G97:J97"/>
    <mergeCell ref="A98:F98"/>
    <mergeCell ref="G98:J98"/>
    <mergeCell ref="A99:F99"/>
    <mergeCell ref="G99:J99"/>
    <mergeCell ref="A100:F100"/>
    <mergeCell ref="G100:J100"/>
    <mergeCell ref="A105:B105"/>
    <mergeCell ref="D105:F105"/>
    <mergeCell ref="G105:J105"/>
    <mergeCell ref="A102:J102"/>
    <mergeCell ref="A104:B104"/>
    <mergeCell ref="A103:B103"/>
    <mergeCell ref="D103:F103"/>
    <mergeCell ref="G103:J103"/>
    <mergeCell ref="D104:F104"/>
    <mergeCell ref="G104:J104"/>
    <mergeCell ref="A108:J108"/>
    <mergeCell ref="A233:J233"/>
    <mergeCell ref="A109:B109"/>
    <mergeCell ref="A238:B238"/>
    <mergeCell ref="D133:E133"/>
    <mergeCell ref="A237:B237"/>
    <mergeCell ref="D237:E237"/>
    <mergeCell ref="D109:E109"/>
    <mergeCell ref="I109:J109"/>
    <mergeCell ref="A114:B114"/>
    <mergeCell ref="A115:B115"/>
    <mergeCell ref="D115:E115"/>
    <mergeCell ref="A234:J234"/>
    <mergeCell ref="A113:J113"/>
    <mergeCell ref="A235:J235"/>
    <mergeCell ref="A236:J236"/>
    <mergeCell ref="I126:J127"/>
    <mergeCell ref="A127:B127"/>
    <mergeCell ref="D127:E127"/>
    <mergeCell ref="I114:J115"/>
    <mergeCell ref="A135:B135"/>
    <mergeCell ref="D135:E135"/>
    <mergeCell ref="A138:B138"/>
    <mergeCell ref="A116:J116"/>
    <mergeCell ref="A334:J334"/>
    <mergeCell ref="A335:J335"/>
    <mergeCell ref="C55:J55"/>
    <mergeCell ref="D241:E241"/>
    <mergeCell ref="A240:B240"/>
    <mergeCell ref="D240:E240"/>
    <mergeCell ref="A242:J242"/>
    <mergeCell ref="D246:E246"/>
    <mergeCell ref="A249:B249"/>
    <mergeCell ref="D249:E249"/>
    <mergeCell ref="A243:B243"/>
    <mergeCell ref="D243:E243"/>
    <mergeCell ref="A244:B244"/>
    <mergeCell ref="D244:E244"/>
    <mergeCell ref="I243:J244"/>
    <mergeCell ref="A245:J245"/>
    <mergeCell ref="A246:B246"/>
    <mergeCell ref="D130:E130"/>
    <mergeCell ref="A131:J131"/>
    <mergeCell ref="A132:B132"/>
    <mergeCell ref="D132:E132"/>
    <mergeCell ref="A70:B70"/>
    <mergeCell ref="C60:J60"/>
    <mergeCell ref="D63:E63"/>
    <mergeCell ref="A336:J336"/>
    <mergeCell ref="A337:J337"/>
    <mergeCell ref="A338:J338"/>
    <mergeCell ref="A54:B54"/>
    <mergeCell ref="A56:C56"/>
    <mergeCell ref="D56:J56"/>
    <mergeCell ref="A330:J330"/>
    <mergeCell ref="A331:J331"/>
    <mergeCell ref="A332:J332"/>
    <mergeCell ref="A333:J333"/>
    <mergeCell ref="A110:J110"/>
    <mergeCell ref="A111:J111"/>
    <mergeCell ref="A112:J112"/>
    <mergeCell ref="A55:B55"/>
    <mergeCell ref="I246:J247"/>
    <mergeCell ref="A247:B247"/>
    <mergeCell ref="D247:E247"/>
    <mergeCell ref="A248:J248"/>
    <mergeCell ref="I249:J250"/>
    <mergeCell ref="A250:B250"/>
    <mergeCell ref="A106:B106"/>
    <mergeCell ref="D106:F106"/>
    <mergeCell ref="G106:J106"/>
    <mergeCell ref="A107:J107"/>
    <mergeCell ref="H63:J63"/>
    <mergeCell ref="D64:E64"/>
    <mergeCell ref="F64:G73"/>
    <mergeCell ref="H64:J73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A257:B257"/>
    <mergeCell ref="A258:B258"/>
    <mergeCell ref="D258:E258"/>
    <mergeCell ref="A259:B259"/>
    <mergeCell ref="A260:B260"/>
    <mergeCell ref="D260:E260"/>
    <mergeCell ref="C257:H257"/>
    <mergeCell ref="D259:E259"/>
    <mergeCell ref="C54:J54"/>
    <mergeCell ref="C114:H114"/>
    <mergeCell ref="C238:H238"/>
    <mergeCell ref="D250:E250"/>
    <mergeCell ref="A251:J251"/>
    <mergeCell ref="A252:B252"/>
    <mergeCell ref="D252:E252"/>
    <mergeCell ref="I252:J253"/>
    <mergeCell ref="A253:B253"/>
    <mergeCell ref="D253:E253"/>
    <mergeCell ref="D126:E126"/>
    <mergeCell ref="A128:J128"/>
    <mergeCell ref="A129:B129"/>
    <mergeCell ref="D129:E129"/>
    <mergeCell ref="I129:J130"/>
    <mergeCell ref="A130:B130"/>
    <mergeCell ref="A262:B262"/>
    <mergeCell ref="D262:E262"/>
    <mergeCell ref="I262:J267"/>
    <mergeCell ref="A263:B263"/>
    <mergeCell ref="D263:E263"/>
    <mergeCell ref="A264:B264"/>
    <mergeCell ref="A265:B265"/>
    <mergeCell ref="D265:E265"/>
    <mergeCell ref="A266:B266"/>
    <mergeCell ref="D266:E266"/>
    <mergeCell ref="A267:B267"/>
    <mergeCell ref="D267:E267"/>
    <mergeCell ref="D264:E264"/>
    <mergeCell ref="A254:J254"/>
    <mergeCell ref="A255:B255"/>
    <mergeCell ref="D255:E255"/>
    <mergeCell ref="I255:J260"/>
    <mergeCell ref="A256:B256"/>
    <mergeCell ref="D256:E256"/>
    <mergeCell ref="A261:J261"/>
    <mergeCell ref="A78:B78"/>
    <mergeCell ref="D78:E78"/>
    <mergeCell ref="F78:G87"/>
    <mergeCell ref="H78:J87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A84:B84"/>
    <mergeCell ref="D84:E84"/>
    <mergeCell ref="A85:B85"/>
    <mergeCell ref="D85:E85"/>
    <mergeCell ref="A86:B86"/>
    <mergeCell ref="D86:E86"/>
    <mergeCell ref="A87:B87"/>
    <mergeCell ref="D87:E87"/>
    <mergeCell ref="A74:B74"/>
    <mergeCell ref="C74:J74"/>
    <mergeCell ref="E75:F75"/>
    <mergeCell ref="I75:J75"/>
    <mergeCell ref="A76:B76"/>
    <mergeCell ref="C76:J76"/>
    <mergeCell ref="A77:B77"/>
    <mergeCell ref="D77:E77"/>
    <mergeCell ref="F77:G77"/>
    <mergeCell ref="H77:J77"/>
    <mergeCell ref="A157:J157"/>
    <mergeCell ref="A164:B164"/>
    <mergeCell ref="D164:E164"/>
    <mergeCell ref="A155:B155"/>
    <mergeCell ref="D155:E155"/>
    <mergeCell ref="A156:B156"/>
    <mergeCell ref="D167:E167"/>
    <mergeCell ref="A168:B168"/>
    <mergeCell ref="D168:E168"/>
  </mergeCells>
  <hyperlinks>
    <hyperlink ref="C33" r:id="rId1"/>
  </hyperlinks>
  <printOptions horizontalCentered="1"/>
  <pageMargins left="0.39370078740157483" right="0.39370078740157483" top="0.78740157480314965" bottom="0.78740157480314965" header="0.19685039370078741" footer="0.19685039370078741"/>
  <pageSetup scale="95" fitToHeight="0" orientation="portrait" r:id="rId2"/>
  <headerFooter>
    <oddHeader>&amp;C&amp;G</oddHeader>
    <oddFooter>&amp;L&amp;"Times New Roman,Bold"&amp;12Ref No: &amp;F&amp;C&amp;G&amp;R&amp;"Times New Roman,Bold"&amp;12&amp;P</oddFooter>
  </headerFooter>
  <rowBreaks count="4" manualBreakCount="4">
    <brk id="329" max="16383" man="1"/>
    <brk id="343" max="16383" man="1"/>
    <brk id="386" max="16383" man="1"/>
    <brk id="425" max="16383" man="1"/>
  </rowBreaks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D4" workbookViewId="0">
      <selection activeCell="G12" sqref="G12"/>
    </sheetView>
  </sheetViews>
  <sheetFormatPr defaultColWidth="8.7265625" defaultRowHeight="14.5" x14ac:dyDescent="0.35"/>
  <cols>
    <col min="1" max="1" width="8.7265625" style="37"/>
    <col min="2" max="2" width="22.26953125" style="37" customWidth="1"/>
    <col min="3" max="3" width="37" style="37" customWidth="1"/>
    <col min="4" max="5" width="11.453125" style="37" customWidth="1"/>
    <col min="6" max="6" width="14" style="37" customWidth="1"/>
    <col min="7" max="7" width="20" style="37" customWidth="1"/>
    <col min="8" max="8" width="16.453125" style="37" customWidth="1"/>
    <col min="9" max="16384" width="8.7265625" style="37"/>
  </cols>
  <sheetData>
    <row r="1" spans="1:9" ht="15" customHeight="1" x14ac:dyDescent="0.35"/>
    <row r="2" spans="1:9" ht="15" customHeight="1" x14ac:dyDescent="0.35">
      <c r="A2" s="38"/>
      <c r="B2" s="38"/>
      <c r="C2" s="38"/>
      <c r="D2" s="38"/>
      <c r="E2" s="38"/>
      <c r="F2" s="38"/>
      <c r="G2" s="38"/>
      <c r="H2" s="38"/>
    </row>
    <row r="3" spans="1:9" x14ac:dyDescent="0.35">
      <c r="A3" s="38"/>
      <c r="B3" s="274" t="s">
        <v>201</v>
      </c>
      <c r="C3" s="274"/>
      <c r="D3" s="274"/>
      <c r="E3" s="274"/>
      <c r="F3" s="274"/>
      <c r="G3" s="274"/>
      <c r="H3" s="274"/>
    </row>
    <row r="4" spans="1:9" x14ac:dyDescent="0.35">
      <c r="A4" s="38"/>
      <c r="B4" s="39" t="s">
        <v>202</v>
      </c>
      <c r="C4" s="39" t="s">
        <v>203</v>
      </c>
      <c r="D4" s="39" t="s">
        <v>110</v>
      </c>
      <c r="E4" s="39" t="s">
        <v>204</v>
      </c>
      <c r="F4" s="39" t="s">
        <v>205</v>
      </c>
      <c r="G4" s="39" t="s">
        <v>206</v>
      </c>
      <c r="H4" s="39" t="s">
        <v>207</v>
      </c>
    </row>
    <row r="5" spans="1:9" ht="15" customHeight="1" x14ac:dyDescent="0.35">
      <c r="A5" s="38"/>
      <c r="B5" s="40" t="s">
        <v>208</v>
      </c>
      <c r="C5" s="41" t="s">
        <v>173</v>
      </c>
      <c r="D5" s="40" t="s">
        <v>211</v>
      </c>
      <c r="E5" s="40">
        <v>679.74</v>
      </c>
      <c r="F5" s="42">
        <f>E5*1.6</f>
        <v>1087.5840000000001</v>
      </c>
      <c r="G5" s="42">
        <f>H5/F5</f>
        <v>15079.295024568217</v>
      </c>
      <c r="H5" s="43">
        <v>16400000</v>
      </c>
    </row>
    <row r="6" spans="1:9" x14ac:dyDescent="0.35">
      <c r="A6" s="38"/>
      <c r="B6" s="40" t="s">
        <v>208</v>
      </c>
      <c r="C6" s="41" t="s">
        <v>173</v>
      </c>
      <c r="D6" s="40" t="s">
        <v>211</v>
      </c>
      <c r="E6" s="40">
        <v>623</v>
      </c>
      <c r="F6" s="42">
        <f t="shared" ref="F6:F9" si="0">E6*1.6</f>
        <v>996.80000000000007</v>
      </c>
      <c r="G6" s="42">
        <f t="shared" ref="G6:G9" si="1">H6/F6</f>
        <v>15048.154093097912</v>
      </c>
      <c r="H6" s="43">
        <v>15000000</v>
      </c>
    </row>
    <row r="7" spans="1:9" ht="15" customHeight="1" x14ac:dyDescent="0.35">
      <c r="A7" s="38"/>
      <c r="B7" s="40" t="s">
        <v>208</v>
      </c>
      <c r="C7" s="41" t="s">
        <v>173</v>
      </c>
      <c r="D7" s="40" t="s">
        <v>194</v>
      </c>
      <c r="E7" s="40">
        <v>917.95</v>
      </c>
      <c r="F7" s="42">
        <f t="shared" si="0"/>
        <v>1468.7200000000003</v>
      </c>
      <c r="G7" s="42">
        <f t="shared" si="1"/>
        <v>14979.02935889754</v>
      </c>
      <c r="H7" s="43">
        <v>22000000</v>
      </c>
    </row>
    <row r="8" spans="1:9" x14ac:dyDescent="0.35">
      <c r="A8" s="38"/>
      <c r="B8" s="40" t="s">
        <v>208</v>
      </c>
      <c r="C8" s="41" t="s">
        <v>173</v>
      </c>
      <c r="D8" s="40" t="s">
        <v>194</v>
      </c>
      <c r="E8" s="40">
        <v>1119</v>
      </c>
      <c r="F8" s="42">
        <f t="shared" si="0"/>
        <v>1790.4</v>
      </c>
      <c r="G8" s="42">
        <f t="shared" si="1"/>
        <v>15024.575513851652</v>
      </c>
      <c r="H8" s="43">
        <v>26900000</v>
      </c>
    </row>
    <row r="9" spans="1:9" ht="15" customHeight="1" x14ac:dyDescent="0.35">
      <c r="A9" s="38"/>
      <c r="B9" s="40" t="s">
        <v>208</v>
      </c>
      <c r="C9" s="41" t="s">
        <v>173</v>
      </c>
      <c r="D9" s="40" t="s">
        <v>212</v>
      </c>
      <c r="E9" s="40">
        <v>1360</v>
      </c>
      <c r="F9" s="42">
        <f t="shared" si="0"/>
        <v>2176</v>
      </c>
      <c r="G9" s="42">
        <f t="shared" si="1"/>
        <v>14705.882352941177</v>
      </c>
      <c r="H9" s="43">
        <v>32000000</v>
      </c>
    </row>
    <row r="10" spans="1:9" ht="15" customHeight="1" x14ac:dyDescent="0.35">
      <c r="A10" s="38"/>
      <c r="B10" s="44" t="s">
        <v>209</v>
      </c>
      <c r="C10" s="40"/>
      <c r="D10" s="40"/>
      <c r="E10" s="40"/>
      <c r="F10" s="40"/>
      <c r="G10" s="45">
        <f>AVERAGE(G5:G9)</f>
        <v>14967.3872686713</v>
      </c>
      <c r="H10" s="40"/>
    </row>
    <row r="11" spans="1:9" ht="15" customHeight="1" x14ac:dyDescent="0.35">
      <c r="B11" s="44" t="s">
        <v>210</v>
      </c>
      <c r="C11" s="40"/>
      <c r="D11" s="40"/>
      <c r="E11" s="40"/>
      <c r="F11" s="46"/>
      <c r="G11" s="44">
        <v>15000</v>
      </c>
      <c r="H11" s="44"/>
      <c r="I11" s="47"/>
    </row>
    <row r="12" spans="1:9" ht="15" customHeight="1" x14ac:dyDescent="0.35"/>
    <row r="13" spans="1:9" ht="15" customHeight="1" x14ac:dyDescent="0.35"/>
    <row r="14" spans="1:9" ht="15" customHeight="1" x14ac:dyDescent="0.35"/>
  </sheetData>
  <mergeCells count="1">
    <mergeCell ref="B3:H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opLeftCell="A13" workbookViewId="0">
      <selection activeCell="C8" sqref="C8"/>
    </sheetView>
  </sheetViews>
  <sheetFormatPr defaultRowHeight="14" x14ac:dyDescent="0.3"/>
  <cols>
    <col min="1" max="1" width="20.54296875" style="17" customWidth="1"/>
    <col min="2" max="2" width="11.7265625" style="17" customWidth="1"/>
    <col min="3" max="4" width="9.26953125" style="17"/>
    <col min="5" max="5" width="10.26953125" style="17" customWidth="1"/>
    <col min="6" max="6" width="10.7265625" style="17" customWidth="1"/>
    <col min="7" max="7" width="9.26953125" style="17"/>
    <col min="8" max="8" width="10.453125" style="17" customWidth="1"/>
    <col min="9" max="9" width="15.453125" style="17" customWidth="1"/>
    <col min="10" max="258" width="9.26953125" style="17"/>
    <col min="259" max="259" width="11.7265625" style="17" customWidth="1"/>
    <col min="260" max="260" width="9.26953125" style="17"/>
    <col min="261" max="261" width="14.7265625" style="17" customWidth="1"/>
    <col min="262" max="262" width="10.7265625" style="17" customWidth="1"/>
    <col min="263" max="514" width="9.26953125" style="17"/>
    <col min="515" max="515" width="11.7265625" style="17" customWidth="1"/>
    <col min="516" max="516" width="9.26953125" style="17"/>
    <col min="517" max="517" width="14.7265625" style="17" customWidth="1"/>
    <col min="518" max="518" width="10.7265625" style="17" customWidth="1"/>
    <col min="519" max="770" width="9.26953125" style="17"/>
    <col min="771" max="771" width="11.7265625" style="17" customWidth="1"/>
    <col min="772" max="772" width="9.26953125" style="17"/>
    <col min="773" max="773" width="14.7265625" style="17" customWidth="1"/>
    <col min="774" max="774" width="10.7265625" style="17" customWidth="1"/>
    <col min="775" max="1026" width="9.26953125" style="17"/>
    <col min="1027" max="1027" width="11.7265625" style="17" customWidth="1"/>
    <col min="1028" max="1028" width="9.26953125" style="17"/>
    <col min="1029" max="1029" width="14.7265625" style="17" customWidth="1"/>
    <col min="1030" max="1030" width="10.7265625" style="17" customWidth="1"/>
    <col min="1031" max="1282" width="9.26953125" style="17"/>
    <col min="1283" max="1283" width="11.7265625" style="17" customWidth="1"/>
    <col min="1284" max="1284" width="9.26953125" style="17"/>
    <col min="1285" max="1285" width="14.7265625" style="17" customWidth="1"/>
    <col min="1286" max="1286" width="10.7265625" style="17" customWidth="1"/>
    <col min="1287" max="1538" width="9.26953125" style="17"/>
    <col min="1539" max="1539" width="11.7265625" style="17" customWidth="1"/>
    <col min="1540" max="1540" width="9.26953125" style="17"/>
    <col min="1541" max="1541" width="14.7265625" style="17" customWidth="1"/>
    <col min="1542" max="1542" width="10.7265625" style="17" customWidth="1"/>
    <col min="1543" max="1794" width="9.26953125" style="17"/>
    <col min="1795" max="1795" width="11.7265625" style="17" customWidth="1"/>
    <col min="1796" max="1796" width="9.26953125" style="17"/>
    <col min="1797" max="1797" width="14.7265625" style="17" customWidth="1"/>
    <col min="1798" max="1798" width="10.7265625" style="17" customWidth="1"/>
    <col min="1799" max="2050" width="9.26953125" style="17"/>
    <col min="2051" max="2051" width="11.7265625" style="17" customWidth="1"/>
    <col min="2052" max="2052" width="9.26953125" style="17"/>
    <col min="2053" max="2053" width="14.7265625" style="17" customWidth="1"/>
    <col min="2054" max="2054" width="10.7265625" style="17" customWidth="1"/>
    <col min="2055" max="2306" width="9.26953125" style="17"/>
    <col min="2307" max="2307" width="11.7265625" style="17" customWidth="1"/>
    <col min="2308" max="2308" width="9.26953125" style="17"/>
    <col min="2309" max="2309" width="14.7265625" style="17" customWidth="1"/>
    <col min="2310" max="2310" width="10.7265625" style="17" customWidth="1"/>
    <col min="2311" max="2562" width="9.26953125" style="17"/>
    <col min="2563" max="2563" width="11.7265625" style="17" customWidth="1"/>
    <col min="2564" max="2564" width="9.26953125" style="17"/>
    <col min="2565" max="2565" width="14.7265625" style="17" customWidth="1"/>
    <col min="2566" max="2566" width="10.7265625" style="17" customWidth="1"/>
    <col min="2567" max="2818" width="9.26953125" style="17"/>
    <col min="2819" max="2819" width="11.7265625" style="17" customWidth="1"/>
    <col min="2820" max="2820" width="9.26953125" style="17"/>
    <col min="2821" max="2821" width="14.7265625" style="17" customWidth="1"/>
    <col min="2822" max="2822" width="10.7265625" style="17" customWidth="1"/>
    <col min="2823" max="3074" width="9.26953125" style="17"/>
    <col min="3075" max="3075" width="11.7265625" style="17" customWidth="1"/>
    <col min="3076" max="3076" width="9.26953125" style="17"/>
    <col min="3077" max="3077" width="14.7265625" style="17" customWidth="1"/>
    <col min="3078" max="3078" width="10.7265625" style="17" customWidth="1"/>
    <col min="3079" max="3330" width="9.26953125" style="17"/>
    <col min="3331" max="3331" width="11.7265625" style="17" customWidth="1"/>
    <col min="3332" max="3332" width="9.26953125" style="17"/>
    <col min="3333" max="3333" width="14.7265625" style="17" customWidth="1"/>
    <col min="3334" max="3334" width="10.7265625" style="17" customWidth="1"/>
    <col min="3335" max="3586" width="9.26953125" style="17"/>
    <col min="3587" max="3587" width="11.7265625" style="17" customWidth="1"/>
    <col min="3588" max="3588" width="9.26953125" style="17"/>
    <col min="3589" max="3589" width="14.7265625" style="17" customWidth="1"/>
    <col min="3590" max="3590" width="10.7265625" style="17" customWidth="1"/>
    <col min="3591" max="3842" width="9.26953125" style="17"/>
    <col min="3843" max="3843" width="11.7265625" style="17" customWidth="1"/>
    <col min="3844" max="3844" width="9.26953125" style="17"/>
    <col min="3845" max="3845" width="14.7265625" style="17" customWidth="1"/>
    <col min="3846" max="3846" width="10.7265625" style="17" customWidth="1"/>
    <col min="3847" max="4098" width="9.26953125" style="17"/>
    <col min="4099" max="4099" width="11.7265625" style="17" customWidth="1"/>
    <col min="4100" max="4100" width="9.26953125" style="17"/>
    <col min="4101" max="4101" width="14.7265625" style="17" customWidth="1"/>
    <col min="4102" max="4102" width="10.7265625" style="17" customWidth="1"/>
    <col min="4103" max="4354" width="9.26953125" style="17"/>
    <col min="4355" max="4355" width="11.7265625" style="17" customWidth="1"/>
    <col min="4356" max="4356" width="9.26953125" style="17"/>
    <col min="4357" max="4357" width="14.7265625" style="17" customWidth="1"/>
    <col min="4358" max="4358" width="10.7265625" style="17" customWidth="1"/>
    <col min="4359" max="4610" width="9.26953125" style="17"/>
    <col min="4611" max="4611" width="11.7265625" style="17" customWidth="1"/>
    <col min="4612" max="4612" width="9.26953125" style="17"/>
    <col min="4613" max="4613" width="14.7265625" style="17" customWidth="1"/>
    <col min="4614" max="4614" width="10.7265625" style="17" customWidth="1"/>
    <col min="4615" max="4866" width="9.26953125" style="17"/>
    <col min="4867" max="4867" width="11.7265625" style="17" customWidth="1"/>
    <col min="4868" max="4868" width="9.26953125" style="17"/>
    <col min="4869" max="4869" width="14.7265625" style="17" customWidth="1"/>
    <col min="4870" max="4870" width="10.7265625" style="17" customWidth="1"/>
    <col min="4871" max="5122" width="9.26953125" style="17"/>
    <col min="5123" max="5123" width="11.7265625" style="17" customWidth="1"/>
    <col min="5124" max="5124" width="9.26953125" style="17"/>
    <col min="5125" max="5125" width="14.7265625" style="17" customWidth="1"/>
    <col min="5126" max="5126" width="10.7265625" style="17" customWidth="1"/>
    <col min="5127" max="5378" width="9.26953125" style="17"/>
    <col min="5379" max="5379" width="11.7265625" style="17" customWidth="1"/>
    <col min="5380" max="5380" width="9.26953125" style="17"/>
    <col min="5381" max="5381" width="14.7265625" style="17" customWidth="1"/>
    <col min="5382" max="5382" width="10.7265625" style="17" customWidth="1"/>
    <col min="5383" max="5634" width="9.26953125" style="17"/>
    <col min="5635" max="5635" width="11.7265625" style="17" customWidth="1"/>
    <col min="5636" max="5636" width="9.26953125" style="17"/>
    <col min="5637" max="5637" width="14.7265625" style="17" customWidth="1"/>
    <col min="5638" max="5638" width="10.7265625" style="17" customWidth="1"/>
    <col min="5639" max="5890" width="9.26953125" style="17"/>
    <col min="5891" max="5891" width="11.7265625" style="17" customWidth="1"/>
    <col min="5892" max="5892" width="9.26953125" style="17"/>
    <col min="5893" max="5893" width="14.7265625" style="17" customWidth="1"/>
    <col min="5894" max="5894" width="10.7265625" style="17" customWidth="1"/>
    <col min="5895" max="6146" width="9.26953125" style="17"/>
    <col min="6147" max="6147" width="11.7265625" style="17" customWidth="1"/>
    <col min="6148" max="6148" width="9.26953125" style="17"/>
    <col min="6149" max="6149" width="14.7265625" style="17" customWidth="1"/>
    <col min="6150" max="6150" width="10.7265625" style="17" customWidth="1"/>
    <col min="6151" max="6402" width="9.26953125" style="17"/>
    <col min="6403" max="6403" width="11.7265625" style="17" customWidth="1"/>
    <col min="6404" max="6404" width="9.26953125" style="17"/>
    <col min="6405" max="6405" width="14.7265625" style="17" customWidth="1"/>
    <col min="6406" max="6406" width="10.7265625" style="17" customWidth="1"/>
    <col min="6407" max="6658" width="9.26953125" style="17"/>
    <col min="6659" max="6659" width="11.7265625" style="17" customWidth="1"/>
    <col min="6660" max="6660" width="9.26953125" style="17"/>
    <col min="6661" max="6661" width="14.7265625" style="17" customWidth="1"/>
    <col min="6662" max="6662" width="10.7265625" style="17" customWidth="1"/>
    <col min="6663" max="6914" width="9.26953125" style="17"/>
    <col min="6915" max="6915" width="11.7265625" style="17" customWidth="1"/>
    <col min="6916" max="6916" width="9.26953125" style="17"/>
    <col min="6917" max="6917" width="14.7265625" style="17" customWidth="1"/>
    <col min="6918" max="6918" width="10.7265625" style="17" customWidth="1"/>
    <col min="6919" max="7170" width="9.26953125" style="17"/>
    <col min="7171" max="7171" width="11.7265625" style="17" customWidth="1"/>
    <col min="7172" max="7172" width="9.26953125" style="17"/>
    <col min="7173" max="7173" width="14.7265625" style="17" customWidth="1"/>
    <col min="7174" max="7174" width="10.7265625" style="17" customWidth="1"/>
    <col min="7175" max="7426" width="9.26953125" style="17"/>
    <col min="7427" max="7427" width="11.7265625" style="17" customWidth="1"/>
    <col min="7428" max="7428" width="9.26953125" style="17"/>
    <col min="7429" max="7429" width="14.7265625" style="17" customWidth="1"/>
    <col min="7430" max="7430" width="10.7265625" style="17" customWidth="1"/>
    <col min="7431" max="7682" width="9.26953125" style="17"/>
    <col min="7683" max="7683" width="11.7265625" style="17" customWidth="1"/>
    <col min="7684" max="7684" width="9.26953125" style="17"/>
    <col min="7685" max="7685" width="14.7265625" style="17" customWidth="1"/>
    <col min="7686" max="7686" width="10.7265625" style="17" customWidth="1"/>
    <col min="7687" max="7938" width="9.26953125" style="17"/>
    <col min="7939" max="7939" width="11.7265625" style="17" customWidth="1"/>
    <col min="7940" max="7940" width="9.26953125" style="17"/>
    <col min="7941" max="7941" width="14.7265625" style="17" customWidth="1"/>
    <col min="7942" max="7942" width="10.7265625" style="17" customWidth="1"/>
    <col min="7943" max="8194" width="9.26953125" style="17"/>
    <col min="8195" max="8195" width="11.7265625" style="17" customWidth="1"/>
    <col min="8196" max="8196" width="9.26953125" style="17"/>
    <col min="8197" max="8197" width="14.7265625" style="17" customWidth="1"/>
    <col min="8198" max="8198" width="10.7265625" style="17" customWidth="1"/>
    <col min="8199" max="8450" width="9.26953125" style="17"/>
    <col min="8451" max="8451" width="11.7265625" style="17" customWidth="1"/>
    <col min="8452" max="8452" width="9.26953125" style="17"/>
    <col min="8453" max="8453" width="14.7265625" style="17" customWidth="1"/>
    <col min="8454" max="8454" width="10.7265625" style="17" customWidth="1"/>
    <col min="8455" max="8706" width="9.26953125" style="17"/>
    <col min="8707" max="8707" width="11.7265625" style="17" customWidth="1"/>
    <col min="8708" max="8708" width="9.26953125" style="17"/>
    <col min="8709" max="8709" width="14.7265625" style="17" customWidth="1"/>
    <col min="8710" max="8710" width="10.7265625" style="17" customWidth="1"/>
    <col min="8711" max="8962" width="9.26953125" style="17"/>
    <col min="8963" max="8963" width="11.7265625" style="17" customWidth="1"/>
    <col min="8964" max="8964" width="9.26953125" style="17"/>
    <col min="8965" max="8965" width="14.7265625" style="17" customWidth="1"/>
    <col min="8966" max="8966" width="10.7265625" style="17" customWidth="1"/>
    <col min="8967" max="9218" width="9.26953125" style="17"/>
    <col min="9219" max="9219" width="11.7265625" style="17" customWidth="1"/>
    <col min="9220" max="9220" width="9.26953125" style="17"/>
    <col min="9221" max="9221" width="14.7265625" style="17" customWidth="1"/>
    <col min="9222" max="9222" width="10.7265625" style="17" customWidth="1"/>
    <col min="9223" max="9474" width="9.26953125" style="17"/>
    <col min="9475" max="9475" width="11.7265625" style="17" customWidth="1"/>
    <col min="9476" max="9476" width="9.26953125" style="17"/>
    <col min="9477" max="9477" width="14.7265625" style="17" customWidth="1"/>
    <col min="9478" max="9478" width="10.7265625" style="17" customWidth="1"/>
    <col min="9479" max="9730" width="9.26953125" style="17"/>
    <col min="9731" max="9731" width="11.7265625" style="17" customWidth="1"/>
    <col min="9732" max="9732" width="9.26953125" style="17"/>
    <col min="9733" max="9733" width="14.7265625" style="17" customWidth="1"/>
    <col min="9734" max="9734" width="10.7265625" style="17" customWidth="1"/>
    <col min="9735" max="9986" width="9.26953125" style="17"/>
    <col min="9987" max="9987" width="11.7265625" style="17" customWidth="1"/>
    <col min="9988" max="9988" width="9.26953125" style="17"/>
    <col min="9989" max="9989" width="14.7265625" style="17" customWidth="1"/>
    <col min="9990" max="9990" width="10.7265625" style="17" customWidth="1"/>
    <col min="9991" max="10242" width="9.26953125" style="17"/>
    <col min="10243" max="10243" width="11.7265625" style="17" customWidth="1"/>
    <col min="10244" max="10244" width="9.26953125" style="17"/>
    <col min="10245" max="10245" width="14.7265625" style="17" customWidth="1"/>
    <col min="10246" max="10246" width="10.7265625" style="17" customWidth="1"/>
    <col min="10247" max="10498" width="9.26953125" style="17"/>
    <col min="10499" max="10499" width="11.7265625" style="17" customWidth="1"/>
    <col min="10500" max="10500" width="9.26953125" style="17"/>
    <col min="10501" max="10501" width="14.7265625" style="17" customWidth="1"/>
    <col min="10502" max="10502" width="10.7265625" style="17" customWidth="1"/>
    <col min="10503" max="10754" width="9.26953125" style="17"/>
    <col min="10755" max="10755" width="11.7265625" style="17" customWidth="1"/>
    <col min="10756" max="10756" width="9.26953125" style="17"/>
    <col min="10757" max="10757" width="14.7265625" style="17" customWidth="1"/>
    <col min="10758" max="10758" width="10.7265625" style="17" customWidth="1"/>
    <col min="10759" max="11010" width="9.26953125" style="17"/>
    <col min="11011" max="11011" width="11.7265625" style="17" customWidth="1"/>
    <col min="11012" max="11012" width="9.26953125" style="17"/>
    <col min="11013" max="11013" width="14.7265625" style="17" customWidth="1"/>
    <col min="11014" max="11014" width="10.7265625" style="17" customWidth="1"/>
    <col min="11015" max="11266" width="9.26953125" style="17"/>
    <col min="11267" max="11267" width="11.7265625" style="17" customWidth="1"/>
    <col min="11268" max="11268" width="9.26953125" style="17"/>
    <col min="11269" max="11269" width="14.7265625" style="17" customWidth="1"/>
    <col min="11270" max="11270" width="10.7265625" style="17" customWidth="1"/>
    <col min="11271" max="11522" width="9.26953125" style="17"/>
    <col min="11523" max="11523" width="11.7265625" style="17" customWidth="1"/>
    <col min="11524" max="11524" width="9.26953125" style="17"/>
    <col min="11525" max="11525" width="14.7265625" style="17" customWidth="1"/>
    <col min="11526" max="11526" width="10.7265625" style="17" customWidth="1"/>
    <col min="11527" max="11778" width="9.26953125" style="17"/>
    <col min="11779" max="11779" width="11.7265625" style="17" customWidth="1"/>
    <col min="11780" max="11780" width="9.26953125" style="17"/>
    <col min="11781" max="11781" width="14.7265625" style="17" customWidth="1"/>
    <col min="11782" max="11782" width="10.7265625" style="17" customWidth="1"/>
    <col min="11783" max="12034" width="9.26953125" style="17"/>
    <col min="12035" max="12035" width="11.7265625" style="17" customWidth="1"/>
    <col min="12036" max="12036" width="9.26953125" style="17"/>
    <col min="12037" max="12037" width="14.7265625" style="17" customWidth="1"/>
    <col min="12038" max="12038" width="10.7265625" style="17" customWidth="1"/>
    <col min="12039" max="12290" width="9.26953125" style="17"/>
    <col min="12291" max="12291" width="11.7265625" style="17" customWidth="1"/>
    <col min="12292" max="12292" width="9.26953125" style="17"/>
    <col min="12293" max="12293" width="14.7265625" style="17" customWidth="1"/>
    <col min="12294" max="12294" width="10.7265625" style="17" customWidth="1"/>
    <col min="12295" max="12546" width="9.26953125" style="17"/>
    <col min="12547" max="12547" width="11.7265625" style="17" customWidth="1"/>
    <col min="12548" max="12548" width="9.26953125" style="17"/>
    <col min="12549" max="12549" width="14.7265625" style="17" customWidth="1"/>
    <col min="12550" max="12550" width="10.7265625" style="17" customWidth="1"/>
    <col min="12551" max="12802" width="9.26953125" style="17"/>
    <col min="12803" max="12803" width="11.7265625" style="17" customWidth="1"/>
    <col min="12804" max="12804" width="9.26953125" style="17"/>
    <col min="12805" max="12805" width="14.7265625" style="17" customWidth="1"/>
    <col min="12806" max="12806" width="10.7265625" style="17" customWidth="1"/>
    <col min="12807" max="13058" width="9.26953125" style="17"/>
    <col min="13059" max="13059" width="11.7265625" style="17" customWidth="1"/>
    <col min="13060" max="13060" width="9.26953125" style="17"/>
    <col min="13061" max="13061" width="14.7265625" style="17" customWidth="1"/>
    <col min="13062" max="13062" width="10.7265625" style="17" customWidth="1"/>
    <col min="13063" max="13314" width="9.26953125" style="17"/>
    <col min="13315" max="13315" width="11.7265625" style="17" customWidth="1"/>
    <col min="13316" max="13316" width="9.26953125" style="17"/>
    <col min="13317" max="13317" width="14.7265625" style="17" customWidth="1"/>
    <col min="13318" max="13318" width="10.7265625" style="17" customWidth="1"/>
    <col min="13319" max="13570" width="9.26953125" style="17"/>
    <col min="13571" max="13571" width="11.7265625" style="17" customWidth="1"/>
    <col min="13572" max="13572" width="9.26953125" style="17"/>
    <col min="13573" max="13573" width="14.7265625" style="17" customWidth="1"/>
    <col min="13574" max="13574" width="10.7265625" style="17" customWidth="1"/>
    <col min="13575" max="13826" width="9.26953125" style="17"/>
    <col min="13827" max="13827" width="11.7265625" style="17" customWidth="1"/>
    <col min="13828" max="13828" width="9.26953125" style="17"/>
    <col min="13829" max="13829" width="14.7265625" style="17" customWidth="1"/>
    <col min="13830" max="13830" width="10.7265625" style="17" customWidth="1"/>
    <col min="13831" max="14082" width="9.26953125" style="17"/>
    <col min="14083" max="14083" width="11.7265625" style="17" customWidth="1"/>
    <col min="14084" max="14084" width="9.26953125" style="17"/>
    <col min="14085" max="14085" width="14.7265625" style="17" customWidth="1"/>
    <col min="14086" max="14086" width="10.7265625" style="17" customWidth="1"/>
    <col min="14087" max="14338" width="9.26953125" style="17"/>
    <col min="14339" max="14339" width="11.7265625" style="17" customWidth="1"/>
    <col min="14340" max="14340" width="9.26953125" style="17"/>
    <col min="14341" max="14341" width="14.7265625" style="17" customWidth="1"/>
    <col min="14342" max="14342" width="10.7265625" style="17" customWidth="1"/>
    <col min="14343" max="14594" width="9.26953125" style="17"/>
    <col min="14595" max="14595" width="11.7265625" style="17" customWidth="1"/>
    <col min="14596" max="14596" width="9.26953125" style="17"/>
    <col min="14597" max="14597" width="14.7265625" style="17" customWidth="1"/>
    <col min="14598" max="14598" width="10.7265625" style="17" customWidth="1"/>
    <col min="14599" max="14850" width="9.26953125" style="17"/>
    <col min="14851" max="14851" width="11.7265625" style="17" customWidth="1"/>
    <col min="14852" max="14852" width="9.26953125" style="17"/>
    <col min="14853" max="14853" width="14.7265625" style="17" customWidth="1"/>
    <col min="14854" max="14854" width="10.7265625" style="17" customWidth="1"/>
    <col min="14855" max="15106" width="9.26953125" style="17"/>
    <col min="15107" max="15107" width="11.7265625" style="17" customWidth="1"/>
    <col min="15108" max="15108" width="9.26953125" style="17"/>
    <col min="15109" max="15109" width="14.7265625" style="17" customWidth="1"/>
    <col min="15110" max="15110" width="10.7265625" style="17" customWidth="1"/>
    <col min="15111" max="15362" width="9.26953125" style="17"/>
    <col min="15363" max="15363" width="11.7265625" style="17" customWidth="1"/>
    <col min="15364" max="15364" width="9.26953125" style="17"/>
    <col min="15365" max="15365" width="14.7265625" style="17" customWidth="1"/>
    <col min="15366" max="15366" width="10.7265625" style="17" customWidth="1"/>
    <col min="15367" max="15618" width="9.26953125" style="17"/>
    <col min="15619" max="15619" width="11.7265625" style="17" customWidth="1"/>
    <col min="15620" max="15620" width="9.26953125" style="17"/>
    <col min="15621" max="15621" width="14.7265625" style="17" customWidth="1"/>
    <col min="15622" max="15622" width="10.7265625" style="17" customWidth="1"/>
    <col min="15623" max="15874" width="9.26953125" style="17"/>
    <col min="15875" max="15875" width="11.7265625" style="17" customWidth="1"/>
    <col min="15876" max="15876" width="9.26953125" style="17"/>
    <col min="15877" max="15877" width="14.7265625" style="17" customWidth="1"/>
    <col min="15878" max="15878" width="10.7265625" style="17" customWidth="1"/>
    <col min="15879" max="16130" width="9.26953125" style="17"/>
    <col min="16131" max="16131" width="11.7265625" style="17" customWidth="1"/>
    <col min="16132" max="16132" width="9.26953125" style="17"/>
    <col min="16133" max="16133" width="14.7265625" style="17" customWidth="1"/>
    <col min="16134" max="16134" width="10.7265625" style="17" customWidth="1"/>
    <col min="16135" max="16384" width="9.26953125" style="17"/>
  </cols>
  <sheetData>
    <row r="2" spans="1:13" x14ac:dyDescent="0.3">
      <c r="A2" s="18" t="s">
        <v>132</v>
      </c>
      <c r="B2" s="18" t="s">
        <v>133</v>
      </c>
      <c r="C2" s="18" t="s">
        <v>134</v>
      </c>
      <c r="D2" s="275" t="s">
        <v>135</v>
      </c>
      <c r="E2" s="275"/>
    </row>
    <row r="3" spans="1:13" x14ac:dyDescent="0.3">
      <c r="A3" s="21">
        <v>2</v>
      </c>
      <c r="B3" s="21">
        <v>0</v>
      </c>
      <c r="C3" s="21">
        <v>1</v>
      </c>
      <c r="D3" s="276">
        <v>36</v>
      </c>
      <c r="E3" s="276"/>
    </row>
    <row r="5" spans="1:13" hidden="1" x14ac:dyDescent="0.3">
      <c r="A5" s="17" t="s">
        <v>97</v>
      </c>
      <c r="B5" s="19" t="s">
        <v>148</v>
      </c>
      <c r="C5" s="19">
        <f>D3</f>
        <v>36</v>
      </c>
      <c r="D5" s="20"/>
    </row>
    <row r="6" spans="1:13" x14ac:dyDescent="0.3">
      <c r="A6" s="17" t="s">
        <v>98</v>
      </c>
      <c r="B6" s="22">
        <v>10</v>
      </c>
      <c r="C6" s="23">
        <v>10</v>
      </c>
      <c r="D6" s="24">
        <f>((100/B6)*C6)/100</f>
        <v>1</v>
      </c>
    </row>
    <row r="7" spans="1:13" x14ac:dyDescent="0.3">
      <c r="A7" s="17" t="s">
        <v>99</v>
      </c>
      <c r="B7" s="22">
        <v>37</v>
      </c>
      <c r="C7" s="23">
        <v>1</v>
      </c>
      <c r="D7" s="24">
        <f t="shared" ref="D7:D12" si="0">((100/B7)*C7)/100</f>
        <v>2.7027027027027025E-2</v>
      </c>
      <c r="F7" s="278" t="s">
        <v>149</v>
      </c>
      <c r="G7" s="278"/>
      <c r="H7" s="25" t="s">
        <v>150</v>
      </c>
      <c r="J7" s="31"/>
    </row>
    <row r="8" spans="1:13" x14ac:dyDescent="0.3">
      <c r="A8" s="17" t="s">
        <v>104</v>
      </c>
      <c r="B8" s="22">
        <f>C5</f>
        <v>36</v>
      </c>
      <c r="C8" s="23">
        <v>0</v>
      </c>
      <c r="D8" s="24">
        <f t="shared" si="0"/>
        <v>0</v>
      </c>
      <c r="F8" s="277" t="s">
        <v>151</v>
      </c>
      <c r="G8" s="277"/>
      <c r="H8" s="22" t="s">
        <v>152</v>
      </c>
    </row>
    <row r="9" spans="1:13" x14ac:dyDescent="0.3">
      <c r="A9" s="17" t="s">
        <v>106</v>
      </c>
      <c r="B9" s="22">
        <f>C5</f>
        <v>36</v>
      </c>
      <c r="C9" s="23">
        <v>0</v>
      </c>
      <c r="D9" s="24">
        <f t="shared" si="0"/>
        <v>0</v>
      </c>
      <c r="F9" s="277" t="s">
        <v>153</v>
      </c>
      <c r="G9" s="277"/>
      <c r="H9" s="22" t="s">
        <v>154</v>
      </c>
    </row>
    <row r="10" spans="1:13" x14ac:dyDescent="0.3">
      <c r="A10" s="17" t="s">
        <v>67</v>
      </c>
      <c r="B10" s="22">
        <f>C5</f>
        <v>36</v>
      </c>
      <c r="C10" s="23">
        <v>0</v>
      </c>
      <c r="D10" s="24">
        <f t="shared" si="0"/>
        <v>0</v>
      </c>
      <c r="F10" s="277" t="s">
        <v>155</v>
      </c>
      <c r="G10" s="277"/>
      <c r="H10" s="22" t="s">
        <v>156</v>
      </c>
    </row>
    <row r="11" spans="1:13" x14ac:dyDescent="0.3">
      <c r="A11" s="26" t="s">
        <v>102</v>
      </c>
      <c r="B11" s="22">
        <f>C5</f>
        <v>36</v>
      </c>
      <c r="C11" s="23">
        <v>0</v>
      </c>
      <c r="D11" s="24">
        <f t="shared" si="0"/>
        <v>0</v>
      </c>
      <c r="F11" s="277" t="s">
        <v>157</v>
      </c>
      <c r="G11" s="277"/>
      <c r="H11" s="22" t="s">
        <v>158</v>
      </c>
    </row>
    <row r="12" spans="1:13" x14ac:dyDescent="0.3">
      <c r="A12" s="17" t="s">
        <v>68</v>
      </c>
      <c r="B12" s="22">
        <f>C5</f>
        <v>36</v>
      </c>
      <c r="C12" s="23">
        <v>0</v>
      </c>
      <c r="D12" s="24">
        <f t="shared" si="0"/>
        <v>0</v>
      </c>
      <c r="F12" s="277" t="s">
        <v>159</v>
      </c>
      <c r="G12" s="277"/>
      <c r="H12" s="22" t="s">
        <v>160</v>
      </c>
    </row>
    <row r="13" spans="1:13" x14ac:dyDescent="0.3">
      <c r="F13" s="277" t="s">
        <v>161</v>
      </c>
      <c r="G13" s="277"/>
      <c r="H13" s="22" t="s">
        <v>162</v>
      </c>
    </row>
    <row r="14" spans="1:13" hidden="1" x14ac:dyDescent="0.3">
      <c r="A14" s="18"/>
      <c r="B14" s="18" t="s">
        <v>103</v>
      </c>
      <c r="C14" s="18" t="s">
        <v>107</v>
      </c>
      <c r="G14" s="18" t="s">
        <v>98</v>
      </c>
      <c r="H14" s="18" t="s">
        <v>100</v>
      </c>
      <c r="I14" s="18" t="s">
        <v>101</v>
      </c>
      <c r="J14" s="18" t="s">
        <v>66</v>
      </c>
      <c r="K14" s="18" t="s">
        <v>67</v>
      </c>
      <c r="L14" s="18" t="s">
        <v>102</v>
      </c>
      <c r="M14" s="18" t="s">
        <v>68</v>
      </c>
    </row>
    <row r="15" spans="1:13" hidden="1" x14ac:dyDescent="0.3">
      <c r="A15" s="18" t="s">
        <v>64</v>
      </c>
      <c r="B15" s="18">
        <f>G15</f>
        <v>10</v>
      </c>
      <c r="C15" s="18">
        <f>G16</f>
        <v>30</v>
      </c>
      <c r="E15" s="275" t="s">
        <v>103</v>
      </c>
      <c r="F15" s="275"/>
      <c r="G15" s="27">
        <f>C6</f>
        <v>10</v>
      </c>
      <c r="H15" s="27">
        <f>40/B7*C7</f>
        <v>1.0810810810810811</v>
      </c>
      <c r="I15" s="27">
        <f>15/B8*C8</f>
        <v>0</v>
      </c>
      <c r="J15" s="27">
        <f>10/B9*C9</f>
        <v>0</v>
      </c>
      <c r="K15" s="27">
        <f>10/B10*C10</f>
        <v>0</v>
      </c>
      <c r="L15" s="27">
        <f>5/B11*C11</f>
        <v>0</v>
      </c>
      <c r="M15" s="27">
        <f>5/B12*C12</f>
        <v>0</v>
      </c>
    </row>
    <row r="16" spans="1:13" hidden="1" x14ac:dyDescent="0.3">
      <c r="A16" s="18" t="s">
        <v>65</v>
      </c>
      <c r="B16" s="18">
        <f>H15</f>
        <v>1.0810810810810811</v>
      </c>
      <c r="C16" s="18">
        <f>H16</f>
        <v>0.81081081081081086</v>
      </c>
      <c r="E16" s="275" t="s">
        <v>105</v>
      </c>
      <c r="F16" s="275"/>
      <c r="G16" s="18">
        <f>G15+20</f>
        <v>30</v>
      </c>
      <c r="H16" s="18">
        <f>30/B7*C7</f>
        <v>0.81081081081081086</v>
      </c>
      <c r="I16" s="18">
        <f>15/B8*C8</f>
        <v>0</v>
      </c>
      <c r="J16" s="18">
        <f>10/B9*C9</f>
        <v>0</v>
      </c>
      <c r="K16" s="18">
        <f>5/B10*C10</f>
        <v>0</v>
      </c>
      <c r="L16" s="18">
        <f>5/B11*C11</f>
        <v>0</v>
      </c>
      <c r="M16" s="18">
        <f>5/B12*C12</f>
        <v>0</v>
      </c>
    </row>
    <row r="17" spans="1:8" hidden="1" x14ac:dyDescent="0.3">
      <c r="A17" s="18" t="s">
        <v>101</v>
      </c>
      <c r="B17" s="18">
        <f>I15</f>
        <v>0</v>
      </c>
      <c r="C17" s="18">
        <f>I16</f>
        <v>0</v>
      </c>
    </row>
    <row r="18" spans="1:8" hidden="1" x14ac:dyDescent="0.3">
      <c r="A18" s="18" t="s">
        <v>66</v>
      </c>
      <c r="B18" s="18">
        <f>J15</f>
        <v>0</v>
      </c>
      <c r="C18" s="18">
        <f>J16</f>
        <v>0</v>
      </c>
    </row>
    <row r="19" spans="1:8" hidden="1" x14ac:dyDescent="0.3">
      <c r="A19" s="18" t="s">
        <v>67</v>
      </c>
      <c r="B19" s="18">
        <f>K15</f>
        <v>0</v>
      </c>
      <c r="C19" s="18">
        <f>K16</f>
        <v>0</v>
      </c>
    </row>
    <row r="20" spans="1:8" hidden="1" x14ac:dyDescent="0.3">
      <c r="A20" s="28" t="s">
        <v>102</v>
      </c>
      <c r="B20" s="18">
        <f>L15</f>
        <v>0</v>
      </c>
      <c r="C20" s="18">
        <f>L16</f>
        <v>0</v>
      </c>
    </row>
    <row r="21" spans="1:8" hidden="1" x14ac:dyDescent="0.3">
      <c r="A21" s="18" t="s">
        <v>68</v>
      </c>
      <c r="B21" s="18">
        <f>M15</f>
        <v>0</v>
      </c>
      <c r="C21" s="18">
        <f>M16</f>
        <v>0</v>
      </c>
    </row>
    <row r="22" spans="1:8" x14ac:dyDescent="0.3">
      <c r="A22" s="18" t="s">
        <v>108</v>
      </c>
      <c r="B22" s="29">
        <f>(B15+B16+B17+B18+B19+B20+B21)/100</f>
        <v>0.1108108108108108</v>
      </c>
      <c r="C22" s="29">
        <f>(C15+C16+C17+C18+C19+C20+C21)/100</f>
        <v>0.30810810810810813</v>
      </c>
      <c r="F22" s="277" t="s">
        <v>163</v>
      </c>
      <c r="G22" s="277"/>
      <c r="H22" s="22" t="s">
        <v>154</v>
      </c>
    </row>
    <row r="23" spans="1:8" x14ac:dyDescent="0.3">
      <c r="F23" s="277" t="s">
        <v>164</v>
      </c>
      <c r="G23" s="277"/>
      <c r="H23" s="22" t="s">
        <v>165</v>
      </c>
    </row>
    <row r="24" spans="1:8" x14ac:dyDescent="0.3">
      <c r="A24" s="17" t="s">
        <v>141</v>
      </c>
      <c r="B24" s="30">
        <v>0.01</v>
      </c>
      <c r="C24" s="30">
        <v>0.02</v>
      </c>
      <c r="F24" s="277" t="s">
        <v>166</v>
      </c>
      <c r="G24" s="277"/>
      <c r="H24" s="22" t="s">
        <v>167</v>
      </c>
    </row>
    <row r="25" spans="1:8" x14ac:dyDescent="0.3">
      <c r="A25" s="17" t="s">
        <v>142</v>
      </c>
      <c r="B25" s="30">
        <v>0.01</v>
      </c>
      <c r="C25" s="30">
        <v>0.03</v>
      </c>
    </row>
    <row r="26" spans="1:8" x14ac:dyDescent="0.3">
      <c r="A26" s="17" t="s">
        <v>143</v>
      </c>
      <c r="B26" s="30">
        <v>0.03</v>
      </c>
      <c r="C26" s="30">
        <v>0.08</v>
      </c>
    </row>
    <row r="27" spans="1:8" x14ac:dyDescent="0.3">
      <c r="A27" s="17" t="s">
        <v>144</v>
      </c>
      <c r="B27" s="30">
        <v>0.05</v>
      </c>
      <c r="C27" s="30">
        <v>0.15</v>
      </c>
    </row>
    <row r="28" spans="1:8" x14ac:dyDescent="0.3">
      <c r="A28" s="17" t="s">
        <v>145</v>
      </c>
      <c r="B28" s="30">
        <v>7.0000000000000007E-2</v>
      </c>
      <c r="C28" s="30">
        <v>0.2</v>
      </c>
    </row>
    <row r="29" spans="1:8" x14ac:dyDescent="0.3">
      <c r="A29" s="17" t="s">
        <v>146</v>
      </c>
      <c r="B29" s="30">
        <v>0.1</v>
      </c>
      <c r="C29" s="30">
        <v>0.3</v>
      </c>
    </row>
  </sheetData>
  <mergeCells count="14">
    <mergeCell ref="E16:F16"/>
    <mergeCell ref="F22:G22"/>
    <mergeCell ref="F23:G23"/>
    <mergeCell ref="F24:G24"/>
    <mergeCell ref="E15:F15"/>
    <mergeCell ref="D2:E2"/>
    <mergeCell ref="D3:E3"/>
    <mergeCell ref="F12:G12"/>
    <mergeCell ref="F13:G13"/>
    <mergeCell ref="F7:G7"/>
    <mergeCell ref="F8:G8"/>
    <mergeCell ref="F9:G9"/>
    <mergeCell ref="F10:G10"/>
    <mergeCell ref="F11:G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opLeftCell="A13" workbookViewId="0">
      <selection activeCell="C8" sqref="C8"/>
    </sheetView>
  </sheetViews>
  <sheetFormatPr defaultRowHeight="14" x14ac:dyDescent="0.3"/>
  <cols>
    <col min="1" max="1" width="20.54296875" style="17" customWidth="1"/>
    <col min="2" max="2" width="11.7265625" style="17" customWidth="1"/>
    <col min="3" max="4" width="9.26953125" style="17"/>
    <col min="5" max="5" width="10.26953125" style="17" customWidth="1"/>
    <col min="6" max="6" width="10.7265625" style="17" customWidth="1"/>
    <col min="7" max="7" width="9.26953125" style="17"/>
    <col min="8" max="8" width="10.453125" style="17" customWidth="1"/>
    <col min="9" max="9" width="15.453125" style="17" customWidth="1"/>
    <col min="10" max="258" width="9.26953125" style="17"/>
    <col min="259" max="259" width="11.7265625" style="17" customWidth="1"/>
    <col min="260" max="260" width="9.26953125" style="17"/>
    <col min="261" max="261" width="14.7265625" style="17" customWidth="1"/>
    <col min="262" max="262" width="10.7265625" style="17" customWidth="1"/>
    <col min="263" max="514" width="9.26953125" style="17"/>
    <col min="515" max="515" width="11.7265625" style="17" customWidth="1"/>
    <col min="516" max="516" width="9.26953125" style="17"/>
    <col min="517" max="517" width="14.7265625" style="17" customWidth="1"/>
    <col min="518" max="518" width="10.7265625" style="17" customWidth="1"/>
    <col min="519" max="770" width="9.26953125" style="17"/>
    <col min="771" max="771" width="11.7265625" style="17" customWidth="1"/>
    <col min="772" max="772" width="9.26953125" style="17"/>
    <col min="773" max="773" width="14.7265625" style="17" customWidth="1"/>
    <col min="774" max="774" width="10.7265625" style="17" customWidth="1"/>
    <col min="775" max="1026" width="9.26953125" style="17"/>
    <col min="1027" max="1027" width="11.7265625" style="17" customWidth="1"/>
    <col min="1028" max="1028" width="9.26953125" style="17"/>
    <col min="1029" max="1029" width="14.7265625" style="17" customWidth="1"/>
    <col min="1030" max="1030" width="10.7265625" style="17" customWidth="1"/>
    <col min="1031" max="1282" width="9.26953125" style="17"/>
    <col min="1283" max="1283" width="11.7265625" style="17" customWidth="1"/>
    <col min="1284" max="1284" width="9.26953125" style="17"/>
    <col min="1285" max="1285" width="14.7265625" style="17" customWidth="1"/>
    <col min="1286" max="1286" width="10.7265625" style="17" customWidth="1"/>
    <col min="1287" max="1538" width="9.26953125" style="17"/>
    <col min="1539" max="1539" width="11.7265625" style="17" customWidth="1"/>
    <col min="1540" max="1540" width="9.26953125" style="17"/>
    <col min="1541" max="1541" width="14.7265625" style="17" customWidth="1"/>
    <col min="1542" max="1542" width="10.7265625" style="17" customWidth="1"/>
    <col min="1543" max="1794" width="9.26953125" style="17"/>
    <col min="1795" max="1795" width="11.7265625" style="17" customWidth="1"/>
    <col min="1796" max="1796" width="9.26953125" style="17"/>
    <col min="1797" max="1797" width="14.7265625" style="17" customWidth="1"/>
    <col min="1798" max="1798" width="10.7265625" style="17" customWidth="1"/>
    <col min="1799" max="2050" width="9.26953125" style="17"/>
    <col min="2051" max="2051" width="11.7265625" style="17" customWidth="1"/>
    <col min="2052" max="2052" width="9.26953125" style="17"/>
    <col min="2053" max="2053" width="14.7265625" style="17" customWidth="1"/>
    <col min="2054" max="2054" width="10.7265625" style="17" customWidth="1"/>
    <col min="2055" max="2306" width="9.26953125" style="17"/>
    <col min="2307" max="2307" width="11.7265625" style="17" customWidth="1"/>
    <col min="2308" max="2308" width="9.26953125" style="17"/>
    <col min="2309" max="2309" width="14.7265625" style="17" customWidth="1"/>
    <col min="2310" max="2310" width="10.7265625" style="17" customWidth="1"/>
    <col min="2311" max="2562" width="9.26953125" style="17"/>
    <col min="2563" max="2563" width="11.7265625" style="17" customWidth="1"/>
    <col min="2564" max="2564" width="9.26953125" style="17"/>
    <col min="2565" max="2565" width="14.7265625" style="17" customWidth="1"/>
    <col min="2566" max="2566" width="10.7265625" style="17" customWidth="1"/>
    <col min="2567" max="2818" width="9.26953125" style="17"/>
    <col min="2819" max="2819" width="11.7265625" style="17" customWidth="1"/>
    <col min="2820" max="2820" width="9.26953125" style="17"/>
    <col min="2821" max="2821" width="14.7265625" style="17" customWidth="1"/>
    <col min="2822" max="2822" width="10.7265625" style="17" customWidth="1"/>
    <col min="2823" max="3074" width="9.26953125" style="17"/>
    <col min="3075" max="3075" width="11.7265625" style="17" customWidth="1"/>
    <col min="3076" max="3076" width="9.26953125" style="17"/>
    <col min="3077" max="3077" width="14.7265625" style="17" customWidth="1"/>
    <col min="3078" max="3078" width="10.7265625" style="17" customWidth="1"/>
    <col min="3079" max="3330" width="9.26953125" style="17"/>
    <col min="3331" max="3331" width="11.7265625" style="17" customWidth="1"/>
    <col min="3332" max="3332" width="9.26953125" style="17"/>
    <col min="3333" max="3333" width="14.7265625" style="17" customWidth="1"/>
    <col min="3334" max="3334" width="10.7265625" style="17" customWidth="1"/>
    <col min="3335" max="3586" width="9.26953125" style="17"/>
    <col min="3587" max="3587" width="11.7265625" style="17" customWidth="1"/>
    <col min="3588" max="3588" width="9.26953125" style="17"/>
    <col min="3589" max="3589" width="14.7265625" style="17" customWidth="1"/>
    <col min="3590" max="3590" width="10.7265625" style="17" customWidth="1"/>
    <col min="3591" max="3842" width="9.26953125" style="17"/>
    <col min="3843" max="3843" width="11.7265625" style="17" customWidth="1"/>
    <col min="3844" max="3844" width="9.26953125" style="17"/>
    <col min="3845" max="3845" width="14.7265625" style="17" customWidth="1"/>
    <col min="3846" max="3846" width="10.7265625" style="17" customWidth="1"/>
    <col min="3847" max="4098" width="9.26953125" style="17"/>
    <col min="4099" max="4099" width="11.7265625" style="17" customWidth="1"/>
    <col min="4100" max="4100" width="9.26953125" style="17"/>
    <col min="4101" max="4101" width="14.7265625" style="17" customWidth="1"/>
    <col min="4102" max="4102" width="10.7265625" style="17" customWidth="1"/>
    <col min="4103" max="4354" width="9.26953125" style="17"/>
    <col min="4355" max="4355" width="11.7265625" style="17" customWidth="1"/>
    <col min="4356" max="4356" width="9.26953125" style="17"/>
    <col min="4357" max="4357" width="14.7265625" style="17" customWidth="1"/>
    <col min="4358" max="4358" width="10.7265625" style="17" customWidth="1"/>
    <col min="4359" max="4610" width="9.26953125" style="17"/>
    <col min="4611" max="4611" width="11.7265625" style="17" customWidth="1"/>
    <col min="4612" max="4612" width="9.26953125" style="17"/>
    <col min="4613" max="4613" width="14.7265625" style="17" customWidth="1"/>
    <col min="4614" max="4614" width="10.7265625" style="17" customWidth="1"/>
    <col min="4615" max="4866" width="9.26953125" style="17"/>
    <col min="4867" max="4867" width="11.7265625" style="17" customWidth="1"/>
    <col min="4868" max="4868" width="9.26953125" style="17"/>
    <col min="4869" max="4869" width="14.7265625" style="17" customWidth="1"/>
    <col min="4870" max="4870" width="10.7265625" style="17" customWidth="1"/>
    <col min="4871" max="5122" width="9.26953125" style="17"/>
    <col min="5123" max="5123" width="11.7265625" style="17" customWidth="1"/>
    <col min="5124" max="5124" width="9.26953125" style="17"/>
    <col min="5125" max="5125" width="14.7265625" style="17" customWidth="1"/>
    <col min="5126" max="5126" width="10.7265625" style="17" customWidth="1"/>
    <col min="5127" max="5378" width="9.26953125" style="17"/>
    <col min="5379" max="5379" width="11.7265625" style="17" customWidth="1"/>
    <col min="5380" max="5380" width="9.26953125" style="17"/>
    <col min="5381" max="5381" width="14.7265625" style="17" customWidth="1"/>
    <col min="5382" max="5382" width="10.7265625" style="17" customWidth="1"/>
    <col min="5383" max="5634" width="9.26953125" style="17"/>
    <col min="5635" max="5635" width="11.7265625" style="17" customWidth="1"/>
    <col min="5636" max="5636" width="9.26953125" style="17"/>
    <col min="5637" max="5637" width="14.7265625" style="17" customWidth="1"/>
    <col min="5638" max="5638" width="10.7265625" style="17" customWidth="1"/>
    <col min="5639" max="5890" width="9.26953125" style="17"/>
    <col min="5891" max="5891" width="11.7265625" style="17" customWidth="1"/>
    <col min="5892" max="5892" width="9.26953125" style="17"/>
    <col min="5893" max="5893" width="14.7265625" style="17" customWidth="1"/>
    <col min="5894" max="5894" width="10.7265625" style="17" customWidth="1"/>
    <col min="5895" max="6146" width="9.26953125" style="17"/>
    <col min="6147" max="6147" width="11.7265625" style="17" customWidth="1"/>
    <col min="6148" max="6148" width="9.26953125" style="17"/>
    <col min="6149" max="6149" width="14.7265625" style="17" customWidth="1"/>
    <col min="6150" max="6150" width="10.7265625" style="17" customWidth="1"/>
    <col min="6151" max="6402" width="9.26953125" style="17"/>
    <col min="6403" max="6403" width="11.7265625" style="17" customWidth="1"/>
    <col min="6404" max="6404" width="9.26953125" style="17"/>
    <col min="6405" max="6405" width="14.7265625" style="17" customWidth="1"/>
    <col min="6406" max="6406" width="10.7265625" style="17" customWidth="1"/>
    <col min="6407" max="6658" width="9.26953125" style="17"/>
    <col min="6659" max="6659" width="11.7265625" style="17" customWidth="1"/>
    <col min="6660" max="6660" width="9.26953125" style="17"/>
    <col min="6661" max="6661" width="14.7265625" style="17" customWidth="1"/>
    <col min="6662" max="6662" width="10.7265625" style="17" customWidth="1"/>
    <col min="6663" max="6914" width="9.26953125" style="17"/>
    <col min="6915" max="6915" width="11.7265625" style="17" customWidth="1"/>
    <col min="6916" max="6916" width="9.26953125" style="17"/>
    <col min="6917" max="6917" width="14.7265625" style="17" customWidth="1"/>
    <col min="6918" max="6918" width="10.7265625" style="17" customWidth="1"/>
    <col min="6919" max="7170" width="9.26953125" style="17"/>
    <col min="7171" max="7171" width="11.7265625" style="17" customWidth="1"/>
    <col min="7172" max="7172" width="9.26953125" style="17"/>
    <col min="7173" max="7173" width="14.7265625" style="17" customWidth="1"/>
    <col min="7174" max="7174" width="10.7265625" style="17" customWidth="1"/>
    <col min="7175" max="7426" width="9.26953125" style="17"/>
    <col min="7427" max="7427" width="11.7265625" style="17" customWidth="1"/>
    <col min="7428" max="7428" width="9.26953125" style="17"/>
    <col min="7429" max="7429" width="14.7265625" style="17" customWidth="1"/>
    <col min="7430" max="7430" width="10.7265625" style="17" customWidth="1"/>
    <col min="7431" max="7682" width="9.26953125" style="17"/>
    <col min="7683" max="7683" width="11.7265625" style="17" customWidth="1"/>
    <col min="7684" max="7684" width="9.26953125" style="17"/>
    <col min="7685" max="7685" width="14.7265625" style="17" customWidth="1"/>
    <col min="7686" max="7686" width="10.7265625" style="17" customWidth="1"/>
    <col min="7687" max="7938" width="9.26953125" style="17"/>
    <col min="7939" max="7939" width="11.7265625" style="17" customWidth="1"/>
    <col min="7940" max="7940" width="9.26953125" style="17"/>
    <col min="7941" max="7941" width="14.7265625" style="17" customWidth="1"/>
    <col min="7942" max="7942" width="10.7265625" style="17" customWidth="1"/>
    <col min="7943" max="8194" width="9.26953125" style="17"/>
    <col min="8195" max="8195" width="11.7265625" style="17" customWidth="1"/>
    <col min="8196" max="8196" width="9.26953125" style="17"/>
    <col min="8197" max="8197" width="14.7265625" style="17" customWidth="1"/>
    <col min="8198" max="8198" width="10.7265625" style="17" customWidth="1"/>
    <col min="8199" max="8450" width="9.26953125" style="17"/>
    <col min="8451" max="8451" width="11.7265625" style="17" customWidth="1"/>
    <col min="8452" max="8452" width="9.26953125" style="17"/>
    <col min="8453" max="8453" width="14.7265625" style="17" customWidth="1"/>
    <col min="8454" max="8454" width="10.7265625" style="17" customWidth="1"/>
    <col min="8455" max="8706" width="9.26953125" style="17"/>
    <col min="8707" max="8707" width="11.7265625" style="17" customWidth="1"/>
    <col min="8708" max="8708" width="9.26953125" style="17"/>
    <col min="8709" max="8709" width="14.7265625" style="17" customWidth="1"/>
    <col min="8710" max="8710" width="10.7265625" style="17" customWidth="1"/>
    <col min="8711" max="8962" width="9.26953125" style="17"/>
    <col min="8963" max="8963" width="11.7265625" style="17" customWidth="1"/>
    <col min="8964" max="8964" width="9.26953125" style="17"/>
    <col min="8965" max="8965" width="14.7265625" style="17" customWidth="1"/>
    <col min="8966" max="8966" width="10.7265625" style="17" customWidth="1"/>
    <col min="8967" max="9218" width="9.26953125" style="17"/>
    <col min="9219" max="9219" width="11.7265625" style="17" customWidth="1"/>
    <col min="9220" max="9220" width="9.26953125" style="17"/>
    <col min="9221" max="9221" width="14.7265625" style="17" customWidth="1"/>
    <col min="9222" max="9222" width="10.7265625" style="17" customWidth="1"/>
    <col min="9223" max="9474" width="9.26953125" style="17"/>
    <col min="9475" max="9475" width="11.7265625" style="17" customWidth="1"/>
    <col min="9476" max="9476" width="9.26953125" style="17"/>
    <col min="9477" max="9477" width="14.7265625" style="17" customWidth="1"/>
    <col min="9478" max="9478" width="10.7265625" style="17" customWidth="1"/>
    <col min="9479" max="9730" width="9.26953125" style="17"/>
    <col min="9731" max="9731" width="11.7265625" style="17" customWidth="1"/>
    <col min="9732" max="9732" width="9.26953125" style="17"/>
    <col min="9733" max="9733" width="14.7265625" style="17" customWidth="1"/>
    <col min="9734" max="9734" width="10.7265625" style="17" customWidth="1"/>
    <col min="9735" max="9986" width="9.26953125" style="17"/>
    <col min="9987" max="9987" width="11.7265625" style="17" customWidth="1"/>
    <col min="9988" max="9988" width="9.26953125" style="17"/>
    <col min="9989" max="9989" width="14.7265625" style="17" customWidth="1"/>
    <col min="9990" max="9990" width="10.7265625" style="17" customWidth="1"/>
    <col min="9991" max="10242" width="9.26953125" style="17"/>
    <col min="10243" max="10243" width="11.7265625" style="17" customWidth="1"/>
    <col min="10244" max="10244" width="9.26953125" style="17"/>
    <col min="10245" max="10245" width="14.7265625" style="17" customWidth="1"/>
    <col min="10246" max="10246" width="10.7265625" style="17" customWidth="1"/>
    <col min="10247" max="10498" width="9.26953125" style="17"/>
    <col min="10499" max="10499" width="11.7265625" style="17" customWidth="1"/>
    <col min="10500" max="10500" width="9.26953125" style="17"/>
    <col min="10501" max="10501" width="14.7265625" style="17" customWidth="1"/>
    <col min="10502" max="10502" width="10.7265625" style="17" customWidth="1"/>
    <col min="10503" max="10754" width="9.26953125" style="17"/>
    <col min="10755" max="10755" width="11.7265625" style="17" customWidth="1"/>
    <col min="10756" max="10756" width="9.26953125" style="17"/>
    <col min="10757" max="10757" width="14.7265625" style="17" customWidth="1"/>
    <col min="10758" max="10758" width="10.7265625" style="17" customWidth="1"/>
    <col min="10759" max="11010" width="9.26953125" style="17"/>
    <col min="11011" max="11011" width="11.7265625" style="17" customWidth="1"/>
    <col min="11012" max="11012" width="9.26953125" style="17"/>
    <col min="11013" max="11013" width="14.7265625" style="17" customWidth="1"/>
    <col min="11014" max="11014" width="10.7265625" style="17" customWidth="1"/>
    <col min="11015" max="11266" width="9.26953125" style="17"/>
    <col min="11267" max="11267" width="11.7265625" style="17" customWidth="1"/>
    <col min="11268" max="11268" width="9.26953125" style="17"/>
    <col min="11269" max="11269" width="14.7265625" style="17" customWidth="1"/>
    <col min="11270" max="11270" width="10.7265625" style="17" customWidth="1"/>
    <col min="11271" max="11522" width="9.26953125" style="17"/>
    <col min="11523" max="11523" width="11.7265625" style="17" customWidth="1"/>
    <col min="11524" max="11524" width="9.26953125" style="17"/>
    <col min="11525" max="11525" width="14.7265625" style="17" customWidth="1"/>
    <col min="11526" max="11526" width="10.7265625" style="17" customWidth="1"/>
    <col min="11527" max="11778" width="9.26953125" style="17"/>
    <col min="11779" max="11779" width="11.7265625" style="17" customWidth="1"/>
    <col min="11780" max="11780" width="9.26953125" style="17"/>
    <col min="11781" max="11781" width="14.7265625" style="17" customWidth="1"/>
    <col min="11782" max="11782" width="10.7265625" style="17" customWidth="1"/>
    <col min="11783" max="12034" width="9.26953125" style="17"/>
    <col min="12035" max="12035" width="11.7265625" style="17" customWidth="1"/>
    <col min="12036" max="12036" width="9.26953125" style="17"/>
    <col min="12037" max="12037" width="14.7265625" style="17" customWidth="1"/>
    <col min="12038" max="12038" width="10.7265625" style="17" customWidth="1"/>
    <col min="12039" max="12290" width="9.26953125" style="17"/>
    <col min="12291" max="12291" width="11.7265625" style="17" customWidth="1"/>
    <col min="12292" max="12292" width="9.26953125" style="17"/>
    <col min="12293" max="12293" width="14.7265625" style="17" customWidth="1"/>
    <col min="12294" max="12294" width="10.7265625" style="17" customWidth="1"/>
    <col min="12295" max="12546" width="9.26953125" style="17"/>
    <col min="12547" max="12547" width="11.7265625" style="17" customWidth="1"/>
    <col min="12548" max="12548" width="9.26953125" style="17"/>
    <col min="12549" max="12549" width="14.7265625" style="17" customWidth="1"/>
    <col min="12550" max="12550" width="10.7265625" style="17" customWidth="1"/>
    <col min="12551" max="12802" width="9.26953125" style="17"/>
    <col min="12803" max="12803" width="11.7265625" style="17" customWidth="1"/>
    <col min="12804" max="12804" width="9.26953125" style="17"/>
    <col min="12805" max="12805" width="14.7265625" style="17" customWidth="1"/>
    <col min="12806" max="12806" width="10.7265625" style="17" customWidth="1"/>
    <col min="12807" max="13058" width="9.26953125" style="17"/>
    <col min="13059" max="13059" width="11.7265625" style="17" customWidth="1"/>
    <col min="13060" max="13060" width="9.26953125" style="17"/>
    <col min="13061" max="13061" width="14.7265625" style="17" customWidth="1"/>
    <col min="13062" max="13062" width="10.7265625" style="17" customWidth="1"/>
    <col min="13063" max="13314" width="9.26953125" style="17"/>
    <col min="13315" max="13315" width="11.7265625" style="17" customWidth="1"/>
    <col min="13316" max="13316" width="9.26953125" style="17"/>
    <col min="13317" max="13317" width="14.7265625" style="17" customWidth="1"/>
    <col min="13318" max="13318" width="10.7265625" style="17" customWidth="1"/>
    <col min="13319" max="13570" width="9.26953125" style="17"/>
    <col min="13571" max="13571" width="11.7265625" style="17" customWidth="1"/>
    <col min="13572" max="13572" width="9.26953125" style="17"/>
    <col min="13573" max="13573" width="14.7265625" style="17" customWidth="1"/>
    <col min="13574" max="13574" width="10.7265625" style="17" customWidth="1"/>
    <col min="13575" max="13826" width="9.26953125" style="17"/>
    <col min="13827" max="13827" width="11.7265625" style="17" customWidth="1"/>
    <col min="13828" max="13828" width="9.26953125" style="17"/>
    <col min="13829" max="13829" width="14.7265625" style="17" customWidth="1"/>
    <col min="13830" max="13830" width="10.7265625" style="17" customWidth="1"/>
    <col min="13831" max="14082" width="9.26953125" style="17"/>
    <col min="14083" max="14083" width="11.7265625" style="17" customWidth="1"/>
    <col min="14084" max="14084" width="9.26953125" style="17"/>
    <col min="14085" max="14085" width="14.7265625" style="17" customWidth="1"/>
    <col min="14086" max="14086" width="10.7265625" style="17" customWidth="1"/>
    <col min="14087" max="14338" width="9.26953125" style="17"/>
    <col min="14339" max="14339" width="11.7265625" style="17" customWidth="1"/>
    <col min="14340" max="14340" width="9.26953125" style="17"/>
    <col min="14341" max="14341" width="14.7265625" style="17" customWidth="1"/>
    <col min="14342" max="14342" width="10.7265625" style="17" customWidth="1"/>
    <col min="14343" max="14594" width="9.26953125" style="17"/>
    <col min="14595" max="14595" width="11.7265625" style="17" customWidth="1"/>
    <col min="14596" max="14596" width="9.26953125" style="17"/>
    <col min="14597" max="14597" width="14.7265625" style="17" customWidth="1"/>
    <col min="14598" max="14598" width="10.7265625" style="17" customWidth="1"/>
    <col min="14599" max="14850" width="9.26953125" style="17"/>
    <col min="14851" max="14851" width="11.7265625" style="17" customWidth="1"/>
    <col min="14852" max="14852" width="9.26953125" style="17"/>
    <col min="14853" max="14853" width="14.7265625" style="17" customWidth="1"/>
    <col min="14854" max="14854" width="10.7265625" style="17" customWidth="1"/>
    <col min="14855" max="15106" width="9.26953125" style="17"/>
    <col min="15107" max="15107" width="11.7265625" style="17" customWidth="1"/>
    <col min="15108" max="15108" width="9.26953125" style="17"/>
    <col min="15109" max="15109" width="14.7265625" style="17" customWidth="1"/>
    <col min="15110" max="15110" width="10.7265625" style="17" customWidth="1"/>
    <col min="15111" max="15362" width="9.26953125" style="17"/>
    <col min="15363" max="15363" width="11.7265625" style="17" customWidth="1"/>
    <col min="15364" max="15364" width="9.26953125" style="17"/>
    <col min="15365" max="15365" width="14.7265625" style="17" customWidth="1"/>
    <col min="15366" max="15366" width="10.7265625" style="17" customWidth="1"/>
    <col min="15367" max="15618" width="9.26953125" style="17"/>
    <col min="15619" max="15619" width="11.7265625" style="17" customWidth="1"/>
    <col min="15620" max="15620" width="9.26953125" style="17"/>
    <col min="15621" max="15621" width="14.7265625" style="17" customWidth="1"/>
    <col min="15622" max="15622" width="10.7265625" style="17" customWidth="1"/>
    <col min="15623" max="15874" width="9.26953125" style="17"/>
    <col min="15875" max="15875" width="11.7265625" style="17" customWidth="1"/>
    <col min="15876" max="15876" width="9.26953125" style="17"/>
    <col min="15877" max="15877" width="14.7265625" style="17" customWidth="1"/>
    <col min="15878" max="15878" width="10.7265625" style="17" customWidth="1"/>
    <col min="15879" max="16130" width="9.26953125" style="17"/>
    <col min="16131" max="16131" width="11.7265625" style="17" customWidth="1"/>
    <col min="16132" max="16132" width="9.26953125" style="17"/>
    <col min="16133" max="16133" width="14.7265625" style="17" customWidth="1"/>
    <col min="16134" max="16134" width="10.7265625" style="17" customWidth="1"/>
    <col min="16135" max="16384" width="9.26953125" style="17"/>
  </cols>
  <sheetData>
    <row r="2" spans="1:13" x14ac:dyDescent="0.3">
      <c r="A2" s="18" t="s">
        <v>132</v>
      </c>
      <c r="B2" s="18" t="s">
        <v>133</v>
      </c>
      <c r="C2" s="18" t="s">
        <v>134</v>
      </c>
      <c r="D2" s="275" t="s">
        <v>135</v>
      </c>
      <c r="E2" s="275"/>
    </row>
    <row r="3" spans="1:13" x14ac:dyDescent="0.3">
      <c r="A3" s="21">
        <v>2</v>
      </c>
      <c r="B3" s="21">
        <v>0</v>
      </c>
      <c r="C3" s="21">
        <v>1</v>
      </c>
      <c r="D3" s="276">
        <v>36</v>
      </c>
      <c r="E3" s="276"/>
    </row>
    <row r="5" spans="1:13" hidden="1" x14ac:dyDescent="0.3">
      <c r="A5" s="17" t="s">
        <v>97</v>
      </c>
      <c r="B5" s="19" t="s">
        <v>148</v>
      </c>
      <c r="C5" s="19">
        <f>D3</f>
        <v>36</v>
      </c>
      <c r="D5" s="20"/>
    </row>
    <row r="6" spans="1:13" x14ac:dyDescent="0.3">
      <c r="A6" s="17" t="s">
        <v>98</v>
      </c>
      <c r="B6" s="22">
        <v>10</v>
      </c>
      <c r="C6" s="23">
        <v>10</v>
      </c>
      <c r="D6" s="24">
        <f>((100/B6)*C6)/100</f>
        <v>1</v>
      </c>
    </row>
    <row r="7" spans="1:13" x14ac:dyDescent="0.3">
      <c r="A7" s="17" t="s">
        <v>99</v>
      </c>
      <c r="B7" s="22">
        <v>37</v>
      </c>
      <c r="C7" s="23">
        <v>0</v>
      </c>
      <c r="D7" s="24">
        <f t="shared" ref="D7:D12" si="0">((100/B7)*C7)/100</f>
        <v>0</v>
      </c>
      <c r="F7" s="278" t="s">
        <v>149</v>
      </c>
      <c r="G7" s="278"/>
      <c r="H7" s="25" t="s">
        <v>150</v>
      </c>
      <c r="J7" s="31"/>
    </row>
    <row r="8" spans="1:13" x14ac:dyDescent="0.3">
      <c r="A8" s="17" t="s">
        <v>104</v>
      </c>
      <c r="B8" s="22">
        <f>C5</f>
        <v>36</v>
      </c>
      <c r="C8" s="23">
        <v>0</v>
      </c>
      <c r="D8" s="24">
        <f t="shared" si="0"/>
        <v>0</v>
      </c>
      <c r="F8" s="277" t="s">
        <v>151</v>
      </c>
      <c r="G8" s="277"/>
      <c r="H8" s="22" t="s">
        <v>152</v>
      </c>
    </row>
    <row r="9" spans="1:13" x14ac:dyDescent="0.3">
      <c r="A9" s="17" t="s">
        <v>106</v>
      </c>
      <c r="B9" s="22">
        <f>C5</f>
        <v>36</v>
      </c>
      <c r="C9" s="23">
        <v>0</v>
      </c>
      <c r="D9" s="24">
        <f t="shared" si="0"/>
        <v>0</v>
      </c>
      <c r="F9" s="277" t="s">
        <v>153</v>
      </c>
      <c r="G9" s="277"/>
      <c r="H9" s="22" t="s">
        <v>154</v>
      </c>
    </row>
    <row r="10" spans="1:13" x14ac:dyDescent="0.3">
      <c r="A10" s="17" t="s">
        <v>67</v>
      </c>
      <c r="B10" s="22">
        <f>C5</f>
        <v>36</v>
      </c>
      <c r="C10" s="23">
        <v>0</v>
      </c>
      <c r="D10" s="24">
        <f t="shared" si="0"/>
        <v>0</v>
      </c>
      <c r="F10" s="277" t="s">
        <v>155</v>
      </c>
      <c r="G10" s="277"/>
      <c r="H10" s="22" t="s">
        <v>156</v>
      </c>
    </row>
    <row r="11" spans="1:13" x14ac:dyDescent="0.3">
      <c r="A11" s="26" t="s">
        <v>102</v>
      </c>
      <c r="B11" s="22">
        <f>C5</f>
        <v>36</v>
      </c>
      <c r="C11" s="23">
        <v>0</v>
      </c>
      <c r="D11" s="24">
        <f t="shared" si="0"/>
        <v>0</v>
      </c>
      <c r="F11" s="277" t="s">
        <v>157</v>
      </c>
      <c r="G11" s="277"/>
      <c r="H11" s="22" t="s">
        <v>158</v>
      </c>
    </row>
    <row r="12" spans="1:13" x14ac:dyDescent="0.3">
      <c r="A12" s="17" t="s">
        <v>68</v>
      </c>
      <c r="B12" s="22">
        <f>C5</f>
        <v>36</v>
      </c>
      <c r="C12" s="23">
        <v>0</v>
      </c>
      <c r="D12" s="24">
        <f t="shared" si="0"/>
        <v>0</v>
      </c>
      <c r="F12" s="277" t="s">
        <v>159</v>
      </c>
      <c r="G12" s="277"/>
      <c r="H12" s="22" t="s">
        <v>160</v>
      </c>
    </row>
    <row r="13" spans="1:13" x14ac:dyDescent="0.3">
      <c r="F13" s="277" t="s">
        <v>161</v>
      </c>
      <c r="G13" s="277"/>
      <c r="H13" s="22" t="s">
        <v>162</v>
      </c>
    </row>
    <row r="14" spans="1:13" hidden="1" x14ac:dyDescent="0.3">
      <c r="A14" s="18"/>
      <c r="B14" s="18" t="s">
        <v>103</v>
      </c>
      <c r="C14" s="18" t="s">
        <v>107</v>
      </c>
      <c r="G14" s="18" t="s">
        <v>98</v>
      </c>
      <c r="H14" s="18" t="s">
        <v>100</v>
      </c>
      <c r="I14" s="18" t="s">
        <v>101</v>
      </c>
      <c r="J14" s="18" t="s">
        <v>66</v>
      </c>
      <c r="K14" s="18" t="s">
        <v>67</v>
      </c>
      <c r="L14" s="18" t="s">
        <v>102</v>
      </c>
      <c r="M14" s="18" t="s">
        <v>68</v>
      </c>
    </row>
    <row r="15" spans="1:13" hidden="1" x14ac:dyDescent="0.3">
      <c r="A15" s="18" t="s">
        <v>64</v>
      </c>
      <c r="B15" s="18">
        <f>G15</f>
        <v>10</v>
      </c>
      <c r="C15" s="18">
        <f>G16</f>
        <v>30</v>
      </c>
      <c r="E15" s="275" t="s">
        <v>103</v>
      </c>
      <c r="F15" s="275"/>
      <c r="G15" s="27">
        <f>C6</f>
        <v>10</v>
      </c>
      <c r="H15" s="27">
        <f>40/B7*C7</f>
        <v>0</v>
      </c>
      <c r="I15" s="27">
        <f>15/B8*C8</f>
        <v>0</v>
      </c>
      <c r="J15" s="27">
        <f>10/B9*C9</f>
        <v>0</v>
      </c>
      <c r="K15" s="27">
        <f>10/B10*C10</f>
        <v>0</v>
      </c>
      <c r="L15" s="27">
        <f>5/B11*C11</f>
        <v>0</v>
      </c>
      <c r="M15" s="27">
        <f>5/B12*C12</f>
        <v>0</v>
      </c>
    </row>
    <row r="16" spans="1:13" hidden="1" x14ac:dyDescent="0.3">
      <c r="A16" s="18" t="s">
        <v>65</v>
      </c>
      <c r="B16" s="18">
        <f>H15</f>
        <v>0</v>
      </c>
      <c r="C16" s="18">
        <f>H16</f>
        <v>0</v>
      </c>
      <c r="E16" s="275" t="s">
        <v>105</v>
      </c>
      <c r="F16" s="275"/>
      <c r="G16" s="18">
        <f>G15+20</f>
        <v>30</v>
      </c>
      <c r="H16" s="18">
        <f>30/B7*C7</f>
        <v>0</v>
      </c>
      <c r="I16" s="18">
        <f>15/B8*C8</f>
        <v>0</v>
      </c>
      <c r="J16" s="18">
        <f>10/B9*C9</f>
        <v>0</v>
      </c>
      <c r="K16" s="18">
        <f>5/B10*C10</f>
        <v>0</v>
      </c>
      <c r="L16" s="18">
        <f>5/B11*C11</f>
        <v>0</v>
      </c>
      <c r="M16" s="18">
        <f>5/B12*C12</f>
        <v>0</v>
      </c>
    </row>
    <row r="17" spans="1:8" hidden="1" x14ac:dyDescent="0.3">
      <c r="A17" s="18" t="s">
        <v>101</v>
      </c>
      <c r="B17" s="18">
        <f>I15</f>
        <v>0</v>
      </c>
      <c r="C17" s="18">
        <f>I16</f>
        <v>0</v>
      </c>
    </row>
    <row r="18" spans="1:8" hidden="1" x14ac:dyDescent="0.3">
      <c r="A18" s="18" t="s">
        <v>66</v>
      </c>
      <c r="B18" s="18">
        <f>J15</f>
        <v>0</v>
      </c>
      <c r="C18" s="18">
        <f>J16</f>
        <v>0</v>
      </c>
    </row>
    <row r="19" spans="1:8" hidden="1" x14ac:dyDescent="0.3">
      <c r="A19" s="18" t="s">
        <v>67</v>
      </c>
      <c r="B19" s="18">
        <f>K15</f>
        <v>0</v>
      </c>
      <c r="C19" s="18">
        <f>K16</f>
        <v>0</v>
      </c>
    </row>
    <row r="20" spans="1:8" hidden="1" x14ac:dyDescent="0.3">
      <c r="A20" s="28" t="s">
        <v>102</v>
      </c>
      <c r="B20" s="18">
        <f>L15</f>
        <v>0</v>
      </c>
      <c r="C20" s="18">
        <f>L16</f>
        <v>0</v>
      </c>
    </row>
    <row r="21" spans="1:8" hidden="1" x14ac:dyDescent="0.3">
      <c r="A21" s="18" t="s">
        <v>68</v>
      </c>
      <c r="B21" s="18">
        <f>M15</f>
        <v>0</v>
      </c>
      <c r="C21" s="18">
        <f>M16</f>
        <v>0</v>
      </c>
    </row>
    <row r="22" spans="1:8" x14ac:dyDescent="0.3">
      <c r="A22" s="18" t="s">
        <v>108</v>
      </c>
      <c r="B22" s="29">
        <f>(B15+B16+B17+B18+B19+B20+B21)/100</f>
        <v>0.1</v>
      </c>
      <c r="C22" s="29">
        <f>(C15+C16+C17+C18+C19+C20+C21)/100</f>
        <v>0.3</v>
      </c>
      <c r="F22" s="277" t="s">
        <v>163</v>
      </c>
      <c r="G22" s="277"/>
      <c r="H22" s="22" t="s">
        <v>154</v>
      </c>
    </row>
    <row r="23" spans="1:8" x14ac:dyDescent="0.3">
      <c r="F23" s="277" t="s">
        <v>164</v>
      </c>
      <c r="G23" s="277"/>
      <c r="H23" s="22" t="s">
        <v>165</v>
      </c>
    </row>
    <row r="24" spans="1:8" x14ac:dyDescent="0.3">
      <c r="A24" s="17" t="s">
        <v>141</v>
      </c>
      <c r="B24" s="30">
        <v>0.01</v>
      </c>
      <c r="C24" s="30">
        <v>0.02</v>
      </c>
      <c r="F24" s="277" t="s">
        <v>166</v>
      </c>
      <c r="G24" s="277"/>
      <c r="H24" s="22" t="s">
        <v>167</v>
      </c>
    </row>
    <row r="25" spans="1:8" x14ac:dyDescent="0.3">
      <c r="A25" s="17" t="s">
        <v>142</v>
      </c>
      <c r="B25" s="30">
        <v>0.01</v>
      </c>
      <c r="C25" s="30">
        <v>0.03</v>
      </c>
    </row>
    <row r="26" spans="1:8" x14ac:dyDescent="0.3">
      <c r="A26" s="17" t="s">
        <v>143</v>
      </c>
      <c r="B26" s="30">
        <v>0.03</v>
      </c>
      <c r="C26" s="30">
        <v>0.08</v>
      </c>
    </row>
    <row r="27" spans="1:8" x14ac:dyDescent="0.3">
      <c r="A27" s="17" t="s">
        <v>144</v>
      </c>
      <c r="B27" s="30">
        <v>0.05</v>
      </c>
      <c r="C27" s="30">
        <v>0.15</v>
      </c>
    </row>
    <row r="28" spans="1:8" x14ac:dyDescent="0.3">
      <c r="A28" s="17" t="s">
        <v>145</v>
      </c>
      <c r="B28" s="30">
        <v>7.0000000000000007E-2</v>
      </c>
      <c r="C28" s="30">
        <v>0.2</v>
      </c>
    </row>
    <row r="29" spans="1:8" x14ac:dyDescent="0.3">
      <c r="A29" s="17" t="s">
        <v>146</v>
      </c>
      <c r="B29" s="30">
        <v>0.1</v>
      </c>
      <c r="C29" s="30">
        <v>0.3</v>
      </c>
    </row>
  </sheetData>
  <mergeCells count="14">
    <mergeCell ref="F10:G10"/>
    <mergeCell ref="D2:E2"/>
    <mergeCell ref="D3:E3"/>
    <mergeCell ref="F7:G7"/>
    <mergeCell ref="F8:G8"/>
    <mergeCell ref="F9:G9"/>
    <mergeCell ref="F23:G23"/>
    <mergeCell ref="F24:G24"/>
    <mergeCell ref="F11:G11"/>
    <mergeCell ref="F12:G12"/>
    <mergeCell ref="F13:G13"/>
    <mergeCell ref="E15:F15"/>
    <mergeCell ref="E16:F16"/>
    <mergeCell ref="F22:G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C2" sqref="C2"/>
    </sheetView>
  </sheetViews>
  <sheetFormatPr defaultRowHeight="14.5" x14ac:dyDescent="0.35"/>
  <sheetData>
    <row r="2" spans="1:2" x14ac:dyDescent="0.35">
      <c r="A2" s="36">
        <v>44263</v>
      </c>
      <c r="B2" t="s">
        <v>186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opLeftCell="A46" workbookViewId="0">
      <selection activeCell="A37" sqref="A37"/>
    </sheetView>
  </sheetViews>
  <sheetFormatPr defaultRowHeight="14.5" x14ac:dyDescent="0.35"/>
  <cols>
    <col min="2" max="2" width="12.26953125" customWidth="1"/>
  </cols>
  <sheetData>
    <row r="2" spans="1:12" x14ac:dyDescent="0.35">
      <c r="B2" s="4" t="s">
        <v>109</v>
      </c>
      <c r="C2" s="279"/>
      <c r="D2" s="279"/>
    </row>
    <row r="3" spans="1:12" x14ac:dyDescent="0.35">
      <c r="D3" s="5"/>
      <c r="E3" s="5"/>
      <c r="F3" s="5"/>
      <c r="G3" s="5"/>
      <c r="H3" s="5"/>
      <c r="I3" s="5"/>
    </row>
    <row r="4" spans="1:12" x14ac:dyDescent="0.35">
      <c r="A4" s="4" t="s">
        <v>110</v>
      </c>
      <c r="B4" s="6" t="s">
        <v>111</v>
      </c>
      <c r="C4" s="280" t="s">
        <v>112</v>
      </c>
      <c r="D4" s="280"/>
      <c r="E4" s="280"/>
      <c r="F4" s="7"/>
      <c r="G4" s="280" t="s">
        <v>113</v>
      </c>
      <c r="H4" s="280"/>
      <c r="I4" s="280"/>
      <c r="J4" s="280" t="s">
        <v>114</v>
      </c>
      <c r="K4" s="280"/>
      <c r="L4" s="280"/>
    </row>
    <row r="5" spans="1:12" x14ac:dyDescent="0.35">
      <c r="A5" s="4">
        <v>1</v>
      </c>
      <c r="B5" s="6"/>
      <c r="C5" s="6" t="s">
        <v>115</v>
      </c>
      <c r="D5" s="6" t="s">
        <v>116</v>
      </c>
      <c r="E5" s="6" t="s">
        <v>76</v>
      </c>
      <c r="F5" s="6"/>
      <c r="G5" s="6" t="s">
        <v>115</v>
      </c>
      <c r="H5" s="6" t="s">
        <v>116</v>
      </c>
      <c r="I5" s="6" t="s">
        <v>76</v>
      </c>
      <c r="J5" s="6" t="s">
        <v>115</v>
      </c>
      <c r="K5" s="6" t="s">
        <v>116</v>
      </c>
      <c r="L5" s="6" t="s">
        <v>76</v>
      </c>
    </row>
    <row r="6" spans="1:12" x14ac:dyDescent="0.35">
      <c r="B6" s="8" t="s">
        <v>117</v>
      </c>
      <c r="C6" s="8">
        <v>3.1</v>
      </c>
      <c r="D6" s="8">
        <v>5.7</v>
      </c>
      <c r="E6" s="8">
        <f>C6*D6</f>
        <v>17.670000000000002</v>
      </c>
      <c r="F6" s="8" t="s">
        <v>118</v>
      </c>
      <c r="G6" s="8"/>
      <c r="H6" s="8"/>
      <c r="I6" s="8">
        <f>G6*H6</f>
        <v>0</v>
      </c>
      <c r="J6" s="8"/>
      <c r="K6" s="8"/>
      <c r="L6" s="8">
        <f>J6*K6</f>
        <v>0</v>
      </c>
    </row>
    <row r="7" spans="1:12" x14ac:dyDescent="0.35">
      <c r="B7" s="8"/>
      <c r="C7" s="8"/>
      <c r="D7" s="8"/>
      <c r="E7" s="8">
        <f t="shared" ref="E7:E33" si="0">C7*D7</f>
        <v>0</v>
      </c>
      <c r="F7" s="8" t="s">
        <v>119</v>
      </c>
      <c r="G7" s="8"/>
      <c r="H7" s="8"/>
      <c r="I7" s="8">
        <f t="shared" ref="I7:I29" si="1">G7*H7</f>
        <v>0</v>
      </c>
      <c r="J7" s="8"/>
      <c r="K7" s="8"/>
      <c r="L7" s="8">
        <f t="shared" ref="L7:L29" si="2">J7*K7</f>
        <v>0</v>
      </c>
    </row>
    <row r="8" spans="1:12" x14ac:dyDescent="0.35">
      <c r="B8" s="8"/>
      <c r="C8" s="8"/>
      <c r="D8" s="8"/>
      <c r="E8" s="8">
        <f t="shared" si="0"/>
        <v>0</v>
      </c>
      <c r="F8" s="8"/>
      <c r="G8" s="8"/>
      <c r="H8" s="8"/>
      <c r="I8" s="8">
        <f t="shared" si="1"/>
        <v>0</v>
      </c>
      <c r="J8" s="8"/>
      <c r="K8" s="8"/>
      <c r="L8" s="8">
        <f t="shared" si="2"/>
        <v>0</v>
      </c>
    </row>
    <row r="9" spans="1:12" x14ac:dyDescent="0.35">
      <c r="B9" s="8" t="s">
        <v>120</v>
      </c>
      <c r="C9" s="8">
        <v>3.35</v>
      </c>
      <c r="D9" s="8">
        <v>2.44</v>
      </c>
      <c r="E9" s="8">
        <f t="shared" si="0"/>
        <v>8.1739999999999995</v>
      </c>
      <c r="F9" s="8" t="s">
        <v>118</v>
      </c>
      <c r="G9" s="8"/>
      <c r="H9" s="8"/>
      <c r="I9" s="8">
        <f t="shared" si="1"/>
        <v>0</v>
      </c>
      <c r="J9" s="8"/>
      <c r="K9" s="8"/>
      <c r="L9" s="8">
        <f t="shared" si="2"/>
        <v>0</v>
      </c>
    </row>
    <row r="10" spans="1:12" x14ac:dyDescent="0.35">
      <c r="B10" s="8"/>
      <c r="C10" s="8"/>
      <c r="D10" s="8"/>
      <c r="E10" s="8">
        <f t="shared" si="0"/>
        <v>0</v>
      </c>
      <c r="F10" s="8" t="s">
        <v>119</v>
      </c>
      <c r="G10" s="8"/>
      <c r="H10" s="8"/>
      <c r="I10" s="8">
        <f t="shared" si="1"/>
        <v>0</v>
      </c>
      <c r="J10" s="8"/>
      <c r="K10" s="8"/>
      <c r="L10" s="8">
        <f t="shared" si="2"/>
        <v>0</v>
      </c>
    </row>
    <row r="11" spans="1:12" x14ac:dyDescent="0.35">
      <c r="B11" s="8"/>
      <c r="C11" s="8"/>
      <c r="D11" s="8"/>
      <c r="E11" s="8">
        <f t="shared" si="0"/>
        <v>0</v>
      </c>
      <c r="F11" s="8"/>
      <c r="G11" s="8"/>
      <c r="H11" s="8"/>
      <c r="I11" s="8">
        <f t="shared" si="1"/>
        <v>0</v>
      </c>
      <c r="J11" s="8"/>
      <c r="K11" s="8"/>
      <c r="L11" s="8">
        <f t="shared" si="2"/>
        <v>0</v>
      </c>
    </row>
    <row r="12" spans="1:12" x14ac:dyDescent="0.35">
      <c r="B12" s="8"/>
      <c r="C12" s="8"/>
      <c r="D12" s="8"/>
      <c r="E12" s="8">
        <f t="shared" si="0"/>
        <v>0</v>
      </c>
      <c r="F12" s="8"/>
      <c r="G12" s="8"/>
      <c r="H12" s="8"/>
      <c r="I12" s="8">
        <f t="shared" si="1"/>
        <v>0</v>
      </c>
      <c r="J12" s="8"/>
      <c r="K12" s="8"/>
      <c r="L12" s="8">
        <f t="shared" si="2"/>
        <v>0</v>
      </c>
    </row>
    <row r="13" spans="1:12" x14ac:dyDescent="0.35">
      <c r="B13" s="8" t="s">
        <v>121</v>
      </c>
      <c r="C13" s="8">
        <v>3.05</v>
      </c>
      <c r="D13" s="8">
        <v>3.35</v>
      </c>
      <c r="E13" s="8">
        <f t="shared" si="0"/>
        <v>10.217499999999999</v>
      </c>
      <c r="F13" s="8" t="s">
        <v>118</v>
      </c>
      <c r="G13" s="8"/>
      <c r="H13" s="8"/>
      <c r="I13" s="8">
        <f t="shared" si="1"/>
        <v>0</v>
      </c>
      <c r="J13" s="8"/>
      <c r="K13" s="8"/>
      <c r="L13" s="8">
        <f t="shared" si="2"/>
        <v>0</v>
      </c>
    </row>
    <row r="14" spans="1:12" x14ac:dyDescent="0.35">
      <c r="B14" s="8"/>
      <c r="C14" s="8"/>
      <c r="D14" s="8"/>
      <c r="E14" s="8">
        <f t="shared" si="0"/>
        <v>0</v>
      </c>
      <c r="F14" s="8" t="s">
        <v>119</v>
      </c>
      <c r="G14" s="8"/>
      <c r="H14" s="8"/>
      <c r="I14" s="8">
        <f t="shared" si="1"/>
        <v>0</v>
      </c>
      <c r="J14" s="8"/>
      <c r="K14" s="8"/>
      <c r="L14" s="8">
        <f t="shared" si="2"/>
        <v>0</v>
      </c>
    </row>
    <row r="15" spans="1:12" x14ac:dyDescent="0.35">
      <c r="B15" s="8"/>
      <c r="C15" s="8"/>
      <c r="D15" s="8"/>
      <c r="E15" s="8">
        <f t="shared" si="0"/>
        <v>0</v>
      </c>
      <c r="F15" s="8"/>
      <c r="G15" s="8"/>
      <c r="H15" s="8"/>
      <c r="I15" s="8">
        <f t="shared" si="1"/>
        <v>0</v>
      </c>
      <c r="J15" s="8"/>
      <c r="K15" s="8"/>
      <c r="L15" s="8">
        <f t="shared" si="2"/>
        <v>0</v>
      </c>
    </row>
    <row r="16" spans="1:12" x14ac:dyDescent="0.35">
      <c r="B16" s="8"/>
      <c r="C16" s="8"/>
      <c r="D16" s="8"/>
      <c r="E16" s="8">
        <f t="shared" si="0"/>
        <v>0</v>
      </c>
      <c r="F16" s="8"/>
      <c r="G16" s="8"/>
      <c r="H16" s="8"/>
      <c r="I16" s="8">
        <f t="shared" si="1"/>
        <v>0</v>
      </c>
      <c r="J16" s="8"/>
      <c r="K16" s="8"/>
      <c r="L16" s="8">
        <f t="shared" si="2"/>
        <v>0</v>
      </c>
    </row>
    <row r="17" spans="2:12" x14ac:dyDescent="0.35">
      <c r="B17" s="8" t="s">
        <v>122</v>
      </c>
      <c r="C17" s="8">
        <v>3.1</v>
      </c>
      <c r="D17" s="8">
        <v>3.4</v>
      </c>
      <c r="E17" s="8">
        <f t="shared" si="0"/>
        <v>10.54</v>
      </c>
      <c r="F17" s="8" t="s">
        <v>118</v>
      </c>
      <c r="G17" s="8"/>
      <c r="H17" s="8"/>
      <c r="I17" s="8">
        <f t="shared" si="1"/>
        <v>0</v>
      </c>
      <c r="J17" s="8"/>
      <c r="K17" s="8"/>
      <c r="L17" s="8">
        <f t="shared" si="2"/>
        <v>0</v>
      </c>
    </row>
    <row r="18" spans="2:12" x14ac:dyDescent="0.35">
      <c r="B18" s="8"/>
      <c r="C18" s="8"/>
      <c r="D18" s="8"/>
      <c r="E18" s="8">
        <f t="shared" si="0"/>
        <v>0</v>
      </c>
      <c r="F18" s="8" t="s">
        <v>119</v>
      </c>
      <c r="G18" s="8"/>
      <c r="H18" s="8"/>
      <c r="I18" s="8">
        <f t="shared" si="1"/>
        <v>0</v>
      </c>
      <c r="J18" s="8"/>
      <c r="K18" s="8"/>
      <c r="L18" s="8">
        <f t="shared" si="2"/>
        <v>0</v>
      </c>
    </row>
    <row r="19" spans="2:12" x14ac:dyDescent="0.35">
      <c r="B19" s="8"/>
      <c r="C19" s="8"/>
      <c r="D19" s="8"/>
      <c r="E19" s="8">
        <f t="shared" si="0"/>
        <v>0</v>
      </c>
      <c r="F19" s="8"/>
      <c r="G19" s="8"/>
      <c r="H19" s="8"/>
      <c r="I19" s="8">
        <f t="shared" si="1"/>
        <v>0</v>
      </c>
      <c r="J19" s="8"/>
      <c r="K19" s="8"/>
      <c r="L19" s="8">
        <f t="shared" si="2"/>
        <v>0</v>
      </c>
    </row>
    <row r="20" spans="2:12" x14ac:dyDescent="0.35">
      <c r="B20" s="8" t="s">
        <v>122</v>
      </c>
      <c r="C20" s="8">
        <v>3.3</v>
      </c>
      <c r="D20" s="8">
        <v>3.37</v>
      </c>
      <c r="E20" s="8">
        <f t="shared" si="0"/>
        <v>11.121</v>
      </c>
      <c r="F20" s="8" t="s">
        <v>118</v>
      </c>
      <c r="G20" s="8"/>
      <c r="H20" s="8"/>
      <c r="I20" s="8">
        <f t="shared" si="1"/>
        <v>0</v>
      </c>
      <c r="J20" s="8"/>
      <c r="K20" s="8"/>
      <c r="L20" s="8">
        <f t="shared" si="2"/>
        <v>0</v>
      </c>
    </row>
    <row r="21" spans="2:12" x14ac:dyDescent="0.35">
      <c r="B21" s="8"/>
      <c r="C21" s="8"/>
      <c r="D21" s="8"/>
      <c r="E21" s="8">
        <f t="shared" si="0"/>
        <v>0</v>
      </c>
      <c r="F21" s="8" t="s">
        <v>119</v>
      </c>
      <c r="G21" s="8"/>
      <c r="H21" s="8"/>
      <c r="I21" s="8">
        <f t="shared" si="1"/>
        <v>0</v>
      </c>
      <c r="J21" s="8"/>
      <c r="K21" s="8"/>
      <c r="L21" s="8">
        <f t="shared" si="2"/>
        <v>0</v>
      </c>
    </row>
    <row r="22" spans="2:12" x14ac:dyDescent="0.35">
      <c r="B22" s="8"/>
      <c r="C22" s="8"/>
      <c r="D22" s="8"/>
      <c r="E22" s="8">
        <f t="shared" si="0"/>
        <v>0</v>
      </c>
      <c r="F22" s="8"/>
      <c r="G22" s="8"/>
      <c r="H22" s="8"/>
      <c r="I22" s="8">
        <f t="shared" si="1"/>
        <v>0</v>
      </c>
      <c r="J22" s="8"/>
      <c r="K22" s="8"/>
      <c r="L22" s="8">
        <f t="shared" si="2"/>
        <v>0</v>
      </c>
    </row>
    <row r="23" spans="2:12" x14ac:dyDescent="0.35">
      <c r="B23" s="8" t="s">
        <v>123</v>
      </c>
      <c r="C23" s="8">
        <v>2.2200000000000002</v>
      </c>
      <c r="D23" s="8">
        <v>1.37</v>
      </c>
      <c r="E23" s="8">
        <f t="shared" si="0"/>
        <v>3.0414000000000003</v>
      </c>
      <c r="F23" s="8" t="s">
        <v>124</v>
      </c>
      <c r="G23" s="8"/>
      <c r="H23" s="8"/>
      <c r="I23" s="8">
        <f t="shared" si="1"/>
        <v>0</v>
      </c>
      <c r="J23" s="8"/>
      <c r="K23" s="8"/>
      <c r="L23" s="8">
        <f t="shared" si="2"/>
        <v>0</v>
      </c>
    </row>
    <row r="24" spans="2:12" x14ac:dyDescent="0.35">
      <c r="B24" s="8" t="s">
        <v>125</v>
      </c>
      <c r="C24" s="8">
        <v>1.37</v>
      </c>
      <c r="D24" s="8">
        <v>2.37</v>
      </c>
      <c r="E24" s="8">
        <f t="shared" si="0"/>
        <v>3.2469000000000006</v>
      </c>
      <c r="F24" s="8" t="s">
        <v>124</v>
      </c>
      <c r="G24" s="8"/>
      <c r="H24" s="8"/>
      <c r="I24" s="8">
        <f t="shared" si="1"/>
        <v>0</v>
      </c>
      <c r="J24" s="8"/>
      <c r="K24" s="8"/>
      <c r="L24" s="8">
        <f t="shared" si="2"/>
        <v>0</v>
      </c>
    </row>
    <row r="25" spans="2:12" x14ac:dyDescent="0.35">
      <c r="B25" s="8" t="s">
        <v>126</v>
      </c>
      <c r="C25" s="8">
        <v>1.57</v>
      </c>
      <c r="D25" s="8">
        <v>2.44</v>
      </c>
      <c r="E25" s="8">
        <f t="shared" si="0"/>
        <v>3.8308</v>
      </c>
      <c r="F25" s="8" t="s">
        <v>124</v>
      </c>
      <c r="G25" s="8"/>
      <c r="H25" s="8"/>
      <c r="I25" s="8">
        <f t="shared" si="1"/>
        <v>0</v>
      </c>
      <c r="J25" s="8"/>
      <c r="K25" s="8"/>
      <c r="L25" s="8">
        <f t="shared" si="2"/>
        <v>0</v>
      </c>
    </row>
    <row r="26" spans="2:12" x14ac:dyDescent="0.35">
      <c r="B26" s="8"/>
      <c r="C26" s="8"/>
      <c r="D26" s="8"/>
      <c r="E26" s="8">
        <f t="shared" si="0"/>
        <v>0</v>
      </c>
      <c r="F26" s="8"/>
      <c r="G26" s="8"/>
      <c r="H26" s="8"/>
      <c r="I26" s="8">
        <f t="shared" si="1"/>
        <v>0</v>
      </c>
      <c r="J26" s="8"/>
      <c r="K26" s="8"/>
      <c r="L26" s="8">
        <f t="shared" si="2"/>
        <v>0</v>
      </c>
    </row>
    <row r="27" spans="2:12" x14ac:dyDescent="0.35">
      <c r="B27" s="8" t="s">
        <v>127</v>
      </c>
      <c r="C27" s="8">
        <v>3.72</v>
      </c>
      <c r="D27" s="8">
        <v>1</v>
      </c>
      <c r="E27" s="8">
        <f t="shared" si="0"/>
        <v>3.72</v>
      </c>
      <c r="F27" s="8"/>
      <c r="G27" s="8"/>
      <c r="H27" s="8"/>
      <c r="I27" s="8">
        <f t="shared" si="1"/>
        <v>0</v>
      </c>
      <c r="J27" s="8"/>
      <c r="K27" s="8"/>
      <c r="L27" s="8">
        <f t="shared" si="2"/>
        <v>0</v>
      </c>
    </row>
    <row r="28" spans="2:12" x14ac:dyDescent="0.35">
      <c r="B28" s="8" t="s">
        <v>128</v>
      </c>
      <c r="C28" s="8">
        <v>0.88</v>
      </c>
      <c r="D28" s="8">
        <v>3.37</v>
      </c>
      <c r="E28" s="8">
        <f t="shared" si="0"/>
        <v>2.9656000000000002</v>
      </c>
      <c r="F28" s="8"/>
      <c r="G28" s="8"/>
      <c r="H28" s="8"/>
      <c r="I28" s="8">
        <f t="shared" si="1"/>
        <v>0</v>
      </c>
      <c r="J28" s="8"/>
      <c r="K28" s="8"/>
      <c r="L28" s="8">
        <f t="shared" si="2"/>
        <v>0</v>
      </c>
    </row>
    <row r="29" spans="2:12" x14ac:dyDescent="0.35">
      <c r="B29" s="8" t="s">
        <v>129</v>
      </c>
      <c r="C29" s="8">
        <v>0.37</v>
      </c>
      <c r="D29" s="8">
        <v>1</v>
      </c>
      <c r="E29" s="8">
        <f t="shared" si="0"/>
        <v>0.37</v>
      </c>
      <c r="F29" s="8"/>
      <c r="G29" s="8"/>
      <c r="H29" s="8"/>
      <c r="I29" s="8">
        <f t="shared" si="1"/>
        <v>0</v>
      </c>
      <c r="J29" s="8"/>
      <c r="K29" s="8"/>
      <c r="L29" s="8">
        <f t="shared" si="2"/>
        <v>0</v>
      </c>
    </row>
    <row r="30" spans="2:12" x14ac:dyDescent="0.35">
      <c r="B30" s="8" t="s">
        <v>130</v>
      </c>
      <c r="C30" s="8">
        <v>0.2</v>
      </c>
      <c r="D30" s="8">
        <v>0.75</v>
      </c>
      <c r="E30" s="8">
        <f t="shared" si="0"/>
        <v>0.15000000000000002</v>
      </c>
      <c r="F30" s="8"/>
      <c r="G30" s="8"/>
      <c r="H30" s="8"/>
      <c r="I30" s="8">
        <f>G30*H30</f>
        <v>0</v>
      </c>
      <c r="J30" s="8"/>
      <c r="K30" s="8"/>
      <c r="L30" s="8">
        <f>J30*K30</f>
        <v>0</v>
      </c>
    </row>
    <row r="31" spans="2:12" x14ac:dyDescent="0.35">
      <c r="B31" s="8"/>
      <c r="C31" s="8"/>
      <c r="D31" s="8"/>
      <c r="E31" s="8">
        <f t="shared" si="0"/>
        <v>0</v>
      </c>
      <c r="F31" s="8"/>
      <c r="G31" s="8"/>
      <c r="H31" s="8"/>
      <c r="I31" s="8">
        <f>G31*H31</f>
        <v>0</v>
      </c>
      <c r="J31" s="8"/>
      <c r="K31" s="8"/>
      <c r="L31" s="8">
        <f>J31*K31</f>
        <v>0</v>
      </c>
    </row>
    <row r="32" spans="2:12" x14ac:dyDescent="0.35">
      <c r="B32" s="8"/>
      <c r="C32" s="8"/>
      <c r="D32" s="8"/>
      <c r="E32" s="8">
        <f t="shared" si="0"/>
        <v>0</v>
      </c>
      <c r="F32" s="8"/>
      <c r="G32" s="8"/>
      <c r="H32" s="8"/>
      <c r="I32" s="8">
        <f>G32*H32</f>
        <v>0</v>
      </c>
      <c r="J32" s="8"/>
      <c r="K32" s="8"/>
      <c r="L32" s="8">
        <f>J32*K32</f>
        <v>0</v>
      </c>
    </row>
    <row r="33" spans="2:12" x14ac:dyDescent="0.35">
      <c r="B33" s="8"/>
      <c r="C33" s="8"/>
      <c r="D33" s="8"/>
      <c r="E33" s="8">
        <f t="shared" si="0"/>
        <v>0</v>
      </c>
      <c r="F33" s="8"/>
      <c r="G33" s="8"/>
      <c r="H33" s="8"/>
      <c r="I33" s="8">
        <f>G33*H33</f>
        <v>0</v>
      </c>
      <c r="J33" s="8"/>
      <c r="K33" s="8"/>
      <c r="L33" s="8">
        <f>J33*K33</f>
        <v>0</v>
      </c>
    </row>
    <row r="34" spans="2:12" x14ac:dyDescent="0.35">
      <c r="B34" s="8" t="s">
        <v>77</v>
      </c>
      <c r="C34" s="8"/>
      <c r="D34" s="8">
        <f>E34*10.764</f>
        <v>807.80806080000002</v>
      </c>
      <c r="E34" s="8">
        <f>SUM(E6:E33)</f>
        <v>75.047200000000004</v>
      </c>
      <c r="F34" s="8"/>
      <c r="G34" s="8"/>
      <c r="H34" s="8">
        <f>I34*10.764</f>
        <v>0</v>
      </c>
      <c r="I34" s="8">
        <f>SUM(I6:I33)</f>
        <v>0</v>
      </c>
      <c r="J34" s="8"/>
      <c r="K34" s="8">
        <f>L34*10.764</f>
        <v>0</v>
      </c>
      <c r="L34" s="8">
        <f>SUM(L6:L33)</f>
        <v>0</v>
      </c>
    </row>
    <row r="36" spans="2:12" x14ac:dyDescent="0.35">
      <c r="D36">
        <f>D34+H34</f>
        <v>807.80806080000002</v>
      </c>
      <c r="E36">
        <f>E34+I34</f>
        <v>75.047200000000004</v>
      </c>
    </row>
  </sheetData>
  <mergeCells count="4">
    <mergeCell ref="C2:D2"/>
    <mergeCell ref="C4:E4"/>
    <mergeCell ref="G4:I4"/>
    <mergeCell ref="J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Report (2)</vt:lpstr>
      <vt:lpstr>VALUATION</vt:lpstr>
      <vt:lpstr>A</vt:lpstr>
      <vt:lpstr>B</vt:lpstr>
      <vt:lpstr>Note</vt:lpstr>
      <vt:lpstr>Flat detail</vt:lpstr>
      <vt:lpstr>'Report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 Elitebook 840 G6</cp:lastModifiedBy>
  <cp:lastPrinted>2025-07-16T04:46:05Z</cp:lastPrinted>
  <dcterms:created xsi:type="dcterms:W3CDTF">2019-07-16T09:29:46Z</dcterms:created>
  <dcterms:modified xsi:type="dcterms:W3CDTF">2025-07-16T04:46:49Z</dcterms:modified>
</cp:coreProperties>
</file>