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5-07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Report!$A$1:$H$388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1" l="1"/>
  <c r="A266" i="1" l="1"/>
  <c r="A267" i="1"/>
  <c r="A268" i="1"/>
  <c r="A269" i="1" s="1"/>
  <c r="A270" i="1" s="1"/>
  <c r="A271" i="1" s="1"/>
  <c r="A272" i="1" s="1"/>
  <c r="A273" i="1" s="1"/>
  <c r="A274" i="1" s="1"/>
  <c r="A275" i="1" s="1"/>
  <c r="A265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C77" i="1" l="1"/>
  <c r="C63" i="1" l="1"/>
  <c r="N113" i="1"/>
  <c r="N112" i="1"/>
  <c r="N111" i="1"/>
  <c r="N110" i="1"/>
  <c r="E3" i="1"/>
  <c r="D288" i="1" l="1"/>
  <c r="E287" i="1"/>
  <c r="D287" i="1"/>
  <c r="D286" i="1"/>
  <c r="D285" i="1"/>
  <c r="D284" i="1"/>
  <c r="D283" i="1"/>
  <c r="D282" i="1"/>
  <c r="E281" i="1"/>
  <c r="D281" i="1"/>
  <c r="D279" i="1"/>
  <c r="D278" i="1"/>
  <c r="D277" i="1"/>
  <c r="D262" i="1"/>
  <c r="E261" i="1"/>
  <c r="D261" i="1"/>
  <c r="D260" i="1"/>
  <c r="D259" i="1"/>
  <c r="D258" i="1"/>
  <c r="D257" i="1"/>
  <c r="D256" i="1"/>
  <c r="E255" i="1"/>
  <c r="D255" i="1"/>
  <c r="D254" i="1"/>
  <c r="D253" i="1"/>
  <c r="D252" i="1"/>
  <c r="D251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J238" i="1" s="1"/>
  <c r="G277" i="1"/>
  <c r="I284" i="1"/>
  <c r="I258" i="1"/>
  <c r="I259" i="1"/>
  <c r="I245" i="1"/>
  <c r="C121" i="1" l="1"/>
  <c r="D121" i="1"/>
  <c r="N238" i="1"/>
  <c r="M238" i="1"/>
  <c r="L238" i="1"/>
  <c r="K238" i="1"/>
  <c r="I280" i="1"/>
  <c r="I279" i="1"/>
  <c r="I254" i="1"/>
  <c r="I253" i="1"/>
  <c r="I241" i="1" l="1"/>
  <c r="I240" i="1"/>
  <c r="J89" i="1"/>
  <c r="J88" i="1"/>
  <c r="J87" i="1"/>
  <c r="J86" i="1"/>
  <c r="H76" i="1"/>
  <c r="J79" i="1" l="1"/>
  <c r="J78" i="1"/>
  <c r="D91" i="1"/>
  <c r="D89" i="1"/>
  <c r="D87" i="1"/>
  <c r="D85" i="1"/>
  <c r="J84" i="1"/>
  <c r="J85" i="1" s="1"/>
  <c r="J90" i="1" s="1"/>
  <c r="J91" i="1" s="1"/>
  <c r="C83" i="1" s="1"/>
  <c r="J75" i="1"/>
  <c r="J80" i="1" s="1"/>
  <c r="D90" i="1"/>
  <c r="D88" i="1"/>
  <c r="D86" i="1"/>
  <c r="D84" i="1"/>
  <c r="J82" i="1"/>
  <c r="J81" i="1"/>
  <c r="J83" i="1"/>
  <c r="C82" i="1" s="1"/>
  <c r="D82" i="1" s="1"/>
  <c r="E82" i="1" l="1"/>
  <c r="J76" i="1"/>
  <c r="D83" i="1"/>
  <c r="I76" i="1" s="1"/>
  <c r="I80" i="1" s="1"/>
  <c r="G82" i="1"/>
  <c r="I75" i="1" l="1"/>
  <c r="C80" i="1" s="1"/>
  <c r="E79" i="1" l="1"/>
  <c r="G79" i="1"/>
  <c r="K10" i="1"/>
  <c r="J10" i="1"/>
  <c r="J11" i="1" s="1"/>
  <c r="L10" i="1" l="1"/>
  <c r="J72" i="1"/>
  <c r="J71" i="1"/>
  <c r="J70" i="1"/>
  <c r="J69" i="1"/>
  <c r="H62" i="1"/>
  <c r="J67" i="1" l="1"/>
  <c r="J68" i="1" s="1"/>
  <c r="J73" i="1" s="1"/>
  <c r="J74" i="1" s="1"/>
  <c r="C66" i="1" s="1"/>
  <c r="C67" i="1"/>
  <c r="D67" i="1" s="1"/>
  <c r="J65" i="1"/>
  <c r="D74" i="1"/>
  <c r="D73" i="1"/>
  <c r="D72" i="1"/>
  <c r="D71" i="1"/>
  <c r="D70" i="1"/>
  <c r="D69" i="1"/>
  <c r="D68" i="1"/>
  <c r="J66" i="1"/>
  <c r="J64" i="1"/>
  <c r="E65" i="1" l="1"/>
  <c r="I61" i="1" s="1"/>
  <c r="D66" i="1"/>
  <c r="G65" i="1"/>
  <c r="F6" i="5"/>
  <c r="F5" i="5"/>
  <c r="D229" i="1"/>
  <c r="D230" i="1"/>
  <c r="D228" i="1"/>
  <c r="E224" i="1"/>
  <c r="E225" i="1"/>
  <c r="E221" i="1"/>
  <c r="E222" i="1"/>
  <c r="E220" i="1"/>
  <c r="E223" i="1"/>
  <c r="D225" i="1"/>
  <c r="D226" i="1"/>
  <c r="D224" i="1"/>
  <c r="D223" i="1"/>
  <c r="D221" i="1"/>
  <c r="D222" i="1"/>
  <c r="D220" i="1"/>
  <c r="E218" i="1"/>
  <c r="E213" i="1"/>
  <c r="E214" i="1"/>
  <c r="E212" i="1"/>
  <c r="D218" i="1"/>
  <c r="D217" i="1"/>
  <c r="D216" i="1"/>
  <c r="D215" i="1"/>
  <c r="D213" i="1"/>
  <c r="D214" i="1"/>
  <c r="D212" i="1"/>
  <c r="E188" i="1"/>
  <c r="D188" i="1"/>
  <c r="E187" i="1"/>
  <c r="D187" i="1"/>
  <c r="E186" i="1"/>
  <c r="D186" i="1"/>
  <c r="E185" i="1"/>
  <c r="D185" i="1"/>
  <c r="D178" i="1"/>
  <c r="D179" i="1"/>
  <c r="D177" i="1"/>
  <c r="D176" i="1"/>
  <c r="D175" i="1"/>
  <c r="D174" i="1"/>
  <c r="D173" i="1"/>
  <c r="D172" i="1"/>
  <c r="E163" i="1"/>
  <c r="D170" i="1"/>
  <c r="D169" i="1"/>
  <c r="D168" i="1"/>
  <c r="D167" i="1"/>
  <c r="D166" i="1"/>
  <c r="D165" i="1"/>
  <c r="D164" i="1"/>
  <c r="D163" i="1"/>
  <c r="D160" i="1"/>
  <c r="D161" i="1"/>
  <c r="D159" i="1"/>
  <c r="E161" i="1"/>
  <c r="E160" i="1"/>
  <c r="E159" i="1"/>
  <c r="E157" i="1"/>
  <c r="E158" i="1"/>
  <c r="D158" i="1"/>
  <c r="D157" i="1"/>
  <c r="E156" i="1"/>
  <c r="E155" i="1"/>
  <c r="D156" i="1"/>
  <c r="D155" i="1"/>
  <c r="E154" i="1"/>
  <c r="D154" i="1"/>
  <c r="E210" i="1"/>
  <c r="E209" i="1"/>
  <c r="E208" i="1"/>
  <c r="E207" i="1"/>
  <c r="D209" i="1"/>
  <c r="D210" i="1"/>
  <c r="D208" i="1"/>
  <c r="D207" i="1"/>
  <c r="D205" i="1"/>
  <c r="D206" i="1"/>
  <c r="D204" i="1"/>
  <c r="D151" i="1"/>
  <c r="D150" i="1"/>
  <c r="D149" i="1"/>
  <c r="E148" i="1"/>
  <c r="E147" i="1"/>
  <c r="D147" i="1"/>
  <c r="D145" i="1"/>
  <c r="D146" i="1"/>
  <c r="E146" i="1"/>
  <c r="E145" i="1"/>
  <c r="G128" i="1"/>
  <c r="D191" i="1"/>
  <c r="D142" i="1"/>
  <c r="D143" i="1"/>
  <c r="D141" i="1"/>
  <c r="F207" i="1" l="1"/>
  <c r="D120" i="1"/>
  <c r="D119" i="1"/>
  <c r="F210" i="1"/>
  <c r="F158" i="1"/>
  <c r="F208" i="1"/>
  <c r="F209" i="1"/>
  <c r="F157" i="1"/>
  <c r="F141" i="1"/>
  <c r="J141" i="1" s="1"/>
  <c r="G228" i="1"/>
  <c r="E229" i="1"/>
  <c r="E230" i="1"/>
  <c r="E228" i="1"/>
  <c r="G220" i="1"/>
  <c r="E226" i="1"/>
  <c r="F224" i="1"/>
  <c r="F225" i="1"/>
  <c r="F223" i="1"/>
  <c r="F217" i="1"/>
  <c r="F218" i="1"/>
  <c r="F216" i="1"/>
  <c r="F215" i="1"/>
  <c r="I215" i="1" s="1"/>
  <c r="F213" i="1"/>
  <c r="F214" i="1"/>
  <c r="I214" i="1" s="1"/>
  <c r="F212" i="1"/>
  <c r="E205" i="1"/>
  <c r="F205" i="1" s="1"/>
  <c r="E206" i="1"/>
  <c r="E204" i="1"/>
  <c r="D122" i="1" l="1"/>
  <c r="C120" i="1"/>
  <c r="F226" i="1"/>
  <c r="F229" i="1"/>
  <c r="F228" i="1"/>
  <c r="F220" i="1"/>
  <c r="F222" i="1"/>
  <c r="F206" i="1"/>
  <c r="F221" i="1"/>
  <c r="F204" i="1"/>
  <c r="F230" i="1"/>
  <c r="D201" i="1"/>
  <c r="F201" i="1" s="1"/>
  <c r="D202" i="1"/>
  <c r="F202" i="1" s="1"/>
  <c r="D200" i="1"/>
  <c r="F200" i="1" s="1"/>
  <c r="D199" i="1"/>
  <c r="F199" i="1" s="1"/>
  <c r="D198" i="1"/>
  <c r="F198" i="1" s="1"/>
  <c r="D197" i="1"/>
  <c r="F197" i="1" s="1"/>
  <c r="D195" i="1"/>
  <c r="F195" i="1" s="1"/>
  <c r="D196" i="1"/>
  <c r="D194" i="1"/>
  <c r="F194" i="1" s="1"/>
  <c r="D193" i="1"/>
  <c r="F193" i="1" s="1"/>
  <c r="D192" i="1"/>
  <c r="F192" i="1" s="1"/>
  <c r="D115" i="1" l="1"/>
  <c r="C115" i="1"/>
  <c r="F120" i="1"/>
  <c r="F196" i="1"/>
  <c r="F191" i="1"/>
  <c r="G181" i="1"/>
  <c r="F187" i="1"/>
  <c r="F188" i="1"/>
  <c r="F186" i="1"/>
  <c r="F185" i="1"/>
  <c r="F165" i="1"/>
  <c r="F164" i="1"/>
  <c r="G172" i="1"/>
  <c r="E178" i="1"/>
  <c r="E179" i="1"/>
  <c r="E177" i="1"/>
  <c r="F177" i="1" s="1"/>
  <c r="E176" i="1"/>
  <c r="F176" i="1" s="1"/>
  <c r="E174" i="1"/>
  <c r="E175" i="1"/>
  <c r="E173" i="1"/>
  <c r="E172" i="1"/>
  <c r="G163" i="1"/>
  <c r="F161" i="1"/>
  <c r="E170" i="1"/>
  <c r="E169" i="1"/>
  <c r="E168" i="1"/>
  <c r="E167" i="1"/>
  <c r="E166" i="1"/>
  <c r="F166" i="1" s="1"/>
  <c r="I166" i="1" s="1"/>
  <c r="I154" i="1"/>
  <c r="D152" i="1"/>
  <c r="F152" i="1" s="1"/>
  <c r="I151" i="1"/>
  <c r="F151" i="1"/>
  <c r="I150" i="1"/>
  <c r="F150" i="1"/>
  <c r="F149" i="1"/>
  <c r="D148" i="1"/>
  <c r="I145" i="1"/>
  <c r="D140" i="1"/>
  <c r="F140" i="1" s="1"/>
  <c r="D139" i="1"/>
  <c r="F139" i="1" s="1"/>
  <c r="D138" i="1"/>
  <c r="F138" i="1" s="1"/>
  <c r="D137" i="1"/>
  <c r="F137" i="1" s="1"/>
  <c r="D135" i="1"/>
  <c r="F135" i="1" s="1"/>
  <c r="D134" i="1"/>
  <c r="F134" i="1" s="1"/>
  <c r="D136" i="1"/>
  <c r="F136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43" i="1"/>
  <c r="F142" i="1"/>
  <c r="F115" i="1" l="1"/>
  <c r="D114" i="1"/>
  <c r="D116" i="1" s="1"/>
  <c r="F128" i="1"/>
  <c r="F114" i="1" s="1"/>
  <c r="D111" i="1"/>
  <c r="C111" i="1"/>
  <c r="C114" i="1"/>
  <c r="C116" i="1" s="1"/>
  <c r="F148" i="1"/>
  <c r="F174" i="1"/>
  <c r="F167" i="1"/>
  <c r="F154" i="1"/>
  <c r="F173" i="1"/>
  <c r="F170" i="1"/>
  <c r="F156" i="1"/>
  <c r="F178" i="1"/>
  <c r="C119" i="1"/>
  <c r="C122" i="1" s="1"/>
  <c r="F159" i="1"/>
  <c r="F172" i="1"/>
  <c r="F145" i="1"/>
  <c r="F147" i="1"/>
  <c r="F146" i="1"/>
  <c r="F175" i="1"/>
  <c r="F179" i="1"/>
  <c r="F155" i="1"/>
  <c r="F169" i="1"/>
  <c r="F168" i="1"/>
  <c r="F163" i="1"/>
  <c r="F160" i="1"/>
  <c r="G8" i="5"/>
  <c r="G6" i="5"/>
  <c r="G7" i="5"/>
  <c r="G5" i="5"/>
  <c r="F116" i="1" l="1"/>
  <c r="F111" i="1"/>
  <c r="F119" i="1"/>
  <c r="F122" i="1" s="1"/>
  <c r="G9" i="5"/>
  <c r="C13" i="1" l="1"/>
  <c r="E7" i="1" l="1"/>
  <c r="E40" i="1" l="1"/>
  <c r="D303" i="1" l="1"/>
  <c r="F108" i="1"/>
  <c r="G46" i="1"/>
  <c r="G47" i="1" s="1"/>
  <c r="C46" i="1"/>
  <c r="E41" i="1"/>
  <c r="D52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<sst xmlns="http://schemas.openxmlformats.org/spreadsheetml/2006/main" count="562" uniqueCount="316">
  <si>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</si>
  <si>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</si>
  <si>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</si>
  <si>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</si>
  <si>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</si>
  <si>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</si>
  <si>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</si>
  <si>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</si>
  <si>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</si>
  <si>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</si>
  <si>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</si>
  <si>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</si>
  <si>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</si>
  <si>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</si>
  <si>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</si>
  <si>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</si>
  <si>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</si>
  <si>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</si>
  <si>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</si>
  <si>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</si>
  <si>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</si>
  <si>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</si>
  <si>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</si>
  <si>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</si>
  <si>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</si>
  <si>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</si>
  <si>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</si>
  <si>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</si>
  <si>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</si>
  <si>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</si>
  <si>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</si>
  <si>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</si>
  <si>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</si>
  <si>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</si>
  <si>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</si>
  <si>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</si>
  <si>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</si>
  <si>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</si>
  <si>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</si>
  <si>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</si>
  <si>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</si>
  <si>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</si>
  <si>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</si>
  <si>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</si>
  <si>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</si>
  <si>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</si>
  <si>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</si>
  <si>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</si>
  <si>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</si>
  <si>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</si>
  <si>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</si>
  <si>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</si>
  <si>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</si>
  <si>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</si>
  <si>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</si>
  <si>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</si>
  <si>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</si>
  <si>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</si>
  <si>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</si>
  <si>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</si>
  <si>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</si>
  <si>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</si>
  <si>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</si>
  <si>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</si>
  <si>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</si>
  <si>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</si>
  <si>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</si>
  <si>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</si>
  <si>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</si>
  <si>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</si>
  <si>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</si>
  <si>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</si>
  <si>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</si>
  <si>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</si>
  <si>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</si>
  <si>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</si>
  <si>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</si>
  <si>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</si>
  <si>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</si>
  <si>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</si>
  <si>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</si>
  <si>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</si>
  <si>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</si>
  <si>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</si>
  <si>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</si>
  <si>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</si>
  <si>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</si>
  <si>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</si>
  <si>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</si>
  <si>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</si>
  <si>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</si>
  <si>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</si>
  <si>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</si>
  <si>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</si>
  <si>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</si>
  <si>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</si>
  <si>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</si>
  <si>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</si>
  <si>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</si>
  <si>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</si>
  <si>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</si>
  <si>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</si>
  <si>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</si>
  <si>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</si>
  <si>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</si>
  <si>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</si>
  <si>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</si>
  <si>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</si>
  <si>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</si>
  <si>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</si>
  <si>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</si>
  <si>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</si>
  <si>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</si>
  <si>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</si>
  <si>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</si>
  <si>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</si>
  <si>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</si>
  <si>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</si>
  <si>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</si>
  <si>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</si>
  <si>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</si>
  <si>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</si>
  <si>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</si>
  <si>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</si>
  <si>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</si>
  <si>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</si>
  <si>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</si>
  <si>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</si>
  <si>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</si>
  <si>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</si>
  <si>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</si>
  <si>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</si>
  <si>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</si>
  <si>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</si>
  <si>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</si>
  <si>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</si>
  <si>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</si>
  <si>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</si>
  <si>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</si>
  <si>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</si>
  <si>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</si>
  <si>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</si>
  <si>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</si>
  <si>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</si>
  <si>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</si>
  <si>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</si>
  <si>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</si>
  <si>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</si>
  <si>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</si>
  <si>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</si>
  <si>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</si>
  <si>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</si>
  <si>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</si>
  <si>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Average</t>
  </si>
  <si>
    <t xml:space="preserve">Valuation Adopted </t>
  </si>
  <si>
    <t>Saleable Area</t>
  </si>
  <si>
    <t>Rate on Saleable</t>
  </si>
  <si>
    <t>Contact Details ( Name &amp; Contect No.)</t>
  </si>
  <si>
    <t>Axis Sanpada</t>
  </si>
  <si>
    <t>M/s. Metro Creators</t>
  </si>
  <si>
    <t>P51700020756</t>
  </si>
  <si>
    <t>01/09/2020.</t>
  </si>
  <si>
    <t>Middle Class</t>
  </si>
  <si>
    <t>Developing</t>
  </si>
  <si>
    <t>Residential</t>
  </si>
  <si>
    <t>Survey No.</t>
  </si>
  <si>
    <t>Kulgaon</t>
  </si>
  <si>
    <t>Thane</t>
  </si>
  <si>
    <t>Ambernath</t>
  </si>
  <si>
    <t>Badlapur</t>
  </si>
  <si>
    <t>Barrage Road</t>
  </si>
  <si>
    <t>Shree Gajanan Apartment Raut Chawl</t>
  </si>
  <si>
    <t>4Km from Badlapur Railway Station</t>
  </si>
  <si>
    <t>D-Mart</t>
  </si>
  <si>
    <t>Shree Gajanan Aapartment</t>
  </si>
  <si>
    <t>Open Plot</t>
  </si>
  <si>
    <t>Internal Road</t>
  </si>
  <si>
    <t>Approved Plans, CC, Sale Plans</t>
  </si>
  <si>
    <t>Metro Aangan Phase I</t>
  </si>
  <si>
    <t>Ground Floor for Commercial + Parking</t>
  </si>
  <si>
    <t>1BHK</t>
  </si>
  <si>
    <t>Ground Floor</t>
  </si>
  <si>
    <t>Shop</t>
  </si>
  <si>
    <t>1st Floor For Commercial</t>
  </si>
  <si>
    <t>Office</t>
  </si>
  <si>
    <t>1st Floor</t>
  </si>
  <si>
    <t>Wing A</t>
  </si>
  <si>
    <t>2nd, 4th &amp; 6th Floor for Residential</t>
  </si>
  <si>
    <t>202, 402, 602</t>
  </si>
  <si>
    <t>203, 403, 603</t>
  </si>
  <si>
    <t>204, 404, 604</t>
  </si>
  <si>
    <t>205, 405, 605</t>
  </si>
  <si>
    <t>206, 406, 606</t>
  </si>
  <si>
    <t>207, 407, 607</t>
  </si>
  <si>
    <t>2BHK</t>
  </si>
  <si>
    <t>401, 601</t>
  </si>
  <si>
    <t>402, 602</t>
  </si>
  <si>
    <t>403, 603</t>
  </si>
  <si>
    <t>404, 604</t>
  </si>
  <si>
    <t>405, 605</t>
  </si>
  <si>
    <t>406, 606</t>
  </si>
  <si>
    <t>407, 607</t>
  </si>
  <si>
    <t>408, 608</t>
  </si>
  <si>
    <t>2nd Floor for Residential</t>
  </si>
  <si>
    <t xml:space="preserve">4th &amp; 6th Floor </t>
  </si>
  <si>
    <t>2nd Floor</t>
  </si>
  <si>
    <t>3rd, 5th &amp; 7th Floor</t>
  </si>
  <si>
    <t>301, 501, 701</t>
  </si>
  <si>
    <t>302, 502, 702</t>
  </si>
  <si>
    <t>303, 503, 703</t>
  </si>
  <si>
    <t>304, 504, 704</t>
  </si>
  <si>
    <t>305, 505, 705</t>
  </si>
  <si>
    <t>306, 506, 706</t>
  </si>
  <si>
    <t>307, 507, 707</t>
  </si>
  <si>
    <t>308, 508, 708</t>
  </si>
  <si>
    <t>8th Floor</t>
  </si>
  <si>
    <t>Natural Terrace</t>
  </si>
  <si>
    <t>Wing B</t>
  </si>
  <si>
    <t>1st Floor For Residential</t>
  </si>
  <si>
    <t>201, 401, 601</t>
  </si>
  <si>
    <t>2nd, 4th &amp; 6th Floor</t>
  </si>
  <si>
    <t xml:space="preserve"> </t>
  </si>
  <si>
    <t>Commercial Area Details : Office</t>
  </si>
  <si>
    <t>Commercial Area Details : Shop</t>
  </si>
  <si>
    <t>78/7B, 78/8B</t>
  </si>
  <si>
    <t>KBNP/NRV/BANDH/6899-18</t>
  </si>
  <si>
    <t>KBNP/NRV/B.P./6899/2020-2019 UNIQUE NO.18</t>
  </si>
  <si>
    <t>Ground Floor for Commercial, Residential &amp; Parking</t>
  </si>
  <si>
    <t>8th Floor (Part Terrace &amp; Refuge Area)</t>
  </si>
  <si>
    <t>Housing</t>
  </si>
  <si>
    <t>Metro Aangan</t>
  </si>
  <si>
    <t>Construction details:</t>
  </si>
  <si>
    <t>Piling Work in process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</si>
  <si>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</si>
  <si>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</si>
  <si>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</si>
  <si>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</si>
  <si>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</si>
  <si>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</si>
  <si>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</si>
  <si>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</si>
  <si>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</si>
  <si>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</si>
  <si>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</si>
  <si>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</si>
  <si>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</si>
  <si>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</si>
  <si>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Asmi</t>
  </si>
  <si>
    <t>Abhishek</t>
  </si>
  <si>
    <t>3,00,000/-</t>
  </si>
  <si>
    <t>Grill Charges</t>
  </si>
  <si>
    <t>40,000/-</t>
  </si>
  <si>
    <t>1,50,000/-</t>
  </si>
  <si>
    <t>50,000/-</t>
  </si>
  <si>
    <t>-</t>
  </si>
  <si>
    <t>Flat/Shop No.(As per Sale Plan)</t>
  </si>
  <si>
    <t>Flat/Shop No.(As per Approved Floor Plan)</t>
  </si>
  <si>
    <t>Nothing</t>
  </si>
  <si>
    <t>Wheather the construction is as per approved Building plan : Yes</t>
  </si>
  <si>
    <t>Building No. 1 (Wing A, B &amp; C)</t>
  </si>
  <si>
    <t>Wing (A &amp; B) = Gr + 8th Floor</t>
  </si>
  <si>
    <t>Wing C = Gr + 1st to 12th Floor</t>
  </si>
  <si>
    <t>Type of Work</t>
  </si>
  <si>
    <t>Complition %</t>
  </si>
  <si>
    <t>Excavation</t>
  </si>
  <si>
    <t>Slab/Floor</t>
  </si>
  <si>
    <t>Wing C</t>
  </si>
  <si>
    <t>101 …..1101</t>
  </si>
  <si>
    <t>102 …..1102</t>
  </si>
  <si>
    <t>103 …..1103</t>
  </si>
  <si>
    <t>104 …..1104</t>
  </si>
  <si>
    <t>105 …..1105</t>
  </si>
  <si>
    <t>106 …..1106</t>
  </si>
  <si>
    <t>107 …..1107</t>
  </si>
  <si>
    <t>2nd, 4th, 6th, 10th, 12th Floor</t>
  </si>
  <si>
    <t>201 …..1201</t>
  </si>
  <si>
    <t>202 …..1202</t>
  </si>
  <si>
    <t>203 …..1203</t>
  </si>
  <si>
    <t>204 …..1204</t>
  </si>
  <si>
    <t>205 …..1205</t>
  </si>
  <si>
    <t>206 …..1206</t>
  </si>
  <si>
    <t>207 …..1207</t>
  </si>
  <si>
    <t>8th Floor (Part Refuge Area)</t>
  </si>
  <si>
    <t>108 …..1108</t>
  </si>
  <si>
    <t>109 …..1109</t>
  </si>
  <si>
    <t>1010 …..1110</t>
  </si>
  <si>
    <t>1011 …..1111</t>
  </si>
  <si>
    <t>1012 …..1112</t>
  </si>
  <si>
    <t>208 …..1208</t>
  </si>
  <si>
    <t>209 …..1209</t>
  </si>
  <si>
    <t>210 …..1210</t>
  </si>
  <si>
    <t>211 …..1211</t>
  </si>
  <si>
    <t>212 …..1212</t>
  </si>
  <si>
    <t>3BHK</t>
  </si>
  <si>
    <t xml:space="preserve">Flats - 251, Shops - 25, Offices - 08 </t>
  </si>
  <si>
    <t>Ground Floor for for parking</t>
  </si>
  <si>
    <t>03 Building</t>
  </si>
  <si>
    <t>Refuge Area</t>
  </si>
  <si>
    <t>1,00,000/-</t>
  </si>
  <si>
    <t>Valid Up to:   Wing (A &amp; B) = Gr(St) + 1st to 8th Floor
                      Wing C = Gr + 1st to 12th Floor</t>
  </si>
  <si>
    <t>21/01/2022
15/04/2022</t>
  </si>
  <si>
    <t>KBNP/NRV/0685/2021-2022
Wing A = Gr(St) + 1st to 8th Floor
KBNP/NRV/3229/2022-2023
Wing B = Gr(St) + 1st to 8th Floor</t>
  </si>
  <si>
    <t>Location Link</t>
  </si>
  <si>
    <t>https://goo.gl/maps/JWygsrLZg5SQaWsq9?coh=178572&amp;entry=tt</t>
  </si>
  <si>
    <t>Office No. 1031, Wing J, Akshar Business Park, Plot No. 03 Sector 25, Near APMC Market, Vashi, 
Navi Mumbai, Maharashtra 400703 TEL: 022-46090378/79/80
E mail : vsjcapf@gmail.com. Web site : www.vsjadon.com</t>
  </si>
  <si>
    <t>KBNP/NRV/879/2024-2025
Approved Upto : Wing C = Gr/St + 1st to 12th Floor (Residential Units = 143 Nos.)</t>
  </si>
  <si>
    <t xml:space="preserve">1. Building No.1 - A to C Wing = All work Completed. OC Received.
2. We considered  Saleable area  as per our calculation.
3. We considered Carpet area as per Approved Plan.
4. We considered Gross carpet area = Net carpet + Enclose balcony + C.B Area + E.P Area.
5. We have considered rate by verifying it from market inquire.
6. Recommended rate should be considered as all inclusive rate if other charges are not mentioned. (Excluding GST &amp; other government Taxes).
7. Car parking is subjected to authentic documentation.
8. We have updated approved floor plan of wing C on(29/08/2022)
9. We have updated OC of Wing A &amp; B (on 10/02/2023) from RERA site.
10. We have updated OC for Wing C (On 25/06/2024).
8. On Site, we meet Mr. Ramdas - 7620554093.
</t>
  </si>
  <si>
    <t>Pooja</t>
  </si>
  <si>
    <t>Completed.</t>
  </si>
  <si>
    <t>Building No. 1 (Wing C) = Gr + 1st to 12th Floor</t>
  </si>
  <si>
    <t>Building No. 1 (Wing A &amp; B) = Gr + 8th Floor</t>
  </si>
  <si>
    <t>Sudhir</t>
  </si>
  <si>
    <t>Wing A &amp; B = 57 Years
Wing C = 59 Years</t>
  </si>
  <si>
    <t>1st, 3rd, 5th, 9th, 11th Floor for Residential</t>
  </si>
  <si>
    <t>7th Floor</t>
  </si>
  <si>
    <t>Flat No. C703 =  sale area changes from 1030 to 1053 by bhargav staff case on 15/07/2025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</si>
</sst>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</cellStyleXfs>
  <cellXfs count="198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8" fillId="0" borderId="0" xfId="0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13" fillId="0" borderId="5" xfId="1" applyFont="1" applyBorder="1" applyAlignment="1" applyProtection="1">
      <alignment horizontal="center" vertical="top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3" fillId="0" borderId="6" xfId="1" applyFont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8" fillId="0" borderId="11" xfId="1" applyFont="1" applyBorder="1" applyProtection="1">
      <protection hidden="1"/>
    </xf>
    <xf numFmtId="0" fontId="18" fillId="0" borderId="0" xfId="0" applyFont="1" applyProtection="1">
      <protection hidden="1"/>
    </xf>
    <xf numFmtId="0" fontId="18" fillId="0" borderId="13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8" fillId="0" borderId="14" xfId="0" applyFont="1" applyBorder="1" applyProtection="1">
      <protection hidden="1"/>
    </xf>
    <xf numFmtId="1" fontId="0" fillId="0" borderId="15" xfId="0" applyNumberFormat="1" applyBorder="1"/>
    <xf numFmtId="14" fontId="0" fillId="0" borderId="0" xfId="0" applyNumberFormat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8" xfId="1" applyFont="1" applyBorder="1" applyAlignment="1" applyProtection="1">
      <alignment horizontal="center" wrapText="1"/>
      <protection locked="0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11" fillId="0" borderId="0" xfId="1" applyFont="1" applyProtection="1"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5" xfId="1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0" fontId="8" fillId="0" borderId="16" xfId="1" applyFont="1" applyBorder="1"/>
    <xf numFmtId="0" fontId="18" fillId="0" borderId="0" xfId="0" applyFont="1" applyAlignment="1" applyProtection="1">
      <alignment horizontal="center" vertical="center"/>
      <protection hidden="1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1" fontId="13" fillId="0" borderId="4" xfId="1" applyNumberFormat="1" applyFont="1" applyBorder="1" applyAlignment="1" applyProtection="1">
      <alignment horizontal="center" wrapText="1"/>
      <protection locked="0"/>
    </xf>
    <xf numFmtId="9" fontId="13" fillId="0" borderId="4" xfId="1" applyNumberFormat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23" fillId="0" borderId="39" xfId="0" applyFont="1" applyBorder="1"/>
    <xf numFmtId="0" fontId="23" fillId="0" borderId="6" xfId="0" applyFont="1" applyBorder="1"/>
    <xf numFmtId="0" fontId="8" fillId="0" borderId="13" xfId="1" applyFont="1" applyBorder="1"/>
    <xf numFmtId="9" fontId="13" fillId="3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8" xfId="1" applyNumberFormat="1" applyFont="1" applyFill="1" applyBorder="1" applyAlignment="1" applyProtection="1">
      <alignment horizontal="center" vertical="center" wrapText="1"/>
      <protection hidden="1"/>
    </xf>
    <xf numFmtId="0" fontId="22" fillId="2" borderId="40" xfId="0" applyFont="1" applyFill="1" applyBorder="1"/>
    <xf numFmtId="0" fontId="23" fillId="0" borderId="1" xfId="0" applyFont="1" applyBorder="1"/>
    <xf numFmtId="2" fontId="0" fillId="0" borderId="0" xfId="0" applyNumberFormat="1"/>
    <xf numFmtId="164" fontId="0" fillId="0" borderId="0" xfId="0" applyNumberFormat="1"/>
    <xf numFmtId="2" fontId="18" fillId="0" borderId="0" xfId="0" applyNumberFormat="1" applyFont="1" applyProtection="1">
      <protection hidden="1"/>
    </xf>
    <xf numFmtId="1" fontId="8" fillId="0" borderId="1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4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left" vertical="center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4" fontId="14" fillId="0" borderId="9" xfId="1" applyNumberFormat="1" applyFont="1" applyBorder="1" applyAlignment="1" applyProtection="1">
      <alignment horizontal="left" vertical="top" wrapText="1"/>
      <protection locked="0"/>
    </xf>
    <xf numFmtId="0" fontId="14" fillId="0" borderId="10" xfId="1" applyFont="1" applyBorder="1" applyAlignment="1" applyProtection="1">
      <alignment horizontal="left" vertical="top" wrapText="1"/>
      <protection locked="0"/>
    </xf>
    <xf numFmtId="0" fontId="14" fillId="0" borderId="9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29" xfId="1" applyFont="1" applyBorder="1" applyAlignment="1" applyProtection="1">
      <alignment horizontal="left" vertical="top" wrapText="1"/>
      <protection locked="0"/>
    </xf>
    <xf numFmtId="0" fontId="14" fillId="0" borderId="33" xfId="1" applyFont="1" applyBorder="1" applyAlignment="1" applyProtection="1">
      <alignment horizontal="center" vertical="center" wrapText="1"/>
      <protection locked="0"/>
    </xf>
    <xf numFmtId="0" fontId="14" fillId="0" borderId="20" xfId="1" applyFont="1" applyBorder="1" applyAlignment="1" applyProtection="1">
      <alignment horizontal="center" vertical="center" wrapText="1"/>
      <protection locked="0"/>
    </xf>
    <xf numFmtId="0" fontId="14" fillId="0" borderId="35" xfId="1" applyFont="1" applyBorder="1" applyAlignment="1" applyProtection="1">
      <alignment horizontal="center" vertical="center" wrapText="1"/>
      <protection locked="0"/>
    </xf>
    <xf numFmtId="0" fontId="14" fillId="0" borderId="32" xfId="1" applyFont="1" applyBorder="1" applyAlignment="1" applyProtection="1">
      <alignment horizontal="center" vertical="center" wrapText="1"/>
      <protection locked="0"/>
    </xf>
    <xf numFmtId="9" fontId="14" fillId="0" borderId="19" xfId="1" applyNumberFormat="1" applyFont="1" applyBorder="1" applyAlignment="1" applyProtection="1">
      <alignment horizontal="center" vertical="center" wrapText="1"/>
      <protection locked="0"/>
    </xf>
    <xf numFmtId="0" fontId="14" fillId="0" borderId="31" xfId="1" applyFont="1" applyBorder="1" applyAlignment="1" applyProtection="1">
      <alignment horizontal="center" vertical="center" wrapText="1"/>
      <protection locked="0"/>
    </xf>
    <xf numFmtId="0" fontId="14" fillId="0" borderId="19" xfId="1" applyFont="1" applyBorder="1" applyAlignment="1" applyProtection="1">
      <alignment horizontal="center" vertical="center" wrapText="1"/>
      <protection locked="0"/>
    </xf>
    <xf numFmtId="0" fontId="14" fillId="0" borderId="30" xfId="1" applyFont="1" applyBorder="1" applyAlignment="1" applyProtection="1">
      <alignment horizontal="center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16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24" fillId="0" borderId="9" xfId="8" applyFill="1" applyBorder="1" applyAlignment="1" applyProtection="1">
      <alignment horizontal="left"/>
      <protection locked="0"/>
    </xf>
    <xf numFmtId="0" fontId="8" fillId="0" borderId="16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4" fillId="0" borderId="1" xfId="2" applyFont="1" applyBorder="1" applyAlignment="1" applyProtection="1">
      <alignment horizontal="left" vertical="top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center" vertical="top" wrapText="1"/>
      <protection locked="0"/>
    </xf>
    <xf numFmtId="0" fontId="14" fillId="0" borderId="36" xfId="1" applyFont="1" applyBorder="1" applyAlignment="1" applyProtection="1">
      <alignment horizontal="left" vertical="top" wrapText="1"/>
      <protection locked="0"/>
    </xf>
    <xf numFmtId="0" fontId="14" fillId="0" borderId="37" xfId="1" applyFont="1" applyBorder="1" applyAlignment="1" applyProtection="1">
      <alignment horizontal="left" vertical="top" wrapText="1"/>
      <protection locked="0"/>
    </xf>
    <xf numFmtId="0" fontId="14" fillId="0" borderId="38" xfId="1" applyFont="1" applyBorder="1" applyAlignment="1" applyProtection="1">
      <alignment horizontal="left" vertical="top" wrapText="1"/>
      <protection locked="0"/>
    </xf>
    <xf numFmtId="0" fontId="14" fillId="0" borderId="11" xfId="1" applyFont="1" applyBorder="1" applyAlignment="1" applyProtection="1">
      <alignment horizontal="left" vertical="top" wrapText="1"/>
      <protection locked="0"/>
    </xf>
    <xf numFmtId="0" fontId="14" fillId="0" borderId="12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 wrapText="1"/>
      <protection locked="0"/>
    </xf>
    <xf numFmtId="9" fontId="13" fillId="3" borderId="19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20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18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17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31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32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30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13" xfId="1" applyNumberFormat="1" applyFont="1" applyFill="1" applyBorder="1" applyAlignment="1" applyProtection="1">
      <alignment horizontal="center" vertical="center" wrapText="1"/>
      <protection hidden="1"/>
    </xf>
    <xf numFmtId="9" fontId="13" fillId="3" borderId="15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4" xfId="1" applyFont="1" applyBorder="1" applyAlignment="1" applyProtection="1">
      <alignment horizontal="left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14" fillId="0" borderId="27" xfId="1" applyFont="1" applyBorder="1" applyAlignment="1" applyProtection="1">
      <alignment horizontal="left" vertical="top" wrapText="1"/>
      <protection locked="0"/>
    </xf>
    <xf numFmtId="0" fontId="14" fillId="0" borderId="28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1" fontId="11" fillId="0" borderId="9" xfId="0" applyNumberFormat="1" applyFont="1" applyBorder="1" applyAlignment="1" applyProtection="1">
      <alignment horizontal="center" vertical="top" wrapText="1"/>
      <protection locked="0"/>
    </xf>
    <xf numFmtId="1" fontId="11" fillId="0" borderId="16" xfId="0" applyNumberFormat="1" applyFont="1" applyBorder="1" applyAlignment="1" applyProtection="1">
      <alignment horizontal="center" vertical="top" wrapText="1"/>
      <protection locked="0"/>
    </xf>
    <xf numFmtId="1" fontId="11" fillId="0" borderId="10" xfId="0" applyNumberFormat="1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146288</xdr:colOff>
      <xdr:row>366</xdr:row>
      <xdr:rowOff>73722</xdr:rowOff>
    </xdr:from>
    <xdr:to>
      <xdr:col>7</xdr:col>
      <xdr:colOff>289975</xdr:colOff>
      <xdr:row>384</xdr:row>
      <xdr:rowOff>43016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6238" y="70203122"/>
          <a:ext cx="5166537" cy="35125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163606</xdr:colOff>
      <xdr:row>348</xdr:row>
      <xdr:rowOff>32871</xdr:rowOff>
    </xdr:from>
    <xdr:to>
      <xdr:col>7</xdr:col>
      <xdr:colOff>307293</xdr:colOff>
      <xdr:row>366</xdr:row>
      <xdr:rowOff>2164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3556" y="66618971"/>
          <a:ext cx="5166537" cy="35125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615315</xdr:colOff>
      <xdr:row>307</xdr:row>
      <xdr:rowOff>171450</xdr:rowOff>
    </xdr:from>
    <xdr:to>
      <xdr:col>10</xdr:col>
      <xdr:colOff>443865</xdr:colOff>
      <xdr:row>309</xdr:row>
      <xdr:rowOff>62865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B435091-9A3E-BDA1-16EB-3AC6D9100629}"/>
            </a:ext>
          </a:extLst>
        </xdr:cNvPr>
        <xdr:cNvSpPr txBox="1"/>
      </xdr:nvSpPr>
      <xdr:spPr>
        <a:xfrm>
          <a:off x="8425815" y="60940950"/>
          <a:ext cx="485775" cy="2914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 &amp;B</a:t>
          </a:r>
        </a:p>
      </xdr:txBody>
    </xdr:sp>
    <xdr:clientData/>
  </xdr:twoCellAnchor>
  <xdr:twoCellAnchor>
    <xdr:from>
      <xdr:col>0</xdr:col>
      <xdr:colOff>349250</xdr:colOff>
      <xdr:row>303</xdr:row>
      <xdr:rowOff>107950</xdr:rowOff>
    </xdr:from>
    <xdr:to>
      <xdr:col>7</xdr:col>
      <xdr:colOff>914324</xdr:colOff>
      <xdr:row>337</xdr:row>
      <xdr:rowOff>3744</xdr:rowOff>
    </xdr:to>
    <xdr:grpSp>
      <xdr:nvGrpSpPr>
        <xdr:cNvPr id="3" name="Group 2"/>
        <xdr:cNvGrpSpPr/>
      </xdr:nvGrpSpPr>
      <xdr:grpSpPr>
        <a:xfrm>
          <a:off x="349250" y="60407550"/>
          <a:ext cx="6457874" cy="6582344"/>
          <a:chOff x="349250" y="57848500"/>
          <a:chExt cx="6457874" cy="6582344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4275" y="62630844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9325" y="578485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250" y="578485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9400" y="578485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50916" y="60707672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6986" y="60707672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0</xdr:rowOff>
    </xdr:from>
    <xdr:to>
      <xdr:col>9</xdr:col>
      <xdr:colOff>153564</xdr:colOff>
      <xdr:row>9</xdr:row>
      <xdr:rowOff>85500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6" y="0"/>
          <a:ext cx="3201563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WygsrLZg5SQaWsq9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7"/>
  <sheetViews>
    <sheetView tabSelected="1" view="pageBreakPreview" topLeftCell="A122" zoomScaleNormal="100" zoomScaleSheetLayoutView="100" zoomScalePageLayoutView="115" workbookViewId="0">
      <selection activeCell="F122" sqref="F122:H122"/>
    </sheetView>
  </sheetViews>
  <sheetFormatPr defaultColWidth="9.1796875" defaultRowHeight="15.5" x14ac:dyDescent="0.35"/>
  <cols>
    <col min="1" max="1" width="12.453125" style="15" customWidth="1"/>
    <col min="2" max="2" width="11.1796875" style="15" customWidth="1"/>
    <col min="3" max="3" width="12.7265625" style="15" customWidth="1"/>
    <col min="4" max="4" width="12.81640625" style="15" customWidth="1"/>
    <col min="5" max="7" width="11.7265625" style="15" customWidth="1"/>
    <col min="8" max="8" width="18.453125" style="15" customWidth="1"/>
    <col min="9" max="9" width="20.453125" style="8" customWidth="1"/>
    <col min="10" max="10" width="9.81640625" style="8" bestFit="1" customWidth="1"/>
    <col min="11" max="252" width="9.1796875" style="8"/>
    <col min="253" max="253" width="8.7265625" style="8" customWidth="1"/>
    <col min="254" max="254" width="9.81640625" style="8" customWidth="1"/>
    <col min="255" max="255" width="14.453125" style="8" customWidth="1"/>
    <col min="256" max="256" width="7.26953125" style="8" customWidth="1"/>
    <col min="257" max="257" width="5.54296875" style="8" customWidth="1"/>
    <col min="258" max="258" width="9" style="8" customWidth="1"/>
    <col min="259" max="260" width="9.81640625" style="8" customWidth="1"/>
    <col min="261" max="261" width="11.1796875" style="8" customWidth="1"/>
    <col min="262" max="262" width="2.81640625" style="8" customWidth="1"/>
    <col min="263" max="263" width="3.54296875" style="8" customWidth="1"/>
    <col min="264" max="508" width="9.1796875" style="8"/>
    <col min="509" max="509" width="8.7265625" style="8" customWidth="1"/>
    <col min="510" max="510" width="9.81640625" style="8" customWidth="1"/>
    <col min="511" max="511" width="14.453125" style="8" customWidth="1"/>
    <col min="512" max="512" width="7.26953125" style="8" customWidth="1"/>
    <col min="513" max="513" width="5.54296875" style="8" customWidth="1"/>
    <col min="514" max="514" width="9" style="8" customWidth="1"/>
    <col min="515" max="516" width="9.81640625" style="8" customWidth="1"/>
    <col min="517" max="517" width="11.1796875" style="8" customWidth="1"/>
    <col min="518" max="518" width="2.81640625" style="8" customWidth="1"/>
    <col min="519" max="519" width="3.54296875" style="8" customWidth="1"/>
    <col min="520" max="764" width="9.1796875" style="8"/>
    <col min="765" max="765" width="8.7265625" style="8" customWidth="1"/>
    <col min="766" max="766" width="9.81640625" style="8" customWidth="1"/>
    <col min="767" max="767" width="14.453125" style="8" customWidth="1"/>
    <col min="768" max="768" width="7.26953125" style="8" customWidth="1"/>
    <col min="769" max="769" width="5.54296875" style="8" customWidth="1"/>
    <col min="770" max="770" width="9" style="8" customWidth="1"/>
    <col min="771" max="772" width="9.81640625" style="8" customWidth="1"/>
    <col min="773" max="773" width="11.1796875" style="8" customWidth="1"/>
    <col min="774" max="774" width="2.81640625" style="8" customWidth="1"/>
    <col min="775" max="775" width="3.54296875" style="8" customWidth="1"/>
    <col min="776" max="1020" width="9.1796875" style="8"/>
    <col min="1021" max="1021" width="8.7265625" style="8" customWidth="1"/>
    <col min="1022" max="1022" width="9.81640625" style="8" customWidth="1"/>
    <col min="1023" max="1023" width="14.453125" style="8" customWidth="1"/>
    <col min="1024" max="1024" width="7.26953125" style="8" customWidth="1"/>
    <col min="1025" max="1025" width="5.54296875" style="8" customWidth="1"/>
    <col min="1026" max="1026" width="9" style="8" customWidth="1"/>
    <col min="1027" max="1028" width="9.81640625" style="8" customWidth="1"/>
    <col min="1029" max="1029" width="11.1796875" style="8" customWidth="1"/>
    <col min="1030" max="1030" width="2.81640625" style="8" customWidth="1"/>
    <col min="1031" max="1031" width="3.54296875" style="8" customWidth="1"/>
    <col min="1032" max="1276" width="9.1796875" style="8"/>
    <col min="1277" max="1277" width="8.7265625" style="8" customWidth="1"/>
    <col min="1278" max="1278" width="9.81640625" style="8" customWidth="1"/>
    <col min="1279" max="1279" width="14.453125" style="8" customWidth="1"/>
    <col min="1280" max="1280" width="7.26953125" style="8" customWidth="1"/>
    <col min="1281" max="1281" width="5.54296875" style="8" customWidth="1"/>
    <col min="1282" max="1282" width="9" style="8" customWidth="1"/>
    <col min="1283" max="1284" width="9.81640625" style="8" customWidth="1"/>
    <col min="1285" max="1285" width="11.1796875" style="8" customWidth="1"/>
    <col min="1286" max="1286" width="2.81640625" style="8" customWidth="1"/>
    <col min="1287" max="1287" width="3.54296875" style="8" customWidth="1"/>
    <col min="1288" max="1532" width="9.1796875" style="8"/>
    <col min="1533" max="1533" width="8.7265625" style="8" customWidth="1"/>
    <col min="1534" max="1534" width="9.81640625" style="8" customWidth="1"/>
    <col min="1535" max="1535" width="14.453125" style="8" customWidth="1"/>
    <col min="1536" max="1536" width="7.26953125" style="8" customWidth="1"/>
    <col min="1537" max="1537" width="5.54296875" style="8" customWidth="1"/>
    <col min="1538" max="1538" width="9" style="8" customWidth="1"/>
    <col min="1539" max="1540" width="9.81640625" style="8" customWidth="1"/>
    <col min="1541" max="1541" width="11.1796875" style="8" customWidth="1"/>
    <col min="1542" max="1542" width="2.81640625" style="8" customWidth="1"/>
    <col min="1543" max="1543" width="3.54296875" style="8" customWidth="1"/>
    <col min="1544" max="1788" width="9.1796875" style="8"/>
    <col min="1789" max="1789" width="8.7265625" style="8" customWidth="1"/>
    <col min="1790" max="1790" width="9.81640625" style="8" customWidth="1"/>
    <col min="1791" max="1791" width="14.453125" style="8" customWidth="1"/>
    <col min="1792" max="1792" width="7.26953125" style="8" customWidth="1"/>
    <col min="1793" max="1793" width="5.54296875" style="8" customWidth="1"/>
    <col min="1794" max="1794" width="9" style="8" customWidth="1"/>
    <col min="1795" max="1796" width="9.81640625" style="8" customWidth="1"/>
    <col min="1797" max="1797" width="11.1796875" style="8" customWidth="1"/>
    <col min="1798" max="1798" width="2.81640625" style="8" customWidth="1"/>
    <col min="1799" max="1799" width="3.54296875" style="8" customWidth="1"/>
    <col min="1800" max="2044" width="9.1796875" style="8"/>
    <col min="2045" max="2045" width="8.7265625" style="8" customWidth="1"/>
    <col min="2046" max="2046" width="9.81640625" style="8" customWidth="1"/>
    <col min="2047" max="2047" width="14.453125" style="8" customWidth="1"/>
    <col min="2048" max="2048" width="7.26953125" style="8" customWidth="1"/>
    <col min="2049" max="2049" width="5.54296875" style="8" customWidth="1"/>
    <col min="2050" max="2050" width="9" style="8" customWidth="1"/>
    <col min="2051" max="2052" width="9.81640625" style="8" customWidth="1"/>
    <col min="2053" max="2053" width="11.1796875" style="8" customWidth="1"/>
    <col min="2054" max="2054" width="2.81640625" style="8" customWidth="1"/>
    <col min="2055" max="2055" width="3.54296875" style="8" customWidth="1"/>
    <col min="2056" max="2300" width="9.1796875" style="8"/>
    <col min="2301" max="2301" width="8.7265625" style="8" customWidth="1"/>
    <col min="2302" max="2302" width="9.81640625" style="8" customWidth="1"/>
    <col min="2303" max="2303" width="14.453125" style="8" customWidth="1"/>
    <col min="2304" max="2304" width="7.26953125" style="8" customWidth="1"/>
    <col min="2305" max="2305" width="5.54296875" style="8" customWidth="1"/>
    <col min="2306" max="2306" width="9" style="8" customWidth="1"/>
    <col min="2307" max="2308" width="9.81640625" style="8" customWidth="1"/>
    <col min="2309" max="2309" width="11.1796875" style="8" customWidth="1"/>
    <col min="2310" max="2310" width="2.81640625" style="8" customWidth="1"/>
    <col min="2311" max="2311" width="3.54296875" style="8" customWidth="1"/>
    <col min="2312" max="2556" width="9.1796875" style="8"/>
    <col min="2557" max="2557" width="8.7265625" style="8" customWidth="1"/>
    <col min="2558" max="2558" width="9.81640625" style="8" customWidth="1"/>
    <col min="2559" max="2559" width="14.453125" style="8" customWidth="1"/>
    <col min="2560" max="2560" width="7.26953125" style="8" customWidth="1"/>
    <col min="2561" max="2561" width="5.54296875" style="8" customWidth="1"/>
    <col min="2562" max="2562" width="9" style="8" customWidth="1"/>
    <col min="2563" max="2564" width="9.81640625" style="8" customWidth="1"/>
    <col min="2565" max="2565" width="11.1796875" style="8" customWidth="1"/>
    <col min="2566" max="2566" width="2.81640625" style="8" customWidth="1"/>
    <col min="2567" max="2567" width="3.54296875" style="8" customWidth="1"/>
    <col min="2568" max="2812" width="9.1796875" style="8"/>
    <col min="2813" max="2813" width="8.7265625" style="8" customWidth="1"/>
    <col min="2814" max="2814" width="9.81640625" style="8" customWidth="1"/>
    <col min="2815" max="2815" width="14.453125" style="8" customWidth="1"/>
    <col min="2816" max="2816" width="7.26953125" style="8" customWidth="1"/>
    <col min="2817" max="2817" width="5.54296875" style="8" customWidth="1"/>
    <col min="2818" max="2818" width="9" style="8" customWidth="1"/>
    <col min="2819" max="2820" width="9.81640625" style="8" customWidth="1"/>
    <col min="2821" max="2821" width="11.1796875" style="8" customWidth="1"/>
    <col min="2822" max="2822" width="2.81640625" style="8" customWidth="1"/>
    <col min="2823" max="2823" width="3.54296875" style="8" customWidth="1"/>
    <col min="2824" max="3068" width="9.1796875" style="8"/>
    <col min="3069" max="3069" width="8.7265625" style="8" customWidth="1"/>
    <col min="3070" max="3070" width="9.81640625" style="8" customWidth="1"/>
    <col min="3071" max="3071" width="14.453125" style="8" customWidth="1"/>
    <col min="3072" max="3072" width="7.26953125" style="8" customWidth="1"/>
    <col min="3073" max="3073" width="5.54296875" style="8" customWidth="1"/>
    <col min="3074" max="3074" width="9" style="8" customWidth="1"/>
    <col min="3075" max="3076" width="9.81640625" style="8" customWidth="1"/>
    <col min="3077" max="3077" width="11.1796875" style="8" customWidth="1"/>
    <col min="3078" max="3078" width="2.81640625" style="8" customWidth="1"/>
    <col min="3079" max="3079" width="3.54296875" style="8" customWidth="1"/>
    <col min="3080" max="3324" width="9.1796875" style="8"/>
    <col min="3325" max="3325" width="8.7265625" style="8" customWidth="1"/>
    <col min="3326" max="3326" width="9.81640625" style="8" customWidth="1"/>
    <col min="3327" max="3327" width="14.453125" style="8" customWidth="1"/>
    <col min="3328" max="3328" width="7.26953125" style="8" customWidth="1"/>
    <col min="3329" max="3329" width="5.54296875" style="8" customWidth="1"/>
    <col min="3330" max="3330" width="9" style="8" customWidth="1"/>
    <col min="3331" max="3332" width="9.81640625" style="8" customWidth="1"/>
    <col min="3333" max="3333" width="11.1796875" style="8" customWidth="1"/>
    <col min="3334" max="3334" width="2.81640625" style="8" customWidth="1"/>
    <col min="3335" max="3335" width="3.54296875" style="8" customWidth="1"/>
    <col min="3336" max="3580" width="9.1796875" style="8"/>
    <col min="3581" max="3581" width="8.7265625" style="8" customWidth="1"/>
    <col min="3582" max="3582" width="9.81640625" style="8" customWidth="1"/>
    <col min="3583" max="3583" width="14.453125" style="8" customWidth="1"/>
    <col min="3584" max="3584" width="7.26953125" style="8" customWidth="1"/>
    <col min="3585" max="3585" width="5.54296875" style="8" customWidth="1"/>
    <col min="3586" max="3586" width="9" style="8" customWidth="1"/>
    <col min="3587" max="3588" width="9.81640625" style="8" customWidth="1"/>
    <col min="3589" max="3589" width="11.1796875" style="8" customWidth="1"/>
    <col min="3590" max="3590" width="2.81640625" style="8" customWidth="1"/>
    <col min="3591" max="3591" width="3.54296875" style="8" customWidth="1"/>
    <col min="3592" max="3836" width="9.1796875" style="8"/>
    <col min="3837" max="3837" width="8.7265625" style="8" customWidth="1"/>
    <col min="3838" max="3838" width="9.81640625" style="8" customWidth="1"/>
    <col min="3839" max="3839" width="14.453125" style="8" customWidth="1"/>
    <col min="3840" max="3840" width="7.26953125" style="8" customWidth="1"/>
    <col min="3841" max="3841" width="5.54296875" style="8" customWidth="1"/>
    <col min="3842" max="3842" width="9" style="8" customWidth="1"/>
    <col min="3843" max="3844" width="9.81640625" style="8" customWidth="1"/>
    <col min="3845" max="3845" width="11.1796875" style="8" customWidth="1"/>
    <col min="3846" max="3846" width="2.81640625" style="8" customWidth="1"/>
    <col min="3847" max="3847" width="3.54296875" style="8" customWidth="1"/>
    <col min="3848" max="4092" width="9.1796875" style="8"/>
    <col min="4093" max="4093" width="8.7265625" style="8" customWidth="1"/>
    <col min="4094" max="4094" width="9.81640625" style="8" customWidth="1"/>
    <col min="4095" max="4095" width="14.453125" style="8" customWidth="1"/>
    <col min="4096" max="4096" width="7.26953125" style="8" customWidth="1"/>
    <col min="4097" max="4097" width="5.54296875" style="8" customWidth="1"/>
    <col min="4098" max="4098" width="9" style="8" customWidth="1"/>
    <col min="4099" max="4100" width="9.81640625" style="8" customWidth="1"/>
    <col min="4101" max="4101" width="11.1796875" style="8" customWidth="1"/>
    <col min="4102" max="4102" width="2.81640625" style="8" customWidth="1"/>
    <col min="4103" max="4103" width="3.54296875" style="8" customWidth="1"/>
    <col min="4104" max="4348" width="9.1796875" style="8"/>
    <col min="4349" max="4349" width="8.7265625" style="8" customWidth="1"/>
    <col min="4350" max="4350" width="9.81640625" style="8" customWidth="1"/>
    <col min="4351" max="4351" width="14.453125" style="8" customWidth="1"/>
    <col min="4352" max="4352" width="7.26953125" style="8" customWidth="1"/>
    <col min="4353" max="4353" width="5.54296875" style="8" customWidth="1"/>
    <col min="4354" max="4354" width="9" style="8" customWidth="1"/>
    <col min="4355" max="4356" width="9.81640625" style="8" customWidth="1"/>
    <col min="4357" max="4357" width="11.1796875" style="8" customWidth="1"/>
    <col min="4358" max="4358" width="2.81640625" style="8" customWidth="1"/>
    <col min="4359" max="4359" width="3.54296875" style="8" customWidth="1"/>
    <col min="4360" max="4604" width="9.1796875" style="8"/>
    <col min="4605" max="4605" width="8.7265625" style="8" customWidth="1"/>
    <col min="4606" max="4606" width="9.81640625" style="8" customWidth="1"/>
    <col min="4607" max="4607" width="14.453125" style="8" customWidth="1"/>
    <col min="4608" max="4608" width="7.26953125" style="8" customWidth="1"/>
    <col min="4609" max="4609" width="5.54296875" style="8" customWidth="1"/>
    <col min="4610" max="4610" width="9" style="8" customWidth="1"/>
    <col min="4611" max="4612" width="9.81640625" style="8" customWidth="1"/>
    <col min="4613" max="4613" width="11.1796875" style="8" customWidth="1"/>
    <col min="4614" max="4614" width="2.81640625" style="8" customWidth="1"/>
    <col min="4615" max="4615" width="3.54296875" style="8" customWidth="1"/>
    <col min="4616" max="4860" width="9.1796875" style="8"/>
    <col min="4861" max="4861" width="8.7265625" style="8" customWidth="1"/>
    <col min="4862" max="4862" width="9.81640625" style="8" customWidth="1"/>
    <col min="4863" max="4863" width="14.453125" style="8" customWidth="1"/>
    <col min="4864" max="4864" width="7.26953125" style="8" customWidth="1"/>
    <col min="4865" max="4865" width="5.54296875" style="8" customWidth="1"/>
    <col min="4866" max="4866" width="9" style="8" customWidth="1"/>
    <col min="4867" max="4868" width="9.81640625" style="8" customWidth="1"/>
    <col min="4869" max="4869" width="11.1796875" style="8" customWidth="1"/>
    <col min="4870" max="4870" width="2.81640625" style="8" customWidth="1"/>
    <col min="4871" max="4871" width="3.54296875" style="8" customWidth="1"/>
    <col min="4872" max="5116" width="9.1796875" style="8"/>
    <col min="5117" max="5117" width="8.7265625" style="8" customWidth="1"/>
    <col min="5118" max="5118" width="9.81640625" style="8" customWidth="1"/>
    <col min="5119" max="5119" width="14.453125" style="8" customWidth="1"/>
    <col min="5120" max="5120" width="7.26953125" style="8" customWidth="1"/>
    <col min="5121" max="5121" width="5.54296875" style="8" customWidth="1"/>
    <col min="5122" max="5122" width="9" style="8" customWidth="1"/>
    <col min="5123" max="5124" width="9.81640625" style="8" customWidth="1"/>
    <col min="5125" max="5125" width="11.1796875" style="8" customWidth="1"/>
    <col min="5126" max="5126" width="2.81640625" style="8" customWidth="1"/>
    <col min="5127" max="5127" width="3.54296875" style="8" customWidth="1"/>
    <col min="5128" max="5372" width="9.1796875" style="8"/>
    <col min="5373" max="5373" width="8.7265625" style="8" customWidth="1"/>
    <col min="5374" max="5374" width="9.81640625" style="8" customWidth="1"/>
    <col min="5375" max="5375" width="14.453125" style="8" customWidth="1"/>
    <col min="5376" max="5376" width="7.26953125" style="8" customWidth="1"/>
    <col min="5377" max="5377" width="5.54296875" style="8" customWidth="1"/>
    <col min="5378" max="5378" width="9" style="8" customWidth="1"/>
    <col min="5379" max="5380" width="9.81640625" style="8" customWidth="1"/>
    <col min="5381" max="5381" width="11.1796875" style="8" customWidth="1"/>
    <col min="5382" max="5382" width="2.81640625" style="8" customWidth="1"/>
    <col min="5383" max="5383" width="3.54296875" style="8" customWidth="1"/>
    <col min="5384" max="5628" width="9.1796875" style="8"/>
    <col min="5629" max="5629" width="8.7265625" style="8" customWidth="1"/>
    <col min="5630" max="5630" width="9.81640625" style="8" customWidth="1"/>
    <col min="5631" max="5631" width="14.453125" style="8" customWidth="1"/>
    <col min="5632" max="5632" width="7.26953125" style="8" customWidth="1"/>
    <col min="5633" max="5633" width="5.54296875" style="8" customWidth="1"/>
    <col min="5634" max="5634" width="9" style="8" customWidth="1"/>
    <col min="5635" max="5636" width="9.81640625" style="8" customWidth="1"/>
    <col min="5637" max="5637" width="11.1796875" style="8" customWidth="1"/>
    <col min="5638" max="5638" width="2.81640625" style="8" customWidth="1"/>
    <col min="5639" max="5639" width="3.54296875" style="8" customWidth="1"/>
    <col min="5640" max="5884" width="9.1796875" style="8"/>
    <col min="5885" max="5885" width="8.7265625" style="8" customWidth="1"/>
    <col min="5886" max="5886" width="9.81640625" style="8" customWidth="1"/>
    <col min="5887" max="5887" width="14.453125" style="8" customWidth="1"/>
    <col min="5888" max="5888" width="7.26953125" style="8" customWidth="1"/>
    <col min="5889" max="5889" width="5.54296875" style="8" customWidth="1"/>
    <col min="5890" max="5890" width="9" style="8" customWidth="1"/>
    <col min="5891" max="5892" width="9.81640625" style="8" customWidth="1"/>
    <col min="5893" max="5893" width="11.1796875" style="8" customWidth="1"/>
    <col min="5894" max="5894" width="2.81640625" style="8" customWidth="1"/>
    <col min="5895" max="5895" width="3.54296875" style="8" customWidth="1"/>
    <col min="5896" max="6140" width="9.1796875" style="8"/>
    <col min="6141" max="6141" width="8.7265625" style="8" customWidth="1"/>
    <col min="6142" max="6142" width="9.81640625" style="8" customWidth="1"/>
    <col min="6143" max="6143" width="14.453125" style="8" customWidth="1"/>
    <col min="6144" max="6144" width="7.26953125" style="8" customWidth="1"/>
    <col min="6145" max="6145" width="5.54296875" style="8" customWidth="1"/>
    <col min="6146" max="6146" width="9" style="8" customWidth="1"/>
    <col min="6147" max="6148" width="9.81640625" style="8" customWidth="1"/>
    <col min="6149" max="6149" width="11.1796875" style="8" customWidth="1"/>
    <col min="6150" max="6150" width="2.81640625" style="8" customWidth="1"/>
    <col min="6151" max="6151" width="3.54296875" style="8" customWidth="1"/>
    <col min="6152" max="6396" width="9.1796875" style="8"/>
    <col min="6397" max="6397" width="8.7265625" style="8" customWidth="1"/>
    <col min="6398" max="6398" width="9.81640625" style="8" customWidth="1"/>
    <col min="6399" max="6399" width="14.453125" style="8" customWidth="1"/>
    <col min="6400" max="6400" width="7.26953125" style="8" customWidth="1"/>
    <col min="6401" max="6401" width="5.54296875" style="8" customWidth="1"/>
    <col min="6402" max="6402" width="9" style="8" customWidth="1"/>
    <col min="6403" max="6404" width="9.81640625" style="8" customWidth="1"/>
    <col min="6405" max="6405" width="11.1796875" style="8" customWidth="1"/>
    <col min="6406" max="6406" width="2.81640625" style="8" customWidth="1"/>
    <col min="6407" max="6407" width="3.54296875" style="8" customWidth="1"/>
    <col min="6408" max="6652" width="9.1796875" style="8"/>
    <col min="6653" max="6653" width="8.7265625" style="8" customWidth="1"/>
    <col min="6654" max="6654" width="9.81640625" style="8" customWidth="1"/>
    <col min="6655" max="6655" width="14.453125" style="8" customWidth="1"/>
    <col min="6656" max="6656" width="7.26953125" style="8" customWidth="1"/>
    <col min="6657" max="6657" width="5.54296875" style="8" customWidth="1"/>
    <col min="6658" max="6658" width="9" style="8" customWidth="1"/>
    <col min="6659" max="6660" width="9.81640625" style="8" customWidth="1"/>
    <col min="6661" max="6661" width="11.1796875" style="8" customWidth="1"/>
    <col min="6662" max="6662" width="2.81640625" style="8" customWidth="1"/>
    <col min="6663" max="6663" width="3.54296875" style="8" customWidth="1"/>
    <col min="6664" max="6908" width="9.1796875" style="8"/>
    <col min="6909" max="6909" width="8.7265625" style="8" customWidth="1"/>
    <col min="6910" max="6910" width="9.81640625" style="8" customWidth="1"/>
    <col min="6911" max="6911" width="14.453125" style="8" customWidth="1"/>
    <col min="6912" max="6912" width="7.26953125" style="8" customWidth="1"/>
    <col min="6913" max="6913" width="5.54296875" style="8" customWidth="1"/>
    <col min="6914" max="6914" width="9" style="8" customWidth="1"/>
    <col min="6915" max="6916" width="9.81640625" style="8" customWidth="1"/>
    <col min="6917" max="6917" width="11.1796875" style="8" customWidth="1"/>
    <col min="6918" max="6918" width="2.81640625" style="8" customWidth="1"/>
    <col min="6919" max="6919" width="3.54296875" style="8" customWidth="1"/>
    <col min="6920" max="7164" width="9.1796875" style="8"/>
    <col min="7165" max="7165" width="8.7265625" style="8" customWidth="1"/>
    <col min="7166" max="7166" width="9.81640625" style="8" customWidth="1"/>
    <col min="7167" max="7167" width="14.453125" style="8" customWidth="1"/>
    <col min="7168" max="7168" width="7.26953125" style="8" customWidth="1"/>
    <col min="7169" max="7169" width="5.54296875" style="8" customWidth="1"/>
    <col min="7170" max="7170" width="9" style="8" customWidth="1"/>
    <col min="7171" max="7172" width="9.81640625" style="8" customWidth="1"/>
    <col min="7173" max="7173" width="11.1796875" style="8" customWidth="1"/>
    <col min="7174" max="7174" width="2.81640625" style="8" customWidth="1"/>
    <col min="7175" max="7175" width="3.54296875" style="8" customWidth="1"/>
    <col min="7176" max="7420" width="9.1796875" style="8"/>
    <col min="7421" max="7421" width="8.7265625" style="8" customWidth="1"/>
    <col min="7422" max="7422" width="9.81640625" style="8" customWidth="1"/>
    <col min="7423" max="7423" width="14.453125" style="8" customWidth="1"/>
    <col min="7424" max="7424" width="7.26953125" style="8" customWidth="1"/>
    <col min="7425" max="7425" width="5.54296875" style="8" customWidth="1"/>
    <col min="7426" max="7426" width="9" style="8" customWidth="1"/>
    <col min="7427" max="7428" width="9.81640625" style="8" customWidth="1"/>
    <col min="7429" max="7429" width="11.1796875" style="8" customWidth="1"/>
    <col min="7430" max="7430" width="2.81640625" style="8" customWidth="1"/>
    <col min="7431" max="7431" width="3.54296875" style="8" customWidth="1"/>
    <col min="7432" max="7676" width="9.1796875" style="8"/>
    <col min="7677" max="7677" width="8.7265625" style="8" customWidth="1"/>
    <col min="7678" max="7678" width="9.81640625" style="8" customWidth="1"/>
    <col min="7679" max="7679" width="14.453125" style="8" customWidth="1"/>
    <col min="7680" max="7680" width="7.26953125" style="8" customWidth="1"/>
    <col min="7681" max="7681" width="5.54296875" style="8" customWidth="1"/>
    <col min="7682" max="7682" width="9" style="8" customWidth="1"/>
    <col min="7683" max="7684" width="9.81640625" style="8" customWidth="1"/>
    <col min="7685" max="7685" width="11.1796875" style="8" customWidth="1"/>
    <col min="7686" max="7686" width="2.81640625" style="8" customWidth="1"/>
    <col min="7687" max="7687" width="3.54296875" style="8" customWidth="1"/>
    <col min="7688" max="7932" width="9.1796875" style="8"/>
    <col min="7933" max="7933" width="8.7265625" style="8" customWidth="1"/>
    <col min="7934" max="7934" width="9.81640625" style="8" customWidth="1"/>
    <col min="7935" max="7935" width="14.453125" style="8" customWidth="1"/>
    <col min="7936" max="7936" width="7.26953125" style="8" customWidth="1"/>
    <col min="7937" max="7937" width="5.54296875" style="8" customWidth="1"/>
    <col min="7938" max="7938" width="9" style="8" customWidth="1"/>
    <col min="7939" max="7940" width="9.81640625" style="8" customWidth="1"/>
    <col min="7941" max="7941" width="11.1796875" style="8" customWidth="1"/>
    <col min="7942" max="7942" width="2.81640625" style="8" customWidth="1"/>
    <col min="7943" max="7943" width="3.54296875" style="8" customWidth="1"/>
    <col min="7944" max="8188" width="9.1796875" style="8"/>
    <col min="8189" max="8189" width="8.7265625" style="8" customWidth="1"/>
    <col min="8190" max="8190" width="9.81640625" style="8" customWidth="1"/>
    <col min="8191" max="8191" width="14.453125" style="8" customWidth="1"/>
    <col min="8192" max="8192" width="7.26953125" style="8" customWidth="1"/>
    <col min="8193" max="8193" width="5.54296875" style="8" customWidth="1"/>
    <col min="8194" max="8194" width="9" style="8" customWidth="1"/>
    <col min="8195" max="8196" width="9.81640625" style="8" customWidth="1"/>
    <col min="8197" max="8197" width="11.1796875" style="8" customWidth="1"/>
    <col min="8198" max="8198" width="2.81640625" style="8" customWidth="1"/>
    <col min="8199" max="8199" width="3.54296875" style="8" customWidth="1"/>
    <col min="8200" max="8444" width="9.1796875" style="8"/>
    <col min="8445" max="8445" width="8.7265625" style="8" customWidth="1"/>
    <col min="8446" max="8446" width="9.81640625" style="8" customWidth="1"/>
    <col min="8447" max="8447" width="14.453125" style="8" customWidth="1"/>
    <col min="8448" max="8448" width="7.26953125" style="8" customWidth="1"/>
    <col min="8449" max="8449" width="5.54296875" style="8" customWidth="1"/>
    <col min="8450" max="8450" width="9" style="8" customWidth="1"/>
    <col min="8451" max="8452" width="9.81640625" style="8" customWidth="1"/>
    <col min="8453" max="8453" width="11.1796875" style="8" customWidth="1"/>
    <col min="8454" max="8454" width="2.81640625" style="8" customWidth="1"/>
    <col min="8455" max="8455" width="3.54296875" style="8" customWidth="1"/>
    <col min="8456" max="8700" width="9.1796875" style="8"/>
    <col min="8701" max="8701" width="8.7265625" style="8" customWidth="1"/>
    <col min="8702" max="8702" width="9.81640625" style="8" customWidth="1"/>
    <col min="8703" max="8703" width="14.453125" style="8" customWidth="1"/>
    <col min="8704" max="8704" width="7.26953125" style="8" customWidth="1"/>
    <col min="8705" max="8705" width="5.54296875" style="8" customWidth="1"/>
    <col min="8706" max="8706" width="9" style="8" customWidth="1"/>
    <col min="8707" max="8708" width="9.81640625" style="8" customWidth="1"/>
    <col min="8709" max="8709" width="11.1796875" style="8" customWidth="1"/>
    <col min="8710" max="8710" width="2.81640625" style="8" customWidth="1"/>
    <col min="8711" max="8711" width="3.54296875" style="8" customWidth="1"/>
    <col min="8712" max="8956" width="9.1796875" style="8"/>
    <col min="8957" max="8957" width="8.7265625" style="8" customWidth="1"/>
    <col min="8958" max="8958" width="9.81640625" style="8" customWidth="1"/>
    <col min="8959" max="8959" width="14.453125" style="8" customWidth="1"/>
    <col min="8960" max="8960" width="7.26953125" style="8" customWidth="1"/>
    <col min="8961" max="8961" width="5.54296875" style="8" customWidth="1"/>
    <col min="8962" max="8962" width="9" style="8" customWidth="1"/>
    <col min="8963" max="8964" width="9.81640625" style="8" customWidth="1"/>
    <col min="8965" max="8965" width="11.1796875" style="8" customWidth="1"/>
    <col min="8966" max="8966" width="2.81640625" style="8" customWidth="1"/>
    <col min="8967" max="8967" width="3.54296875" style="8" customWidth="1"/>
    <col min="8968" max="9212" width="9.1796875" style="8"/>
    <col min="9213" max="9213" width="8.7265625" style="8" customWidth="1"/>
    <col min="9214" max="9214" width="9.81640625" style="8" customWidth="1"/>
    <col min="9215" max="9215" width="14.453125" style="8" customWidth="1"/>
    <col min="9216" max="9216" width="7.26953125" style="8" customWidth="1"/>
    <col min="9217" max="9217" width="5.54296875" style="8" customWidth="1"/>
    <col min="9218" max="9218" width="9" style="8" customWidth="1"/>
    <col min="9219" max="9220" width="9.81640625" style="8" customWidth="1"/>
    <col min="9221" max="9221" width="11.1796875" style="8" customWidth="1"/>
    <col min="9222" max="9222" width="2.81640625" style="8" customWidth="1"/>
    <col min="9223" max="9223" width="3.54296875" style="8" customWidth="1"/>
    <col min="9224" max="9468" width="9.1796875" style="8"/>
    <col min="9469" max="9469" width="8.7265625" style="8" customWidth="1"/>
    <col min="9470" max="9470" width="9.81640625" style="8" customWidth="1"/>
    <col min="9471" max="9471" width="14.453125" style="8" customWidth="1"/>
    <col min="9472" max="9472" width="7.26953125" style="8" customWidth="1"/>
    <col min="9473" max="9473" width="5.54296875" style="8" customWidth="1"/>
    <col min="9474" max="9474" width="9" style="8" customWidth="1"/>
    <col min="9475" max="9476" width="9.81640625" style="8" customWidth="1"/>
    <col min="9477" max="9477" width="11.1796875" style="8" customWidth="1"/>
    <col min="9478" max="9478" width="2.81640625" style="8" customWidth="1"/>
    <col min="9479" max="9479" width="3.54296875" style="8" customWidth="1"/>
    <col min="9480" max="9724" width="9.1796875" style="8"/>
    <col min="9725" max="9725" width="8.7265625" style="8" customWidth="1"/>
    <col min="9726" max="9726" width="9.81640625" style="8" customWidth="1"/>
    <col min="9727" max="9727" width="14.453125" style="8" customWidth="1"/>
    <col min="9728" max="9728" width="7.26953125" style="8" customWidth="1"/>
    <col min="9729" max="9729" width="5.54296875" style="8" customWidth="1"/>
    <col min="9730" max="9730" width="9" style="8" customWidth="1"/>
    <col min="9731" max="9732" width="9.81640625" style="8" customWidth="1"/>
    <col min="9733" max="9733" width="11.1796875" style="8" customWidth="1"/>
    <col min="9734" max="9734" width="2.81640625" style="8" customWidth="1"/>
    <col min="9735" max="9735" width="3.54296875" style="8" customWidth="1"/>
    <col min="9736" max="9980" width="9.1796875" style="8"/>
    <col min="9981" max="9981" width="8.7265625" style="8" customWidth="1"/>
    <col min="9982" max="9982" width="9.81640625" style="8" customWidth="1"/>
    <col min="9983" max="9983" width="14.453125" style="8" customWidth="1"/>
    <col min="9984" max="9984" width="7.26953125" style="8" customWidth="1"/>
    <col min="9985" max="9985" width="5.54296875" style="8" customWidth="1"/>
    <col min="9986" max="9986" width="9" style="8" customWidth="1"/>
    <col min="9987" max="9988" width="9.81640625" style="8" customWidth="1"/>
    <col min="9989" max="9989" width="11.1796875" style="8" customWidth="1"/>
    <col min="9990" max="9990" width="2.81640625" style="8" customWidth="1"/>
    <col min="9991" max="9991" width="3.54296875" style="8" customWidth="1"/>
    <col min="9992" max="10236" width="9.1796875" style="8"/>
    <col min="10237" max="10237" width="8.7265625" style="8" customWidth="1"/>
    <col min="10238" max="10238" width="9.81640625" style="8" customWidth="1"/>
    <col min="10239" max="10239" width="14.453125" style="8" customWidth="1"/>
    <col min="10240" max="10240" width="7.26953125" style="8" customWidth="1"/>
    <col min="10241" max="10241" width="5.54296875" style="8" customWidth="1"/>
    <col min="10242" max="10242" width="9" style="8" customWidth="1"/>
    <col min="10243" max="10244" width="9.81640625" style="8" customWidth="1"/>
    <col min="10245" max="10245" width="11.1796875" style="8" customWidth="1"/>
    <col min="10246" max="10246" width="2.81640625" style="8" customWidth="1"/>
    <col min="10247" max="10247" width="3.54296875" style="8" customWidth="1"/>
    <col min="10248" max="10492" width="9.1796875" style="8"/>
    <col min="10493" max="10493" width="8.7265625" style="8" customWidth="1"/>
    <col min="10494" max="10494" width="9.81640625" style="8" customWidth="1"/>
    <col min="10495" max="10495" width="14.453125" style="8" customWidth="1"/>
    <col min="10496" max="10496" width="7.26953125" style="8" customWidth="1"/>
    <col min="10497" max="10497" width="5.54296875" style="8" customWidth="1"/>
    <col min="10498" max="10498" width="9" style="8" customWidth="1"/>
    <col min="10499" max="10500" width="9.81640625" style="8" customWidth="1"/>
    <col min="10501" max="10501" width="11.1796875" style="8" customWidth="1"/>
    <col min="10502" max="10502" width="2.81640625" style="8" customWidth="1"/>
    <col min="10503" max="10503" width="3.54296875" style="8" customWidth="1"/>
    <col min="10504" max="10748" width="9.1796875" style="8"/>
    <col min="10749" max="10749" width="8.7265625" style="8" customWidth="1"/>
    <col min="10750" max="10750" width="9.81640625" style="8" customWidth="1"/>
    <col min="10751" max="10751" width="14.453125" style="8" customWidth="1"/>
    <col min="10752" max="10752" width="7.26953125" style="8" customWidth="1"/>
    <col min="10753" max="10753" width="5.54296875" style="8" customWidth="1"/>
    <col min="10754" max="10754" width="9" style="8" customWidth="1"/>
    <col min="10755" max="10756" width="9.81640625" style="8" customWidth="1"/>
    <col min="10757" max="10757" width="11.1796875" style="8" customWidth="1"/>
    <col min="10758" max="10758" width="2.81640625" style="8" customWidth="1"/>
    <col min="10759" max="10759" width="3.54296875" style="8" customWidth="1"/>
    <col min="10760" max="11004" width="9.1796875" style="8"/>
    <col min="11005" max="11005" width="8.7265625" style="8" customWidth="1"/>
    <col min="11006" max="11006" width="9.81640625" style="8" customWidth="1"/>
    <col min="11007" max="11007" width="14.453125" style="8" customWidth="1"/>
    <col min="11008" max="11008" width="7.26953125" style="8" customWidth="1"/>
    <col min="11009" max="11009" width="5.54296875" style="8" customWidth="1"/>
    <col min="11010" max="11010" width="9" style="8" customWidth="1"/>
    <col min="11011" max="11012" width="9.81640625" style="8" customWidth="1"/>
    <col min="11013" max="11013" width="11.1796875" style="8" customWidth="1"/>
    <col min="11014" max="11014" width="2.81640625" style="8" customWidth="1"/>
    <col min="11015" max="11015" width="3.54296875" style="8" customWidth="1"/>
    <col min="11016" max="11260" width="9.1796875" style="8"/>
    <col min="11261" max="11261" width="8.7265625" style="8" customWidth="1"/>
    <col min="11262" max="11262" width="9.81640625" style="8" customWidth="1"/>
    <col min="11263" max="11263" width="14.453125" style="8" customWidth="1"/>
    <col min="11264" max="11264" width="7.26953125" style="8" customWidth="1"/>
    <col min="11265" max="11265" width="5.54296875" style="8" customWidth="1"/>
    <col min="11266" max="11266" width="9" style="8" customWidth="1"/>
    <col min="11267" max="11268" width="9.81640625" style="8" customWidth="1"/>
    <col min="11269" max="11269" width="11.1796875" style="8" customWidth="1"/>
    <col min="11270" max="11270" width="2.81640625" style="8" customWidth="1"/>
    <col min="11271" max="11271" width="3.54296875" style="8" customWidth="1"/>
    <col min="11272" max="11516" width="9.1796875" style="8"/>
    <col min="11517" max="11517" width="8.7265625" style="8" customWidth="1"/>
    <col min="11518" max="11518" width="9.81640625" style="8" customWidth="1"/>
    <col min="11519" max="11519" width="14.453125" style="8" customWidth="1"/>
    <col min="11520" max="11520" width="7.26953125" style="8" customWidth="1"/>
    <col min="11521" max="11521" width="5.54296875" style="8" customWidth="1"/>
    <col min="11522" max="11522" width="9" style="8" customWidth="1"/>
    <col min="11523" max="11524" width="9.81640625" style="8" customWidth="1"/>
    <col min="11525" max="11525" width="11.1796875" style="8" customWidth="1"/>
    <col min="11526" max="11526" width="2.81640625" style="8" customWidth="1"/>
    <col min="11527" max="11527" width="3.54296875" style="8" customWidth="1"/>
    <col min="11528" max="11772" width="9.1796875" style="8"/>
    <col min="11773" max="11773" width="8.7265625" style="8" customWidth="1"/>
    <col min="11774" max="11774" width="9.81640625" style="8" customWidth="1"/>
    <col min="11775" max="11775" width="14.453125" style="8" customWidth="1"/>
    <col min="11776" max="11776" width="7.26953125" style="8" customWidth="1"/>
    <col min="11777" max="11777" width="5.54296875" style="8" customWidth="1"/>
    <col min="11778" max="11778" width="9" style="8" customWidth="1"/>
    <col min="11779" max="11780" width="9.81640625" style="8" customWidth="1"/>
    <col min="11781" max="11781" width="11.1796875" style="8" customWidth="1"/>
    <col min="11782" max="11782" width="2.81640625" style="8" customWidth="1"/>
    <col min="11783" max="11783" width="3.54296875" style="8" customWidth="1"/>
    <col min="11784" max="12028" width="9.1796875" style="8"/>
    <col min="12029" max="12029" width="8.7265625" style="8" customWidth="1"/>
    <col min="12030" max="12030" width="9.81640625" style="8" customWidth="1"/>
    <col min="12031" max="12031" width="14.453125" style="8" customWidth="1"/>
    <col min="12032" max="12032" width="7.26953125" style="8" customWidth="1"/>
    <col min="12033" max="12033" width="5.54296875" style="8" customWidth="1"/>
    <col min="12034" max="12034" width="9" style="8" customWidth="1"/>
    <col min="12035" max="12036" width="9.81640625" style="8" customWidth="1"/>
    <col min="12037" max="12037" width="11.1796875" style="8" customWidth="1"/>
    <col min="12038" max="12038" width="2.81640625" style="8" customWidth="1"/>
    <col min="12039" max="12039" width="3.54296875" style="8" customWidth="1"/>
    <col min="12040" max="12284" width="9.1796875" style="8"/>
    <col min="12285" max="12285" width="8.7265625" style="8" customWidth="1"/>
    <col min="12286" max="12286" width="9.81640625" style="8" customWidth="1"/>
    <col min="12287" max="12287" width="14.453125" style="8" customWidth="1"/>
    <col min="12288" max="12288" width="7.26953125" style="8" customWidth="1"/>
    <col min="12289" max="12289" width="5.54296875" style="8" customWidth="1"/>
    <col min="12290" max="12290" width="9" style="8" customWidth="1"/>
    <col min="12291" max="12292" width="9.81640625" style="8" customWidth="1"/>
    <col min="12293" max="12293" width="11.1796875" style="8" customWidth="1"/>
    <col min="12294" max="12294" width="2.81640625" style="8" customWidth="1"/>
    <col min="12295" max="12295" width="3.54296875" style="8" customWidth="1"/>
    <col min="12296" max="12540" width="9.1796875" style="8"/>
    <col min="12541" max="12541" width="8.7265625" style="8" customWidth="1"/>
    <col min="12542" max="12542" width="9.81640625" style="8" customWidth="1"/>
    <col min="12543" max="12543" width="14.453125" style="8" customWidth="1"/>
    <col min="12544" max="12544" width="7.26953125" style="8" customWidth="1"/>
    <col min="12545" max="12545" width="5.54296875" style="8" customWidth="1"/>
    <col min="12546" max="12546" width="9" style="8" customWidth="1"/>
    <col min="12547" max="12548" width="9.81640625" style="8" customWidth="1"/>
    <col min="12549" max="12549" width="11.1796875" style="8" customWidth="1"/>
    <col min="12550" max="12550" width="2.81640625" style="8" customWidth="1"/>
    <col min="12551" max="12551" width="3.54296875" style="8" customWidth="1"/>
    <col min="12552" max="12796" width="9.1796875" style="8"/>
    <col min="12797" max="12797" width="8.7265625" style="8" customWidth="1"/>
    <col min="12798" max="12798" width="9.81640625" style="8" customWidth="1"/>
    <col min="12799" max="12799" width="14.453125" style="8" customWidth="1"/>
    <col min="12800" max="12800" width="7.26953125" style="8" customWidth="1"/>
    <col min="12801" max="12801" width="5.54296875" style="8" customWidth="1"/>
    <col min="12802" max="12802" width="9" style="8" customWidth="1"/>
    <col min="12803" max="12804" width="9.81640625" style="8" customWidth="1"/>
    <col min="12805" max="12805" width="11.1796875" style="8" customWidth="1"/>
    <col min="12806" max="12806" width="2.81640625" style="8" customWidth="1"/>
    <col min="12807" max="12807" width="3.54296875" style="8" customWidth="1"/>
    <col min="12808" max="13052" width="9.1796875" style="8"/>
    <col min="13053" max="13053" width="8.7265625" style="8" customWidth="1"/>
    <col min="13054" max="13054" width="9.81640625" style="8" customWidth="1"/>
    <col min="13055" max="13055" width="14.453125" style="8" customWidth="1"/>
    <col min="13056" max="13056" width="7.26953125" style="8" customWidth="1"/>
    <col min="13057" max="13057" width="5.54296875" style="8" customWidth="1"/>
    <col min="13058" max="13058" width="9" style="8" customWidth="1"/>
    <col min="13059" max="13060" width="9.81640625" style="8" customWidth="1"/>
    <col min="13061" max="13061" width="11.1796875" style="8" customWidth="1"/>
    <col min="13062" max="13062" width="2.81640625" style="8" customWidth="1"/>
    <col min="13063" max="13063" width="3.54296875" style="8" customWidth="1"/>
    <col min="13064" max="13308" width="9.1796875" style="8"/>
    <col min="13309" max="13309" width="8.7265625" style="8" customWidth="1"/>
    <col min="13310" max="13310" width="9.81640625" style="8" customWidth="1"/>
    <col min="13311" max="13311" width="14.453125" style="8" customWidth="1"/>
    <col min="13312" max="13312" width="7.26953125" style="8" customWidth="1"/>
    <col min="13313" max="13313" width="5.54296875" style="8" customWidth="1"/>
    <col min="13314" max="13314" width="9" style="8" customWidth="1"/>
    <col min="13315" max="13316" width="9.81640625" style="8" customWidth="1"/>
    <col min="13317" max="13317" width="11.1796875" style="8" customWidth="1"/>
    <col min="13318" max="13318" width="2.81640625" style="8" customWidth="1"/>
    <col min="13319" max="13319" width="3.54296875" style="8" customWidth="1"/>
    <col min="13320" max="13564" width="9.1796875" style="8"/>
    <col min="13565" max="13565" width="8.7265625" style="8" customWidth="1"/>
    <col min="13566" max="13566" width="9.81640625" style="8" customWidth="1"/>
    <col min="13567" max="13567" width="14.453125" style="8" customWidth="1"/>
    <col min="13568" max="13568" width="7.26953125" style="8" customWidth="1"/>
    <col min="13569" max="13569" width="5.54296875" style="8" customWidth="1"/>
    <col min="13570" max="13570" width="9" style="8" customWidth="1"/>
    <col min="13571" max="13572" width="9.81640625" style="8" customWidth="1"/>
    <col min="13573" max="13573" width="11.1796875" style="8" customWidth="1"/>
    <col min="13574" max="13574" width="2.81640625" style="8" customWidth="1"/>
    <col min="13575" max="13575" width="3.54296875" style="8" customWidth="1"/>
    <col min="13576" max="13820" width="9.1796875" style="8"/>
    <col min="13821" max="13821" width="8.7265625" style="8" customWidth="1"/>
    <col min="13822" max="13822" width="9.81640625" style="8" customWidth="1"/>
    <col min="13823" max="13823" width="14.453125" style="8" customWidth="1"/>
    <col min="13824" max="13824" width="7.26953125" style="8" customWidth="1"/>
    <col min="13825" max="13825" width="5.54296875" style="8" customWidth="1"/>
    <col min="13826" max="13826" width="9" style="8" customWidth="1"/>
    <col min="13827" max="13828" width="9.81640625" style="8" customWidth="1"/>
    <col min="13829" max="13829" width="11.1796875" style="8" customWidth="1"/>
    <col min="13830" max="13830" width="2.81640625" style="8" customWidth="1"/>
    <col min="13831" max="13831" width="3.54296875" style="8" customWidth="1"/>
    <col min="13832" max="14076" width="9.1796875" style="8"/>
    <col min="14077" max="14077" width="8.7265625" style="8" customWidth="1"/>
    <col min="14078" max="14078" width="9.81640625" style="8" customWidth="1"/>
    <col min="14079" max="14079" width="14.453125" style="8" customWidth="1"/>
    <col min="14080" max="14080" width="7.26953125" style="8" customWidth="1"/>
    <col min="14081" max="14081" width="5.54296875" style="8" customWidth="1"/>
    <col min="14082" max="14082" width="9" style="8" customWidth="1"/>
    <col min="14083" max="14084" width="9.81640625" style="8" customWidth="1"/>
    <col min="14085" max="14085" width="11.1796875" style="8" customWidth="1"/>
    <col min="14086" max="14086" width="2.81640625" style="8" customWidth="1"/>
    <col min="14087" max="14087" width="3.54296875" style="8" customWidth="1"/>
    <col min="14088" max="14332" width="9.1796875" style="8"/>
    <col min="14333" max="14333" width="8.7265625" style="8" customWidth="1"/>
    <col min="14334" max="14334" width="9.81640625" style="8" customWidth="1"/>
    <col min="14335" max="14335" width="14.453125" style="8" customWidth="1"/>
    <col min="14336" max="14336" width="7.26953125" style="8" customWidth="1"/>
    <col min="14337" max="14337" width="5.54296875" style="8" customWidth="1"/>
    <col min="14338" max="14338" width="9" style="8" customWidth="1"/>
    <col min="14339" max="14340" width="9.81640625" style="8" customWidth="1"/>
    <col min="14341" max="14341" width="11.1796875" style="8" customWidth="1"/>
    <col min="14342" max="14342" width="2.81640625" style="8" customWidth="1"/>
    <col min="14343" max="14343" width="3.54296875" style="8" customWidth="1"/>
    <col min="14344" max="14588" width="9.1796875" style="8"/>
    <col min="14589" max="14589" width="8.7265625" style="8" customWidth="1"/>
    <col min="14590" max="14590" width="9.81640625" style="8" customWidth="1"/>
    <col min="14591" max="14591" width="14.453125" style="8" customWidth="1"/>
    <col min="14592" max="14592" width="7.26953125" style="8" customWidth="1"/>
    <col min="14593" max="14593" width="5.54296875" style="8" customWidth="1"/>
    <col min="14594" max="14594" width="9" style="8" customWidth="1"/>
    <col min="14595" max="14596" width="9.81640625" style="8" customWidth="1"/>
    <col min="14597" max="14597" width="11.1796875" style="8" customWidth="1"/>
    <col min="14598" max="14598" width="2.81640625" style="8" customWidth="1"/>
    <col min="14599" max="14599" width="3.54296875" style="8" customWidth="1"/>
    <col min="14600" max="14844" width="9.1796875" style="8"/>
    <col min="14845" max="14845" width="8.7265625" style="8" customWidth="1"/>
    <col min="14846" max="14846" width="9.81640625" style="8" customWidth="1"/>
    <col min="14847" max="14847" width="14.453125" style="8" customWidth="1"/>
    <col min="14848" max="14848" width="7.26953125" style="8" customWidth="1"/>
    <col min="14849" max="14849" width="5.54296875" style="8" customWidth="1"/>
    <col min="14850" max="14850" width="9" style="8" customWidth="1"/>
    <col min="14851" max="14852" width="9.81640625" style="8" customWidth="1"/>
    <col min="14853" max="14853" width="11.1796875" style="8" customWidth="1"/>
    <col min="14854" max="14854" width="2.81640625" style="8" customWidth="1"/>
    <col min="14855" max="14855" width="3.54296875" style="8" customWidth="1"/>
    <col min="14856" max="15100" width="9.1796875" style="8"/>
    <col min="15101" max="15101" width="8.7265625" style="8" customWidth="1"/>
    <col min="15102" max="15102" width="9.81640625" style="8" customWidth="1"/>
    <col min="15103" max="15103" width="14.453125" style="8" customWidth="1"/>
    <col min="15104" max="15104" width="7.26953125" style="8" customWidth="1"/>
    <col min="15105" max="15105" width="5.54296875" style="8" customWidth="1"/>
    <col min="15106" max="15106" width="9" style="8" customWidth="1"/>
    <col min="15107" max="15108" width="9.81640625" style="8" customWidth="1"/>
    <col min="15109" max="15109" width="11.1796875" style="8" customWidth="1"/>
    <col min="15110" max="15110" width="2.81640625" style="8" customWidth="1"/>
    <col min="15111" max="15111" width="3.54296875" style="8" customWidth="1"/>
    <col min="15112" max="15356" width="9.1796875" style="8"/>
    <col min="15357" max="15357" width="8.7265625" style="8" customWidth="1"/>
    <col min="15358" max="15358" width="9.81640625" style="8" customWidth="1"/>
    <col min="15359" max="15359" width="14.453125" style="8" customWidth="1"/>
    <col min="15360" max="15360" width="7.26953125" style="8" customWidth="1"/>
    <col min="15361" max="15361" width="5.54296875" style="8" customWidth="1"/>
    <col min="15362" max="15362" width="9" style="8" customWidth="1"/>
    <col min="15363" max="15364" width="9.81640625" style="8" customWidth="1"/>
    <col min="15365" max="15365" width="11.1796875" style="8" customWidth="1"/>
    <col min="15366" max="15366" width="2.81640625" style="8" customWidth="1"/>
    <col min="15367" max="15367" width="3.54296875" style="8" customWidth="1"/>
    <col min="15368" max="15612" width="9.1796875" style="8"/>
    <col min="15613" max="15613" width="8.7265625" style="8" customWidth="1"/>
    <col min="15614" max="15614" width="9.81640625" style="8" customWidth="1"/>
    <col min="15615" max="15615" width="14.453125" style="8" customWidth="1"/>
    <col min="15616" max="15616" width="7.26953125" style="8" customWidth="1"/>
    <col min="15617" max="15617" width="5.54296875" style="8" customWidth="1"/>
    <col min="15618" max="15618" width="9" style="8" customWidth="1"/>
    <col min="15619" max="15620" width="9.81640625" style="8" customWidth="1"/>
    <col min="15621" max="15621" width="11.1796875" style="8" customWidth="1"/>
    <col min="15622" max="15622" width="2.81640625" style="8" customWidth="1"/>
    <col min="15623" max="15623" width="3.54296875" style="8" customWidth="1"/>
    <col min="15624" max="15868" width="9.1796875" style="8"/>
    <col min="15869" max="15869" width="8.7265625" style="8" customWidth="1"/>
    <col min="15870" max="15870" width="9.81640625" style="8" customWidth="1"/>
    <col min="15871" max="15871" width="14.453125" style="8" customWidth="1"/>
    <col min="15872" max="15872" width="7.26953125" style="8" customWidth="1"/>
    <col min="15873" max="15873" width="5.54296875" style="8" customWidth="1"/>
    <col min="15874" max="15874" width="9" style="8" customWidth="1"/>
    <col min="15875" max="15876" width="9.81640625" style="8" customWidth="1"/>
    <col min="15877" max="15877" width="11.1796875" style="8" customWidth="1"/>
    <col min="15878" max="15878" width="2.81640625" style="8" customWidth="1"/>
    <col min="15879" max="15879" width="3.54296875" style="8" customWidth="1"/>
    <col min="15880" max="16124" width="9.1796875" style="8"/>
    <col min="16125" max="16125" width="8.7265625" style="8" customWidth="1"/>
    <col min="16126" max="16126" width="9.81640625" style="8" customWidth="1"/>
    <col min="16127" max="16127" width="14.453125" style="8" customWidth="1"/>
    <col min="16128" max="16128" width="7.26953125" style="8" customWidth="1"/>
    <col min="16129" max="16129" width="5.54296875" style="8" customWidth="1"/>
    <col min="16130" max="16130" width="9" style="8" customWidth="1"/>
    <col min="16131" max="16132" width="9.81640625" style="8" customWidth="1"/>
    <col min="16133" max="16133" width="11.1796875" style="8" customWidth="1"/>
    <col min="16134" max="16134" width="2.81640625" style="8" customWidth="1"/>
    <col min="16135" max="16135" width="3.54296875" style="8" customWidth="1"/>
    <col min="16136" max="16384" width="9.1796875" style="8"/>
  </cols>
  <sheetData>
    <row r="1" spans="1:12" ht="46.5" customHeight="1" x14ac:dyDescent="0.35">
      <c r="A1" s="150" t="s">
        <v>304</v>
      </c>
      <c r="B1" s="150"/>
      <c r="C1" s="150"/>
      <c r="D1" s="150"/>
      <c r="E1" s="150"/>
      <c r="F1" s="150"/>
      <c r="G1" s="150"/>
      <c r="H1" s="150"/>
    </row>
    <row r="2" spans="1:12" ht="16.5" customHeight="1" x14ac:dyDescent="0.35">
      <c r="A2" s="135" t="s">
        <v>0</v>
      </c>
      <c r="B2" s="135"/>
      <c r="C2" s="135"/>
      <c r="D2" s="135"/>
      <c r="E2" s="135"/>
      <c r="F2" s="135"/>
      <c r="G2" s="135"/>
      <c r="H2" s="135"/>
    </row>
    <row r="3" spans="1:12" x14ac:dyDescent="0.35">
      <c r="A3" s="126" t="s">
        <v>1</v>
      </c>
      <c r="B3" s="126"/>
      <c r="C3" s="126"/>
      <c r="D3" s="126"/>
      <c r="E3" s="151" t="str">
        <f ca="1">TEXT(TODAY(),"DD/MM/YYYY")</f>
        <v>15/07/2025</v>
      </c>
      <c r="F3" s="151"/>
      <c r="G3" s="151"/>
      <c r="H3" s="151"/>
    </row>
    <row r="4" spans="1:12" ht="15" customHeight="1" x14ac:dyDescent="0.35">
      <c r="A4" s="126" t="s">
        <v>2</v>
      </c>
      <c r="B4" s="126"/>
      <c r="C4" s="126"/>
      <c r="D4" s="126"/>
      <c r="E4" s="152" t="s">
        <v>158</v>
      </c>
      <c r="F4" s="152"/>
      <c r="G4" s="152"/>
      <c r="H4" s="152"/>
    </row>
    <row r="5" spans="1:12" x14ac:dyDescent="0.35">
      <c r="A5" s="126" t="s">
        <v>3</v>
      </c>
      <c r="B5" s="126"/>
      <c r="C5" s="126"/>
      <c r="D5" s="126"/>
      <c r="E5" s="151">
        <v>45853</v>
      </c>
      <c r="F5" s="151"/>
      <c r="G5" s="151"/>
      <c r="H5" s="151"/>
    </row>
    <row r="6" spans="1:12" ht="16.5" customHeight="1" x14ac:dyDescent="0.35">
      <c r="A6" s="126" t="s">
        <v>4</v>
      </c>
      <c r="B6" s="126"/>
      <c r="C6" s="126"/>
      <c r="D6" s="126"/>
      <c r="E6" s="125" t="s">
        <v>159</v>
      </c>
      <c r="F6" s="125"/>
      <c r="G6" s="125"/>
      <c r="H6" s="125"/>
    </row>
    <row r="7" spans="1:12" ht="15" customHeight="1" x14ac:dyDescent="0.35">
      <c r="A7" s="126" t="s">
        <v>5</v>
      </c>
      <c r="B7" s="126"/>
      <c r="C7" s="126"/>
      <c r="D7" s="126"/>
      <c r="E7" s="125" t="str">
        <f>E6</f>
        <v>M/s. Metro Creators</v>
      </c>
      <c r="F7" s="125"/>
      <c r="G7" s="125"/>
      <c r="H7" s="125"/>
    </row>
    <row r="8" spans="1:12" x14ac:dyDescent="0.35">
      <c r="A8" s="126" t="s">
        <v>6</v>
      </c>
      <c r="B8" s="126"/>
      <c r="C8" s="126"/>
      <c r="D8" s="126"/>
      <c r="E8" s="134" t="s">
        <v>178</v>
      </c>
      <c r="F8" s="134"/>
      <c r="G8" s="134"/>
      <c r="H8" s="134"/>
    </row>
    <row r="9" spans="1:12" x14ac:dyDescent="0.35">
      <c r="A9" s="126" t="s">
        <v>157</v>
      </c>
      <c r="B9" s="126"/>
      <c r="C9" s="126"/>
      <c r="D9" s="126"/>
      <c r="E9" s="126">
        <v>8888311144</v>
      </c>
      <c r="F9" s="126"/>
      <c r="G9" s="126"/>
      <c r="H9" s="126"/>
    </row>
    <row r="10" spans="1:12" x14ac:dyDescent="0.35">
      <c r="A10" s="127" t="s">
        <v>7</v>
      </c>
      <c r="B10" s="127"/>
      <c r="C10" s="127"/>
      <c r="D10" s="127"/>
      <c r="E10" s="127" t="s">
        <v>259</v>
      </c>
      <c r="F10" s="127"/>
      <c r="G10" s="127"/>
      <c r="H10" s="127"/>
      <c r="J10" s="8">
        <f>3.05*3.85+4.65*2.1+3.7*2.75+1.2*1.5+3.85*0.9+0.9*1.2</f>
        <v>38.027500000000003</v>
      </c>
      <c r="K10" s="8">
        <f>0.75*(3.5+2.75+2.1)</f>
        <v>6.2624999999999993</v>
      </c>
      <c r="L10" s="8">
        <f>(J10+K10)*10.764</f>
        <v>476.73756000000003</v>
      </c>
    </row>
    <row r="11" spans="1:12" x14ac:dyDescent="0.35">
      <c r="A11" s="126" t="s">
        <v>8</v>
      </c>
      <c r="B11" s="126"/>
      <c r="C11" s="126"/>
      <c r="D11" s="126"/>
      <c r="E11" s="128" t="s">
        <v>177</v>
      </c>
      <c r="F11" s="128"/>
      <c r="G11" s="128"/>
      <c r="H11" s="128"/>
      <c r="J11" s="8">
        <f>J10*10.764</f>
        <v>409.32801000000001</v>
      </c>
    </row>
    <row r="12" spans="1:12" x14ac:dyDescent="0.35">
      <c r="A12" s="126" t="s">
        <v>9</v>
      </c>
      <c r="B12" s="126"/>
      <c r="C12" s="126"/>
      <c r="D12" s="126"/>
      <c r="E12" s="127" t="s">
        <v>160</v>
      </c>
      <c r="F12" s="127"/>
      <c r="G12" s="127"/>
      <c r="H12" s="127"/>
    </row>
    <row r="13" spans="1:12" ht="34.5" customHeight="1" x14ac:dyDescent="0.35">
      <c r="A13" s="125" t="s">
        <v>10</v>
      </c>
      <c r="B13" s="125"/>
      <c r="C13" s="125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Metro Aangan Phase I, Survey No..78/7B, 78/8B, Barrage Road, Kulgaon, Badlapur, Ambernath, Thane.</v>
      </c>
      <c r="D13" s="125"/>
      <c r="E13" s="125"/>
      <c r="F13" s="125"/>
      <c r="G13" s="125"/>
      <c r="H13" s="125"/>
    </row>
    <row r="14" spans="1:12" ht="15.75" customHeight="1" x14ac:dyDescent="0.35">
      <c r="A14" s="128" t="s">
        <v>165</v>
      </c>
      <c r="B14" s="128"/>
      <c r="C14" s="128" t="s">
        <v>224</v>
      </c>
      <c r="D14" s="128"/>
      <c r="E14" s="128"/>
      <c r="F14" s="128"/>
      <c r="G14" s="128"/>
      <c r="H14" s="128"/>
    </row>
    <row r="15" spans="1:12" ht="15.75" customHeight="1" x14ac:dyDescent="0.35">
      <c r="A15" s="125" t="s">
        <v>11</v>
      </c>
      <c r="B15" s="125"/>
      <c r="C15" s="127" t="s">
        <v>170</v>
      </c>
      <c r="D15" s="127"/>
      <c r="E15" s="125" t="s">
        <v>107</v>
      </c>
      <c r="F15" s="125"/>
      <c r="G15" s="128" t="s">
        <v>166</v>
      </c>
      <c r="H15" s="128"/>
    </row>
    <row r="16" spans="1:12" x14ac:dyDescent="0.35">
      <c r="A16" s="126" t="s">
        <v>13</v>
      </c>
      <c r="B16" s="126"/>
      <c r="C16" s="128" t="s">
        <v>169</v>
      </c>
      <c r="D16" s="128"/>
      <c r="E16" s="125" t="s">
        <v>12</v>
      </c>
      <c r="F16" s="125"/>
      <c r="G16" s="149" t="s">
        <v>167</v>
      </c>
      <c r="H16" s="149"/>
    </row>
    <row r="17" spans="1:8" x14ac:dyDescent="0.35">
      <c r="A17" s="126" t="s">
        <v>108</v>
      </c>
      <c r="B17" s="126"/>
      <c r="C17" s="128" t="s">
        <v>168</v>
      </c>
      <c r="D17" s="128"/>
      <c r="E17" s="125" t="s">
        <v>14</v>
      </c>
      <c r="F17" s="125"/>
      <c r="G17" s="128">
        <v>421503</v>
      </c>
      <c r="H17" s="128"/>
    </row>
    <row r="18" spans="1:8" ht="32.25" customHeight="1" x14ac:dyDescent="0.35">
      <c r="A18" s="126" t="s">
        <v>15</v>
      </c>
      <c r="B18" s="126"/>
      <c r="C18" s="125" t="s">
        <v>171</v>
      </c>
      <c r="D18" s="125"/>
      <c r="E18" s="125" t="s">
        <v>16</v>
      </c>
      <c r="F18" s="125"/>
      <c r="G18" s="128" t="s">
        <v>172</v>
      </c>
      <c r="H18" s="128"/>
    </row>
    <row r="19" spans="1:8" ht="15" customHeight="1" x14ac:dyDescent="0.35">
      <c r="A19" s="125" t="s">
        <v>112</v>
      </c>
      <c r="B19" s="125"/>
      <c r="C19" s="125"/>
      <c r="D19" s="125"/>
      <c r="E19" s="127" t="s">
        <v>17</v>
      </c>
      <c r="F19" s="127"/>
      <c r="G19" s="127"/>
      <c r="H19" s="127"/>
    </row>
    <row r="20" spans="1:8" ht="18.75" customHeight="1" x14ac:dyDescent="0.35">
      <c r="A20" s="125"/>
      <c r="B20" s="125"/>
      <c r="C20" s="125"/>
      <c r="D20" s="125"/>
      <c r="E20" s="127"/>
      <c r="F20" s="127"/>
      <c r="G20" s="127"/>
      <c r="H20" s="127"/>
    </row>
    <row r="21" spans="1:8" ht="15" customHeight="1" x14ac:dyDescent="0.35">
      <c r="A21" s="125" t="s">
        <v>18</v>
      </c>
      <c r="B21" s="125"/>
      <c r="C21" s="125"/>
      <c r="D21" s="125"/>
      <c r="E21" s="128" t="s">
        <v>19</v>
      </c>
      <c r="F21" s="128"/>
      <c r="G21" s="128"/>
      <c r="H21" s="128"/>
    </row>
    <row r="22" spans="1:8" ht="15" customHeight="1" x14ac:dyDescent="0.35">
      <c r="A22" s="126" t="s">
        <v>20</v>
      </c>
      <c r="B22" s="126"/>
      <c r="C22" s="126"/>
      <c r="D22" s="126"/>
      <c r="E22" s="128" t="s">
        <v>162</v>
      </c>
      <c r="F22" s="128"/>
      <c r="G22" s="128"/>
      <c r="H22" s="128"/>
    </row>
    <row r="23" spans="1:8" x14ac:dyDescent="0.35">
      <c r="A23" s="126" t="s">
        <v>21</v>
      </c>
      <c r="B23" s="126"/>
      <c r="C23" s="126"/>
      <c r="D23" s="126"/>
      <c r="E23" s="128" t="s">
        <v>22</v>
      </c>
      <c r="F23" s="128"/>
      <c r="G23" s="128"/>
      <c r="H23" s="128"/>
    </row>
    <row r="24" spans="1:8" x14ac:dyDescent="0.35">
      <c r="A24" s="126" t="s">
        <v>23</v>
      </c>
      <c r="B24" s="126"/>
      <c r="C24" s="126"/>
      <c r="D24" s="126"/>
      <c r="E24" s="128" t="s">
        <v>163</v>
      </c>
      <c r="F24" s="128"/>
      <c r="G24" s="128"/>
      <c r="H24" s="128"/>
    </row>
    <row r="25" spans="1:8" x14ac:dyDescent="0.35">
      <c r="A25" s="126" t="s">
        <v>24</v>
      </c>
      <c r="B25" s="126"/>
      <c r="C25" s="126"/>
      <c r="D25" s="126"/>
      <c r="E25" s="128" t="s">
        <v>25</v>
      </c>
      <c r="F25" s="128"/>
      <c r="G25" s="128"/>
      <c r="H25" s="128"/>
    </row>
    <row r="26" spans="1:8" x14ac:dyDescent="0.35">
      <c r="A26" s="126" t="s">
        <v>119</v>
      </c>
      <c r="B26" s="126"/>
      <c r="C26" s="126"/>
      <c r="D26" s="126"/>
      <c r="E26" s="128" t="s">
        <v>120</v>
      </c>
      <c r="F26" s="128"/>
      <c r="G26" s="128"/>
      <c r="H26" s="128"/>
    </row>
    <row r="27" spans="1:8" ht="15" customHeight="1" x14ac:dyDescent="0.35">
      <c r="A27" s="125" t="s">
        <v>36</v>
      </c>
      <c r="B27" s="125"/>
      <c r="C27" s="125"/>
      <c r="D27" s="125"/>
      <c r="E27" s="152" t="s">
        <v>164</v>
      </c>
      <c r="F27" s="152"/>
      <c r="G27" s="152"/>
      <c r="H27" s="152"/>
    </row>
    <row r="28" spans="1:8" x14ac:dyDescent="0.35">
      <c r="A28" s="125" t="s">
        <v>130</v>
      </c>
      <c r="B28" s="125"/>
      <c r="C28" s="125"/>
      <c r="D28" s="125"/>
      <c r="E28" s="125" t="s">
        <v>37</v>
      </c>
      <c r="F28" s="125"/>
      <c r="G28" s="125"/>
      <c r="H28" s="125"/>
    </row>
    <row r="29" spans="1:8" s="12" customFormat="1" x14ac:dyDescent="0.35">
      <c r="A29" s="145" t="s">
        <v>131</v>
      </c>
      <c r="B29" s="145"/>
      <c r="C29" s="143" t="s">
        <v>30</v>
      </c>
      <c r="D29" s="143"/>
      <c r="E29" s="143"/>
      <c r="F29" s="143" t="s">
        <v>32</v>
      </c>
      <c r="G29" s="143"/>
      <c r="H29" s="143"/>
    </row>
    <row r="30" spans="1:8" s="12" customFormat="1" x14ac:dyDescent="0.35">
      <c r="A30" s="144" t="s">
        <v>26</v>
      </c>
      <c r="B30" s="144" t="s">
        <v>31</v>
      </c>
      <c r="C30" s="142" t="s">
        <v>31</v>
      </c>
      <c r="D30" s="142"/>
      <c r="E30" s="142"/>
      <c r="F30" s="142" t="s">
        <v>173</v>
      </c>
      <c r="G30" s="142"/>
      <c r="H30" s="142"/>
    </row>
    <row r="31" spans="1:8" x14ac:dyDescent="0.35">
      <c r="A31" s="144" t="s">
        <v>27</v>
      </c>
      <c r="B31" s="144" t="s">
        <v>31</v>
      </c>
      <c r="C31" s="142" t="s">
        <v>31</v>
      </c>
      <c r="D31" s="142"/>
      <c r="E31" s="142"/>
      <c r="F31" s="142" t="s">
        <v>174</v>
      </c>
      <c r="G31" s="142"/>
      <c r="H31" s="142"/>
    </row>
    <row r="32" spans="1:8" s="12" customFormat="1" x14ac:dyDescent="0.35">
      <c r="A32" s="144" t="s">
        <v>29</v>
      </c>
      <c r="B32" s="144" t="s">
        <v>31</v>
      </c>
      <c r="C32" s="142" t="s">
        <v>31</v>
      </c>
      <c r="D32" s="142"/>
      <c r="E32" s="142"/>
      <c r="F32" s="142" t="s">
        <v>175</v>
      </c>
      <c r="G32" s="142"/>
      <c r="H32" s="142"/>
    </row>
    <row r="33" spans="1:8" x14ac:dyDescent="0.35">
      <c r="A33" s="144" t="s">
        <v>28</v>
      </c>
      <c r="B33" s="144" t="s">
        <v>31</v>
      </c>
      <c r="C33" s="142" t="s">
        <v>31</v>
      </c>
      <c r="D33" s="142"/>
      <c r="E33" s="142"/>
      <c r="F33" s="142" t="s">
        <v>176</v>
      </c>
      <c r="G33" s="142"/>
      <c r="H33" s="142"/>
    </row>
    <row r="34" spans="1:8" x14ac:dyDescent="0.35">
      <c r="A34" s="126" t="s">
        <v>33</v>
      </c>
      <c r="B34" s="126"/>
      <c r="C34" s="126"/>
      <c r="D34" s="126"/>
      <c r="E34" s="126"/>
      <c r="F34" s="126"/>
      <c r="G34" s="126"/>
      <c r="H34" s="126"/>
    </row>
    <row r="35" spans="1:8" ht="15.75" customHeight="1" x14ac:dyDescent="0.35">
      <c r="A35" s="135" t="s">
        <v>34</v>
      </c>
      <c r="B35" s="135"/>
      <c r="C35" s="136">
        <v>19.158429980000001</v>
      </c>
      <c r="D35" s="136"/>
      <c r="E35" s="135" t="s">
        <v>35</v>
      </c>
      <c r="F35" s="135"/>
      <c r="G35" s="137">
        <v>73.248802650000002</v>
      </c>
      <c r="H35" s="137"/>
    </row>
    <row r="36" spans="1:8" ht="15.75" customHeight="1" x14ac:dyDescent="0.35">
      <c r="A36" s="135" t="s">
        <v>302</v>
      </c>
      <c r="B36" s="135"/>
      <c r="C36" s="146" t="s">
        <v>303</v>
      </c>
      <c r="D36" s="147"/>
      <c r="E36" s="147"/>
      <c r="F36" s="147"/>
      <c r="G36" s="147"/>
      <c r="H36" s="148"/>
    </row>
    <row r="37" spans="1:8" x14ac:dyDescent="0.35">
      <c r="A37" s="134" t="s">
        <v>38</v>
      </c>
      <c r="B37" s="134"/>
      <c r="C37" s="134"/>
      <c r="D37" s="134"/>
      <c r="E37" s="134"/>
      <c r="F37" s="134"/>
      <c r="G37" s="134"/>
      <c r="H37" s="134"/>
    </row>
    <row r="38" spans="1:8" x14ac:dyDescent="0.35">
      <c r="A38" s="126" t="s">
        <v>39</v>
      </c>
      <c r="B38" s="126"/>
      <c r="C38" s="126"/>
      <c r="D38" s="126"/>
      <c r="E38" s="141">
        <v>10012</v>
      </c>
      <c r="F38" s="141"/>
      <c r="G38" s="141"/>
      <c r="H38" s="141"/>
    </row>
    <row r="39" spans="1:8" x14ac:dyDescent="0.35">
      <c r="A39" s="126" t="s">
        <v>40</v>
      </c>
      <c r="B39" s="126"/>
      <c r="C39" s="126"/>
      <c r="D39" s="126"/>
      <c r="E39" s="129">
        <v>0.9</v>
      </c>
      <c r="F39" s="129"/>
      <c r="G39" s="129"/>
      <c r="H39" s="129"/>
    </row>
    <row r="40" spans="1:8" x14ac:dyDescent="0.35">
      <c r="A40" s="126" t="s">
        <v>41</v>
      </c>
      <c r="B40" s="126"/>
      <c r="C40" s="126"/>
      <c r="D40" s="126"/>
      <c r="E40" s="129">
        <f>E42/E38-E39</f>
        <v>0.34526568118258083</v>
      </c>
      <c r="F40" s="129"/>
      <c r="G40" s="129"/>
      <c r="H40" s="129"/>
    </row>
    <row r="41" spans="1:8" x14ac:dyDescent="0.35">
      <c r="A41" s="126" t="s">
        <v>42</v>
      </c>
      <c r="B41" s="126"/>
      <c r="C41" s="126"/>
      <c r="D41" s="126"/>
      <c r="E41" s="129">
        <f>E39+E40</f>
        <v>1.2452656811825809</v>
      </c>
      <c r="F41" s="129"/>
      <c r="G41" s="129"/>
      <c r="H41" s="129"/>
    </row>
    <row r="42" spans="1:8" x14ac:dyDescent="0.35">
      <c r="A42" s="126" t="s">
        <v>129</v>
      </c>
      <c r="B42" s="126"/>
      <c r="C42" s="126"/>
      <c r="D42" s="126"/>
      <c r="E42" s="130">
        <v>12467.6</v>
      </c>
      <c r="F42" s="130"/>
      <c r="G42" s="130"/>
      <c r="H42" s="130"/>
    </row>
    <row r="43" spans="1:8" x14ac:dyDescent="0.35">
      <c r="A43" s="127" t="s">
        <v>43</v>
      </c>
      <c r="B43" s="127"/>
      <c r="C43" s="127"/>
      <c r="D43" s="127"/>
      <c r="E43" s="127" t="s">
        <v>296</v>
      </c>
      <c r="F43" s="127"/>
      <c r="G43" s="127"/>
      <c r="H43" s="127"/>
    </row>
    <row r="44" spans="1:8" x14ac:dyDescent="0.35">
      <c r="A44" s="134" t="s">
        <v>44</v>
      </c>
      <c r="B44" s="134"/>
      <c r="C44" s="134"/>
      <c r="D44" s="134"/>
      <c r="E44" s="134"/>
      <c r="F44" s="134"/>
      <c r="G44" s="134"/>
      <c r="H44" s="134"/>
    </row>
    <row r="45" spans="1:8" x14ac:dyDescent="0.35">
      <c r="A45" s="125" t="s">
        <v>45</v>
      </c>
      <c r="B45" s="125"/>
      <c r="C45" s="128" t="s">
        <v>225</v>
      </c>
      <c r="D45" s="128"/>
      <c r="E45" s="128"/>
      <c r="F45" s="84" t="s">
        <v>46</v>
      </c>
      <c r="G45" s="128" t="s">
        <v>161</v>
      </c>
      <c r="H45" s="128"/>
    </row>
    <row r="46" spans="1:8" x14ac:dyDescent="0.35">
      <c r="A46" s="125" t="s">
        <v>47</v>
      </c>
      <c r="B46" s="125"/>
      <c r="C46" s="128" t="str">
        <f>C45</f>
        <v>KBNP/NRV/BANDH/6899-18</v>
      </c>
      <c r="D46" s="128"/>
      <c r="E46" s="128"/>
      <c r="F46" s="44" t="s">
        <v>46</v>
      </c>
      <c r="G46" s="128" t="str">
        <f>G45</f>
        <v>01/09/2020.</v>
      </c>
      <c r="H46" s="128"/>
    </row>
    <row r="47" spans="1:8" s="11" customFormat="1" ht="33.75" customHeight="1" x14ac:dyDescent="0.35">
      <c r="A47" s="128" t="s">
        <v>48</v>
      </c>
      <c r="B47" s="128"/>
      <c r="C47" s="128" t="s">
        <v>226</v>
      </c>
      <c r="D47" s="127"/>
      <c r="E47" s="127"/>
      <c r="F47" s="47" t="s">
        <v>46</v>
      </c>
      <c r="G47" s="127" t="str">
        <f>G46</f>
        <v>01/09/2020.</v>
      </c>
      <c r="H47" s="127"/>
    </row>
    <row r="48" spans="1:8" s="11" customFormat="1" ht="33.75" customHeight="1" x14ac:dyDescent="0.35">
      <c r="A48" s="128"/>
      <c r="B48" s="128"/>
      <c r="C48" s="131" t="s">
        <v>299</v>
      </c>
      <c r="D48" s="132"/>
      <c r="E48" s="132"/>
      <c r="F48" s="132"/>
      <c r="G48" s="132"/>
      <c r="H48" s="133"/>
    </row>
    <row r="49" spans="1:11" ht="67.5" customHeight="1" x14ac:dyDescent="0.35">
      <c r="A49" s="95" t="s">
        <v>49</v>
      </c>
      <c r="B49" s="95"/>
      <c r="C49" s="96" t="s">
        <v>301</v>
      </c>
      <c r="D49" s="97"/>
      <c r="E49" s="97" t="s">
        <v>50</v>
      </c>
      <c r="F49" s="46" t="s">
        <v>46</v>
      </c>
      <c r="G49" s="98" t="s">
        <v>300</v>
      </c>
      <c r="H49" s="99"/>
    </row>
    <row r="50" spans="1:11" ht="67.5" customHeight="1" x14ac:dyDescent="0.35">
      <c r="A50" s="95"/>
      <c r="B50" s="95"/>
      <c r="C50" s="96" t="s">
        <v>305</v>
      </c>
      <c r="D50" s="97"/>
      <c r="E50" s="97"/>
      <c r="F50" s="82" t="s">
        <v>46</v>
      </c>
      <c r="G50" s="98">
        <v>45462</v>
      </c>
      <c r="H50" s="99"/>
    </row>
    <row r="51" spans="1:11" x14ac:dyDescent="0.35">
      <c r="A51" s="124" t="s">
        <v>52</v>
      </c>
      <c r="B51" s="124"/>
      <c r="C51" s="124"/>
      <c r="D51" s="124"/>
      <c r="E51" s="124"/>
      <c r="F51" s="124"/>
      <c r="G51" s="124"/>
      <c r="H51" s="124"/>
    </row>
    <row r="52" spans="1:11" x14ac:dyDescent="0.35">
      <c r="A52" s="125" t="s">
        <v>128</v>
      </c>
      <c r="B52" s="125"/>
      <c r="C52" s="125"/>
      <c r="D52" s="126">
        <f>E42</f>
        <v>12467.6</v>
      </c>
      <c r="E52" s="126"/>
      <c r="F52" s="126"/>
      <c r="G52" s="126"/>
      <c r="H52" s="126"/>
    </row>
    <row r="53" spans="1:11" x14ac:dyDescent="0.35">
      <c r="A53" s="128" t="s">
        <v>53</v>
      </c>
      <c r="B53" s="127"/>
      <c r="C53" s="127"/>
      <c r="D53" s="127" t="s">
        <v>294</v>
      </c>
      <c r="E53" s="127"/>
      <c r="F53" s="127"/>
      <c r="G53" s="127"/>
      <c r="H53" s="127"/>
    </row>
    <row r="54" spans="1:11" x14ac:dyDescent="0.35">
      <c r="A54" s="128" t="s">
        <v>54</v>
      </c>
      <c r="B54" s="127"/>
      <c r="C54" s="127"/>
      <c r="D54" s="127" t="s">
        <v>260</v>
      </c>
      <c r="E54" s="127"/>
      <c r="F54" s="127"/>
      <c r="G54" s="127"/>
      <c r="H54" s="127"/>
    </row>
    <row r="55" spans="1:11" x14ac:dyDescent="0.35">
      <c r="A55" s="128" t="s">
        <v>126</v>
      </c>
      <c r="B55" s="127"/>
      <c r="C55" s="127"/>
      <c r="D55" s="127" t="s">
        <v>260</v>
      </c>
      <c r="E55" s="127"/>
      <c r="F55" s="127"/>
      <c r="G55" s="127"/>
      <c r="H55" s="127"/>
    </row>
    <row r="56" spans="1:11" x14ac:dyDescent="0.35">
      <c r="A56" s="128" t="s">
        <v>126</v>
      </c>
      <c r="B56" s="127"/>
      <c r="C56" s="127"/>
      <c r="D56" s="127" t="s">
        <v>261</v>
      </c>
      <c r="E56" s="127"/>
      <c r="F56" s="127"/>
      <c r="G56" s="127"/>
      <c r="H56" s="127"/>
    </row>
    <row r="57" spans="1:11" x14ac:dyDescent="0.35">
      <c r="A57" s="126" t="s">
        <v>51</v>
      </c>
      <c r="B57" s="126"/>
      <c r="C57" s="126"/>
      <c r="D57" s="125" t="s">
        <v>308</v>
      </c>
      <c r="E57" s="125"/>
      <c r="F57" s="125"/>
      <c r="G57" s="125"/>
      <c r="H57" s="125"/>
    </row>
    <row r="58" spans="1:11" ht="32" customHeight="1" x14ac:dyDescent="0.35">
      <c r="A58" s="126" t="s">
        <v>124</v>
      </c>
      <c r="B58" s="126"/>
      <c r="C58" s="126"/>
      <c r="D58" s="125" t="s">
        <v>312</v>
      </c>
      <c r="E58" s="125"/>
      <c r="F58" s="125"/>
      <c r="G58" s="125"/>
      <c r="H58" s="125"/>
    </row>
    <row r="59" spans="1:11" ht="15.75" customHeight="1" x14ac:dyDescent="0.35">
      <c r="A59" s="126" t="s">
        <v>125</v>
      </c>
      <c r="B59" s="126"/>
      <c r="C59" s="126"/>
      <c r="D59" s="125" t="s">
        <v>25</v>
      </c>
      <c r="E59" s="125"/>
      <c r="F59" s="125"/>
      <c r="G59" s="125"/>
      <c r="H59" s="125"/>
      <c r="J59" s="16"/>
      <c r="K59" s="16"/>
    </row>
    <row r="60" spans="1:11" ht="15.75" customHeight="1" thickBot="1" x14ac:dyDescent="0.4">
      <c r="A60" s="154" t="s">
        <v>123</v>
      </c>
      <c r="B60" s="154"/>
      <c r="C60" s="154"/>
      <c r="D60" s="155" t="s">
        <v>257</v>
      </c>
      <c r="E60" s="155"/>
      <c r="F60" s="155"/>
      <c r="G60" s="155"/>
      <c r="H60" s="155"/>
      <c r="J60" s="16"/>
      <c r="K60" s="16"/>
    </row>
    <row r="61" spans="1:11" ht="15.75" customHeight="1" x14ac:dyDescent="0.35">
      <c r="A61" s="185" t="s">
        <v>231</v>
      </c>
      <c r="B61" s="186"/>
      <c r="C61" s="187" t="s">
        <v>310</v>
      </c>
      <c r="D61" s="188"/>
      <c r="E61" s="188"/>
      <c r="F61" s="188"/>
      <c r="G61" s="188"/>
      <c r="H61" s="189"/>
      <c r="I61" s="35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All work completed. Please provide OC.</v>
      </c>
      <c r="J61" s="18"/>
      <c r="K61" s="16"/>
    </row>
    <row r="62" spans="1:11" ht="15.75" hidden="1" customHeight="1" x14ac:dyDescent="0.35">
      <c r="A62" s="17" t="s">
        <v>104</v>
      </c>
      <c r="B62" s="59">
        <v>0</v>
      </c>
      <c r="C62" s="59" t="s">
        <v>106</v>
      </c>
      <c r="D62" s="59">
        <v>1</v>
      </c>
      <c r="E62" s="59" t="s">
        <v>105</v>
      </c>
      <c r="F62" s="59">
        <v>0</v>
      </c>
      <c r="G62" s="59" t="s">
        <v>118</v>
      </c>
      <c r="H62" s="32">
        <f ca="1">--TRIM(RIGHT(SUBSTITUTE(LEFT(C61,_xlfn.AGGREGATE(16,6,FIND({0,1,2,3,4,5,6,7,8,9},C61,ROW(INDIRECT("1:"&amp;LEN(C61)))),1))," ",REPT(" ",LEN(C61))),LEN(C61)))</f>
        <v>8</v>
      </c>
      <c r="I62" s="16"/>
      <c r="J62" s="19"/>
      <c r="K62" s="16"/>
    </row>
    <row r="63" spans="1:11" x14ac:dyDescent="0.35">
      <c r="A63" s="60" t="s">
        <v>127</v>
      </c>
      <c r="B63" s="61"/>
      <c r="C63" s="100" t="str">
        <f>I63</f>
        <v>All work Completed. OC Received.</v>
      </c>
      <c r="D63" s="101"/>
      <c r="E63" s="101"/>
      <c r="F63" s="101"/>
      <c r="G63" s="101"/>
      <c r="H63" s="102"/>
      <c r="I63" s="16" t="s">
        <v>145</v>
      </c>
      <c r="J63" s="19"/>
      <c r="K63" s="16"/>
    </row>
    <row r="64" spans="1:11" s="2" customFormat="1" ht="15.75" customHeight="1" x14ac:dyDescent="0.35">
      <c r="A64" s="103" t="s">
        <v>122</v>
      </c>
      <c r="B64" s="104"/>
      <c r="C64" s="107">
        <v>1</v>
      </c>
      <c r="D64" s="104"/>
      <c r="E64" s="109" t="s">
        <v>121</v>
      </c>
      <c r="F64" s="104"/>
      <c r="G64" s="107">
        <v>1</v>
      </c>
      <c r="H64" s="110"/>
      <c r="I64" s="63" t="s">
        <v>232</v>
      </c>
      <c r="J64" s="64">
        <f ca="1">H62*25%</f>
        <v>2</v>
      </c>
      <c r="K64" s="65"/>
    </row>
    <row r="65" spans="1:11" s="2" customFormat="1" ht="15.75" customHeight="1" thickBot="1" x14ac:dyDescent="0.4">
      <c r="A65" s="105"/>
      <c r="B65" s="106"/>
      <c r="C65" s="108"/>
      <c r="D65" s="106"/>
      <c r="E65" s="108">
        <f ca="1">(((C66/H62*10)+(40/(D62+F62+H62)*C67)+(7.5/(H62)*C68)+(7.5/(H62)*C69)+(10/H62*C70)+(10/H62*C71)+(5/H62*C72)+(5/H62*C73)+(5/H62*C74))/100)</f>
        <v>1</v>
      </c>
      <c r="F65" s="106"/>
      <c r="G65" s="108">
        <f ca="1">((((C65/H62)*20)+((C66/H62)*25)+(30/(H62+F62+D62)*C67)+(5/H62*C68)+(5/H62*C69)+(5/H62*C70)+(5/H62*C71)+(0/H62*C72)+(0/H62*C73)+(5/H62*C74))/100)</f>
        <v>0.8</v>
      </c>
      <c r="H65" s="111"/>
      <c r="I65" s="63" t="s">
        <v>139</v>
      </c>
      <c r="J65" s="66">
        <f ca="1">H62*50%</f>
        <v>4</v>
      </c>
      <c r="K65" s="65"/>
    </row>
    <row r="66" spans="1:11" ht="15.75" hidden="1" customHeight="1" x14ac:dyDescent="0.35">
      <c r="A66" s="190" t="s">
        <v>55</v>
      </c>
      <c r="B66" s="191"/>
      <c r="C66" s="67">
        <f ca="1">J74</f>
        <v>8</v>
      </c>
      <c r="D66" s="68">
        <f ca="1">((100/H62)*C66)/100</f>
        <v>1</v>
      </c>
      <c r="E66" s="67"/>
      <c r="F66" s="68"/>
      <c r="G66" s="67"/>
      <c r="H66" s="68"/>
      <c r="I66" s="36" t="s">
        <v>140</v>
      </c>
      <c r="J66" s="37">
        <f ca="1">H62</f>
        <v>8</v>
      </c>
      <c r="K66" s="16"/>
    </row>
    <row r="67" spans="1:11" ht="15.75" hidden="1" customHeight="1" x14ac:dyDescent="0.35">
      <c r="A67" s="158" t="s">
        <v>233</v>
      </c>
      <c r="B67" s="159"/>
      <c r="C67" s="50">
        <f ca="1">D62+H62</f>
        <v>9</v>
      </c>
      <c r="D67" s="49">
        <f ca="1">((100/(D62+F62+H62))*C67)/100</f>
        <v>1</v>
      </c>
      <c r="E67" s="50"/>
      <c r="F67" s="49"/>
      <c r="G67" s="50"/>
      <c r="H67" s="49"/>
      <c r="I67" s="36" t="s">
        <v>141</v>
      </c>
      <c r="J67" s="38">
        <f ca="1">(IF(B62&gt;1,(H62/(B62+2)),H62/4))</f>
        <v>2</v>
      </c>
      <c r="K67" s="16"/>
    </row>
    <row r="68" spans="1:11" ht="15.75" hidden="1" customHeight="1" x14ac:dyDescent="0.35">
      <c r="A68" s="158" t="s">
        <v>234</v>
      </c>
      <c r="B68" s="159" t="s">
        <v>235</v>
      </c>
      <c r="C68" s="48">
        <v>8</v>
      </c>
      <c r="D68" s="49">
        <f ca="1">((100/H62)*C68)/100</f>
        <v>1</v>
      </c>
      <c r="E68" s="48"/>
      <c r="F68" s="49"/>
      <c r="G68" s="48"/>
      <c r="H68" s="49"/>
      <c r="I68" s="36" t="s">
        <v>142</v>
      </c>
      <c r="J68" s="38">
        <f ca="1">(IF(B62&gt;1,(H62/(B62+2)+J67),H62/4+J67))</f>
        <v>4</v>
      </c>
      <c r="K68" s="16"/>
    </row>
    <row r="69" spans="1:11" ht="15.75" hidden="1" customHeight="1" x14ac:dyDescent="0.35">
      <c r="A69" s="158" t="s">
        <v>236</v>
      </c>
      <c r="B69" s="159" t="s">
        <v>235</v>
      </c>
      <c r="C69" s="48">
        <v>8</v>
      </c>
      <c r="D69" s="49">
        <f ca="1">((100/H62)*C69)/100</f>
        <v>1</v>
      </c>
      <c r="E69" s="48"/>
      <c r="F69" s="49"/>
      <c r="G69" s="48"/>
      <c r="H69" s="49"/>
      <c r="I69" s="36" t="s">
        <v>237</v>
      </c>
      <c r="J69" s="38">
        <f>(IF(B62&gt;1,(H62/(B62+2)+J68),0))</f>
        <v>0</v>
      </c>
      <c r="K69" s="16"/>
    </row>
    <row r="70" spans="1:11" ht="15.75" hidden="1" customHeight="1" x14ac:dyDescent="0.35">
      <c r="A70" s="158" t="s">
        <v>238</v>
      </c>
      <c r="B70" s="159" t="s">
        <v>239</v>
      </c>
      <c r="C70" s="48">
        <v>8</v>
      </c>
      <c r="D70" s="49">
        <f ca="1">((100/(H62))*C70)/100</f>
        <v>1</v>
      </c>
      <c r="E70" s="48"/>
      <c r="F70" s="49"/>
      <c r="G70" s="48"/>
      <c r="H70" s="49"/>
      <c r="I70" s="36" t="s">
        <v>240</v>
      </c>
      <c r="J70" s="38">
        <f>(IF(B62&gt;2,(H62/(B62+2)+J69),0))</f>
        <v>0</v>
      </c>
      <c r="K70" s="16"/>
    </row>
    <row r="71" spans="1:11" ht="15.75" hidden="1" customHeight="1" x14ac:dyDescent="0.35">
      <c r="A71" s="158" t="s">
        <v>241</v>
      </c>
      <c r="B71" s="159" t="s">
        <v>241</v>
      </c>
      <c r="C71" s="48">
        <v>8</v>
      </c>
      <c r="D71" s="49">
        <f ca="1">((100/H62)*C71)/100</f>
        <v>1</v>
      </c>
      <c r="E71" s="48"/>
      <c r="F71" s="49"/>
      <c r="G71" s="48"/>
      <c r="H71" s="49"/>
      <c r="I71" s="36" t="s">
        <v>242</v>
      </c>
      <c r="J71" s="39">
        <f>(IF(B62&gt;3,(H62/(B62+2)+J70),0))</f>
        <v>0</v>
      </c>
      <c r="K71" s="16"/>
    </row>
    <row r="72" spans="1:11" ht="15.75" hidden="1" customHeight="1" x14ac:dyDescent="0.35">
      <c r="A72" s="158" t="s">
        <v>243</v>
      </c>
      <c r="B72" s="159"/>
      <c r="C72" s="48">
        <v>8</v>
      </c>
      <c r="D72" s="49">
        <f ca="1">((100/H62)*C72)/100</f>
        <v>1</v>
      </c>
      <c r="E72" s="48"/>
      <c r="F72" s="49"/>
      <c r="G72" s="48"/>
      <c r="H72" s="49"/>
      <c r="I72" s="36" t="s">
        <v>244</v>
      </c>
      <c r="J72" s="38">
        <f>(IF(B62&gt;4,(H62/(B62+2)+J71),0))</f>
        <v>0</v>
      </c>
      <c r="K72" s="16"/>
    </row>
    <row r="73" spans="1:11" ht="15.75" hidden="1" customHeight="1" x14ac:dyDescent="0.35">
      <c r="A73" s="158" t="s">
        <v>245</v>
      </c>
      <c r="B73" s="159" t="s">
        <v>245</v>
      </c>
      <c r="C73" s="48">
        <v>8</v>
      </c>
      <c r="D73" s="49">
        <f ca="1">((100/(H62))*C73)/100</f>
        <v>1</v>
      </c>
      <c r="E73" s="48"/>
      <c r="F73" s="49"/>
      <c r="G73" s="48"/>
      <c r="H73" s="49"/>
      <c r="I73" s="36" t="s">
        <v>143</v>
      </c>
      <c r="J73" s="38">
        <f ca="1">(IF(B62=1,(H62/(B62+3)+J68),IF(B62=0,(H62/4+J68),IF(B62&gt;1,0))))</f>
        <v>6</v>
      </c>
      <c r="K73" s="16"/>
    </row>
    <row r="74" spans="1:11" ht="15.75" hidden="1" customHeight="1" thickBot="1" x14ac:dyDescent="0.4">
      <c r="A74" s="165" t="s">
        <v>246</v>
      </c>
      <c r="B74" s="166"/>
      <c r="C74" s="51">
        <v>8</v>
      </c>
      <c r="D74" s="52">
        <f ca="1">((100/(H62))*C74)/100</f>
        <v>1</v>
      </c>
      <c r="E74" s="51"/>
      <c r="F74" s="52"/>
      <c r="G74" s="51"/>
      <c r="H74" s="52"/>
      <c r="I74" s="40" t="s">
        <v>144</v>
      </c>
      <c r="J74" s="41">
        <f ca="1">(IF(B62&gt;1.5,(H62/(B62+2)+J68+MAX(0,J69-J68)+MAX(0,J70-J69)+MAX(0,J71-J70)+MAX(0,J72-J71)+MAX(0,J73-J72)),IF(B62=1,(H62/(B62+3)+J73),IF(B62=0,H62/4+J73))))</f>
        <v>8</v>
      </c>
      <c r="K74" s="16"/>
    </row>
    <row r="75" spans="1:11" customFormat="1" ht="15.75" customHeight="1" x14ac:dyDescent="0.35">
      <c r="A75" s="167" t="s">
        <v>231</v>
      </c>
      <c r="B75" s="168"/>
      <c r="C75" s="169" t="s">
        <v>309</v>
      </c>
      <c r="D75" s="170"/>
      <c r="E75" s="170"/>
      <c r="F75" s="170"/>
      <c r="G75" s="170"/>
      <c r="H75" s="171"/>
      <c r="I75" s="75" t="str">
        <f ca="1">IF(D91=100%,"All work Completed. Possession granted to the Building.",IF(D90=100%,"All work Completed, Waiting for OC",I76&amp;""&amp;I80&amp;""&amp;J76&amp;""&amp;J75&amp;" "&amp;J80))</f>
        <v>Excavation, Plinth, RCC Slab, Brickwork, Internal Plaster, External Plaster, Flooring Completed, Painting upto 8 Floor, Finishing upto 4 Floor Completed</v>
      </c>
      <c r="J75" s="70" t="str">
        <f ca="1">(IF(C84=(D76+F76+H76),"",IF(C84&gt;0,", RCC upto "&amp;C84&amp;" Slab","")))&amp;(IF(C85=H76,"",IF(C85&gt;0,", Brickwork upto "&amp;C85&amp;" Floor","")))&amp;(IF(C86=H76,"",IF(C86&gt;0,", Internal Plaster upto "&amp;C86&amp;" Floor","")))&amp;(IF(C87=H76,"",IF(C87&gt;0,", External Plaster upto "&amp;C87&amp;" Floor","")))&amp;(IF(C88=H76,"",IF(C88&gt;0,", Flooring upto "&amp;C88&amp;" Floor","")))&amp;(IF(C89=H76,"",IF(C89&gt;0,", Painting upto "&amp;C89&amp;" Floor","")))&amp;(IF(C90=H76,"",IF(C90&gt;0,", Finishing upto "&amp;C90&amp;" Floor","")))&amp;(IF(C91=H76,"",IF(C91&gt;0,", Possession upto "&amp;C91&amp;" Floor","")))</f>
        <v>, Painting upto 8 Floor, Finishing upto 4 Floor</v>
      </c>
    </row>
    <row r="76" spans="1:11" customFormat="1" x14ac:dyDescent="0.35">
      <c r="A76" s="17" t="s">
        <v>104</v>
      </c>
      <c r="B76" s="59">
        <v>0</v>
      </c>
      <c r="C76" s="59" t="s">
        <v>106</v>
      </c>
      <c r="D76" s="59">
        <v>1</v>
      </c>
      <c r="E76" s="59" t="s">
        <v>105</v>
      </c>
      <c r="F76" s="59">
        <v>0</v>
      </c>
      <c r="G76" s="59" t="s">
        <v>118</v>
      </c>
      <c r="H76" s="59">
        <f ca="1">--TRIM(RIGHT(SUBSTITUTE(LEFT(C75,_xlfn.AGGREGATE(16,6,FIND({0,1,2,3,4,5,6,7,8,9},C75,ROW(INDIRECT("1:"&amp;LEN(C75)))),1))," ",REPT(" ",LEN(C75))),LEN(C75)))</f>
        <v>12</v>
      </c>
      <c r="I76" s="76" t="str">
        <f ca="1">IF(D82=100%,"Excavation","")&amp;IF(D83=100%,", Plinth","")&amp;IF(D84=100%,", RCC Slab","")&amp;IF(D85=100%,", Brickwork","")&amp;IF(D86=100%,", Internal Plaster","")&amp;IF(D87=100%,", External Plaster","")&amp;IF(D88=100%,", Flooring","")&amp;IF(D89=100%,", Painting","")&amp;IF(D90=100%,", Building common Amenities","")</f>
        <v>Excavation, Plinth, RCC Slab, Brickwork, Internal Plaster, External Plaster, Flooring</v>
      </c>
      <c r="J76" s="71" t="str">
        <f ca="1">(IF(C82=0,"Work not yet Started.",IF(D82=25%,"Piling work in process",IF(D82=50%,"Excavation work in process",IF(D82=100%,"","0")))))&amp;(IF(C83=0%,"",IF(C83=J84,", Footing work is process",IF(C83=J85,", Footing work Completed",IF(C83=J86,", 1st Basement Completed",IF(C83=J87,", 1st &amp; 2nd Basement Completed",IF(C83=J88,", 1st to 3rd Basement Completed",IF(C83=J89,", 1st to 4th Basement Completed",IF(C83=J90,", Plinth work is process",IF(C83=J91,"","0"))))))))))</f>
        <v/>
      </c>
    </row>
    <row r="77" spans="1:11" x14ac:dyDescent="0.35">
      <c r="A77" s="60" t="s">
        <v>127</v>
      </c>
      <c r="B77" s="61"/>
      <c r="C77" s="100" t="str">
        <f>I77</f>
        <v>All work Completed. OC Received.</v>
      </c>
      <c r="D77" s="101"/>
      <c r="E77" s="101"/>
      <c r="F77" s="101"/>
      <c r="G77" s="101"/>
      <c r="H77" s="102"/>
      <c r="I77" s="16" t="s">
        <v>145</v>
      </c>
      <c r="J77" s="19"/>
      <c r="K77" s="16"/>
    </row>
    <row r="78" spans="1:11" s="2" customFormat="1" ht="15.75" customHeight="1" x14ac:dyDescent="0.35">
      <c r="A78" s="103" t="s">
        <v>122</v>
      </c>
      <c r="B78" s="104"/>
      <c r="C78" s="107">
        <v>1</v>
      </c>
      <c r="D78" s="104"/>
      <c r="E78" s="109" t="s">
        <v>121</v>
      </c>
      <c r="F78" s="104"/>
      <c r="G78" s="107">
        <v>1</v>
      </c>
      <c r="H78" s="110"/>
      <c r="I78" s="63" t="s">
        <v>232</v>
      </c>
      <c r="J78" s="64">
        <f ca="1">H76*25%</f>
        <v>3</v>
      </c>
      <c r="K78" s="65"/>
    </row>
    <row r="79" spans="1:11" s="2" customFormat="1" ht="15.75" customHeight="1" thickBot="1" x14ac:dyDescent="0.4">
      <c r="A79" s="105"/>
      <c r="B79" s="106"/>
      <c r="C79" s="108"/>
      <c r="D79" s="106"/>
      <c r="E79" s="108" t="e">
        <f ca="1">(((C80/H76*10)+(40/(D76+F76+H76)*C81)+(7.5/(H76)*C82)+(7.5/(H76)*C83)+(10/H76*C84)+(10/H76*C85)+(5/H76*C86)+(5/H76*C87)+(5/H76*C88))/100)</f>
        <v>#VALUE!</v>
      </c>
      <c r="F79" s="106"/>
      <c r="G79" s="108" t="e">
        <f ca="1">((((C79/H76)*20)+((C80/H76)*25)+(30/(H76+F76+D76)*C81)+(5/H76*C82)+(5/H76*C83)+(5/H76*C84)+(5/H76*C85)+(0/H76*C86)+(0/H76*C87)+(5/H76*C88))/100)</f>
        <v>#VALUE!</v>
      </c>
      <c r="H79" s="111"/>
      <c r="I79" s="63" t="s">
        <v>139</v>
      </c>
      <c r="J79" s="66">
        <f ca="1">H76*50%</f>
        <v>6</v>
      </c>
      <c r="K79" s="65"/>
    </row>
    <row r="80" spans="1:11" customFormat="1" ht="34.5" hidden="1" customHeight="1" x14ac:dyDescent="0.35">
      <c r="A80" s="172" t="s">
        <v>127</v>
      </c>
      <c r="B80" s="97"/>
      <c r="C80" s="100" t="str">
        <f ca="1">I75</f>
        <v>Excavation, Plinth, RCC Slab, Brickwork, Internal Plaster, External Plaster, Flooring Completed, Painting upto 8 Floor, Finishing upto 4 Floor Completed</v>
      </c>
      <c r="D80" s="101"/>
      <c r="E80" s="101"/>
      <c r="F80" s="101"/>
      <c r="G80" s="101"/>
      <c r="H80" s="102"/>
      <c r="I80" s="76" t="str">
        <f ca="1">IF(I76&lt;&gt;""," Completed","")</f>
        <v xml:space="preserve"> Completed</v>
      </c>
      <c r="J80" s="71" t="str">
        <f ca="1">IF(J75&lt;&gt;"","Completed","")</f>
        <v>Completed</v>
      </c>
    </row>
    <row r="81" spans="1:14" customFormat="1" ht="31" hidden="1" x14ac:dyDescent="0.35">
      <c r="A81" s="158" t="s">
        <v>262</v>
      </c>
      <c r="B81" s="159"/>
      <c r="C81" s="69" t="s">
        <v>265</v>
      </c>
      <c r="D81" s="69" t="s">
        <v>263</v>
      </c>
      <c r="E81" s="173" t="s">
        <v>122</v>
      </c>
      <c r="F81" s="174"/>
      <c r="G81" s="173" t="s">
        <v>121</v>
      </c>
      <c r="H81" s="175"/>
      <c r="I81" s="36" t="s">
        <v>232</v>
      </c>
      <c r="J81" s="72">
        <f ca="1">H76*25%</f>
        <v>3</v>
      </c>
    </row>
    <row r="82" spans="1:14" customFormat="1" hidden="1" x14ac:dyDescent="0.35">
      <c r="A82" s="158" t="s">
        <v>264</v>
      </c>
      <c r="B82" s="159"/>
      <c r="C82" s="48">
        <f ca="1">J83</f>
        <v>12</v>
      </c>
      <c r="D82" s="73">
        <f ca="1">((100/H76)*C82)/100</f>
        <v>1</v>
      </c>
      <c r="E82" s="176">
        <f ca="1">(((C83/H76*10)+(40/(D76+F76+H76)*C84)+(7.5/(H76)*C85)+(7.5/(H76)*C86)+(10/H76*C87)+(10/H76*C88)+(5/H76*C89)+(5/H76*C90)+(5/H76*C91))/100)</f>
        <v>0.9</v>
      </c>
      <c r="F82" s="177"/>
      <c r="G82" s="176">
        <f ca="1">((((C82/H76)*20)+((C83/H76)*25)+(30/(H76+F76+D76)*C84)+(5/H76*C85)+(5/H76*C86)+(5/H76*C87)+(5/H76*C88)+(0/H76*C89)+(0/H76*C90)+(5/H76*C91))/100)</f>
        <v>0.95</v>
      </c>
      <c r="H82" s="182"/>
      <c r="I82" s="36" t="s">
        <v>139</v>
      </c>
      <c r="J82" s="37">
        <f ca="1">H76*50%</f>
        <v>6</v>
      </c>
    </row>
    <row r="83" spans="1:14" customFormat="1" hidden="1" x14ac:dyDescent="0.35">
      <c r="A83" s="158" t="s">
        <v>55</v>
      </c>
      <c r="B83" s="159"/>
      <c r="C83" s="50">
        <f ca="1">J91</f>
        <v>12</v>
      </c>
      <c r="D83" s="73">
        <f ca="1">((100/H76)*C83)/100</f>
        <v>1</v>
      </c>
      <c r="E83" s="178"/>
      <c r="F83" s="179"/>
      <c r="G83" s="178"/>
      <c r="H83" s="183"/>
      <c r="I83" s="36" t="s">
        <v>140</v>
      </c>
      <c r="J83" s="37">
        <f ca="1">H76</f>
        <v>12</v>
      </c>
    </row>
    <row r="84" spans="1:14" customFormat="1" hidden="1" x14ac:dyDescent="0.35">
      <c r="A84" s="158" t="s">
        <v>233</v>
      </c>
      <c r="B84" s="159"/>
      <c r="C84" s="50">
        <v>13</v>
      </c>
      <c r="D84" s="73">
        <f ca="1">((100/(D76+F76+H76))*C84)/100</f>
        <v>1</v>
      </c>
      <c r="E84" s="178"/>
      <c r="F84" s="179"/>
      <c r="G84" s="178"/>
      <c r="H84" s="183"/>
      <c r="I84" s="36" t="s">
        <v>141</v>
      </c>
      <c r="J84" s="38">
        <f ca="1">(IF(B76&gt;1,(H76/(B76+2)),H76/4))</f>
        <v>3</v>
      </c>
      <c r="L84" s="77"/>
    </row>
    <row r="85" spans="1:14" customFormat="1" ht="15.75" hidden="1" customHeight="1" x14ac:dyDescent="0.35">
      <c r="A85" s="158" t="s">
        <v>234</v>
      </c>
      <c r="B85" s="159" t="s">
        <v>235</v>
      </c>
      <c r="C85" s="48">
        <v>12</v>
      </c>
      <c r="D85" s="73">
        <f ca="1">((100/H76)*C85)/100</f>
        <v>1</v>
      </c>
      <c r="E85" s="178"/>
      <c r="F85" s="179"/>
      <c r="G85" s="178"/>
      <c r="H85" s="183"/>
      <c r="I85" s="36" t="s">
        <v>142</v>
      </c>
      <c r="J85" s="38">
        <f ca="1">(IF(B76&gt;1,(H76/(B76+2)+J84),H76/4+J84))</f>
        <v>6</v>
      </c>
      <c r="L85" s="77"/>
      <c r="N85" s="77"/>
    </row>
    <row r="86" spans="1:14" customFormat="1" ht="15.75" hidden="1" customHeight="1" x14ac:dyDescent="0.35">
      <c r="A86" s="158" t="s">
        <v>236</v>
      </c>
      <c r="B86" s="159" t="s">
        <v>235</v>
      </c>
      <c r="C86" s="48">
        <v>12</v>
      </c>
      <c r="D86" s="73">
        <f ca="1">((100/H76)*C86)/100</f>
        <v>1</v>
      </c>
      <c r="E86" s="178"/>
      <c r="F86" s="179"/>
      <c r="G86" s="178"/>
      <c r="H86" s="183"/>
      <c r="I86" s="36" t="s">
        <v>237</v>
      </c>
      <c r="J86" s="38">
        <f>(IF(B76&gt;1,(H76/(B76+2)+J85),0))</f>
        <v>0</v>
      </c>
      <c r="L86" s="78"/>
    </row>
    <row r="87" spans="1:14" customFormat="1" ht="15.75" hidden="1" customHeight="1" x14ac:dyDescent="0.35">
      <c r="A87" s="158" t="s">
        <v>238</v>
      </c>
      <c r="B87" s="159" t="s">
        <v>239</v>
      </c>
      <c r="C87" s="48">
        <v>12</v>
      </c>
      <c r="D87" s="73">
        <f ca="1">((100/(H76))*C87)/100</f>
        <v>1</v>
      </c>
      <c r="E87" s="178"/>
      <c r="F87" s="179"/>
      <c r="G87" s="178"/>
      <c r="H87" s="183"/>
      <c r="I87" s="36" t="s">
        <v>240</v>
      </c>
      <c r="J87" s="38">
        <f>(IF(B76&gt;2,(H76/(B76+2)+J86),0))</f>
        <v>0</v>
      </c>
      <c r="K87" s="79"/>
      <c r="L87" s="78"/>
    </row>
    <row r="88" spans="1:14" customFormat="1" ht="15.75" hidden="1" customHeight="1" x14ac:dyDescent="0.35">
      <c r="A88" s="158" t="s">
        <v>241</v>
      </c>
      <c r="B88" s="159" t="s">
        <v>241</v>
      </c>
      <c r="C88" s="48">
        <v>12</v>
      </c>
      <c r="D88" s="73">
        <f ca="1">((100/H76)*C88)/100</f>
        <v>1</v>
      </c>
      <c r="E88" s="178"/>
      <c r="F88" s="179"/>
      <c r="G88" s="178"/>
      <c r="H88" s="183"/>
      <c r="I88" s="36" t="s">
        <v>242</v>
      </c>
      <c r="J88" s="39">
        <f>(IF(B76&gt;3,(H76/(B76+2)+J87),0))</f>
        <v>0</v>
      </c>
      <c r="K88" s="79"/>
      <c r="L88" s="78"/>
    </row>
    <row r="89" spans="1:14" customFormat="1" ht="15.75" hidden="1" customHeight="1" x14ac:dyDescent="0.35">
      <c r="A89" s="158" t="s">
        <v>243</v>
      </c>
      <c r="B89" s="159"/>
      <c r="C89" s="48">
        <v>8</v>
      </c>
      <c r="D89" s="73">
        <f ca="1">((100/H76)*C89)/100</f>
        <v>0.66666666666666674</v>
      </c>
      <c r="E89" s="178"/>
      <c r="F89" s="179"/>
      <c r="G89" s="178"/>
      <c r="H89" s="183"/>
      <c r="I89" s="36" t="s">
        <v>244</v>
      </c>
      <c r="J89" s="38">
        <f>(IF(B76&gt;4,(H76/(B76+2)+J88),0))</f>
        <v>0</v>
      </c>
      <c r="K89" s="77"/>
      <c r="L89" s="78"/>
    </row>
    <row r="90" spans="1:14" customFormat="1" ht="15" hidden="1" customHeight="1" x14ac:dyDescent="0.35">
      <c r="A90" s="158" t="s">
        <v>245</v>
      </c>
      <c r="B90" s="159" t="s">
        <v>245</v>
      </c>
      <c r="C90" s="48">
        <v>4</v>
      </c>
      <c r="D90" s="73">
        <f ca="1">((100/(H76))*C90)/100</f>
        <v>0.33333333333333337</v>
      </c>
      <c r="E90" s="178"/>
      <c r="F90" s="179"/>
      <c r="G90" s="178"/>
      <c r="H90" s="183"/>
      <c r="I90" s="36" t="s">
        <v>143</v>
      </c>
      <c r="J90" s="38">
        <f ca="1">(IF(B76=1,(H76/(B76+3)+J85),IF(B76=0,(H76/4+J85),IF(B76&gt;1,0))))</f>
        <v>9</v>
      </c>
      <c r="K90" s="79"/>
      <c r="L90" s="78"/>
    </row>
    <row r="91" spans="1:14" customFormat="1" ht="16" hidden="1" thickBot="1" x14ac:dyDescent="0.4">
      <c r="A91" s="165" t="s">
        <v>246</v>
      </c>
      <c r="B91" s="166"/>
      <c r="C91" s="51">
        <v>0</v>
      </c>
      <c r="D91" s="74">
        <f ca="1">((100/(H76))*C91)/100</f>
        <v>0</v>
      </c>
      <c r="E91" s="180"/>
      <c r="F91" s="181"/>
      <c r="G91" s="180"/>
      <c r="H91" s="184"/>
      <c r="I91" s="40" t="s">
        <v>144</v>
      </c>
      <c r="J91" s="41">
        <f ca="1">(IF(B76&gt;1.5,(H76/(B76+2)+J85+MAX(0,J86-J85)+MAX(0,J87-J86)+MAX(0,J88-J87)+MAX(0,J89-J88)+MAX(0,J90-J89)),IF(B76=1,(H76/(B76+3)+J90),IF(B76=0,H76/4+J90))))</f>
        <v>12</v>
      </c>
      <c r="K91" s="79"/>
      <c r="L91" s="78"/>
    </row>
    <row r="92" spans="1:14" s="62" customFormat="1" x14ac:dyDescent="0.35">
      <c r="A92" s="127" t="s">
        <v>258</v>
      </c>
      <c r="B92" s="127"/>
      <c r="C92" s="127"/>
      <c r="D92" s="127"/>
      <c r="E92" s="127"/>
      <c r="F92" s="127"/>
      <c r="G92" s="127"/>
      <c r="H92" s="127"/>
    </row>
    <row r="93" spans="1:14" x14ac:dyDescent="0.35">
      <c r="A93" s="157" t="s">
        <v>56</v>
      </c>
      <c r="B93" s="157"/>
      <c r="C93" s="157"/>
      <c r="D93" s="157"/>
      <c r="E93" s="157"/>
      <c r="F93" s="157"/>
      <c r="G93" s="157"/>
      <c r="H93" s="157"/>
    </row>
    <row r="94" spans="1:14" ht="15" customHeight="1" x14ac:dyDescent="0.35">
      <c r="A94" s="97" t="s">
        <v>109</v>
      </c>
      <c r="B94" s="97"/>
      <c r="C94" s="96" t="s">
        <v>110</v>
      </c>
      <c r="D94" s="96"/>
      <c r="E94" s="96"/>
      <c r="F94" s="96"/>
      <c r="G94" s="96"/>
      <c r="H94" s="96"/>
    </row>
    <row r="95" spans="1:14" x14ac:dyDescent="0.35">
      <c r="A95" s="134" t="s">
        <v>57</v>
      </c>
      <c r="B95" s="134"/>
      <c r="C95" s="134"/>
      <c r="D95" s="134"/>
      <c r="E95" s="134"/>
      <c r="F95" s="134"/>
      <c r="G95" s="134"/>
      <c r="H95" s="134"/>
    </row>
    <row r="96" spans="1:14" x14ac:dyDescent="0.35">
      <c r="A96" s="126" t="s">
        <v>111</v>
      </c>
      <c r="B96" s="126"/>
      <c r="C96" s="126"/>
      <c r="D96" s="126"/>
      <c r="E96" s="126"/>
      <c r="F96" s="97">
        <v>4500</v>
      </c>
      <c r="G96" s="97"/>
      <c r="H96" s="97"/>
    </row>
    <row r="97" spans="1:14" x14ac:dyDescent="0.35">
      <c r="A97" s="126" t="s">
        <v>116</v>
      </c>
      <c r="B97" s="126"/>
      <c r="C97" s="126"/>
      <c r="D97" s="126"/>
      <c r="E97" s="126"/>
      <c r="F97" s="127">
        <v>8000</v>
      </c>
      <c r="G97" s="127"/>
      <c r="H97" s="127"/>
    </row>
    <row r="98" spans="1:14" x14ac:dyDescent="0.35">
      <c r="A98" s="126" t="s">
        <v>117</v>
      </c>
      <c r="B98" s="126"/>
      <c r="C98" s="126"/>
      <c r="D98" s="126"/>
      <c r="E98" s="126"/>
      <c r="F98" s="127">
        <v>6500</v>
      </c>
      <c r="G98" s="127"/>
      <c r="H98" s="127"/>
    </row>
    <row r="99" spans="1:14" s="13" customFormat="1" hidden="1" x14ac:dyDescent="0.3">
      <c r="A99" s="126" t="s">
        <v>132</v>
      </c>
      <c r="B99" s="126"/>
      <c r="C99" s="126"/>
      <c r="D99" s="126"/>
      <c r="E99" s="126"/>
      <c r="F99" s="127" t="s">
        <v>31</v>
      </c>
      <c r="G99" s="127"/>
      <c r="H99" s="127"/>
    </row>
    <row r="100" spans="1:14" s="13" customFormat="1" x14ac:dyDescent="0.3">
      <c r="A100" s="126" t="s">
        <v>133</v>
      </c>
      <c r="B100" s="126"/>
      <c r="C100" s="126"/>
      <c r="D100" s="126"/>
      <c r="E100" s="126"/>
      <c r="F100" s="127" t="s">
        <v>249</v>
      </c>
      <c r="G100" s="127"/>
      <c r="H100" s="127"/>
    </row>
    <row r="101" spans="1:14" s="13" customFormat="1" x14ac:dyDescent="0.3">
      <c r="A101" s="126" t="s">
        <v>134</v>
      </c>
      <c r="B101" s="126"/>
      <c r="C101" s="126"/>
      <c r="D101" s="126"/>
      <c r="E101" s="126"/>
      <c r="F101" s="127" t="s">
        <v>298</v>
      </c>
      <c r="G101" s="127"/>
      <c r="H101" s="127"/>
    </row>
    <row r="102" spans="1:14" s="13" customFormat="1" x14ac:dyDescent="0.3">
      <c r="A102" s="126" t="s">
        <v>250</v>
      </c>
      <c r="B102" s="126"/>
      <c r="C102" s="126"/>
      <c r="D102" s="126"/>
      <c r="E102" s="126"/>
      <c r="F102" s="127" t="s">
        <v>251</v>
      </c>
      <c r="G102" s="127"/>
      <c r="H102" s="127"/>
    </row>
    <row r="103" spans="1:14" s="13" customFormat="1" hidden="1" x14ac:dyDescent="0.3">
      <c r="A103" s="126" t="s">
        <v>135</v>
      </c>
      <c r="B103" s="126"/>
      <c r="C103" s="126"/>
      <c r="D103" s="126"/>
      <c r="E103" s="126"/>
      <c r="F103" s="127" t="s">
        <v>31</v>
      </c>
      <c r="G103" s="127"/>
      <c r="H103" s="127"/>
    </row>
    <row r="104" spans="1:14" s="13" customFormat="1" hidden="1" x14ac:dyDescent="0.3">
      <c r="A104" s="126" t="s">
        <v>136</v>
      </c>
      <c r="B104" s="126"/>
      <c r="C104" s="126"/>
      <c r="D104" s="126"/>
      <c r="E104" s="126"/>
      <c r="F104" s="127" t="s">
        <v>31</v>
      </c>
      <c r="G104" s="127"/>
      <c r="H104" s="127"/>
    </row>
    <row r="105" spans="1:14" s="13" customFormat="1" hidden="1" x14ac:dyDescent="0.3">
      <c r="A105" s="126" t="s">
        <v>137</v>
      </c>
      <c r="B105" s="126"/>
      <c r="C105" s="126"/>
      <c r="D105" s="126"/>
      <c r="E105" s="126"/>
      <c r="F105" s="127" t="s">
        <v>31</v>
      </c>
      <c r="G105" s="127"/>
      <c r="H105" s="127"/>
    </row>
    <row r="106" spans="1:14" s="13" customFormat="1" x14ac:dyDescent="0.3">
      <c r="A106" s="126" t="s">
        <v>138</v>
      </c>
      <c r="B106" s="126"/>
      <c r="C106" s="126"/>
      <c r="D106" s="126"/>
      <c r="E106" s="126"/>
      <c r="F106" s="127" t="s">
        <v>253</v>
      </c>
      <c r="G106" s="127"/>
      <c r="H106" s="127"/>
    </row>
    <row r="107" spans="1:14" x14ac:dyDescent="0.35">
      <c r="A107" s="126" t="s">
        <v>58</v>
      </c>
      <c r="B107" s="126"/>
      <c r="C107" s="126"/>
      <c r="D107" s="126"/>
      <c r="E107" s="126"/>
      <c r="F107" s="128" t="s">
        <v>252</v>
      </c>
      <c r="G107" s="128"/>
      <c r="H107" s="128"/>
    </row>
    <row r="108" spans="1:14" s="9" customFormat="1" x14ac:dyDescent="0.35">
      <c r="A108" s="134" t="s">
        <v>59</v>
      </c>
      <c r="B108" s="134"/>
      <c r="C108" s="134"/>
      <c r="D108" s="134"/>
      <c r="E108" s="134"/>
      <c r="F108" s="127">
        <f>F96*0.8</f>
        <v>3600</v>
      </c>
      <c r="G108" s="127"/>
      <c r="H108" s="127"/>
    </row>
    <row r="109" spans="1:14" s="1" customFormat="1" ht="15.75" customHeight="1" x14ac:dyDescent="0.35">
      <c r="A109" s="140" t="s">
        <v>222</v>
      </c>
      <c r="B109" s="140"/>
      <c r="C109" s="140"/>
      <c r="D109" s="140"/>
      <c r="E109" s="140"/>
      <c r="F109" s="140"/>
      <c r="G109" s="140"/>
      <c r="H109" s="140"/>
    </row>
    <row r="110" spans="1:14" s="1" customFormat="1" ht="15.75" customHeight="1" x14ac:dyDescent="0.35">
      <c r="A110" s="120" t="s">
        <v>60</v>
      </c>
      <c r="B110" s="120"/>
      <c r="C110" s="53" t="s">
        <v>114</v>
      </c>
      <c r="D110" s="122" t="s">
        <v>61</v>
      </c>
      <c r="E110" s="122"/>
      <c r="F110" s="120" t="s">
        <v>62</v>
      </c>
      <c r="G110" s="120"/>
      <c r="H110" s="120"/>
      <c r="M110" s="1">
        <v>3.05</v>
      </c>
      <c r="N110" s="1">
        <f>M110/M111</f>
        <v>1.1730769230769229</v>
      </c>
    </row>
    <row r="111" spans="1:14" s="1" customFormat="1" x14ac:dyDescent="0.35">
      <c r="A111" s="116" t="s">
        <v>186</v>
      </c>
      <c r="B111" s="116"/>
      <c r="C111" s="54">
        <f>COUNT(D145:D152)</f>
        <v>8</v>
      </c>
      <c r="D111" s="117">
        <f>SUM(D145:D152)</f>
        <v>3767.9382000000005</v>
      </c>
      <c r="E111" s="117"/>
      <c r="F111" s="119">
        <f>SUM(F145:F152)</f>
        <v>5892.0790500000003</v>
      </c>
      <c r="G111" s="119"/>
      <c r="H111" s="119"/>
      <c r="M111" s="1">
        <v>2.6</v>
      </c>
      <c r="N111" s="1">
        <f>3.9*1.17</f>
        <v>4.5629999999999997</v>
      </c>
    </row>
    <row r="112" spans="1:14" s="1" customFormat="1" ht="15.75" customHeight="1" x14ac:dyDescent="0.35">
      <c r="A112" s="140" t="s">
        <v>223</v>
      </c>
      <c r="B112" s="140"/>
      <c r="C112" s="140"/>
      <c r="D112" s="140"/>
      <c r="E112" s="140"/>
      <c r="F112" s="140"/>
      <c r="G112" s="140"/>
      <c r="H112" s="140"/>
      <c r="N112" s="1">
        <f>0.5*1.17</f>
        <v>0.58499999999999996</v>
      </c>
    </row>
    <row r="113" spans="1:14" s="1" customFormat="1" ht="15.75" customHeight="1" x14ac:dyDescent="0.35">
      <c r="A113" s="120" t="s">
        <v>60</v>
      </c>
      <c r="B113" s="120"/>
      <c r="C113" s="53" t="s">
        <v>114</v>
      </c>
      <c r="D113" s="122" t="s">
        <v>61</v>
      </c>
      <c r="E113" s="122"/>
      <c r="F113" s="120" t="s">
        <v>62</v>
      </c>
      <c r="G113" s="120"/>
      <c r="H113" s="120"/>
      <c r="N113" s="1">
        <f>0.7*1.17</f>
        <v>0.81899999999999995</v>
      </c>
    </row>
    <row r="114" spans="1:14" s="1" customFormat="1" x14ac:dyDescent="0.35">
      <c r="A114" s="116" t="s">
        <v>186</v>
      </c>
      <c r="B114" s="116"/>
      <c r="C114" s="54">
        <f>COUNT(D128:D140)</f>
        <v>13</v>
      </c>
      <c r="D114" s="117">
        <f>SUM(D128:D140)</f>
        <v>2132.5636800000002</v>
      </c>
      <c r="E114" s="117"/>
      <c r="F114" s="119">
        <f>SUM(F128:F140)</f>
        <v>3198.8455199999999</v>
      </c>
      <c r="G114" s="119"/>
      <c r="H114" s="119"/>
    </row>
    <row r="115" spans="1:14" s="1" customFormat="1" x14ac:dyDescent="0.35">
      <c r="A115" s="116" t="s">
        <v>217</v>
      </c>
      <c r="B115" s="116"/>
      <c r="C115" s="54">
        <f>COUNT(D191:D202)</f>
        <v>12</v>
      </c>
      <c r="D115" s="117">
        <f>SUM(D191:D202)</f>
        <v>1818.3086999999998</v>
      </c>
      <c r="E115" s="117"/>
      <c r="F115" s="119">
        <f>SUM(F191:F202)</f>
        <v>2727.4630499999998</v>
      </c>
      <c r="G115" s="119"/>
      <c r="H115" s="119"/>
    </row>
    <row r="116" spans="1:14" s="1" customFormat="1" x14ac:dyDescent="0.35">
      <c r="A116" s="120" t="s">
        <v>64</v>
      </c>
      <c r="B116" s="120"/>
      <c r="C116" s="53">
        <f>SUM(C114:C115)</f>
        <v>25</v>
      </c>
      <c r="D116" s="121">
        <f>SUM(D114:E115)</f>
        <v>3950.8723799999998</v>
      </c>
      <c r="E116" s="122"/>
      <c r="F116" s="192">
        <f>SUM(F114:H115)</f>
        <v>5926.3085699999992</v>
      </c>
      <c r="G116" s="193"/>
      <c r="H116" s="194"/>
    </row>
    <row r="117" spans="1:14" s="1" customFormat="1" x14ac:dyDescent="0.35">
      <c r="A117" s="140" t="s">
        <v>103</v>
      </c>
      <c r="B117" s="140"/>
      <c r="C117" s="140"/>
      <c r="D117" s="140"/>
      <c r="E117" s="140"/>
      <c r="F117" s="140"/>
      <c r="G117" s="140"/>
      <c r="H117" s="140"/>
    </row>
    <row r="118" spans="1:14" s="1" customFormat="1" x14ac:dyDescent="0.35">
      <c r="A118" s="120" t="s">
        <v>60</v>
      </c>
      <c r="B118" s="120"/>
      <c r="C118" s="53" t="s">
        <v>114</v>
      </c>
      <c r="D118" s="122" t="s">
        <v>61</v>
      </c>
      <c r="E118" s="122"/>
      <c r="F118" s="120" t="s">
        <v>62</v>
      </c>
      <c r="G118" s="120"/>
      <c r="H118" s="120"/>
    </row>
    <row r="119" spans="1:14" s="1" customFormat="1" x14ac:dyDescent="0.35">
      <c r="A119" s="116" t="s">
        <v>186</v>
      </c>
      <c r="B119" s="116"/>
      <c r="C119" s="54">
        <f>COUNT(D141:D143)+COUNT(D154:D161)+COUNT(D163:D170)*2+COUNT(D172:D179)*3+COUNT(D185:D188)</f>
        <v>55</v>
      </c>
      <c r="D119" s="117">
        <f>SUM(D204:D210)+SUM(D212:D218)*3+SUM(D220:D226)*3+SUM(D228:D230)</f>
        <v>19960.008119999999</v>
      </c>
      <c r="E119" s="118"/>
      <c r="F119" s="119">
        <f>SUM(F141:F143)+SUM(F154:F161)+SUM(F163:F170)*2+SUM(F172:F179)*3+SUM(F185:F188)</f>
        <v>35045.810631</v>
      </c>
      <c r="G119" s="119"/>
      <c r="H119" s="119"/>
    </row>
    <row r="120" spans="1:14" s="1" customFormat="1" x14ac:dyDescent="0.35">
      <c r="A120" s="116" t="s">
        <v>217</v>
      </c>
      <c r="B120" s="116"/>
      <c r="C120" s="54">
        <f>COUNT(D204:D210)+COUNT(D212:D218)*3+COUNT(D220:D226)*3+COUNT(D228:D230)</f>
        <v>52</v>
      </c>
      <c r="D120" s="117">
        <f>SUM(D204:D210)+SUM(D212:D218)*3+SUM(D220:D226)*3+SUM(D228:D230)</f>
        <v>19960.008119999999</v>
      </c>
      <c r="E120" s="118"/>
      <c r="F120" s="119">
        <f>SUM(F204:F210)+SUM(F212:F218)*3+SUM(F220:F226)*3+SUM(F228:F230)</f>
        <v>31079.849814000001</v>
      </c>
      <c r="G120" s="119"/>
      <c r="H120" s="119"/>
    </row>
    <row r="121" spans="1:14" s="1" customFormat="1" x14ac:dyDescent="0.35">
      <c r="A121" s="116" t="s">
        <v>266</v>
      </c>
      <c r="B121" s="116"/>
      <c r="C121" s="54">
        <f>COUNT(D238:D249)*6+COUNT(D251:D262)*5+COUNT(D277:D288)</f>
        <v>143</v>
      </c>
      <c r="D121" s="117">
        <f>SUM(D238:D249)*6+SUM(D251:D262)*5+SUM(D277:D288)</f>
        <v>67590.492839999992</v>
      </c>
      <c r="E121" s="118"/>
      <c r="F121" s="119">
        <f>SUM(F238:F249)*6+SUM(F251:F262)*5+SUM(F277:F288)</f>
        <v>120485</v>
      </c>
      <c r="G121" s="119"/>
      <c r="H121" s="119"/>
    </row>
    <row r="122" spans="1:14" s="1" customFormat="1" x14ac:dyDescent="0.35">
      <c r="A122" s="120" t="s">
        <v>64</v>
      </c>
      <c r="B122" s="120"/>
      <c r="C122" s="55">
        <f>SUM(C119:C121)</f>
        <v>250</v>
      </c>
      <c r="D122" s="121">
        <f>SUM(D119:E121)</f>
        <v>107510.50907999999</v>
      </c>
      <c r="E122" s="122"/>
      <c r="F122" s="120">
        <f>SUM(F119:H120)</f>
        <v>66125.660445000001</v>
      </c>
      <c r="G122" s="120"/>
      <c r="H122" s="120"/>
    </row>
    <row r="123" spans="1:14" s="9" customFormat="1" x14ac:dyDescent="0.35">
      <c r="A123" s="135" t="s">
        <v>221</v>
      </c>
      <c r="B123" s="135"/>
      <c r="C123" s="135"/>
      <c r="D123" s="135"/>
      <c r="E123" s="135"/>
      <c r="F123" s="135"/>
      <c r="G123" s="135"/>
      <c r="H123" s="135"/>
    </row>
    <row r="124" spans="1:14" x14ac:dyDescent="0.35">
      <c r="A124" s="135" t="s">
        <v>65</v>
      </c>
      <c r="B124" s="135"/>
      <c r="C124" s="135"/>
      <c r="D124" s="135"/>
      <c r="E124" s="135"/>
      <c r="F124" s="135"/>
      <c r="G124" s="135"/>
      <c r="H124" s="135"/>
    </row>
    <row r="125" spans="1:14" ht="74.25" customHeight="1" x14ac:dyDescent="0.35">
      <c r="A125" s="45" t="s">
        <v>256</v>
      </c>
      <c r="B125" s="45" t="s">
        <v>255</v>
      </c>
      <c r="C125" s="45" t="s">
        <v>66</v>
      </c>
      <c r="D125" s="45" t="s">
        <v>67</v>
      </c>
      <c r="E125" s="14" t="s">
        <v>68</v>
      </c>
      <c r="F125" s="45" t="s">
        <v>69</v>
      </c>
      <c r="G125" s="153" t="s">
        <v>70</v>
      </c>
      <c r="H125" s="153"/>
    </row>
    <row r="126" spans="1:14" ht="15" customHeight="1" x14ac:dyDescent="0.35">
      <c r="A126" s="112" t="s">
        <v>186</v>
      </c>
      <c r="B126" s="113"/>
      <c r="C126" s="113"/>
      <c r="D126" s="113"/>
      <c r="E126" s="113"/>
      <c r="F126" s="113"/>
      <c r="G126" s="113"/>
      <c r="H126" s="114"/>
    </row>
    <row r="127" spans="1:14" s="2" customFormat="1" ht="15.75" customHeight="1" x14ac:dyDescent="0.35">
      <c r="A127" s="112" t="s">
        <v>227</v>
      </c>
      <c r="B127" s="113"/>
      <c r="C127" s="113"/>
      <c r="D127" s="113"/>
      <c r="E127" s="113"/>
      <c r="F127" s="113"/>
      <c r="G127" s="113"/>
      <c r="H127" s="114"/>
    </row>
    <row r="128" spans="1:14" s="2" customFormat="1" ht="15.75" customHeight="1" x14ac:dyDescent="0.35">
      <c r="A128" s="93">
        <v>1</v>
      </c>
      <c r="B128" s="94"/>
      <c r="C128" s="43" t="s">
        <v>182</v>
      </c>
      <c r="D128" s="43">
        <f>(5.9*2.75)*10.764</f>
        <v>174.64590000000001</v>
      </c>
      <c r="E128" s="43">
        <v>0</v>
      </c>
      <c r="F128" s="43">
        <f>D128*1.5+E128</f>
        <v>261.96885000000003</v>
      </c>
      <c r="G128" s="87" t="str">
        <f>A127</f>
        <v>Ground Floor for Commercial, Residential &amp; Parking</v>
      </c>
      <c r="H128" s="88"/>
    </row>
    <row r="129" spans="1:10" s="2" customFormat="1" x14ac:dyDescent="0.35">
      <c r="A129" s="93">
        <v>2</v>
      </c>
      <c r="B129" s="94"/>
      <c r="C129" s="43" t="s">
        <v>182</v>
      </c>
      <c r="D129" s="43">
        <f>(5.9*2.75+1.8*1.05)*10.764</f>
        <v>194.98986000000002</v>
      </c>
      <c r="E129" s="43">
        <v>0</v>
      </c>
      <c r="F129" s="43">
        <f t="shared" ref="F129:F140" si="0">D129*1.5+E129</f>
        <v>292.48479000000003</v>
      </c>
      <c r="G129" s="89"/>
      <c r="H129" s="90"/>
    </row>
    <row r="130" spans="1:10" s="2" customFormat="1" x14ac:dyDescent="0.35">
      <c r="A130" s="93">
        <v>3</v>
      </c>
      <c r="B130" s="94"/>
      <c r="C130" s="43" t="s">
        <v>182</v>
      </c>
      <c r="D130" s="43">
        <f>(3.7*7.15+1.75*1.8)*10.764</f>
        <v>318.66821999999996</v>
      </c>
      <c r="E130" s="43">
        <v>0</v>
      </c>
      <c r="F130" s="43">
        <f t="shared" si="0"/>
        <v>478.00232999999992</v>
      </c>
      <c r="G130" s="89"/>
      <c r="H130" s="90"/>
    </row>
    <row r="131" spans="1:10" s="2" customFormat="1" x14ac:dyDescent="0.35">
      <c r="A131" s="93">
        <v>4</v>
      </c>
      <c r="B131" s="94"/>
      <c r="C131" s="43" t="s">
        <v>182</v>
      </c>
      <c r="D131" s="43">
        <f>(2.1*6.1)*10.764</f>
        <v>137.88684000000001</v>
      </c>
      <c r="E131" s="43">
        <v>0</v>
      </c>
      <c r="F131" s="43">
        <f t="shared" si="0"/>
        <v>206.83026000000001</v>
      </c>
      <c r="G131" s="89"/>
      <c r="H131" s="90"/>
    </row>
    <row r="132" spans="1:10" s="2" customFormat="1" x14ac:dyDescent="0.35">
      <c r="A132" s="93">
        <v>5</v>
      </c>
      <c r="B132" s="94"/>
      <c r="C132" s="43" t="s">
        <v>182</v>
      </c>
      <c r="D132" s="43">
        <f>(2.75*6.1)*10.764</f>
        <v>180.56609999999998</v>
      </c>
      <c r="E132" s="43">
        <v>0</v>
      </c>
      <c r="F132" s="43">
        <f t="shared" si="0"/>
        <v>270.84914999999995</v>
      </c>
      <c r="G132" s="89"/>
      <c r="H132" s="90"/>
    </row>
    <row r="133" spans="1:10" s="2" customFormat="1" x14ac:dyDescent="0.35">
      <c r="A133" s="93">
        <v>6</v>
      </c>
      <c r="B133" s="94"/>
      <c r="C133" s="43" t="s">
        <v>182</v>
      </c>
      <c r="D133" s="43">
        <f>(2.25*5+1.2*1)*10.764</f>
        <v>134.01179999999999</v>
      </c>
      <c r="E133" s="43">
        <v>0</v>
      </c>
      <c r="F133" s="43">
        <f t="shared" si="0"/>
        <v>201.01769999999999</v>
      </c>
      <c r="G133" s="89"/>
      <c r="H133" s="90"/>
    </row>
    <row r="134" spans="1:10" s="2" customFormat="1" x14ac:dyDescent="0.35">
      <c r="A134" s="93">
        <v>7</v>
      </c>
      <c r="B134" s="94"/>
      <c r="C134" s="43" t="s">
        <v>182</v>
      </c>
      <c r="D134" s="43">
        <f>(2.25*5)*10.764</f>
        <v>121.095</v>
      </c>
      <c r="E134" s="43">
        <v>0</v>
      </c>
      <c r="F134" s="43">
        <f t="shared" si="0"/>
        <v>181.64249999999998</v>
      </c>
      <c r="G134" s="89"/>
      <c r="H134" s="90"/>
    </row>
    <row r="135" spans="1:10" s="2" customFormat="1" x14ac:dyDescent="0.35">
      <c r="A135" s="93">
        <v>8</v>
      </c>
      <c r="B135" s="94"/>
      <c r="C135" s="43" t="s">
        <v>182</v>
      </c>
      <c r="D135" s="43">
        <f>(2.25*5)*10.764</f>
        <v>121.095</v>
      </c>
      <c r="E135" s="43">
        <v>0</v>
      </c>
      <c r="F135" s="43">
        <f t="shared" si="0"/>
        <v>181.64249999999998</v>
      </c>
      <c r="G135" s="89"/>
      <c r="H135" s="90"/>
    </row>
    <row r="136" spans="1:10" s="2" customFormat="1" x14ac:dyDescent="0.35">
      <c r="A136" s="93">
        <v>9</v>
      </c>
      <c r="B136" s="94"/>
      <c r="C136" s="43" t="s">
        <v>182</v>
      </c>
      <c r="D136" s="43">
        <f t="shared" ref="D136" si="1">(2.25*5+1.2*1)*10.764</f>
        <v>134.01179999999999</v>
      </c>
      <c r="E136" s="43">
        <v>0</v>
      </c>
      <c r="F136" s="43">
        <f t="shared" si="0"/>
        <v>201.01769999999999</v>
      </c>
      <c r="G136" s="89"/>
      <c r="H136" s="90"/>
    </row>
    <row r="137" spans="1:10" s="2" customFormat="1" x14ac:dyDescent="0.35">
      <c r="A137" s="93">
        <v>10</v>
      </c>
      <c r="B137" s="94"/>
      <c r="C137" s="43" t="s">
        <v>182</v>
      </c>
      <c r="D137" s="43">
        <f>(2.75*6.1)*10.764</f>
        <v>180.56609999999998</v>
      </c>
      <c r="E137" s="43">
        <v>0</v>
      </c>
      <c r="F137" s="43">
        <f t="shared" si="0"/>
        <v>270.84914999999995</v>
      </c>
      <c r="G137" s="89"/>
      <c r="H137" s="90"/>
    </row>
    <row r="138" spans="1:10" s="2" customFormat="1" x14ac:dyDescent="0.35">
      <c r="A138" s="93">
        <v>11</v>
      </c>
      <c r="B138" s="94"/>
      <c r="C138" s="43" t="s">
        <v>182</v>
      </c>
      <c r="D138" s="43">
        <f>(2.75*4.5+1.15*1.6)*10.764</f>
        <v>153.01025999999999</v>
      </c>
      <c r="E138" s="43">
        <v>0</v>
      </c>
      <c r="F138" s="43">
        <f t="shared" si="0"/>
        <v>229.51538999999997</v>
      </c>
      <c r="G138" s="89"/>
      <c r="H138" s="90"/>
    </row>
    <row r="139" spans="1:10" s="2" customFormat="1" x14ac:dyDescent="0.35">
      <c r="A139" s="93">
        <v>12</v>
      </c>
      <c r="B139" s="94"/>
      <c r="C139" s="43" t="s">
        <v>182</v>
      </c>
      <c r="D139" s="43">
        <f>(2.25*5+1.2*1)*10.764</f>
        <v>134.01179999999999</v>
      </c>
      <c r="E139" s="43">
        <v>0</v>
      </c>
      <c r="F139" s="43">
        <f t="shared" si="0"/>
        <v>201.01769999999999</v>
      </c>
      <c r="G139" s="89"/>
      <c r="H139" s="90"/>
    </row>
    <row r="140" spans="1:10" s="2" customFormat="1" x14ac:dyDescent="0.35">
      <c r="A140" s="93">
        <v>13</v>
      </c>
      <c r="B140" s="94"/>
      <c r="C140" s="43" t="s">
        <v>182</v>
      </c>
      <c r="D140" s="43">
        <f>(2.75*5)*10.764</f>
        <v>148.005</v>
      </c>
      <c r="E140" s="43">
        <v>0</v>
      </c>
      <c r="F140" s="43">
        <f t="shared" si="0"/>
        <v>222.00749999999999</v>
      </c>
      <c r="G140" s="89"/>
      <c r="H140" s="90"/>
    </row>
    <row r="141" spans="1:10" s="2" customFormat="1" ht="15.75" customHeight="1" x14ac:dyDescent="0.35">
      <c r="A141" s="93">
        <v>1</v>
      </c>
      <c r="B141" s="94"/>
      <c r="C141" s="43" t="s">
        <v>180</v>
      </c>
      <c r="D141" s="43">
        <f>((2.75*4.3+2.1*1.55+2.75*1.8+1.2*1.8+1.25*2.1+1.4*0.45+1.2*2.1)+(1*2.1+1.2*2.75))*10.764</f>
        <v>359.14085999999998</v>
      </c>
      <c r="E141" s="43">
        <v>0</v>
      </c>
      <c r="F141" s="43">
        <f>D141*1.45+E141</f>
        <v>520.75424699999996</v>
      </c>
      <c r="G141" s="89"/>
      <c r="H141" s="90"/>
      <c r="J141" s="2">
        <f>2400000/F141</f>
        <v>4608.6998115254937</v>
      </c>
    </row>
    <row r="142" spans="1:10" s="2" customFormat="1" x14ac:dyDescent="0.35">
      <c r="A142" s="93">
        <v>2</v>
      </c>
      <c r="B142" s="94"/>
      <c r="C142" s="43" t="s">
        <v>180</v>
      </c>
      <c r="D142" s="43">
        <f t="shared" ref="D142:D143" si="2">((2.75*4.3+2.1*1.55+2.75*1.8+1.2*1.8+1.25*2.1+1.4*0.45+1.2*2.1)+(1*2.1+1.2*2.75))*10.764</f>
        <v>359.14085999999998</v>
      </c>
      <c r="E142" s="43">
        <v>0</v>
      </c>
      <c r="F142" s="43">
        <f t="shared" ref="F142:F143" si="3">D142*1.45+E142</f>
        <v>520.75424699999996</v>
      </c>
      <c r="G142" s="89"/>
      <c r="H142" s="90"/>
    </row>
    <row r="143" spans="1:10" s="2" customFormat="1" x14ac:dyDescent="0.35">
      <c r="A143" s="93">
        <v>3</v>
      </c>
      <c r="B143" s="94"/>
      <c r="C143" s="43" t="s">
        <v>180</v>
      </c>
      <c r="D143" s="43">
        <f t="shared" si="2"/>
        <v>359.14085999999998</v>
      </c>
      <c r="E143" s="43">
        <v>0</v>
      </c>
      <c r="F143" s="43">
        <f t="shared" si="3"/>
        <v>520.75424699999996</v>
      </c>
      <c r="G143" s="91"/>
      <c r="H143" s="92"/>
    </row>
    <row r="144" spans="1:10" s="2" customFormat="1" x14ac:dyDescent="0.35">
      <c r="A144" s="123" t="s">
        <v>183</v>
      </c>
      <c r="B144" s="123"/>
      <c r="C144" s="123"/>
      <c r="D144" s="123"/>
      <c r="E144" s="123"/>
      <c r="F144" s="123"/>
      <c r="G144" s="123"/>
      <c r="H144" s="123"/>
    </row>
    <row r="145" spans="1:9" s="2" customFormat="1" x14ac:dyDescent="0.35">
      <c r="A145" s="115">
        <v>101</v>
      </c>
      <c r="B145" s="115"/>
      <c r="C145" s="83" t="s">
        <v>184</v>
      </c>
      <c r="D145" s="83">
        <f>(5.1*3.95+1.8*3.4+1.2*5.1+1.2*1+1.05*7.95)*10.764</f>
        <v>451.36143000000004</v>
      </c>
      <c r="E145" s="83">
        <f>(0.75*7.95)*10.764</f>
        <v>64.180350000000004</v>
      </c>
      <c r="F145" s="83">
        <f t="shared" ref="F145:F152" si="4">D145*1.5+E145</f>
        <v>741.22249500000009</v>
      </c>
      <c r="G145" s="115" t="s">
        <v>185</v>
      </c>
      <c r="H145" s="115"/>
      <c r="I145" s="2">
        <f>(7.95*3.95+1.2*1)*10.764</f>
        <v>350.93331000000006</v>
      </c>
    </row>
    <row r="146" spans="1:9" s="2" customFormat="1" x14ac:dyDescent="0.35">
      <c r="A146" s="115">
        <v>102</v>
      </c>
      <c r="B146" s="115"/>
      <c r="C146" s="83" t="s">
        <v>184</v>
      </c>
      <c r="D146" s="83">
        <f>(7.95*3.95+4*1.1+1.05*7.95)*10.764</f>
        <v>475.23060000000004</v>
      </c>
      <c r="E146" s="83">
        <f>(0.75*7.95)*10.764</f>
        <v>64.180350000000004</v>
      </c>
      <c r="F146" s="83">
        <f t="shared" si="4"/>
        <v>777.02625</v>
      </c>
      <c r="G146" s="115"/>
      <c r="H146" s="115"/>
    </row>
    <row r="147" spans="1:9" s="2" customFormat="1" x14ac:dyDescent="0.35">
      <c r="A147" s="115">
        <v>103</v>
      </c>
      <c r="B147" s="115"/>
      <c r="C147" s="83" t="s">
        <v>184</v>
      </c>
      <c r="D147" s="83">
        <f>(5.1*3.95+1.2*1.2+1.05*5.1)*10.764</f>
        <v>289.98216000000002</v>
      </c>
      <c r="E147" s="83">
        <f>(0.75*5.1)*10.764</f>
        <v>41.172299999999993</v>
      </c>
      <c r="F147" s="83">
        <f t="shared" si="4"/>
        <v>476.14554000000004</v>
      </c>
      <c r="G147" s="115"/>
      <c r="H147" s="115"/>
    </row>
    <row r="148" spans="1:9" s="2" customFormat="1" x14ac:dyDescent="0.35">
      <c r="A148" s="115">
        <v>104</v>
      </c>
      <c r="B148" s="115"/>
      <c r="C148" s="83" t="s">
        <v>184</v>
      </c>
      <c r="D148" s="83">
        <f>(8.75*5.05+1.05*8.75+1.85*0.95)*10.764</f>
        <v>593.44623000000001</v>
      </c>
      <c r="E148" s="83">
        <f>(0.75*8.75)*10.764</f>
        <v>70.638750000000002</v>
      </c>
      <c r="F148" s="83">
        <f t="shared" si="4"/>
        <v>960.80809499999998</v>
      </c>
      <c r="G148" s="115"/>
      <c r="H148" s="115"/>
    </row>
    <row r="149" spans="1:9" s="2" customFormat="1" x14ac:dyDescent="0.35">
      <c r="A149" s="115">
        <v>105</v>
      </c>
      <c r="B149" s="115"/>
      <c r="C149" s="83" t="s">
        <v>184</v>
      </c>
      <c r="D149" s="83">
        <f>(8.75*4.1+1.05*8.75+1.85*0.95+0.3*2.75)*10.764</f>
        <v>512.85077999999999</v>
      </c>
      <c r="E149" s="83">
        <v>0</v>
      </c>
      <c r="F149" s="83">
        <f t="shared" si="4"/>
        <v>769.27616999999998</v>
      </c>
      <c r="G149" s="115"/>
      <c r="H149" s="115"/>
    </row>
    <row r="150" spans="1:9" s="2" customFormat="1" x14ac:dyDescent="0.35">
      <c r="A150" s="115">
        <v>106</v>
      </c>
      <c r="B150" s="115"/>
      <c r="C150" s="83" t="s">
        <v>184</v>
      </c>
      <c r="D150" s="83">
        <f>(6.95*4.3+4.1*1.45+1.2*6.95+0.3*6.95)*10.764</f>
        <v>497.88882000000001</v>
      </c>
      <c r="E150" s="83">
        <v>0</v>
      </c>
      <c r="F150" s="83">
        <f t="shared" si="4"/>
        <v>746.83322999999996</v>
      </c>
      <c r="G150" s="115"/>
      <c r="H150" s="115"/>
      <c r="I150" s="2">
        <f>(6.95*4.3+4.1*1.45+0.9*1.2+1.2*6.95+0.3*6.95)</f>
        <v>47.335000000000001</v>
      </c>
    </row>
    <row r="151" spans="1:9" s="2" customFormat="1" x14ac:dyDescent="0.35">
      <c r="A151" s="115">
        <v>107</v>
      </c>
      <c r="B151" s="115"/>
      <c r="C151" s="83" t="s">
        <v>184</v>
      </c>
      <c r="D151" s="83">
        <f>(6.95*4.3+4.1*1.45+1.2*6.95+0.3*6.95)*10.764</f>
        <v>497.88882000000001</v>
      </c>
      <c r="E151" s="83">
        <v>0</v>
      </c>
      <c r="F151" s="83">
        <f t="shared" si="4"/>
        <v>746.83322999999996</v>
      </c>
      <c r="G151" s="115"/>
      <c r="H151" s="115"/>
      <c r="I151" s="2">
        <f>6.95*4.3+4.1*1.45+0.9*1.2</f>
        <v>36.909999999999997</v>
      </c>
    </row>
    <row r="152" spans="1:9" s="2" customFormat="1" x14ac:dyDescent="0.35">
      <c r="A152" s="115">
        <v>108</v>
      </c>
      <c r="B152" s="115"/>
      <c r="C152" s="83" t="s">
        <v>184</v>
      </c>
      <c r="D152" s="83">
        <f>(41.74*10.764)</f>
        <v>449.28935999999999</v>
      </c>
      <c r="E152" s="83">
        <v>0</v>
      </c>
      <c r="F152" s="83">
        <f t="shared" si="4"/>
        <v>673.93403999999998</v>
      </c>
      <c r="G152" s="115"/>
      <c r="H152" s="115"/>
    </row>
    <row r="153" spans="1:9" s="2" customFormat="1" x14ac:dyDescent="0.35">
      <c r="A153" s="112" t="s">
        <v>203</v>
      </c>
      <c r="B153" s="113"/>
      <c r="C153" s="113"/>
      <c r="D153" s="113"/>
      <c r="E153" s="113"/>
      <c r="F153" s="113"/>
      <c r="G153" s="113"/>
      <c r="H153" s="114"/>
    </row>
    <row r="154" spans="1:9" s="2" customFormat="1" x14ac:dyDescent="0.35">
      <c r="A154" s="115">
        <v>201</v>
      </c>
      <c r="B154" s="115"/>
      <c r="C154" s="43" t="s">
        <v>180</v>
      </c>
      <c r="D154" s="43">
        <f>(30.5+2.36+1.08)*10.764</f>
        <v>365.33015999999998</v>
      </c>
      <c r="E154" s="43">
        <f>(4.86+8.49)*10.764</f>
        <v>143.6994</v>
      </c>
      <c r="F154" s="43">
        <f>D154*1.45+E154</f>
        <v>673.42813199999989</v>
      </c>
      <c r="G154" s="87" t="s">
        <v>205</v>
      </c>
      <c r="H154" s="88"/>
      <c r="I154" s="2">
        <f>2.75*3.3+2.25*1.65+2.75*3+1.2*1.5+0.95*1.2+0.9*2.3+0.7*1.2+0.45*2.75+1.7*1.2</f>
        <v>30.165000000000003</v>
      </c>
    </row>
    <row r="155" spans="1:9" s="2" customFormat="1" ht="15.75" customHeight="1" x14ac:dyDescent="0.35">
      <c r="A155" s="115">
        <v>202</v>
      </c>
      <c r="B155" s="115"/>
      <c r="C155" s="43" t="s">
        <v>180</v>
      </c>
      <c r="D155" s="43">
        <f>(25.94+7.85+1.08)*10.764</f>
        <v>375.34067999999996</v>
      </c>
      <c r="E155" s="43">
        <f>(14.88)*10.764</f>
        <v>160.16831999999999</v>
      </c>
      <c r="F155" s="43">
        <f t="shared" ref="F155:F161" si="5">D155*1.45+E155</f>
        <v>704.41230599999994</v>
      </c>
      <c r="G155" s="89"/>
      <c r="H155" s="90"/>
    </row>
    <row r="156" spans="1:9" s="2" customFormat="1" ht="15.75" customHeight="1" x14ac:dyDescent="0.35">
      <c r="A156" s="115">
        <v>203</v>
      </c>
      <c r="B156" s="115"/>
      <c r="C156" s="43" t="s">
        <v>180</v>
      </c>
      <c r="D156" s="43">
        <f>(25.94+7.85+1.08)*10.764</f>
        <v>375.34067999999996</v>
      </c>
      <c r="E156" s="43">
        <f>(15.11)*10.764</f>
        <v>162.64403999999999</v>
      </c>
      <c r="F156" s="43">
        <f t="shared" si="5"/>
        <v>706.88802599999997</v>
      </c>
      <c r="G156" s="89"/>
      <c r="H156" s="90"/>
    </row>
    <row r="157" spans="1:9" s="2" customFormat="1" ht="15.75" customHeight="1" x14ac:dyDescent="0.35">
      <c r="A157" s="115">
        <v>204</v>
      </c>
      <c r="B157" s="115"/>
      <c r="C157" s="43" t="s">
        <v>194</v>
      </c>
      <c r="D157" s="43">
        <f>(36.63+8.78+1.08)*10.764</f>
        <v>500.41836000000001</v>
      </c>
      <c r="E157" s="43">
        <f>(4.58+15.11)*10.764</f>
        <v>211.94315999999995</v>
      </c>
      <c r="F157" s="43">
        <f>D157*1.45+E157/2</f>
        <v>831.57820200000003</v>
      </c>
      <c r="G157" s="89"/>
      <c r="H157" s="90"/>
    </row>
    <row r="158" spans="1:9" s="2" customFormat="1" ht="15.75" customHeight="1" x14ac:dyDescent="0.35">
      <c r="A158" s="115">
        <v>205</v>
      </c>
      <c r="B158" s="115"/>
      <c r="C158" s="43" t="s">
        <v>194</v>
      </c>
      <c r="D158" s="43">
        <f>(36.63+8.78+1.08)*10.764</f>
        <v>500.41836000000001</v>
      </c>
      <c r="E158" s="43">
        <f>(5.22+5.21)*10.764</f>
        <v>112.26852</v>
      </c>
      <c r="F158" s="43">
        <f>D158*1.45+E158/2</f>
        <v>781.74088200000006</v>
      </c>
      <c r="G158" s="89"/>
      <c r="H158" s="90"/>
    </row>
    <row r="159" spans="1:9" s="2" customFormat="1" ht="15.75" customHeight="1" x14ac:dyDescent="0.35">
      <c r="A159" s="115">
        <v>206</v>
      </c>
      <c r="B159" s="115"/>
      <c r="C159" s="43" t="s">
        <v>180</v>
      </c>
      <c r="D159" s="43">
        <f>(30.37+3.9+0.63)*10.764</f>
        <v>375.66360000000003</v>
      </c>
      <c r="E159" s="43">
        <f>(4.86+6.8)*10.764</f>
        <v>125.50824</v>
      </c>
      <c r="F159" s="43">
        <f t="shared" si="5"/>
        <v>670.22046</v>
      </c>
      <c r="G159" s="89"/>
      <c r="H159" s="90"/>
    </row>
    <row r="160" spans="1:9" s="2" customFormat="1" ht="15.75" customHeight="1" x14ac:dyDescent="0.35">
      <c r="A160" s="115">
        <v>207</v>
      </c>
      <c r="B160" s="115"/>
      <c r="C160" s="43" t="s">
        <v>180</v>
      </c>
      <c r="D160" s="43">
        <f t="shared" ref="D160:D161" si="6">(30.37+3.9+0.63)*10.764</f>
        <v>375.66360000000003</v>
      </c>
      <c r="E160" s="43">
        <f t="shared" ref="E160" si="7">(4.86+6.8)*10.764</f>
        <v>125.50824</v>
      </c>
      <c r="F160" s="43">
        <f t="shared" si="5"/>
        <v>670.22046</v>
      </c>
      <c r="G160" s="89"/>
      <c r="H160" s="90"/>
    </row>
    <row r="161" spans="1:9" s="2" customFormat="1" ht="15.75" customHeight="1" x14ac:dyDescent="0.35">
      <c r="A161" s="115">
        <v>208</v>
      </c>
      <c r="B161" s="115"/>
      <c r="C161" s="43" t="s">
        <v>180</v>
      </c>
      <c r="D161" s="43">
        <f t="shared" si="6"/>
        <v>375.66360000000003</v>
      </c>
      <c r="E161" s="43">
        <f>(4.86+4.77)*10.764</f>
        <v>103.65731999999998</v>
      </c>
      <c r="F161" s="43">
        <f t="shared" si="5"/>
        <v>648.36954000000003</v>
      </c>
      <c r="G161" s="91"/>
      <c r="H161" s="92"/>
    </row>
    <row r="162" spans="1:9" s="2" customFormat="1" x14ac:dyDescent="0.35">
      <c r="A162" s="112" t="s">
        <v>204</v>
      </c>
      <c r="B162" s="113"/>
      <c r="C162" s="113"/>
      <c r="D162" s="113"/>
      <c r="E162" s="113"/>
      <c r="F162" s="113"/>
      <c r="G162" s="113"/>
      <c r="H162" s="114"/>
    </row>
    <row r="163" spans="1:9" s="2" customFormat="1" x14ac:dyDescent="0.35">
      <c r="A163" s="115" t="s">
        <v>195</v>
      </c>
      <c r="B163" s="115"/>
      <c r="C163" s="43" t="s">
        <v>180</v>
      </c>
      <c r="D163" s="43">
        <f>(30.5+2.36+1.08)*10.764</f>
        <v>365.33015999999998</v>
      </c>
      <c r="E163" s="43">
        <f>(4.86)*10.764</f>
        <v>52.313040000000001</v>
      </c>
      <c r="F163" s="43">
        <f>D163*1.45+E163</f>
        <v>582.04177199999992</v>
      </c>
      <c r="G163" s="87" t="str">
        <f>A162</f>
        <v xml:space="preserve">4th &amp; 6th Floor </v>
      </c>
      <c r="H163" s="88"/>
    </row>
    <row r="164" spans="1:9" s="2" customFormat="1" ht="15.75" customHeight="1" x14ac:dyDescent="0.35">
      <c r="A164" s="115" t="s">
        <v>196</v>
      </c>
      <c r="B164" s="115"/>
      <c r="C164" s="43" t="s">
        <v>180</v>
      </c>
      <c r="D164" s="43">
        <f>(25.94+7.85+1.08)*10.764</f>
        <v>375.34067999999996</v>
      </c>
      <c r="E164" s="43">
        <v>0</v>
      </c>
      <c r="F164" s="43">
        <f t="shared" ref="F164:F179" si="8">D164*1.45+E164</f>
        <v>544.24398599999995</v>
      </c>
      <c r="G164" s="89"/>
      <c r="H164" s="90"/>
    </row>
    <row r="165" spans="1:9" s="2" customFormat="1" ht="15.75" customHeight="1" x14ac:dyDescent="0.35">
      <c r="A165" s="115" t="s">
        <v>197</v>
      </c>
      <c r="B165" s="115"/>
      <c r="C165" s="43" t="s">
        <v>180</v>
      </c>
      <c r="D165" s="43">
        <f>(25.94+7.85+1.08)*10.764</f>
        <v>375.34067999999996</v>
      </c>
      <c r="E165" s="43">
        <v>0</v>
      </c>
      <c r="F165" s="43">
        <f t="shared" si="8"/>
        <v>544.24398599999995</v>
      </c>
      <c r="G165" s="89"/>
      <c r="H165" s="90"/>
    </row>
    <row r="166" spans="1:9" s="2" customFormat="1" ht="15.75" customHeight="1" x14ac:dyDescent="0.35">
      <c r="A166" s="115" t="s">
        <v>198</v>
      </c>
      <c r="B166" s="115"/>
      <c r="C166" s="43" t="s">
        <v>194</v>
      </c>
      <c r="D166" s="43">
        <f>(36.63+8.78+1.08)*10.764</f>
        <v>500.41836000000001</v>
      </c>
      <c r="E166" s="43">
        <f>(2.9*1.5)*10.764</f>
        <v>46.823399999999992</v>
      </c>
      <c r="F166" s="43">
        <f t="shared" si="8"/>
        <v>772.43002200000001</v>
      </c>
      <c r="G166" s="89"/>
      <c r="H166" s="90"/>
      <c r="I166" s="2">
        <f>3400000/F166</f>
        <v>4401.6932319598527</v>
      </c>
    </row>
    <row r="167" spans="1:9" s="2" customFormat="1" ht="15.75" customHeight="1" x14ac:dyDescent="0.35">
      <c r="A167" s="115" t="s">
        <v>199</v>
      </c>
      <c r="B167" s="115"/>
      <c r="C167" s="43" t="s">
        <v>194</v>
      </c>
      <c r="D167" s="43">
        <f>(36.63+8.78+1.08)*10.764</f>
        <v>500.41836000000001</v>
      </c>
      <c r="E167" s="43">
        <f>(2.9*1.8)*10.764</f>
        <v>56.188079999999992</v>
      </c>
      <c r="F167" s="43">
        <f t="shared" si="8"/>
        <v>781.79470200000003</v>
      </c>
      <c r="G167" s="89"/>
      <c r="H167" s="90"/>
    </row>
    <row r="168" spans="1:9" s="2" customFormat="1" ht="15.75" customHeight="1" x14ac:dyDescent="0.35">
      <c r="A168" s="115" t="s">
        <v>200</v>
      </c>
      <c r="B168" s="115"/>
      <c r="C168" s="43" t="s">
        <v>180</v>
      </c>
      <c r="D168" s="43">
        <f>(30.37+3.9+0.63)*10.764</f>
        <v>375.66360000000003</v>
      </c>
      <c r="E168" s="43">
        <f>(2.7*1.8)*10.764</f>
        <v>52.313040000000001</v>
      </c>
      <c r="F168" s="43">
        <f t="shared" si="8"/>
        <v>597.02526</v>
      </c>
      <c r="G168" s="89"/>
      <c r="H168" s="90"/>
    </row>
    <row r="169" spans="1:9" s="2" customFormat="1" ht="15.75" customHeight="1" x14ac:dyDescent="0.35">
      <c r="A169" s="115" t="s">
        <v>201</v>
      </c>
      <c r="B169" s="115"/>
      <c r="C169" s="43" t="s">
        <v>180</v>
      </c>
      <c r="D169" s="43">
        <f t="shared" ref="D169:D170" si="9">(30.37+3.9+0.63)*10.764</f>
        <v>375.66360000000003</v>
      </c>
      <c r="E169" s="43">
        <f t="shared" ref="E169:E170" si="10">(2.7*1.8)*10.764</f>
        <v>52.313040000000001</v>
      </c>
      <c r="F169" s="43">
        <f t="shared" si="8"/>
        <v>597.02526</v>
      </c>
      <c r="G169" s="89"/>
      <c r="H169" s="90"/>
    </row>
    <row r="170" spans="1:9" s="2" customFormat="1" ht="15.75" customHeight="1" x14ac:dyDescent="0.35">
      <c r="A170" s="115" t="s">
        <v>202</v>
      </c>
      <c r="B170" s="115"/>
      <c r="C170" s="43" t="s">
        <v>180</v>
      </c>
      <c r="D170" s="43">
        <f t="shared" si="9"/>
        <v>375.66360000000003</v>
      </c>
      <c r="E170" s="43">
        <f t="shared" si="10"/>
        <v>52.313040000000001</v>
      </c>
      <c r="F170" s="43">
        <f t="shared" si="8"/>
        <v>597.02526</v>
      </c>
      <c r="G170" s="91"/>
      <c r="H170" s="92"/>
    </row>
    <row r="171" spans="1:9" s="2" customFormat="1" x14ac:dyDescent="0.35">
      <c r="A171" s="112" t="s">
        <v>206</v>
      </c>
      <c r="B171" s="113"/>
      <c r="C171" s="113"/>
      <c r="D171" s="113"/>
      <c r="E171" s="113"/>
      <c r="F171" s="113"/>
      <c r="G171" s="113"/>
      <c r="H171" s="114"/>
    </row>
    <row r="172" spans="1:9" s="2" customFormat="1" x14ac:dyDescent="0.35">
      <c r="A172" s="115" t="s">
        <v>207</v>
      </c>
      <c r="B172" s="115"/>
      <c r="C172" s="43" t="s">
        <v>180</v>
      </c>
      <c r="D172" s="43">
        <f>(27.64+5.2+1.08)*10.764</f>
        <v>365.11487999999997</v>
      </c>
      <c r="E172" s="43">
        <f>2.7*1.2*10.764</f>
        <v>34.875360000000001</v>
      </c>
      <c r="F172" s="43">
        <f t="shared" si="8"/>
        <v>564.29193599999996</v>
      </c>
      <c r="G172" s="87" t="str">
        <f>A171</f>
        <v>3rd, 5th &amp; 7th Floor</v>
      </c>
      <c r="H172" s="88"/>
    </row>
    <row r="173" spans="1:9" s="2" customFormat="1" x14ac:dyDescent="0.35">
      <c r="A173" s="115" t="s">
        <v>208</v>
      </c>
      <c r="B173" s="115"/>
      <c r="C173" s="43" t="s">
        <v>180</v>
      </c>
      <c r="D173" s="43">
        <f>(28.65+5.2+1.08)*10.764</f>
        <v>375.98651999999998</v>
      </c>
      <c r="E173" s="43">
        <f>2.65*1.8*10.764</f>
        <v>51.344279999999991</v>
      </c>
      <c r="F173" s="43">
        <f t="shared" si="8"/>
        <v>596.52473399999997</v>
      </c>
      <c r="G173" s="89"/>
      <c r="H173" s="90"/>
    </row>
    <row r="174" spans="1:9" s="2" customFormat="1" x14ac:dyDescent="0.35">
      <c r="A174" s="115" t="s">
        <v>209</v>
      </c>
      <c r="B174" s="115"/>
      <c r="C174" s="43" t="s">
        <v>180</v>
      </c>
      <c r="D174" s="43">
        <f>(28.65+5.2+1.08)*10.764</f>
        <v>375.98651999999998</v>
      </c>
      <c r="E174" s="43">
        <f t="shared" ref="E174:E175" si="11">2.65*1.8*10.764</f>
        <v>51.344279999999991</v>
      </c>
      <c r="F174" s="43">
        <f t="shared" si="8"/>
        <v>596.52473399999997</v>
      </c>
      <c r="G174" s="89"/>
      <c r="H174" s="90"/>
    </row>
    <row r="175" spans="1:9" s="2" customFormat="1" x14ac:dyDescent="0.35">
      <c r="A175" s="115" t="s">
        <v>210</v>
      </c>
      <c r="B175" s="115"/>
      <c r="C175" s="43" t="s">
        <v>194</v>
      </c>
      <c r="D175" s="43">
        <f>(36.86+8.99+0.79)*10.764</f>
        <v>502.03296</v>
      </c>
      <c r="E175" s="43">
        <f t="shared" si="11"/>
        <v>51.344279999999991</v>
      </c>
      <c r="F175" s="43">
        <f t="shared" si="8"/>
        <v>779.29207199999996</v>
      </c>
      <c r="G175" s="89"/>
      <c r="H175" s="90"/>
    </row>
    <row r="176" spans="1:9" s="2" customFormat="1" x14ac:dyDescent="0.35">
      <c r="A176" s="115" t="s">
        <v>211</v>
      </c>
      <c r="B176" s="115"/>
      <c r="C176" s="43" t="s">
        <v>194</v>
      </c>
      <c r="D176" s="43">
        <f>(36.86+8.99+0.79)*10.764</f>
        <v>502.03296</v>
      </c>
      <c r="E176" s="43">
        <f>2.65*1.8*10.764</f>
        <v>51.344279999999991</v>
      </c>
      <c r="F176" s="43">
        <f t="shared" si="8"/>
        <v>779.29207199999996</v>
      </c>
      <c r="G176" s="89"/>
      <c r="H176" s="90"/>
    </row>
    <row r="177" spans="1:8" s="2" customFormat="1" x14ac:dyDescent="0.35">
      <c r="A177" s="115" t="s">
        <v>212</v>
      </c>
      <c r="B177" s="115"/>
      <c r="C177" s="43" t="s">
        <v>180</v>
      </c>
      <c r="D177" s="43">
        <f>(29.13+5.34+0.63)*10.764</f>
        <v>377.81639999999999</v>
      </c>
      <c r="E177" s="43">
        <f>1.8*1.8*10.764</f>
        <v>34.875360000000001</v>
      </c>
      <c r="F177" s="43">
        <f t="shared" si="8"/>
        <v>582.70913999999993</v>
      </c>
      <c r="G177" s="89"/>
      <c r="H177" s="90"/>
    </row>
    <row r="178" spans="1:8" s="2" customFormat="1" x14ac:dyDescent="0.35">
      <c r="A178" s="115" t="s">
        <v>213</v>
      </c>
      <c r="B178" s="115"/>
      <c r="C178" s="43" t="s">
        <v>180</v>
      </c>
      <c r="D178" s="43">
        <f t="shared" ref="D178:D179" si="12">(29.13+5.34+0.63)*10.764</f>
        <v>377.81639999999999</v>
      </c>
      <c r="E178" s="43">
        <f t="shared" ref="E178:E179" si="13">1.8*1.8*10.764</f>
        <v>34.875360000000001</v>
      </c>
      <c r="F178" s="43">
        <f t="shared" si="8"/>
        <v>582.70913999999993</v>
      </c>
      <c r="G178" s="89"/>
      <c r="H178" s="90"/>
    </row>
    <row r="179" spans="1:8" s="2" customFormat="1" x14ac:dyDescent="0.35">
      <c r="A179" s="115" t="s">
        <v>214</v>
      </c>
      <c r="B179" s="115"/>
      <c r="C179" s="43" t="s">
        <v>180</v>
      </c>
      <c r="D179" s="43">
        <f t="shared" si="12"/>
        <v>377.81639999999999</v>
      </c>
      <c r="E179" s="43">
        <f t="shared" si="13"/>
        <v>34.875360000000001</v>
      </c>
      <c r="F179" s="43">
        <f t="shared" si="8"/>
        <v>582.70913999999993</v>
      </c>
      <c r="G179" s="91"/>
      <c r="H179" s="92"/>
    </row>
    <row r="180" spans="1:8" s="2" customFormat="1" x14ac:dyDescent="0.35">
      <c r="A180" s="112" t="s">
        <v>228</v>
      </c>
      <c r="B180" s="113"/>
      <c r="C180" s="113"/>
      <c r="D180" s="113"/>
      <c r="E180" s="113"/>
      <c r="F180" s="113"/>
      <c r="G180" s="113"/>
      <c r="H180" s="114"/>
    </row>
    <row r="181" spans="1:8" s="2" customFormat="1" x14ac:dyDescent="0.35">
      <c r="A181" s="43">
        <v>801</v>
      </c>
      <c r="B181" s="43" t="s">
        <v>254</v>
      </c>
      <c r="C181" s="87" t="s">
        <v>216</v>
      </c>
      <c r="D181" s="162"/>
      <c r="E181" s="162"/>
      <c r="F181" s="88"/>
      <c r="G181" s="87" t="str">
        <f>A180</f>
        <v>8th Floor (Part Terrace &amp; Refuge Area)</v>
      </c>
      <c r="H181" s="88"/>
    </row>
    <row r="182" spans="1:8" s="2" customFormat="1" x14ac:dyDescent="0.35">
      <c r="A182" s="43">
        <v>802</v>
      </c>
      <c r="B182" s="43" t="s">
        <v>254</v>
      </c>
      <c r="C182" s="89"/>
      <c r="D182" s="163"/>
      <c r="E182" s="163"/>
      <c r="F182" s="90"/>
      <c r="G182" s="89"/>
      <c r="H182" s="90"/>
    </row>
    <row r="183" spans="1:8" s="2" customFormat="1" x14ac:dyDescent="0.35">
      <c r="A183" s="43">
        <v>803</v>
      </c>
      <c r="B183" s="43" t="s">
        <v>254</v>
      </c>
      <c r="C183" s="89"/>
      <c r="D183" s="163"/>
      <c r="E183" s="163"/>
      <c r="F183" s="90"/>
      <c r="G183" s="89"/>
      <c r="H183" s="90"/>
    </row>
    <row r="184" spans="1:8" s="2" customFormat="1" x14ac:dyDescent="0.35">
      <c r="A184" s="43">
        <v>804</v>
      </c>
      <c r="B184" s="43" t="s">
        <v>254</v>
      </c>
      <c r="C184" s="91"/>
      <c r="D184" s="164"/>
      <c r="E184" s="164"/>
      <c r="F184" s="92"/>
      <c r="G184" s="89"/>
      <c r="H184" s="90"/>
    </row>
    <row r="185" spans="1:8" s="2" customFormat="1" x14ac:dyDescent="0.35">
      <c r="A185" s="43">
        <v>805</v>
      </c>
      <c r="B185" s="43">
        <v>801</v>
      </c>
      <c r="C185" s="43" t="s">
        <v>194</v>
      </c>
      <c r="D185" s="43">
        <f>(36.63+8.78+1.08)*10.764</f>
        <v>500.41836000000001</v>
      </c>
      <c r="E185" s="43">
        <f>(2.9*1.8)*10.764</f>
        <v>56.188079999999992</v>
      </c>
      <c r="F185" s="43">
        <f t="shared" ref="F185:F188" si="14">D185*1.45+E185</f>
        <v>781.79470200000003</v>
      </c>
      <c r="G185" s="89"/>
      <c r="H185" s="90"/>
    </row>
    <row r="186" spans="1:8" s="2" customFormat="1" x14ac:dyDescent="0.35">
      <c r="A186" s="43">
        <v>806</v>
      </c>
      <c r="B186" s="43">
        <v>802</v>
      </c>
      <c r="C186" s="43" t="s">
        <v>180</v>
      </c>
      <c r="D186" s="43">
        <f>(30.37+3.9+0.63)*10.764</f>
        <v>375.66360000000003</v>
      </c>
      <c r="E186" s="43">
        <f>(2.7*1.8)*10.764</f>
        <v>52.313040000000001</v>
      </c>
      <c r="F186" s="43">
        <f t="shared" si="14"/>
        <v>597.02526</v>
      </c>
      <c r="G186" s="89"/>
      <c r="H186" s="90"/>
    </row>
    <row r="187" spans="1:8" s="2" customFormat="1" x14ac:dyDescent="0.35">
      <c r="A187" s="43">
        <v>807</v>
      </c>
      <c r="B187" s="43">
        <v>803</v>
      </c>
      <c r="C187" s="43" t="s">
        <v>180</v>
      </c>
      <c r="D187" s="43">
        <f t="shared" ref="D187:D188" si="15">(30.37+3.9+0.63)*10.764</f>
        <v>375.66360000000003</v>
      </c>
      <c r="E187" s="43">
        <f t="shared" ref="E187:E188" si="16">(2.7*1.8)*10.764</f>
        <v>52.313040000000001</v>
      </c>
      <c r="F187" s="43">
        <f t="shared" si="14"/>
        <v>597.02526</v>
      </c>
      <c r="G187" s="89"/>
      <c r="H187" s="90"/>
    </row>
    <row r="188" spans="1:8" s="2" customFormat="1" x14ac:dyDescent="0.35">
      <c r="A188" s="43">
        <v>808</v>
      </c>
      <c r="B188" s="43">
        <v>804</v>
      </c>
      <c r="C188" s="43" t="s">
        <v>180</v>
      </c>
      <c r="D188" s="43">
        <f t="shared" si="15"/>
        <v>375.66360000000003</v>
      </c>
      <c r="E188" s="43">
        <f t="shared" si="16"/>
        <v>52.313040000000001</v>
      </c>
      <c r="F188" s="43">
        <f t="shared" si="14"/>
        <v>597.02526</v>
      </c>
      <c r="G188" s="91"/>
      <c r="H188" s="92"/>
    </row>
    <row r="189" spans="1:8" s="2" customFormat="1" x14ac:dyDescent="0.35">
      <c r="A189" s="123" t="s">
        <v>217</v>
      </c>
      <c r="B189" s="123"/>
      <c r="C189" s="123"/>
      <c r="D189" s="123"/>
      <c r="E189" s="123"/>
      <c r="F189" s="123"/>
      <c r="G189" s="123"/>
      <c r="H189" s="123"/>
    </row>
    <row r="190" spans="1:8" s="2" customFormat="1" x14ac:dyDescent="0.35">
      <c r="A190" s="123" t="s">
        <v>179</v>
      </c>
      <c r="B190" s="123"/>
      <c r="C190" s="123"/>
      <c r="D190" s="123"/>
      <c r="E190" s="123"/>
      <c r="F190" s="123"/>
      <c r="G190" s="123"/>
      <c r="H190" s="123"/>
    </row>
    <row r="191" spans="1:8" s="2" customFormat="1" x14ac:dyDescent="0.35">
      <c r="A191" s="115">
        <v>14</v>
      </c>
      <c r="B191" s="115"/>
      <c r="C191" s="83" t="s">
        <v>182</v>
      </c>
      <c r="D191" s="83">
        <f>(2.75*5)*10.764</f>
        <v>148.005</v>
      </c>
      <c r="E191" s="83">
        <v>0</v>
      </c>
      <c r="F191" s="83">
        <f t="shared" ref="F191:F202" si="17">D191*1.5+E191</f>
        <v>222.00749999999999</v>
      </c>
      <c r="G191" s="115" t="s">
        <v>181</v>
      </c>
      <c r="H191" s="115"/>
    </row>
    <row r="192" spans="1:8" s="2" customFormat="1" x14ac:dyDescent="0.35">
      <c r="A192" s="115">
        <v>15</v>
      </c>
      <c r="B192" s="115"/>
      <c r="C192" s="83" t="s">
        <v>182</v>
      </c>
      <c r="D192" s="83">
        <f>(2.25*5+1.2*1)*10.764</f>
        <v>134.01179999999999</v>
      </c>
      <c r="E192" s="83">
        <v>0</v>
      </c>
      <c r="F192" s="83">
        <f>D192*1.5+E192</f>
        <v>201.01769999999999</v>
      </c>
      <c r="G192" s="115"/>
      <c r="H192" s="115"/>
    </row>
    <row r="193" spans="1:8" s="2" customFormat="1" x14ac:dyDescent="0.35">
      <c r="A193" s="115">
        <v>16</v>
      </c>
      <c r="B193" s="115"/>
      <c r="C193" s="83" t="s">
        <v>182</v>
      </c>
      <c r="D193" s="83">
        <f>(2.75*6.1)*10.764</f>
        <v>180.56609999999998</v>
      </c>
      <c r="E193" s="83">
        <v>0</v>
      </c>
      <c r="F193" s="83">
        <f t="shared" si="17"/>
        <v>270.84914999999995</v>
      </c>
      <c r="G193" s="115"/>
      <c r="H193" s="115"/>
    </row>
    <row r="194" spans="1:8" s="2" customFormat="1" x14ac:dyDescent="0.35">
      <c r="A194" s="115">
        <v>17</v>
      </c>
      <c r="B194" s="115"/>
      <c r="C194" s="83" t="s">
        <v>182</v>
      </c>
      <c r="D194" s="83">
        <f>(2.75*6.1)*10.764</f>
        <v>180.56609999999998</v>
      </c>
      <c r="E194" s="83">
        <v>0</v>
      </c>
      <c r="F194" s="83">
        <f t="shared" si="17"/>
        <v>270.84914999999995</v>
      </c>
      <c r="G194" s="115"/>
      <c r="H194" s="115"/>
    </row>
    <row r="195" spans="1:8" s="2" customFormat="1" x14ac:dyDescent="0.35">
      <c r="A195" s="115">
        <v>18</v>
      </c>
      <c r="B195" s="115"/>
      <c r="C195" s="83" t="s">
        <v>182</v>
      </c>
      <c r="D195" s="83">
        <f>(2.25*5+1.2*1)*10.764</f>
        <v>134.01179999999999</v>
      </c>
      <c r="E195" s="83">
        <v>0</v>
      </c>
      <c r="F195" s="83">
        <f t="shared" si="17"/>
        <v>201.01769999999999</v>
      </c>
      <c r="G195" s="115"/>
      <c r="H195" s="115"/>
    </row>
    <row r="196" spans="1:8" s="2" customFormat="1" x14ac:dyDescent="0.35">
      <c r="A196" s="115">
        <v>19</v>
      </c>
      <c r="B196" s="115"/>
      <c r="C196" s="83" t="s">
        <v>182</v>
      </c>
      <c r="D196" s="83">
        <f>(2.75*5)*10.764</f>
        <v>148.005</v>
      </c>
      <c r="E196" s="83">
        <v>0</v>
      </c>
      <c r="F196" s="83">
        <f t="shared" si="17"/>
        <v>222.00749999999999</v>
      </c>
      <c r="G196" s="115"/>
      <c r="H196" s="115"/>
    </row>
    <row r="197" spans="1:8" s="2" customFormat="1" x14ac:dyDescent="0.35">
      <c r="A197" s="115">
        <v>20</v>
      </c>
      <c r="B197" s="115"/>
      <c r="C197" s="83" t="s">
        <v>182</v>
      </c>
      <c r="D197" s="83">
        <f t="shared" ref="D197" si="18">(2.75*5)*10.764</f>
        <v>148.005</v>
      </c>
      <c r="E197" s="83">
        <v>0</v>
      </c>
      <c r="F197" s="83">
        <f t="shared" si="17"/>
        <v>222.00749999999999</v>
      </c>
      <c r="G197" s="115"/>
      <c r="H197" s="115"/>
    </row>
    <row r="198" spans="1:8" s="2" customFormat="1" x14ac:dyDescent="0.35">
      <c r="A198" s="115">
        <v>21</v>
      </c>
      <c r="B198" s="115"/>
      <c r="C198" s="83" t="s">
        <v>182</v>
      </c>
      <c r="D198" s="83">
        <f>(2.25*5+1.2*1)*10.764</f>
        <v>134.01179999999999</v>
      </c>
      <c r="E198" s="83">
        <v>0</v>
      </c>
      <c r="F198" s="83">
        <f t="shared" si="17"/>
        <v>201.01769999999999</v>
      </c>
      <c r="G198" s="115"/>
      <c r="H198" s="115"/>
    </row>
    <row r="199" spans="1:8" s="2" customFormat="1" x14ac:dyDescent="0.35">
      <c r="A199" s="115">
        <v>22</v>
      </c>
      <c r="B199" s="115"/>
      <c r="C199" s="83" t="s">
        <v>182</v>
      </c>
      <c r="D199" s="83">
        <f>(2.75*6.1*10.764)</f>
        <v>180.56609999999998</v>
      </c>
      <c r="E199" s="83">
        <v>0</v>
      </c>
      <c r="F199" s="83">
        <f t="shared" si="17"/>
        <v>270.84914999999995</v>
      </c>
      <c r="G199" s="115"/>
      <c r="H199" s="115"/>
    </row>
    <row r="200" spans="1:8" s="2" customFormat="1" x14ac:dyDescent="0.35">
      <c r="A200" s="115">
        <v>23</v>
      </c>
      <c r="B200" s="115"/>
      <c r="C200" s="83" t="s">
        <v>182</v>
      </c>
      <c r="D200" s="83">
        <f>(2.75*6.1*10.764)</f>
        <v>180.56609999999998</v>
      </c>
      <c r="E200" s="83">
        <v>0</v>
      </c>
      <c r="F200" s="83">
        <f t="shared" si="17"/>
        <v>270.84914999999995</v>
      </c>
      <c r="G200" s="115"/>
      <c r="H200" s="115"/>
    </row>
    <row r="201" spans="1:8" s="2" customFormat="1" x14ac:dyDescent="0.35">
      <c r="A201" s="115">
        <v>24</v>
      </c>
      <c r="B201" s="115"/>
      <c r="C201" s="83" t="s">
        <v>182</v>
      </c>
      <c r="D201" s="83">
        <f>(2.25*5+1.2*1.5)*10.764</f>
        <v>140.47020000000001</v>
      </c>
      <c r="E201" s="83">
        <v>0</v>
      </c>
      <c r="F201" s="83">
        <f t="shared" si="17"/>
        <v>210.70530000000002</v>
      </c>
      <c r="G201" s="115"/>
      <c r="H201" s="115"/>
    </row>
    <row r="202" spans="1:8" s="2" customFormat="1" x14ac:dyDescent="0.35">
      <c r="A202" s="115">
        <v>25</v>
      </c>
      <c r="B202" s="115"/>
      <c r="C202" s="83" t="s">
        <v>182</v>
      </c>
      <c r="D202" s="83">
        <f>2.75*3.7*10.764</f>
        <v>109.52370000000001</v>
      </c>
      <c r="E202" s="83">
        <v>0</v>
      </c>
      <c r="F202" s="83">
        <f t="shared" si="17"/>
        <v>164.28555</v>
      </c>
      <c r="G202" s="115"/>
      <c r="H202" s="115"/>
    </row>
    <row r="203" spans="1:8" s="2" customFormat="1" x14ac:dyDescent="0.35">
      <c r="A203" s="112" t="s">
        <v>218</v>
      </c>
      <c r="B203" s="113"/>
      <c r="C203" s="113"/>
      <c r="D203" s="113"/>
      <c r="E203" s="113"/>
      <c r="F203" s="113"/>
      <c r="G203" s="113"/>
      <c r="H203" s="114"/>
    </row>
    <row r="204" spans="1:8" s="2" customFormat="1" x14ac:dyDescent="0.35">
      <c r="A204" s="115">
        <v>101</v>
      </c>
      <c r="B204" s="115"/>
      <c r="C204" s="43" t="s">
        <v>180</v>
      </c>
      <c r="D204" s="43">
        <f>(28.91+5.3+4.63)*10.764</f>
        <v>418.07375999999999</v>
      </c>
      <c r="E204" s="43">
        <f>1.8*1.8*10.764</f>
        <v>34.875360000000001</v>
      </c>
      <c r="F204" s="43">
        <f t="shared" ref="F204:F230" si="19">D204*1.45+E204</f>
        <v>641.082312</v>
      </c>
      <c r="G204" s="87" t="s">
        <v>185</v>
      </c>
      <c r="H204" s="88"/>
    </row>
    <row r="205" spans="1:8" s="2" customFormat="1" x14ac:dyDescent="0.35">
      <c r="A205" s="115">
        <v>102</v>
      </c>
      <c r="B205" s="115"/>
      <c r="C205" s="43" t="s">
        <v>180</v>
      </c>
      <c r="D205" s="43">
        <f t="shared" ref="D205:D206" si="20">(28.91+5.3+4.63)*10.764</f>
        <v>418.07375999999999</v>
      </c>
      <c r="E205" s="43">
        <f t="shared" ref="E205:E206" si="21">1.8*1.8*10.764</f>
        <v>34.875360000000001</v>
      </c>
      <c r="F205" s="43">
        <f t="shared" si="19"/>
        <v>641.082312</v>
      </c>
      <c r="G205" s="89"/>
      <c r="H205" s="90"/>
    </row>
    <row r="206" spans="1:8" s="2" customFormat="1" x14ac:dyDescent="0.35">
      <c r="A206" s="115">
        <v>103</v>
      </c>
      <c r="B206" s="115"/>
      <c r="C206" s="43" t="s">
        <v>180</v>
      </c>
      <c r="D206" s="43">
        <f t="shared" si="20"/>
        <v>418.07375999999999</v>
      </c>
      <c r="E206" s="43">
        <f t="shared" si="21"/>
        <v>34.875360000000001</v>
      </c>
      <c r="F206" s="43">
        <f t="shared" si="19"/>
        <v>641.082312</v>
      </c>
      <c r="G206" s="89"/>
      <c r="H206" s="90"/>
    </row>
    <row r="207" spans="1:8" s="2" customFormat="1" x14ac:dyDescent="0.35">
      <c r="A207" s="115">
        <v>104</v>
      </c>
      <c r="B207" s="115"/>
      <c r="C207" s="43" t="s">
        <v>180</v>
      </c>
      <c r="D207" s="43">
        <f>(28.28+5.6+1.01)*10.764</f>
        <v>375.55595999999997</v>
      </c>
      <c r="E207" s="43">
        <f>(4.86+6.6)*10.764</f>
        <v>123.35544</v>
      </c>
      <c r="F207" s="43">
        <f>D207*1.45+E207/2</f>
        <v>606.23386199999993</v>
      </c>
      <c r="G207" s="89"/>
      <c r="H207" s="90"/>
    </row>
    <row r="208" spans="1:8" s="2" customFormat="1" x14ac:dyDescent="0.35">
      <c r="A208" s="115">
        <v>105</v>
      </c>
      <c r="B208" s="115"/>
      <c r="C208" s="43" t="s">
        <v>180</v>
      </c>
      <c r="D208" s="43">
        <f>(28.64+5.2+1.08)*10.764</f>
        <v>375.87887999999998</v>
      </c>
      <c r="E208" s="43">
        <f>(4.87+10.11)*10.764</f>
        <v>161.24472</v>
      </c>
      <c r="F208" s="43">
        <f t="shared" ref="F208:F210" si="22">D208*1.45+E208/2</f>
        <v>625.64673599999992</v>
      </c>
      <c r="G208" s="89"/>
      <c r="H208" s="90"/>
    </row>
    <row r="209" spans="1:9" s="2" customFormat="1" x14ac:dyDescent="0.35">
      <c r="A209" s="115">
        <v>106</v>
      </c>
      <c r="B209" s="115"/>
      <c r="C209" s="43" t="s">
        <v>180</v>
      </c>
      <c r="D209" s="43">
        <f t="shared" ref="D209:D210" si="23">(28.64+5.2+1.08)*10.764</f>
        <v>375.87887999999998</v>
      </c>
      <c r="E209" s="43">
        <f t="shared" ref="E209" si="24">(4.87+10.11)*10.764</f>
        <v>161.24472</v>
      </c>
      <c r="F209" s="43">
        <f t="shared" si="22"/>
        <v>625.64673599999992</v>
      </c>
      <c r="G209" s="89"/>
      <c r="H209" s="90"/>
    </row>
    <row r="210" spans="1:9" s="2" customFormat="1" x14ac:dyDescent="0.35">
      <c r="A210" s="115">
        <v>107</v>
      </c>
      <c r="B210" s="115"/>
      <c r="C210" s="43" t="s">
        <v>180</v>
      </c>
      <c r="D210" s="43">
        <f t="shared" si="23"/>
        <v>375.87887999999998</v>
      </c>
      <c r="E210" s="43">
        <f>(4.87+10.55)*10.764</f>
        <v>165.98088000000001</v>
      </c>
      <c r="F210" s="43">
        <f t="shared" si="22"/>
        <v>628.014816</v>
      </c>
      <c r="G210" s="91"/>
      <c r="H210" s="92"/>
    </row>
    <row r="211" spans="1:9" s="2" customFormat="1" x14ac:dyDescent="0.35">
      <c r="A211" s="112" t="s">
        <v>187</v>
      </c>
      <c r="B211" s="113"/>
      <c r="C211" s="113"/>
      <c r="D211" s="113"/>
      <c r="E211" s="113"/>
      <c r="F211" s="113"/>
      <c r="G211" s="113"/>
      <c r="H211" s="114"/>
    </row>
    <row r="212" spans="1:9" s="2" customFormat="1" x14ac:dyDescent="0.35">
      <c r="A212" s="115" t="s">
        <v>219</v>
      </c>
      <c r="B212" s="115"/>
      <c r="C212" s="43" t="s">
        <v>180</v>
      </c>
      <c r="D212" s="43">
        <f>(30.37+3.95+0.63)*10.764</f>
        <v>376.20179999999999</v>
      </c>
      <c r="E212" s="43">
        <f>4.86*10.764</f>
        <v>52.313040000000001</v>
      </c>
      <c r="F212" s="43">
        <f t="shared" si="19"/>
        <v>597.80565000000001</v>
      </c>
      <c r="G212" s="87" t="s">
        <v>220</v>
      </c>
      <c r="H212" s="88"/>
    </row>
    <row r="213" spans="1:9" s="2" customFormat="1" x14ac:dyDescent="0.35">
      <c r="A213" s="115" t="s">
        <v>188</v>
      </c>
      <c r="B213" s="115"/>
      <c r="C213" s="43" t="s">
        <v>180</v>
      </c>
      <c r="D213" s="43">
        <f t="shared" ref="D213:D214" si="25">(30.37+3.95+0.63)*10.764</f>
        <v>376.20179999999999</v>
      </c>
      <c r="E213" s="43">
        <f t="shared" ref="E213:E214" si="26">4.86*10.764</f>
        <v>52.313040000000001</v>
      </c>
      <c r="F213" s="43">
        <f t="shared" si="19"/>
        <v>597.80565000000001</v>
      </c>
      <c r="G213" s="89"/>
      <c r="H213" s="90"/>
    </row>
    <row r="214" spans="1:9" s="2" customFormat="1" x14ac:dyDescent="0.35">
      <c r="A214" s="115" t="s">
        <v>189</v>
      </c>
      <c r="B214" s="115"/>
      <c r="C214" s="43" t="s">
        <v>180</v>
      </c>
      <c r="D214" s="43">
        <f t="shared" si="25"/>
        <v>376.20179999999999</v>
      </c>
      <c r="E214" s="43">
        <f t="shared" si="26"/>
        <v>52.313040000000001</v>
      </c>
      <c r="F214" s="43">
        <f t="shared" si="19"/>
        <v>597.80565000000001</v>
      </c>
      <c r="G214" s="89"/>
      <c r="H214" s="90"/>
      <c r="I214" s="2">
        <f>2625000/F214</f>
        <v>4391.0592012638217</v>
      </c>
    </row>
    <row r="215" spans="1:9" s="2" customFormat="1" x14ac:dyDescent="0.35">
      <c r="A215" s="115" t="s">
        <v>190</v>
      </c>
      <c r="B215" s="115"/>
      <c r="C215" s="43" t="s">
        <v>180</v>
      </c>
      <c r="D215" s="43">
        <f>(28.58+8.3+1.01)*10.764</f>
        <v>407.84795999999989</v>
      </c>
      <c r="E215" s="43">
        <v>0</v>
      </c>
      <c r="F215" s="43">
        <f t="shared" si="19"/>
        <v>591.37954199999979</v>
      </c>
      <c r="G215" s="89"/>
      <c r="H215" s="90"/>
      <c r="I215" s="2">
        <f>2625000/F215</f>
        <v>4438.7737714471041</v>
      </c>
    </row>
    <row r="216" spans="1:9" s="2" customFormat="1" x14ac:dyDescent="0.35">
      <c r="A216" s="115" t="s">
        <v>191</v>
      </c>
      <c r="B216" s="115"/>
      <c r="C216" s="43" t="s">
        <v>180</v>
      </c>
      <c r="D216" s="43">
        <f>(28.94+7.89+1.08)*10.764</f>
        <v>408.06323999999995</v>
      </c>
      <c r="E216" s="43">
        <v>0</v>
      </c>
      <c r="F216" s="43">
        <f t="shared" si="19"/>
        <v>591.69169799999986</v>
      </c>
      <c r="G216" s="89"/>
      <c r="H216" s="90"/>
    </row>
    <row r="217" spans="1:9" s="2" customFormat="1" x14ac:dyDescent="0.35">
      <c r="A217" s="115" t="s">
        <v>192</v>
      </c>
      <c r="B217" s="115"/>
      <c r="C217" s="43" t="s">
        <v>180</v>
      </c>
      <c r="D217" s="43">
        <f>(28.94+7.89+1.08)*10.764</f>
        <v>408.06323999999995</v>
      </c>
      <c r="E217" s="43">
        <v>0</v>
      </c>
      <c r="F217" s="43">
        <f t="shared" si="19"/>
        <v>591.69169799999986</v>
      </c>
      <c r="G217" s="89"/>
      <c r="H217" s="90"/>
    </row>
    <row r="218" spans="1:9" s="2" customFormat="1" x14ac:dyDescent="0.35">
      <c r="A218" s="115" t="s">
        <v>193</v>
      </c>
      <c r="B218" s="115"/>
      <c r="C218" s="43" t="s">
        <v>180</v>
      </c>
      <c r="D218" s="43">
        <f>(28.78+5.06+1.08)*10.764</f>
        <v>375.87887999999998</v>
      </c>
      <c r="E218" s="43">
        <f t="shared" ref="E218" si="27">4.86*10.764</f>
        <v>52.313040000000001</v>
      </c>
      <c r="F218" s="43">
        <f t="shared" si="19"/>
        <v>597.33741599999996</v>
      </c>
      <c r="G218" s="91"/>
      <c r="H218" s="92"/>
    </row>
    <row r="219" spans="1:9" s="2" customFormat="1" x14ac:dyDescent="0.35">
      <c r="A219" s="112" t="s">
        <v>206</v>
      </c>
      <c r="B219" s="113"/>
      <c r="C219" s="113"/>
      <c r="D219" s="113"/>
      <c r="E219" s="113"/>
      <c r="F219" s="113"/>
      <c r="G219" s="113"/>
      <c r="H219" s="114"/>
    </row>
    <row r="220" spans="1:9" s="2" customFormat="1" ht="15.75" customHeight="1" x14ac:dyDescent="0.35">
      <c r="A220" s="115" t="s">
        <v>207</v>
      </c>
      <c r="B220" s="115"/>
      <c r="C220" s="43" t="s">
        <v>180</v>
      </c>
      <c r="D220" s="43">
        <f>(28.91+5.34+0.63)*10.764</f>
        <v>375.44832000000002</v>
      </c>
      <c r="E220" s="43">
        <f>3.24*10.764</f>
        <v>34.875360000000001</v>
      </c>
      <c r="F220" s="43">
        <f t="shared" si="19"/>
        <v>579.27542400000004</v>
      </c>
      <c r="G220" s="87" t="str">
        <f>A219</f>
        <v>3rd, 5th &amp; 7th Floor</v>
      </c>
      <c r="H220" s="88"/>
    </row>
    <row r="221" spans="1:9" s="2" customFormat="1" ht="15.75" customHeight="1" x14ac:dyDescent="0.35">
      <c r="A221" s="115" t="s">
        <v>208</v>
      </c>
      <c r="B221" s="115"/>
      <c r="C221" s="43" t="s">
        <v>180</v>
      </c>
      <c r="D221" s="43">
        <f t="shared" ref="D221:D222" si="28">(28.91+5.34+0.63)*10.764</f>
        <v>375.44832000000002</v>
      </c>
      <c r="E221" s="43">
        <f t="shared" ref="E221:E222" si="29">3.24*10.764</f>
        <v>34.875360000000001</v>
      </c>
      <c r="F221" s="43">
        <f t="shared" si="19"/>
        <v>579.27542400000004</v>
      </c>
      <c r="G221" s="89"/>
      <c r="H221" s="90"/>
    </row>
    <row r="222" spans="1:9" s="2" customFormat="1" ht="15.75" customHeight="1" x14ac:dyDescent="0.35">
      <c r="A222" s="115" t="s">
        <v>209</v>
      </c>
      <c r="B222" s="115"/>
      <c r="C222" s="43" t="s">
        <v>180</v>
      </c>
      <c r="D222" s="43">
        <f t="shared" si="28"/>
        <v>375.44832000000002</v>
      </c>
      <c r="E222" s="43">
        <f t="shared" si="29"/>
        <v>34.875360000000001</v>
      </c>
      <c r="F222" s="43">
        <f t="shared" si="19"/>
        <v>579.27542400000004</v>
      </c>
      <c r="G222" s="89"/>
      <c r="H222" s="90"/>
    </row>
    <row r="223" spans="1:9" s="2" customFormat="1" ht="15.75" customHeight="1" x14ac:dyDescent="0.35">
      <c r="A223" s="115" t="s">
        <v>210</v>
      </c>
      <c r="B223" s="115"/>
      <c r="C223" s="43" t="s">
        <v>180</v>
      </c>
      <c r="D223" s="43">
        <f>(28.28+5.6+1.01)*10.764</f>
        <v>375.55595999999997</v>
      </c>
      <c r="E223" s="43">
        <f>4.87*10.764</f>
        <v>52.420679999999997</v>
      </c>
      <c r="F223" s="43">
        <f t="shared" si="19"/>
        <v>596.97682199999986</v>
      </c>
      <c r="G223" s="89"/>
      <c r="H223" s="90"/>
    </row>
    <row r="224" spans="1:9" s="2" customFormat="1" ht="15.75" customHeight="1" x14ac:dyDescent="0.35">
      <c r="A224" s="115" t="s">
        <v>211</v>
      </c>
      <c r="B224" s="115"/>
      <c r="C224" s="43" t="s">
        <v>180</v>
      </c>
      <c r="D224" s="43">
        <f>(28.64+5.2+1.08)*10.764</f>
        <v>375.87887999999998</v>
      </c>
      <c r="E224" s="43">
        <f t="shared" ref="E224:E225" si="30">4.87*10.764</f>
        <v>52.420679999999997</v>
      </c>
      <c r="F224" s="43">
        <f t="shared" si="19"/>
        <v>597.44505599999991</v>
      </c>
      <c r="G224" s="89"/>
      <c r="H224" s="90"/>
    </row>
    <row r="225" spans="1:14" s="2" customFormat="1" ht="15.75" customHeight="1" x14ac:dyDescent="0.35">
      <c r="A225" s="115" t="s">
        <v>212</v>
      </c>
      <c r="B225" s="115"/>
      <c r="C225" s="43" t="s">
        <v>180</v>
      </c>
      <c r="D225" s="43">
        <f t="shared" ref="D225:D226" si="31">(28.64+5.2+1.08)*10.764</f>
        <v>375.87887999999998</v>
      </c>
      <c r="E225" s="43">
        <f t="shared" si="30"/>
        <v>52.420679999999997</v>
      </c>
      <c r="F225" s="43">
        <f t="shared" si="19"/>
        <v>597.44505599999991</v>
      </c>
      <c r="G225" s="89"/>
      <c r="H225" s="90"/>
    </row>
    <row r="226" spans="1:14" s="2" customFormat="1" ht="15.75" customHeight="1" x14ac:dyDescent="0.35">
      <c r="A226" s="115" t="s">
        <v>213</v>
      </c>
      <c r="B226" s="115"/>
      <c r="C226" s="43" t="s">
        <v>180</v>
      </c>
      <c r="D226" s="43">
        <f t="shared" si="31"/>
        <v>375.87887999999998</v>
      </c>
      <c r="E226" s="43">
        <f>2.7*1.8*10.764</f>
        <v>52.313040000000001</v>
      </c>
      <c r="F226" s="43">
        <f t="shared" si="19"/>
        <v>597.33741599999996</v>
      </c>
      <c r="G226" s="91"/>
      <c r="H226" s="92"/>
    </row>
    <row r="227" spans="1:14" s="2" customFormat="1" x14ac:dyDescent="0.35">
      <c r="A227" s="123" t="s">
        <v>215</v>
      </c>
      <c r="B227" s="123"/>
      <c r="C227" s="123"/>
      <c r="D227" s="123"/>
      <c r="E227" s="123"/>
      <c r="F227" s="123"/>
      <c r="G227" s="123"/>
      <c r="H227" s="123"/>
    </row>
    <row r="228" spans="1:14" s="2" customFormat="1" x14ac:dyDescent="0.35">
      <c r="A228" s="115">
        <v>801</v>
      </c>
      <c r="B228" s="115"/>
      <c r="C228" s="83" t="s">
        <v>180</v>
      </c>
      <c r="D228" s="83">
        <f>(30.37+3.95+0.63)*10.764</f>
        <v>376.20179999999999</v>
      </c>
      <c r="E228" s="83">
        <f>2.7*1.8*10.764</f>
        <v>52.313040000000001</v>
      </c>
      <c r="F228" s="83">
        <f t="shared" si="19"/>
        <v>597.80565000000001</v>
      </c>
      <c r="G228" s="115" t="str">
        <f>A227</f>
        <v>8th Floor</v>
      </c>
      <c r="H228" s="115"/>
    </row>
    <row r="229" spans="1:14" s="2" customFormat="1" x14ac:dyDescent="0.35">
      <c r="A229" s="115">
        <v>802</v>
      </c>
      <c r="B229" s="115"/>
      <c r="C229" s="83" t="s">
        <v>180</v>
      </c>
      <c r="D229" s="83">
        <f t="shared" ref="D229:D230" si="32">(30.37+3.95+0.63)*10.764</f>
        <v>376.20179999999999</v>
      </c>
      <c r="E229" s="83">
        <f t="shared" ref="E229:E230" si="33">2.7*1.8*10.764</f>
        <v>52.313040000000001</v>
      </c>
      <c r="F229" s="83">
        <f t="shared" si="19"/>
        <v>597.80565000000001</v>
      </c>
      <c r="G229" s="115"/>
      <c r="H229" s="115"/>
    </row>
    <row r="230" spans="1:14" s="2" customFormat="1" x14ac:dyDescent="0.35">
      <c r="A230" s="115">
        <v>803</v>
      </c>
      <c r="B230" s="115"/>
      <c r="C230" s="83" t="s">
        <v>180</v>
      </c>
      <c r="D230" s="83">
        <f t="shared" si="32"/>
        <v>376.20179999999999</v>
      </c>
      <c r="E230" s="83">
        <f t="shared" si="33"/>
        <v>52.313040000000001</v>
      </c>
      <c r="F230" s="83">
        <f t="shared" si="19"/>
        <v>597.80565000000001</v>
      </c>
      <c r="G230" s="115"/>
      <c r="H230" s="115"/>
    </row>
    <row r="231" spans="1:14" s="2" customFormat="1" x14ac:dyDescent="0.35">
      <c r="A231" s="115">
        <v>804</v>
      </c>
      <c r="B231" s="115"/>
      <c r="C231" s="115" t="s">
        <v>216</v>
      </c>
      <c r="D231" s="115"/>
      <c r="E231" s="115"/>
      <c r="F231" s="115"/>
      <c r="G231" s="115"/>
      <c r="H231" s="115"/>
    </row>
    <row r="232" spans="1:14" s="2" customFormat="1" x14ac:dyDescent="0.35">
      <c r="A232" s="115">
        <v>805</v>
      </c>
      <c r="B232" s="115"/>
      <c r="C232" s="115"/>
      <c r="D232" s="115"/>
      <c r="E232" s="115"/>
      <c r="F232" s="115"/>
      <c r="G232" s="115"/>
      <c r="H232" s="115"/>
    </row>
    <row r="233" spans="1:14" s="2" customFormat="1" x14ac:dyDescent="0.35">
      <c r="A233" s="115">
        <v>806</v>
      </c>
      <c r="B233" s="115"/>
      <c r="C233" s="115"/>
      <c r="D233" s="115"/>
      <c r="E233" s="115"/>
      <c r="F233" s="115"/>
      <c r="G233" s="115"/>
      <c r="H233" s="115"/>
    </row>
    <row r="234" spans="1:14" s="2" customFormat="1" x14ac:dyDescent="0.35">
      <c r="A234" s="115">
        <v>807</v>
      </c>
      <c r="B234" s="115"/>
      <c r="C234" s="115"/>
      <c r="D234" s="115"/>
      <c r="E234" s="115"/>
      <c r="F234" s="115"/>
      <c r="G234" s="115"/>
      <c r="H234" s="115"/>
    </row>
    <row r="235" spans="1:14" s="2" customFormat="1" x14ac:dyDescent="0.35">
      <c r="A235" s="123" t="s">
        <v>266</v>
      </c>
      <c r="B235" s="123"/>
      <c r="C235" s="123"/>
      <c r="D235" s="123"/>
      <c r="E235" s="123"/>
      <c r="F235" s="123"/>
      <c r="G235" s="123"/>
      <c r="H235" s="123"/>
    </row>
    <row r="236" spans="1:14" s="2" customFormat="1" x14ac:dyDescent="0.35">
      <c r="A236" s="123" t="s">
        <v>295</v>
      </c>
      <c r="B236" s="123"/>
      <c r="C236" s="123"/>
      <c r="D236" s="123"/>
      <c r="E236" s="123"/>
      <c r="F236" s="123"/>
      <c r="G236" s="123"/>
      <c r="H236" s="123"/>
    </row>
    <row r="237" spans="1:14" s="2" customFormat="1" x14ac:dyDescent="0.35">
      <c r="A237" s="112" t="s">
        <v>313</v>
      </c>
      <c r="B237" s="113"/>
      <c r="C237" s="113"/>
      <c r="D237" s="113"/>
      <c r="E237" s="113"/>
      <c r="F237" s="113"/>
      <c r="G237" s="113"/>
      <c r="H237" s="114"/>
    </row>
    <row r="238" spans="1:14" s="2" customFormat="1" ht="15.75" customHeight="1" x14ac:dyDescent="0.35">
      <c r="A238" s="115" t="s">
        <v>267</v>
      </c>
      <c r="B238" s="115"/>
      <c r="C238" s="43" t="s">
        <v>180</v>
      </c>
      <c r="D238" s="80">
        <f>(27.81+5.66+1.08)*10.764</f>
        <v>371.89619999999996</v>
      </c>
      <c r="E238" s="80">
        <f>(4.86)*10.764</f>
        <v>52.313040000000001</v>
      </c>
      <c r="F238" s="43">
        <v>700</v>
      </c>
      <c r="G238" s="87" t="s">
        <v>220</v>
      </c>
      <c r="H238" s="88"/>
      <c r="J238" s="2">
        <f>700/D238</f>
        <v>1.882245637357951</v>
      </c>
      <c r="K238" s="81">
        <f>4.25*2.75+1.7*2.25+1.55*2.75+1.2*0.9+1.65*1.2+1*2.25+0.9*1.2</f>
        <v>26.164999999999999</v>
      </c>
      <c r="L238" s="81">
        <f>1.2*2.75+1.05*2.25</f>
        <v>5.6624999999999996</v>
      </c>
      <c r="M238" s="81">
        <f>0.45*2</f>
        <v>0.9</v>
      </c>
      <c r="N238" s="81">
        <f>1.8*2.7</f>
        <v>4.8600000000000003</v>
      </c>
    </row>
    <row r="239" spans="1:14" s="2" customFormat="1" ht="15.75" customHeight="1" x14ac:dyDescent="0.35">
      <c r="A239" s="93" t="s">
        <v>268</v>
      </c>
      <c r="B239" s="94"/>
      <c r="C239" s="43" t="s">
        <v>180</v>
      </c>
      <c r="D239" s="80">
        <f>(29.94+5.66+1.08)*10.764</f>
        <v>394.82351999999997</v>
      </c>
      <c r="E239" s="80">
        <f>(4.86)*10.764</f>
        <v>52.313040000000001</v>
      </c>
      <c r="F239" s="43">
        <v>730</v>
      </c>
      <c r="G239" s="89"/>
      <c r="H239" s="90"/>
    </row>
    <row r="240" spans="1:14" s="2" customFormat="1" ht="15.75" customHeight="1" x14ac:dyDescent="0.35">
      <c r="A240" s="93" t="s">
        <v>269</v>
      </c>
      <c r="B240" s="94"/>
      <c r="C240" s="43" t="s">
        <v>194</v>
      </c>
      <c r="D240" s="80">
        <f>(42.27+9.3+1.42)*10.764</f>
        <v>570.38436000000002</v>
      </c>
      <c r="E240" s="80">
        <f>(4.86)*10.764</f>
        <v>52.313040000000001</v>
      </c>
      <c r="F240" s="43">
        <v>1030</v>
      </c>
      <c r="G240" s="89"/>
      <c r="H240" s="90"/>
      <c r="I240" s="2">
        <f>2625000/F240</f>
        <v>2548.5436893203882</v>
      </c>
    </row>
    <row r="241" spans="1:13" s="2" customFormat="1" ht="15.75" customHeight="1" x14ac:dyDescent="0.35">
      <c r="A241" s="93" t="s">
        <v>270</v>
      </c>
      <c r="B241" s="94"/>
      <c r="C241" s="43" t="s">
        <v>180</v>
      </c>
      <c r="D241" s="80">
        <f>(27.52+5.66+0.83)*10.764</f>
        <v>366.08363999999995</v>
      </c>
      <c r="E241" s="80">
        <f>(4.86)*10.764</f>
        <v>52.313040000000001</v>
      </c>
      <c r="F241" s="43">
        <v>690</v>
      </c>
      <c r="G241" s="89"/>
      <c r="H241" s="90"/>
      <c r="I241" s="2">
        <f>2625000/F241</f>
        <v>3804.3478260869565</v>
      </c>
    </row>
    <row r="242" spans="1:13" s="2" customFormat="1" ht="15.75" customHeight="1" x14ac:dyDescent="0.35">
      <c r="A242" s="93" t="s">
        <v>271</v>
      </c>
      <c r="B242" s="94"/>
      <c r="C242" s="43" t="s">
        <v>194</v>
      </c>
      <c r="D242" s="80">
        <f>(42.7+6.02+2.16)*10.764</f>
        <v>547.6723199999999</v>
      </c>
      <c r="E242" s="80">
        <f>(4.45)*10.764</f>
        <v>47.899799999999999</v>
      </c>
      <c r="F242" s="43">
        <v>990</v>
      </c>
      <c r="G242" s="89"/>
      <c r="H242" s="90"/>
      <c r="M242" s="80">
        <v>10.763999999999999</v>
      </c>
    </row>
    <row r="243" spans="1:13" s="2" customFormat="1" ht="15.75" customHeight="1" x14ac:dyDescent="0.35">
      <c r="A243" s="93" t="s">
        <v>272</v>
      </c>
      <c r="B243" s="94"/>
      <c r="C243" s="43" t="s">
        <v>194</v>
      </c>
      <c r="D243" s="80">
        <f>(39.63+9.18+1.31)*10.764</f>
        <v>539.49167999999997</v>
      </c>
      <c r="E243" s="80">
        <f>(4.67)*10.764</f>
        <v>50.267879999999998</v>
      </c>
      <c r="F243" s="43">
        <v>980</v>
      </c>
      <c r="G243" s="89"/>
      <c r="H243" s="90"/>
    </row>
    <row r="244" spans="1:13" s="2" customFormat="1" ht="15.75" customHeight="1" x14ac:dyDescent="0.35">
      <c r="A244" s="93" t="s">
        <v>273</v>
      </c>
      <c r="B244" s="94"/>
      <c r="C244" s="43" t="s">
        <v>180</v>
      </c>
      <c r="D244" s="80">
        <f>(29.14+5.51+0.67)*10.764</f>
        <v>380.18448000000001</v>
      </c>
      <c r="E244" s="80">
        <f>(4.31)*10.764</f>
        <v>46.392839999999993</v>
      </c>
      <c r="F244" s="43">
        <v>700</v>
      </c>
      <c r="G244" s="89"/>
      <c r="H244" s="90"/>
    </row>
    <row r="245" spans="1:13" s="2" customFormat="1" ht="15.75" customHeight="1" x14ac:dyDescent="0.35">
      <c r="A245" s="93" t="s">
        <v>283</v>
      </c>
      <c r="B245" s="94"/>
      <c r="C245" s="43" t="s">
        <v>180</v>
      </c>
      <c r="D245" s="80">
        <f>(29.14+5.51+0.67)*10.764</f>
        <v>380.18448000000001</v>
      </c>
      <c r="E245" s="80">
        <f>(4.31)*10.764</f>
        <v>46.392839999999993</v>
      </c>
      <c r="F245" s="43">
        <v>700</v>
      </c>
      <c r="G245" s="89"/>
      <c r="H245" s="90"/>
      <c r="I245" s="2">
        <f>2625000/F245</f>
        <v>3750</v>
      </c>
    </row>
    <row r="246" spans="1:13" s="2" customFormat="1" ht="15.75" customHeight="1" x14ac:dyDescent="0.35">
      <c r="A246" s="93" t="s">
        <v>284</v>
      </c>
      <c r="B246" s="94"/>
      <c r="C246" s="43" t="s">
        <v>293</v>
      </c>
      <c r="D246" s="80">
        <f>(51.04+12.78+1.4)*10.764</f>
        <v>702.02807999999993</v>
      </c>
      <c r="E246" s="80">
        <f>(6.48)*10.764</f>
        <v>69.750720000000001</v>
      </c>
      <c r="F246" s="43">
        <v>1250</v>
      </c>
      <c r="G246" s="89"/>
      <c r="H246" s="90"/>
    </row>
    <row r="247" spans="1:13" s="2" customFormat="1" ht="15.75" customHeight="1" x14ac:dyDescent="0.35">
      <c r="A247" s="93" t="s">
        <v>285</v>
      </c>
      <c r="B247" s="94"/>
      <c r="C247" s="43" t="s">
        <v>194</v>
      </c>
      <c r="D247" s="80">
        <f>(39.25+9.26+1.87)*10.764</f>
        <v>542.29031999999995</v>
      </c>
      <c r="E247" s="80">
        <f>(4.05)*10.764</f>
        <v>43.594199999999994</v>
      </c>
      <c r="F247" s="43">
        <v>975</v>
      </c>
      <c r="G247" s="89"/>
      <c r="H247" s="90"/>
    </row>
    <row r="248" spans="1:13" s="2" customFormat="1" ht="15.75" customHeight="1" x14ac:dyDescent="0.35">
      <c r="A248" s="93" t="s">
        <v>286</v>
      </c>
      <c r="B248" s="94"/>
      <c r="C248" s="43" t="s">
        <v>194</v>
      </c>
      <c r="D248" s="80">
        <f>(39.15+5.5+0.67)*10.764</f>
        <v>487.82447999999999</v>
      </c>
      <c r="E248" s="80">
        <f>(3.24)*10.764</f>
        <v>34.875360000000001</v>
      </c>
      <c r="F248" s="43">
        <v>880</v>
      </c>
      <c r="G248" s="89"/>
      <c r="H248" s="90"/>
    </row>
    <row r="249" spans="1:13" s="2" customFormat="1" ht="15.75" customHeight="1" x14ac:dyDescent="0.35">
      <c r="A249" s="93" t="s">
        <v>287</v>
      </c>
      <c r="B249" s="94"/>
      <c r="C249" s="43" t="s">
        <v>180</v>
      </c>
      <c r="D249" s="80">
        <f>(29.14+5.51+0.67)*10.764</f>
        <v>380.18448000000001</v>
      </c>
      <c r="E249" s="80">
        <f>(4.31)*10.764</f>
        <v>46.392839999999993</v>
      </c>
      <c r="F249" s="43">
        <v>700</v>
      </c>
      <c r="G249" s="91"/>
      <c r="H249" s="92"/>
    </row>
    <row r="250" spans="1:13" s="2" customFormat="1" x14ac:dyDescent="0.35">
      <c r="A250" s="112" t="s">
        <v>274</v>
      </c>
      <c r="B250" s="113"/>
      <c r="C250" s="113"/>
      <c r="D250" s="113"/>
      <c r="E250" s="113"/>
      <c r="F250" s="113"/>
      <c r="G250" s="113"/>
      <c r="H250" s="114"/>
    </row>
    <row r="251" spans="1:13" s="2" customFormat="1" ht="15.75" customHeight="1" x14ac:dyDescent="0.35">
      <c r="A251" s="115" t="s">
        <v>275</v>
      </c>
      <c r="B251" s="115"/>
      <c r="C251" s="43" t="s">
        <v>180</v>
      </c>
      <c r="D251" s="80">
        <f>(27.81+5.66+1.08)*10.764</f>
        <v>371.89619999999996</v>
      </c>
      <c r="E251" s="80">
        <v>0</v>
      </c>
      <c r="F251" s="43">
        <v>650</v>
      </c>
      <c r="G251" s="87" t="s">
        <v>220</v>
      </c>
      <c r="H251" s="88"/>
    </row>
    <row r="252" spans="1:13" s="2" customFormat="1" ht="15.75" customHeight="1" x14ac:dyDescent="0.35">
      <c r="A252" s="115" t="s">
        <v>276</v>
      </c>
      <c r="B252" s="115"/>
      <c r="C252" s="43" t="s">
        <v>180</v>
      </c>
      <c r="D252" s="80">
        <f>(29.94+5.66+1.08)*10.764</f>
        <v>394.82351999999997</v>
      </c>
      <c r="E252" s="80">
        <v>0</v>
      </c>
      <c r="F252" s="43">
        <v>685</v>
      </c>
      <c r="G252" s="89"/>
      <c r="H252" s="90"/>
    </row>
    <row r="253" spans="1:13" s="2" customFormat="1" ht="15.75" customHeight="1" x14ac:dyDescent="0.35">
      <c r="A253" s="115" t="s">
        <v>277</v>
      </c>
      <c r="B253" s="115"/>
      <c r="C253" s="43" t="s">
        <v>194</v>
      </c>
      <c r="D253" s="80">
        <f>(42.27+9.3+1.42)*10.764</f>
        <v>570.38436000000002</v>
      </c>
      <c r="E253" s="80">
        <v>0</v>
      </c>
      <c r="F253" s="43">
        <v>980</v>
      </c>
      <c r="G253" s="89"/>
      <c r="H253" s="90"/>
      <c r="I253" s="2">
        <f>2625000/F253</f>
        <v>2678.5714285714284</v>
      </c>
    </row>
    <row r="254" spans="1:13" s="2" customFormat="1" ht="15.75" customHeight="1" x14ac:dyDescent="0.35">
      <c r="A254" s="115" t="s">
        <v>278</v>
      </c>
      <c r="B254" s="115"/>
      <c r="C254" s="43" t="s">
        <v>180</v>
      </c>
      <c r="D254" s="80">
        <f>(27.52+5.66+0.83)*10.764</f>
        <v>366.08363999999995</v>
      </c>
      <c r="E254" s="80">
        <v>0</v>
      </c>
      <c r="F254" s="43">
        <v>645</v>
      </c>
      <c r="G254" s="89"/>
      <c r="H254" s="90"/>
      <c r="I254" s="2">
        <f>2625000/F254</f>
        <v>4069.7674418604652</v>
      </c>
    </row>
    <row r="255" spans="1:13" s="2" customFormat="1" ht="15.75" customHeight="1" x14ac:dyDescent="0.35">
      <c r="A255" s="115" t="s">
        <v>279</v>
      </c>
      <c r="B255" s="115"/>
      <c r="C255" s="43" t="s">
        <v>194</v>
      </c>
      <c r="D255" s="80">
        <f>(42.7+6.02+2.16)*10.764</f>
        <v>547.6723199999999</v>
      </c>
      <c r="E255" s="80">
        <f>(4.86)*10.764</f>
        <v>52.313040000000001</v>
      </c>
      <c r="F255" s="43">
        <v>1000</v>
      </c>
      <c r="G255" s="89"/>
      <c r="H255" s="90"/>
    </row>
    <row r="256" spans="1:13" s="2" customFormat="1" ht="15.75" customHeight="1" x14ac:dyDescent="0.35">
      <c r="A256" s="115" t="s">
        <v>280</v>
      </c>
      <c r="B256" s="115"/>
      <c r="C256" s="43" t="s">
        <v>194</v>
      </c>
      <c r="D256" s="80">
        <f>(39.63+9.18+1.31)*10.764</f>
        <v>539.49167999999997</v>
      </c>
      <c r="E256" s="80">
        <v>0</v>
      </c>
      <c r="F256" s="43">
        <v>925</v>
      </c>
      <c r="G256" s="89"/>
      <c r="H256" s="90"/>
    </row>
    <row r="257" spans="1:14" s="2" customFormat="1" ht="15.75" customHeight="1" x14ac:dyDescent="0.35">
      <c r="A257" s="115" t="s">
        <v>281</v>
      </c>
      <c r="B257" s="115"/>
      <c r="C257" s="43" t="s">
        <v>180</v>
      </c>
      <c r="D257" s="80">
        <f>(29.14+5.51+0.67)*10.764</f>
        <v>380.18448000000001</v>
      </c>
      <c r="E257" s="80">
        <v>0</v>
      </c>
      <c r="F257" s="43">
        <v>650</v>
      </c>
      <c r="G257" s="89"/>
      <c r="H257" s="90"/>
    </row>
    <row r="258" spans="1:14" s="2" customFormat="1" ht="15.75" customHeight="1" x14ac:dyDescent="0.35">
      <c r="A258" s="115" t="s">
        <v>288</v>
      </c>
      <c r="B258" s="115"/>
      <c r="C258" s="43" t="s">
        <v>180</v>
      </c>
      <c r="D258" s="80">
        <f>(29.14+5.51+0.67)*10.764</f>
        <v>380.18448000000001</v>
      </c>
      <c r="E258" s="80">
        <v>0</v>
      </c>
      <c r="F258" s="43">
        <v>650</v>
      </c>
      <c r="G258" s="89"/>
      <c r="H258" s="90"/>
      <c r="I258" s="2">
        <f>2625000/F258</f>
        <v>4038.4615384615386</v>
      </c>
    </row>
    <row r="259" spans="1:14" s="2" customFormat="1" ht="15.75" customHeight="1" x14ac:dyDescent="0.35">
      <c r="A259" s="115" t="s">
        <v>289</v>
      </c>
      <c r="B259" s="115"/>
      <c r="C259" s="43" t="s">
        <v>293</v>
      </c>
      <c r="D259" s="80">
        <f>(51.04+12.78+1.4)*10.764</f>
        <v>702.02807999999993</v>
      </c>
      <c r="E259" s="80">
        <v>0</v>
      </c>
      <c r="F259" s="43">
        <v>1180</v>
      </c>
      <c r="G259" s="89"/>
      <c r="H259" s="90"/>
      <c r="I259" s="2">
        <f>2625000/F259</f>
        <v>2224.5762711864409</v>
      </c>
    </row>
    <row r="260" spans="1:14" s="2" customFormat="1" ht="15.75" customHeight="1" x14ac:dyDescent="0.35">
      <c r="A260" s="115" t="s">
        <v>290</v>
      </c>
      <c r="B260" s="115"/>
      <c r="C260" s="43" t="s">
        <v>194</v>
      </c>
      <c r="D260" s="80">
        <f>(39.25+9.26+1.87)*10.764</f>
        <v>542.29031999999995</v>
      </c>
      <c r="E260" s="80">
        <v>0</v>
      </c>
      <c r="F260" s="43">
        <v>945</v>
      </c>
      <c r="G260" s="89"/>
      <c r="H260" s="90"/>
    </row>
    <row r="261" spans="1:14" s="2" customFormat="1" ht="15.75" customHeight="1" x14ac:dyDescent="0.35">
      <c r="A261" s="115" t="s">
        <v>291</v>
      </c>
      <c r="B261" s="115"/>
      <c r="C261" s="43" t="s">
        <v>194</v>
      </c>
      <c r="D261" s="80">
        <f>(39.15+5.5+0.67)*10.764</f>
        <v>487.82447999999999</v>
      </c>
      <c r="E261" s="80">
        <f>(4.95)*10.764</f>
        <v>53.281799999999997</v>
      </c>
      <c r="F261" s="43">
        <v>890</v>
      </c>
      <c r="G261" s="89"/>
      <c r="H261" s="90"/>
    </row>
    <row r="262" spans="1:14" s="2" customFormat="1" ht="15.75" customHeight="1" x14ac:dyDescent="0.35">
      <c r="A262" s="115" t="s">
        <v>292</v>
      </c>
      <c r="B262" s="115"/>
      <c r="C262" s="43" t="s">
        <v>180</v>
      </c>
      <c r="D262" s="80">
        <f>(29.14+5.51+0.67)*10.764</f>
        <v>380.18448000000001</v>
      </c>
      <c r="E262" s="80">
        <v>0</v>
      </c>
      <c r="F262" s="43">
        <v>650</v>
      </c>
      <c r="G262" s="91"/>
      <c r="H262" s="92"/>
    </row>
    <row r="263" spans="1:14" s="2" customFormat="1" x14ac:dyDescent="0.35">
      <c r="A263" s="112" t="s">
        <v>314</v>
      </c>
      <c r="B263" s="113"/>
      <c r="C263" s="113"/>
      <c r="D263" s="113"/>
      <c r="E263" s="113"/>
      <c r="F263" s="113"/>
      <c r="G263" s="113"/>
      <c r="H263" s="114"/>
    </row>
    <row r="264" spans="1:14" s="2" customFormat="1" ht="15.75" customHeight="1" x14ac:dyDescent="0.35">
      <c r="A264" s="115">
        <v>701</v>
      </c>
      <c r="B264" s="115"/>
      <c r="C264" s="85" t="s">
        <v>180</v>
      </c>
      <c r="D264" s="80">
        <f>(27.81+5.66+1.08)*10.764</f>
        <v>371.89619999999996</v>
      </c>
      <c r="E264" s="80">
        <f>(4.86)*10.764</f>
        <v>52.313040000000001</v>
      </c>
      <c r="F264" s="85">
        <v>700</v>
      </c>
      <c r="G264" s="87" t="s">
        <v>220</v>
      </c>
      <c r="H264" s="88"/>
      <c r="K264" s="81"/>
      <c r="L264" s="81"/>
      <c r="M264" s="81"/>
      <c r="N264" s="81"/>
    </row>
    <row r="265" spans="1:14" s="2" customFormat="1" ht="15.75" customHeight="1" x14ac:dyDescent="0.35">
      <c r="A265" s="93">
        <f>A264+1</f>
        <v>702</v>
      </c>
      <c r="B265" s="94"/>
      <c r="C265" s="85" t="s">
        <v>180</v>
      </c>
      <c r="D265" s="80">
        <f>(29.94+5.66+1.08)*10.764</f>
        <v>394.82351999999997</v>
      </c>
      <c r="E265" s="80">
        <f>(4.86)*10.764</f>
        <v>52.313040000000001</v>
      </c>
      <c r="F265" s="85">
        <v>730</v>
      </c>
      <c r="G265" s="89"/>
      <c r="H265" s="90"/>
    </row>
    <row r="266" spans="1:14" s="2" customFormat="1" ht="15.75" customHeight="1" x14ac:dyDescent="0.35">
      <c r="A266" s="93">
        <f t="shared" ref="A266:A275" si="34">A265+1</f>
        <v>703</v>
      </c>
      <c r="B266" s="94"/>
      <c r="C266" s="85" t="s">
        <v>194</v>
      </c>
      <c r="D266" s="80">
        <f>(42.27+9.3+1.42)*10.764</f>
        <v>570.38436000000002</v>
      </c>
      <c r="E266" s="80">
        <f>(4.86)*10.764</f>
        <v>52.313040000000001</v>
      </c>
      <c r="F266" s="85">
        <v>1053</v>
      </c>
      <c r="G266" s="89"/>
      <c r="H266" s="90"/>
      <c r="I266" s="86" t="s">
        <v>315</v>
      </c>
    </row>
    <row r="267" spans="1:14" s="2" customFormat="1" ht="15.75" customHeight="1" x14ac:dyDescent="0.35">
      <c r="A267" s="93">
        <f t="shared" si="34"/>
        <v>704</v>
      </c>
      <c r="B267" s="94"/>
      <c r="C267" s="85" t="s">
        <v>180</v>
      </c>
      <c r="D267" s="80">
        <f>(27.52+5.66+0.83)*10.764</f>
        <v>366.08363999999995</v>
      </c>
      <c r="E267" s="80">
        <f>(4.86)*10.764</f>
        <v>52.313040000000001</v>
      </c>
      <c r="F267" s="85">
        <v>690</v>
      </c>
      <c r="G267" s="89"/>
      <c r="H267" s="90"/>
    </row>
    <row r="268" spans="1:14" s="2" customFormat="1" ht="15.75" customHeight="1" x14ac:dyDescent="0.35">
      <c r="A268" s="93">
        <f t="shared" si="34"/>
        <v>705</v>
      </c>
      <c r="B268" s="94"/>
      <c r="C268" s="85" t="s">
        <v>194</v>
      </c>
      <c r="D268" s="80">
        <f>(42.7+6.02+2.16)*10.764</f>
        <v>547.6723199999999</v>
      </c>
      <c r="E268" s="80">
        <f>(4.45)*10.764</f>
        <v>47.899799999999999</v>
      </c>
      <c r="F268" s="85">
        <v>990</v>
      </c>
      <c r="G268" s="89"/>
      <c r="H268" s="90"/>
      <c r="M268" s="80"/>
    </row>
    <row r="269" spans="1:14" s="2" customFormat="1" ht="15.75" customHeight="1" x14ac:dyDescent="0.35">
      <c r="A269" s="93">
        <f t="shared" si="34"/>
        <v>706</v>
      </c>
      <c r="B269" s="94"/>
      <c r="C269" s="85" t="s">
        <v>194</v>
      </c>
      <c r="D269" s="80">
        <f>(39.63+9.18+1.31)*10.764</f>
        <v>539.49167999999997</v>
      </c>
      <c r="E269" s="80">
        <f>(4.67)*10.764</f>
        <v>50.267879999999998</v>
      </c>
      <c r="F269" s="85">
        <v>980</v>
      </c>
      <c r="G269" s="89"/>
      <c r="H269" s="90"/>
    </row>
    <row r="270" spans="1:14" s="2" customFormat="1" ht="15.75" customHeight="1" x14ac:dyDescent="0.35">
      <c r="A270" s="93">
        <f t="shared" si="34"/>
        <v>707</v>
      </c>
      <c r="B270" s="94"/>
      <c r="C270" s="85" t="s">
        <v>180</v>
      </c>
      <c r="D270" s="80">
        <f>(29.14+5.51+0.67)*10.764</f>
        <v>380.18448000000001</v>
      </c>
      <c r="E270" s="80">
        <f>(4.31)*10.764</f>
        <v>46.392839999999993</v>
      </c>
      <c r="F270" s="85">
        <v>700</v>
      </c>
      <c r="G270" s="89"/>
      <c r="H270" s="90"/>
    </row>
    <row r="271" spans="1:14" s="2" customFormat="1" ht="15.75" customHeight="1" x14ac:dyDescent="0.35">
      <c r="A271" s="93">
        <f t="shared" si="34"/>
        <v>708</v>
      </c>
      <c r="B271" s="94"/>
      <c r="C271" s="85" t="s">
        <v>180</v>
      </c>
      <c r="D271" s="80">
        <f>(29.14+5.51+0.67)*10.764</f>
        <v>380.18448000000001</v>
      </c>
      <c r="E271" s="80">
        <f>(4.31)*10.764</f>
        <v>46.392839999999993</v>
      </c>
      <c r="F271" s="85">
        <v>700</v>
      </c>
      <c r="G271" s="89"/>
      <c r="H271" s="90"/>
    </row>
    <row r="272" spans="1:14" s="2" customFormat="1" ht="15.75" customHeight="1" x14ac:dyDescent="0.35">
      <c r="A272" s="93">
        <f t="shared" si="34"/>
        <v>709</v>
      </c>
      <c r="B272" s="94"/>
      <c r="C272" s="85" t="s">
        <v>293</v>
      </c>
      <c r="D272" s="80">
        <f>(51.04+12.78+1.4)*10.764</f>
        <v>702.02807999999993</v>
      </c>
      <c r="E272" s="80">
        <f>(6.48)*10.764</f>
        <v>69.750720000000001</v>
      </c>
      <c r="F272" s="85">
        <v>1250</v>
      </c>
      <c r="G272" s="89"/>
      <c r="H272" s="90"/>
    </row>
    <row r="273" spans="1:9" s="2" customFormat="1" ht="15.75" customHeight="1" x14ac:dyDescent="0.35">
      <c r="A273" s="93">
        <f t="shared" si="34"/>
        <v>710</v>
      </c>
      <c r="B273" s="94"/>
      <c r="C273" s="85" t="s">
        <v>194</v>
      </c>
      <c r="D273" s="80">
        <f>(39.25+9.26+1.87)*10.764</f>
        <v>542.29031999999995</v>
      </c>
      <c r="E273" s="80">
        <f>(4.05)*10.764</f>
        <v>43.594199999999994</v>
      </c>
      <c r="F273" s="85">
        <v>975</v>
      </c>
      <c r="G273" s="89"/>
      <c r="H273" s="90"/>
    </row>
    <row r="274" spans="1:9" s="2" customFormat="1" ht="15.75" customHeight="1" x14ac:dyDescent="0.35">
      <c r="A274" s="93">
        <f t="shared" si="34"/>
        <v>711</v>
      </c>
      <c r="B274" s="94"/>
      <c r="C274" s="85" t="s">
        <v>194</v>
      </c>
      <c r="D274" s="80">
        <f>(39.15+5.5+0.67)*10.764</f>
        <v>487.82447999999999</v>
      </c>
      <c r="E274" s="80">
        <f>(3.24)*10.764</f>
        <v>34.875360000000001</v>
      </c>
      <c r="F274" s="85">
        <v>880</v>
      </c>
      <c r="G274" s="89"/>
      <c r="H274" s="90"/>
    </row>
    <row r="275" spans="1:9" s="2" customFormat="1" ht="15.75" customHeight="1" x14ac:dyDescent="0.35">
      <c r="A275" s="93">
        <f t="shared" si="34"/>
        <v>712</v>
      </c>
      <c r="B275" s="94"/>
      <c r="C275" s="85" t="s">
        <v>180</v>
      </c>
      <c r="D275" s="80">
        <f>(29.14+5.51+0.67)*10.764</f>
        <v>380.18448000000001</v>
      </c>
      <c r="E275" s="80">
        <f>(4.31)*10.764</f>
        <v>46.392839999999993</v>
      </c>
      <c r="F275" s="85">
        <v>700</v>
      </c>
      <c r="G275" s="91"/>
      <c r="H275" s="92"/>
    </row>
    <row r="276" spans="1:9" s="2" customFormat="1" x14ac:dyDescent="0.35">
      <c r="A276" s="112" t="s">
        <v>282</v>
      </c>
      <c r="B276" s="113"/>
      <c r="C276" s="113"/>
      <c r="D276" s="113"/>
      <c r="E276" s="113"/>
      <c r="F276" s="113"/>
      <c r="G276" s="113"/>
      <c r="H276" s="114"/>
    </row>
    <row r="277" spans="1:9" s="2" customFormat="1" ht="15.75" customHeight="1" x14ac:dyDescent="0.35">
      <c r="A277" s="115">
        <v>801</v>
      </c>
      <c r="B277" s="115"/>
      <c r="C277" s="83" t="s">
        <v>180</v>
      </c>
      <c r="D277" s="80">
        <f>(27.81+5.66+1.08)*10.764</f>
        <v>371.89619999999996</v>
      </c>
      <c r="E277" s="80">
        <v>0</v>
      </c>
      <c r="F277" s="83">
        <v>650</v>
      </c>
      <c r="G277" s="115" t="str">
        <f>A276</f>
        <v>8th Floor (Part Refuge Area)</v>
      </c>
      <c r="H277" s="115"/>
    </row>
    <row r="278" spans="1:9" s="2" customFormat="1" ht="15.75" customHeight="1" x14ac:dyDescent="0.35">
      <c r="A278" s="115">
        <v>802</v>
      </c>
      <c r="B278" s="115"/>
      <c r="C278" s="83" t="s">
        <v>180</v>
      </c>
      <c r="D278" s="80">
        <f>(29.94+5.66+1.08)*10.764</f>
        <v>394.82351999999997</v>
      </c>
      <c r="E278" s="80">
        <v>0</v>
      </c>
      <c r="F278" s="83">
        <v>685</v>
      </c>
      <c r="G278" s="115"/>
      <c r="H278" s="115"/>
    </row>
    <row r="279" spans="1:9" s="2" customFormat="1" ht="15.75" customHeight="1" x14ac:dyDescent="0.35">
      <c r="A279" s="115">
        <v>803</v>
      </c>
      <c r="B279" s="115"/>
      <c r="C279" s="83" t="s">
        <v>194</v>
      </c>
      <c r="D279" s="80">
        <f>(42.27+9.3+1.42)*10.764</f>
        <v>570.38436000000002</v>
      </c>
      <c r="E279" s="80">
        <v>0</v>
      </c>
      <c r="F279" s="83">
        <v>980</v>
      </c>
      <c r="G279" s="115"/>
      <c r="H279" s="115"/>
      <c r="I279" s="2">
        <f>2625000/F279</f>
        <v>2678.5714285714284</v>
      </c>
    </row>
    <row r="280" spans="1:9" s="2" customFormat="1" ht="15.75" customHeight="1" x14ac:dyDescent="0.35">
      <c r="A280" s="115">
        <v>804</v>
      </c>
      <c r="B280" s="115"/>
      <c r="C280" s="115" t="s">
        <v>297</v>
      </c>
      <c r="D280" s="115"/>
      <c r="E280" s="115"/>
      <c r="F280" s="115"/>
      <c r="G280" s="115"/>
      <c r="H280" s="115"/>
      <c r="I280" s="2" t="e">
        <f>2625000/F280</f>
        <v>#DIV/0!</v>
      </c>
    </row>
    <row r="281" spans="1:9" s="2" customFormat="1" ht="15.75" customHeight="1" x14ac:dyDescent="0.35">
      <c r="A281" s="115">
        <v>805</v>
      </c>
      <c r="B281" s="115"/>
      <c r="C281" s="83" t="s">
        <v>194</v>
      </c>
      <c r="D281" s="80">
        <f>(42.7+6.02+2.16)*10.764</f>
        <v>547.6723199999999</v>
      </c>
      <c r="E281" s="80">
        <f>(4.66)*10.764</f>
        <v>50.160240000000002</v>
      </c>
      <c r="F281" s="83">
        <v>1000</v>
      </c>
      <c r="G281" s="115"/>
      <c r="H281" s="115"/>
    </row>
    <row r="282" spans="1:9" s="2" customFormat="1" ht="15.75" customHeight="1" x14ac:dyDescent="0.35">
      <c r="A282" s="115">
        <v>806</v>
      </c>
      <c r="B282" s="115"/>
      <c r="C282" s="83" t="s">
        <v>194</v>
      </c>
      <c r="D282" s="80">
        <f>(39.63+9.18+1.31)*10.764</f>
        <v>539.49167999999997</v>
      </c>
      <c r="E282" s="80">
        <v>0</v>
      </c>
      <c r="F282" s="83">
        <v>925</v>
      </c>
      <c r="G282" s="115"/>
      <c r="H282" s="115"/>
    </row>
    <row r="283" spans="1:9" s="2" customFormat="1" ht="15.75" customHeight="1" x14ac:dyDescent="0.35">
      <c r="A283" s="115">
        <v>807</v>
      </c>
      <c r="B283" s="115"/>
      <c r="C283" s="83" t="s">
        <v>180</v>
      </c>
      <c r="D283" s="80">
        <f>(29.14+5.51+0.67)*10.764</f>
        <v>380.18448000000001</v>
      </c>
      <c r="E283" s="80">
        <v>0</v>
      </c>
      <c r="F283" s="83">
        <v>650</v>
      </c>
      <c r="G283" s="115"/>
      <c r="H283" s="115"/>
    </row>
    <row r="284" spans="1:9" s="2" customFormat="1" ht="15.75" customHeight="1" x14ac:dyDescent="0.35">
      <c r="A284" s="115">
        <v>808</v>
      </c>
      <c r="B284" s="115"/>
      <c r="C284" s="83" t="s">
        <v>180</v>
      </c>
      <c r="D284" s="80">
        <f>(29.14+5.51+0.67)*10.764</f>
        <v>380.18448000000001</v>
      </c>
      <c r="E284" s="80">
        <v>0</v>
      </c>
      <c r="F284" s="83">
        <v>650</v>
      </c>
      <c r="G284" s="115"/>
      <c r="H284" s="115"/>
      <c r="I284" s="2">
        <f>2625000/F284</f>
        <v>4038.4615384615386</v>
      </c>
    </row>
    <row r="285" spans="1:9" s="2" customFormat="1" ht="15.75" customHeight="1" x14ac:dyDescent="0.35">
      <c r="A285" s="115">
        <v>809</v>
      </c>
      <c r="B285" s="115"/>
      <c r="C285" s="83" t="s">
        <v>293</v>
      </c>
      <c r="D285" s="80">
        <f>(51.04+12.78+1.4)*10.764</f>
        <v>702.02807999999993</v>
      </c>
      <c r="E285" s="80">
        <v>0</v>
      </c>
      <c r="F285" s="83">
        <v>1180</v>
      </c>
      <c r="G285" s="115"/>
      <c r="H285" s="115"/>
    </row>
    <row r="286" spans="1:9" s="2" customFormat="1" ht="15.75" customHeight="1" x14ac:dyDescent="0.35">
      <c r="A286" s="115">
        <v>810</v>
      </c>
      <c r="B286" s="115"/>
      <c r="C286" s="83" t="s">
        <v>194</v>
      </c>
      <c r="D286" s="80">
        <f>(39.25+9.26+1.87)*10.764</f>
        <v>542.29031999999995</v>
      </c>
      <c r="E286" s="80">
        <v>0</v>
      </c>
      <c r="F286" s="83">
        <v>945</v>
      </c>
      <c r="G286" s="115"/>
      <c r="H286" s="115"/>
    </row>
    <row r="287" spans="1:9" s="2" customFormat="1" ht="15.75" customHeight="1" x14ac:dyDescent="0.35">
      <c r="A287" s="115">
        <v>811</v>
      </c>
      <c r="B287" s="115"/>
      <c r="C287" s="83" t="s">
        <v>194</v>
      </c>
      <c r="D287" s="80">
        <f>(39.15+5.5+0.67)*10.764</f>
        <v>487.82447999999999</v>
      </c>
      <c r="E287" s="80">
        <f>(4.95)*10.764</f>
        <v>53.281799999999997</v>
      </c>
      <c r="F287" s="83">
        <v>890</v>
      </c>
      <c r="G287" s="115"/>
      <c r="H287" s="115"/>
    </row>
    <row r="288" spans="1:9" s="2" customFormat="1" ht="15.75" customHeight="1" x14ac:dyDescent="0.35">
      <c r="A288" s="115">
        <v>812</v>
      </c>
      <c r="B288" s="115"/>
      <c r="C288" s="83" t="s">
        <v>180</v>
      </c>
      <c r="D288" s="80">
        <f>(29.14+5.51+0.67)*10.764</f>
        <v>380.18448000000001</v>
      </c>
      <c r="E288" s="80">
        <v>0</v>
      </c>
      <c r="F288" s="83">
        <v>730</v>
      </c>
      <c r="G288" s="115"/>
      <c r="H288" s="115"/>
    </row>
    <row r="289" spans="1:8" s="1" customFormat="1" x14ac:dyDescent="0.35">
      <c r="A289" s="160" t="s">
        <v>80</v>
      </c>
      <c r="B289" s="160"/>
      <c r="C289" s="160"/>
      <c r="D289" s="160"/>
      <c r="E289" s="160"/>
      <c r="F289" s="160"/>
      <c r="G289" s="160"/>
      <c r="H289" s="160"/>
    </row>
    <row r="290" spans="1:8" s="10" customFormat="1" ht="168" customHeight="1" x14ac:dyDescent="0.35">
      <c r="A290" s="161" t="s">
        <v>306</v>
      </c>
      <c r="B290" s="161"/>
      <c r="C290" s="161"/>
      <c r="D290" s="161"/>
      <c r="E290" s="161"/>
      <c r="F290" s="161"/>
      <c r="G290" s="161"/>
      <c r="H290" s="161"/>
    </row>
    <row r="291" spans="1:8" x14ac:dyDescent="0.35">
      <c r="A291" s="156" t="s">
        <v>71</v>
      </c>
      <c r="B291" s="156"/>
      <c r="C291" s="156"/>
      <c r="D291" s="156"/>
      <c r="E291" s="156"/>
      <c r="F291" s="156"/>
      <c r="G291" s="156"/>
      <c r="H291" s="156"/>
    </row>
    <row r="292" spans="1:8" x14ac:dyDescent="0.35">
      <c r="A292" s="126" t="s">
        <v>72</v>
      </c>
      <c r="B292" s="126"/>
      <c r="C292" s="126"/>
      <c r="D292" s="126"/>
      <c r="E292" s="126"/>
      <c r="F292" s="126"/>
      <c r="G292" s="126"/>
      <c r="H292" s="126"/>
    </row>
    <row r="293" spans="1:8" ht="15.75" customHeight="1" x14ac:dyDescent="0.35">
      <c r="A293" s="156" t="s">
        <v>73</v>
      </c>
      <c r="B293" s="156"/>
      <c r="C293" s="156"/>
      <c r="D293" s="156"/>
      <c r="E293" s="156"/>
      <c r="F293" s="156"/>
      <c r="G293" s="156"/>
      <c r="H293" s="156"/>
    </row>
    <row r="294" spans="1:8" x14ac:dyDescent="0.35">
      <c r="A294" s="126" t="s">
        <v>74</v>
      </c>
      <c r="B294" s="126"/>
      <c r="C294" s="126"/>
      <c r="D294" s="126"/>
      <c r="E294" s="126"/>
      <c r="F294" s="126"/>
      <c r="G294" s="126"/>
      <c r="H294" s="126"/>
    </row>
    <row r="295" spans="1:8" x14ac:dyDescent="0.35">
      <c r="A295" s="126" t="s">
        <v>75</v>
      </c>
      <c r="B295" s="126"/>
      <c r="C295" s="126"/>
      <c r="D295" s="126"/>
      <c r="E295" s="126"/>
      <c r="F295" s="126"/>
      <c r="G295" s="126"/>
      <c r="H295" s="126"/>
    </row>
    <row r="296" spans="1:8" x14ac:dyDescent="0.35">
      <c r="A296" s="126" t="s">
        <v>76</v>
      </c>
      <c r="B296" s="126"/>
      <c r="C296" s="126"/>
      <c r="D296" s="126"/>
      <c r="E296" s="126"/>
      <c r="F296" s="126"/>
      <c r="G296" s="126"/>
      <c r="H296" s="126"/>
    </row>
    <row r="297" spans="1:8" ht="35.25" customHeight="1" x14ac:dyDescent="0.35">
      <c r="A297" s="125" t="s">
        <v>77</v>
      </c>
      <c r="B297" s="125"/>
      <c r="C297" s="125"/>
      <c r="D297" s="125"/>
      <c r="E297" s="125"/>
      <c r="F297" s="125"/>
      <c r="G297" s="125"/>
      <c r="H297" s="125"/>
    </row>
    <row r="298" spans="1:8" x14ac:dyDescent="0.35">
      <c r="A298" s="139" t="s">
        <v>113</v>
      </c>
      <c r="B298" s="139"/>
      <c r="C298" s="139" t="s">
        <v>311</v>
      </c>
      <c r="D298" s="139"/>
      <c r="E298" s="139" t="s">
        <v>146</v>
      </c>
      <c r="F298" s="139"/>
      <c r="G298" s="139" t="s">
        <v>307</v>
      </c>
      <c r="H298" s="139"/>
    </row>
    <row r="299" spans="1:8" x14ac:dyDescent="0.35">
      <c r="A299" s="138" t="s">
        <v>115</v>
      </c>
      <c r="B299" s="138"/>
      <c r="C299" s="138"/>
      <c r="D299" s="138"/>
      <c r="E299" s="138"/>
      <c r="F299" s="138"/>
      <c r="G299" s="138"/>
      <c r="H299" s="138"/>
    </row>
    <row r="300" spans="1:8" x14ac:dyDescent="0.35">
      <c r="A300" s="138"/>
      <c r="B300" s="138"/>
      <c r="C300" s="138"/>
      <c r="D300" s="138"/>
      <c r="E300" s="138"/>
      <c r="F300" s="138"/>
      <c r="G300" s="138"/>
      <c r="H300" s="138"/>
    </row>
    <row r="301" spans="1:8" x14ac:dyDescent="0.35">
      <c r="A301" s="138"/>
      <c r="B301" s="138"/>
      <c r="C301" s="138"/>
      <c r="D301" s="138"/>
      <c r="E301" s="138"/>
      <c r="F301" s="138"/>
      <c r="G301" s="138"/>
      <c r="H301" s="138"/>
    </row>
    <row r="302" spans="1:8" x14ac:dyDescent="0.35">
      <c r="A302" s="138"/>
      <c r="B302" s="138"/>
      <c r="C302" s="138"/>
      <c r="D302" s="138"/>
      <c r="E302" s="138"/>
      <c r="F302" s="138"/>
      <c r="G302" s="138"/>
      <c r="H302" s="138"/>
    </row>
    <row r="303" spans="1:8" x14ac:dyDescent="0.35">
      <c r="A303" s="56" t="s">
        <v>78</v>
      </c>
      <c r="B303" s="57"/>
      <c r="C303" s="57"/>
      <c r="D303" s="56" t="str">
        <f>E8</f>
        <v>Metro Aangan Phase I</v>
      </c>
      <c r="F303" s="57"/>
      <c r="G303" s="57"/>
      <c r="H303" s="57"/>
    </row>
    <row r="304" spans="1:8" x14ac:dyDescent="0.35">
      <c r="A304" s="57"/>
      <c r="B304" s="57"/>
      <c r="C304" s="57"/>
      <c r="D304" s="57"/>
      <c r="E304" s="57"/>
      <c r="F304" s="57"/>
      <c r="G304" s="57"/>
      <c r="H304" s="57"/>
    </row>
    <row r="305" spans="1:8" x14ac:dyDescent="0.35">
      <c r="A305" s="57"/>
      <c r="B305" s="57"/>
      <c r="C305" s="57"/>
      <c r="D305" s="57"/>
      <c r="E305" s="57"/>
      <c r="F305" s="57"/>
      <c r="G305" s="57"/>
      <c r="H305" s="57"/>
    </row>
    <row r="306" spans="1:8" ht="15" customHeight="1" x14ac:dyDescent="0.35"/>
    <row r="347" spans="1:1" x14ac:dyDescent="0.35">
      <c r="A347" s="58" t="s">
        <v>79</v>
      </c>
    </row>
  </sheetData>
  <mergeCells count="428">
    <mergeCell ref="F118:H118"/>
    <mergeCell ref="A153:H153"/>
    <mergeCell ref="A145:B145"/>
    <mergeCell ref="A146:B146"/>
    <mergeCell ref="A154:B154"/>
    <mergeCell ref="A81:B81"/>
    <mergeCell ref="A82:B82"/>
    <mergeCell ref="A237:H237"/>
    <mergeCell ref="A238:B238"/>
    <mergeCell ref="A88:B88"/>
    <mergeCell ref="A165:B165"/>
    <mergeCell ref="A166:B166"/>
    <mergeCell ref="A141:B141"/>
    <mergeCell ref="F113:H113"/>
    <mergeCell ref="A114:B114"/>
    <mergeCell ref="D114:E114"/>
    <mergeCell ref="F114:H114"/>
    <mergeCell ref="A115:B115"/>
    <mergeCell ref="D115:E115"/>
    <mergeCell ref="F115:H115"/>
    <mergeCell ref="A116:B116"/>
    <mergeCell ref="D116:E116"/>
    <mergeCell ref="F116:H116"/>
    <mergeCell ref="D113:E113"/>
    <mergeCell ref="A56:C56"/>
    <mergeCell ref="D56:H56"/>
    <mergeCell ref="A75:B75"/>
    <mergeCell ref="C75:H75"/>
    <mergeCell ref="A80:B80"/>
    <mergeCell ref="C80:H80"/>
    <mergeCell ref="A89:B89"/>
    <mergeCell ref="A90:B90"/>
    <mergeCell ref="A91:B91"/>
    <mergeCell ref="E81:F81"/>
    <mergeCell ref="G81:H81"/>
    <mergeCell ref="E82:F91"/>
    <mergeCell ref="G82:H91"/>
    <mergeCell ref="A84:B84"/>
    <mergeCell ref="A85:B85"/>
    <mergeCell ref="A86:B86"/>
    <mergeCell ref="A87:B87"/>
    <mergeCell ref="A61:B61"/>
    <mergeCell ref="C61:H61"/>
    <mergeCell ref="C63:H63"/>
    <mergeCell ref="A66:B66"/>
    <mergeCell ref="A67:B67"/>
    <mergeCell ref="A68:B68"/>
    <mergeCell ref="A69:B69"/>
    <mergeCell ref="A70:B70"/>
    <mergeCell ref="A71:B71"/>
    <mergeCell ref="A64:B65"/>
    <mergeCell ref="C64:D65"/>
    <mergeCell ref="E64:F65"/>
    <mergeCell ref="G64:H65"/>
    <mergeCell ref="A72:B72"/>
    <mergeCell ref="A73:B73"/>
    <mergeCell ref="A74:B74"/>
    <mergeCell ref="A295:H295"/>
    <mergeCell ref="A296:H296"/>
    <mergeCell ref="A160:B160"/>
    <mergeCell ref="G172:H179"/>
    <mergeCell ref="A180:H180"/>
    <mergeCell ref="C181:F184"/>
    <mergeCell ref="G181:H188"/>
    <mergeCell ref="A140:B140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294:H294"/>
    <mergeCell ref="A172:B172"/>
    <mergeCell ref="A173:B173"/>
    <mergeCell ref="A164:B164"/>
    <mergeCell ref="A150:B150"/>
    <mergeCell ref="A151:B151"/>
    <mergeCell ref="A179:B179"/>
    <mergeCell ref="A297:H297"/>
    <mergeCell ref="A59:C59"/>
    <mergeCell ref="D59:H59"/>
    <mergeCell ref="A289:H289"/>
    <mergeCell ref="A290:H290"/>
    <mergeCell ref="A291:H291"/>
    <mergeCell ref="A292:H292"/>
    <mergeCell ref="A174:B174"/>
    <mergeCell ref="A175:B175"/>
    <mergeCell ref="A124:H124"/>
    <mergeCell ref="A193:B193"/>
    <mergeCell ref="A194:B194"/>
    <mergeCell ref="A196:B196"/>
    <mergeCell ref="A197:B197"/>
    <mergeCell ref="A202:B202"/>
    <mergeCell ref="A189:H189"/>
    <mergeCell ref="G145:H152"/>
    <mergeCell ref="A155:B155"/>
    <mergeCell ref="A156:B156"/>
    <mergeCell ref="A112:H112"/>
    <mergeCell ref="A113:B113"/>
    <mergeCell ref="A126:H126"/>
    <mergeCell ref="G154:H161"/>
    <mergeCell ref="A162:H162"/>
    <mergeCell ref="A60:C60"/>
    <mergeCell ref="D60:H60"/>
    <mergeCell ref="A110:B110"/>
    <mergeCell ref="A293:H293"/>
    <mergeCell ref="A95:H95"/>
    <mergeCell ref="A96:E96"/>
    <mergeCell ref="F96:H96"/>
    <mergeCell ref="A93:H93"/>
    <mergeCell ref="A94:B94"/>
    <mergeCell ref="C94:H94"/>
    <mergeCell ref="F97:H97"/>
    <mergeCell ref="A97:E97"/>
    <mergeCell ref="F98:H98"/>
    <mergeCell ref="A170:B170"/>
    <mergeCell ref="A203:H203"/>
    <mergeCell ref="A205:B205"/>
    <mergeCell ref="A206:B206"/>
    <mergeCell ref="A207:B207"/>
    <mergeCell ref="A208:B208"/>
    <mergeCell ref="A171:H171"/>
    <mergeCell ref="A167:B167"/>
    <mergeCell ref="A168:B168"/>
    <mergeCell ref="G163:H170"/>
    <mergeCell ref="A83:B83"/>
    <mergeCell ref="A117:H117"/>
    <mergeCell ref="G125:H125"/>
    <mergeCell ref="A138:B138"/>
    <mergeCell ref="A139:B139"/>
    <mergeCell ref="A137:B137"/>
    <mergeCell ref="A142:B142"/>
    <mergeCell ref="A143:B143"/>
    <mergeCell ref="A23:D23"/>
    <mergeCell ref="A24:D24"/>
    <mergeCell ref="E24:H24"/>
    <mergeCell ref="E23:H23"/>
    <mergeCell ref="A25:D25"/>
    <mergeCell ref="E25:H25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1:D21"/>
    <mergeCell ref="E21:H21"/>
    <mergeCell ref="E11:H11"/>
    <mergeCell ref="A12:D12"/>
    <mergeCell ref="E12:H12"/>
    <mergeCell ref="A13:B13"/>
    <mergeCell ref="C13:H13"/>
    <mergeCell ref="C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C30:E30"/>
    <mergeCell ref="A31:B31"/>
    <mergeCell ref="C31:E31"/>
    <mergeCell ref="A32:B32"/>
    <mergeCell ref="C32:E32"/>
    <mergeCell ref="C33:E33"/>
    <mergeCell ref="A29:B29"/>
    <mergeCell ref="A36:B36"/>
    <mergeCell ref="C36:H36"/>
    <mergeCell ref="A299:H302"/>
    <mergeCell ref="A298:B298"/>
    <mergeCell ref="E298:F298"/>
    <mergeCell ref="C298:D298"/>
    <mergeCell ref="G298:H298"/>
    <mergeCell ref="A109:H109"/>
    <mergeCell ref="A107:E107"/>
    <mergeCell ref="F107:H107"/>
    <mergeCell ref="A108:E108"/>
    <mergeCell ref="F108:H108"/>
    <mergeCell ref="D119:E119"/>
    <mergeCell ref="F119:H119"/>
    <mergeCell ref="A127:H127"/>
    <mergeCell ref="A119:B119"/>
    <mergeCell ref="A147:B147"/>
    <mergeCell ref="A148:B148"/>
    <mergeCell ref="A123:H123"/>
    <mergeCell ref="A118:B118"/>
    <mergeCell ref="D118:E118"/>
    <mergeCell ref="A199:B199"/>
    <mergeCell ref="A200:B200"/>
    <mergeCell ref="A201:B201"/>
    <mergeCell ref="A152:B152"/>
    <mergeCell ref="A191:B191"/>
    <mergeCell ref="A104:E104"/>
    <mergeCell ref="F104:H104"/>
    <mergeCell ref="A101:E101"/>
    <mergeCell ref="F101:H101"/>
    <mergeCell ref="A102:E102"/>
    <mergeCell ref="F102:H102"/>
    <mergeCell ref="A103:E103"/>
    <mergeCell ref="F103:H103"/>
    <mergeCell ref="A35:B35"/>
    <mergeCell ref="E35:F35"/>
    <mergeCell ref="C35:D35"/>
    <mergeCell ref="G35:H35"/>
    <mergeCell ref="A47:B48"/>
    <mergeCell ref="G47:H47"/>
    <mergeCell ref="D54:H54"/>
    <mergeCell ref="A54:C54"/>
    <mergeCell ref="A55:C55"/>
    <mergeCell ref="D52:H52"/>
    <mergeCell ref="G49:H49"/>
    <mergeCell ref="A49:B49"/>
    <mergeCell ref="C49:E49"/>
    <mergeCell ref="C45:E45"/>
    <mergeCell ref="A40:D40"/>
    <mergeCell ref="E40:H40"/>
    <mergeCell ref="E41:H41"/>
    <mergeCell ref="E42:H42"/>
    <mergeCell ref="E43:H43"/>
    <mergeCell ref="A41:D41"/>
    <mergeCell ref="A42:D42"/>
    <mergeCell ref="C48:H48"/>
    <mergeCell ref="A43:D43"/>
    <mergeCell ref="A44:H44"/>
    <mergeCell ref="G45:H45"/>
    <mergeCell ref="G46:H46"/>
    <mergeCell ref="A46:B46"/>
    <mergeCell ref="C46:E46"/>
    <mergeCell ref="C47:E47"/>
    <mergeCell ref="A45:B45"/>
    <mergeCell ref="A51:H51"/>
    <mergeCell ref="A52:C52"/>
    <mergeCell ref="D110:E110"/>
    <mergeCell ref="F110:H110"/>
    <mergeCell ref="A111:B111"/>
    <mergeCell ref="D111:E111"/>
    <mergeCell ref="F111:H111"/>
    <mergeCell ref="A57:C57"/>
    <mergeCell ref="A58:C58"/>
    <mergeCell ref="D57:H57"/>
    <mergeCell ref="D58:H58"/>
    <mergeCell ref="A105:E105"/>
    <mergeCell ref="F105:H105"/>
    <mergeCell ref="D55:H55"/>
    <mergeCell ref="A106:E106"/>
    <mergeCell ref="F106:H106"/>
    <mergeCell ref="A99:E99"/>
    <mergeCell ref="F99:H99"/>
    <mergeCell ref="A100:E100"/>
    <mergeCell ref="F100:H100"/>
    <mergeCell ref="A53:C53"/>
    <mergeCell ref="D53:H53"/>
    <mergeCell ref="A92:H92"/>
    <mergeCell ref="A98:E98"/>
    <mergeCell ref="A149:B149"/>
    <mergeCell ref="G128:H143"/>
    <mergeCell ref="A159:B159"/>
    <mergeCell ref="A144:H144"/>
    <mergeCell ref="A161:B161"/>
    <mergeCell ref="A163:B163"/>
    <mergeCell ref="A192:B192"/>
    <mergeCell ref="A157:B157"/>
    <mergeCell ref="A190:H190"/>
    <mergeCell ref="G191:H202"/>
    <mergeCell ref="A198:B198"/>
    <mergeCell ref="A176:B176"/>
    <mergeCell ref="A195:B195"/>
    <mergeCell ref="A177:B177"/>
    <mergeCell ref="A178:B178"/>
    <mergeCell ref="A287:B287"/>
    <mergeCell ref="A288:B288"/>
    <mergeCell ref="G277:H288"/>
    <mergeCell ref="A245:B245"/>
    <mergeCell ref="A246:B246"/>
    <mergeCell ref="A247:B247"/>
    <mergeCell ref="A248:B248"/>
    <mergeCell ref="A249:B249"/>
    <mergeCell ref="G238:H249"/>
    <mergeCell ref="A258:B258"/>
    <mergeCell ref="A259:B259"/>
    <mergeCell ref="A260:B260"/>
    <mergeCell ref="A276:H276"/>
    <mergeCell ref="A277:B277"/>
    <mergeCell ref="A278:B278"/>
    <mergeCell ref="A279:B279"/>
    <mergeCell ref="A280:B280"/>
    <mergeCell ref="A281:B281"/>
    <mergeCell ref="A282:B282"/>
    <mergeCell ref="A283:B283"/>
    <mergeCell ref="A250:H250"/>
    <mergeCell ref="A256:B256"/>
    <mergeCell ref="A257:B257"/>
    <mergeCell ref="G251:H262"/>
    <mergeCell ref="A284:B284"/>
    <mergeCell ref="A240:B240"/>
    <mergeCell ref="G204:H210"/>
    <mergeCell ref="A211:H211"/>
    <mergeCell ref="A204:B204"/>
    <mergeCell ref="A209:B209"/>
    <mergeCell ref="A213:B213"/>
    <mergeCell ref="A214:B214"/>
    <mergeCell ref="A261:B261"/>
    <mergeCell ref="A262:B262"/>
    <mergeCell ref="A252:B252"/>
    <mergeCell ref="G228:H234"/>
    <mergeCell ref="A231:B231"/>
    <mergeCell ref="A232:B232"/>
    <mergeCell ref="A233:B233"/>
    <mergeCell ref="C231:F234"/>
    <mergeCell ref="A234:B234"/>
    <mergeCell ref="A228:B228"/>
    <mergeCell ref="A229:B229"/>
    <mergeCell ref="A230:B230"/>
    <mergeCell ref="A215:B215"/>
    <mergeCell ref="A216:B216"/>
    <mergeCell ref="A263:H263"/>
    <mergeCell ref="A264:B264"/>
    <mergeCell ref="A286:B286"/>
    <mergeCell ref="A224:B224"/>
    <mergeCell ref="A225:B225"/>
    <mergeCell ref="A226:B226"/>
    <mergeCell ref="A210:B210"/>
    <mergeCell ref="A212:B212"/>
    <mergeCell ref="A217:B217"/>
    <mergeCell ref="A218:B218"/>
    <mergeCell ref="A220:B220"/>
    <mergeCell ref="A221:B221"/>
    <mergeCell ref="A239:B239"/>
    <mergeCell ref="A235:H235"/>
    <mergeCell ref="A285:B285"/>
    <mergeCell ref="A253:B253"/>
    <mergeCell ref="A254:B254"/>
    <mergeCell ref="A255:B255"/>
    <mergeCell ref="A241:B241"/>
    <mergeCell ref="A242:B242"/>
    <mergeCell ref="A243:B243"/>
    <mergeCell ref="A244:B244"/>
    <mergeCell ref="C280:F280"/>
    <mergeCell ref="A236:H236"/>
    <mergeCell ref="A251:B251"/>
    <mergeCell ref="A227:H227"/>
    <mergeCell ref="A50:B50"/>
    <mergeCell ref="C50:E50"/>
    <mergeCell ref="G50:H50"/>
    <mergeCell ref="C77:H77"/>
    <mergeCell ref="A78:B79"/>
    <mergeCell ref="C78:D79"/>
    <mergeCell ref="E78:F79"/>
    <mergeCell ref="G78:H79"/>
    <mergeCell ref="G220:H226"/>
    <mergeCell ref="G212:H218"/>
    <mergeCell ref="A219:H219"/>
    <mergeCell ref="A222:B222"/>
    <mergeCell ref="A223:B223"/>
    <mergeCell ref="A120:B120"/>
    <mergeCell ref="D120:E120"/>
    <mergeCell ref="F120:H120"/>
    <mergeCell ref="A122:B122"/>
    <mergeCell ref="D122:E122"/>
    <mergeCell ref="F122:H122"/>
    <mergeCell ref="A121:B121"/>
    <mergeCell ref="D121:E121"/>
    <mergeCell ref="F121:H121"/>
    <mergeCell ref="A158:B158"/>
    <mergeCell ref="A169:B169"/>
    <mergeCell ref="G264:H275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   &amp;P</oddFooter>
  </headerFooter>
  <rowBreaks count="2" manualBreakCount="2">
    <brk id="302" max="16383" man="1"/>
    <brk id="3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6" workbookViewId="0">
      <selection activeCell="K9" sqref="K9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81</v>
      </c>
      <c r="C2" s="195"/>
      <c r="D2" s="195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82</v>
      </c>
      <c r="B4" s="5" t="s">
        <v>83</v>
      </c>
      <c r="C4" s="196" t="s">
        <v>84</v>
      </c>
      <c r="D4" s="196"/>
      <c r="E4" s="196"/>
      <c r="F4" s="6"/>
      <c r="G4" s="196" t="s">
        <v>85</v>
      </c>
      <c r="H4" s="196"/>
      <c r="I4" s="196"/>
      <c r="J4" s="196" t="s">
        <v>86</v>
      </c>
      <c r="K4" s="196"/>
      <c r="L4" s="196"/>
    </row>
    <row r="5" spans="1:12" x14ac:dyDescent="0.35">
      <c r="A5" s="3">
        <v>202</v>
      </c>
      <c r="B5" s="5"/>
      <c r="C5" s="5" t="s">
        <v>87</v>
      </c>
      <c r="D5" s="5" t="s">
        <v>88</v>
      </c>
      <c r="E5" s="5" t="s">
        <v>63</v>
      </c>
      <c r="F5" s="5"/>
      <c r="G5" s="5" t="s">
        <v>87</v>
      </c>
      <c r="H5" s="5" t="s">
        <v>88</v>
      </c>
      <c r="I5" s="5" t="s">
        <v>63</v>
      </c>
      <c r="J5" s="5" t="s">
        <v>87</v>
      </c>
      <c r="K5" s="5" t="s">
        <v>88</v>
      </c>
      <c r="L5" s="5" t="s">
        <v>63</v>
      </c>
    </row>
    <row r="6" spans="1:12" x14ac:dyDescent="0.35">
      <c r="B6" s="7" t="s">
        <v>89</v>
      </c>
      <c r="C6" s="7">
        <v>2.75</v>
      </c>
      <c r="D6" s="7">
        <v>3.3</v>
      </c>
      <c r="E6" s="7">
        <f>C6*D6</f>
        <v>9.0749999999999993</v>
      </c>
      <c r="F6" s="7" t="s">
        <v>90</v>
      </c>
      <c r="G6" s="7"/>
      <c r="H6" s="7"/>
      <c r="I6" s="7">
        <f>G6*H6</f>
        <v>0</v>
      </c>
      <c r="J6" s="7">
        <v>2.75</v>
      </c>
      <c r="K6" s="7">
        <v>1.2</v>
      </c>
      <c r="L6" s="7">
        <f>J6*K6</f>
        <v>3.3</v>
      </c>
    </row>
    <row r="7" spans="1:12" x14ac:dyDescent="0.35">
      <c r="B7" s="7"/>
      <c r="C7" s="7">
        <v>1.2</v>
      </c>
      <c r="D7" s="7">
        <v>1.7</v>
      </c>
      <c r="E7" s="7">
        <f t="shared" ref="E7:E33" si="0">C7*D7</f>
        <v>2.04</v>
      </c>
      <c r="F7" s="7" t="s">
        <v>91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>
        <v>0.75</v>
      </c>
      <c r="D8" s="7">
        <v>2.75</v>
      </c>
      <c r="E8" s="7">
        <f t="shared" si="0"/>
        <v>2.0625</v>
      </c>
      <c r="F8" s="7"/>
      <c r="G8" s="7"/>
      <c r="H8" s="7"/>
      <c r="I8" s="7">
        <f t="shared" si="1"/>
        <v>0</v>
      </c>
      <c r="J8" s="7">
        <v>2.4</v>
      </c>
      <c r="K8" s="7">
        <v>0.4</v>
      </c>
      <c r="L8" s="7">
        <f t="shared" si="2"/>
        <v>0.96</v>
      </c>
    </row>
    <row r="9" spans="1:12" x14ac:dyDescent="0.35">
      <c r="B9" s="7" t="s">
        <v>92</v>
      </c>
      <c r="C9" s="7">
        <v>2.25</v>
      </c>
      <c r="D9" s="7">
        <v>1.65</v>
      </c>
      <c r="E9" s="7">
        <f t="shared" si="0"/>
        <v>3.7124999999999999</v>
      </c>
      <c r="F9" s="7" t="s">
        <v>90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>
        <v>1.05</v>
      </c>
      <c r="D10" s="7">
        <v>2.25</v>
      </c>
      <c r="E10" s="7">
        <f t="shared" si="0"/>
        <v>2.3625000000000003</v>
      </c>
      <c r="F10" s="7" t="s">
        <v>91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>
        <v>0.3</v>
      </c>
      <c r="D11" s="7">
        <v>2.25</v>
      </c>
      <c r="E11" s="7">
        <f t="shared" si="0"/>
        <v>0.67499999999999993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93</v>
      </c>
      <c r="C13" s="7">
        <v>2.75</v>
      </c>
      <c r="D13" s="7">
        <v>3</v>
      </c>
      <c r="E13" s="7">
        <f t="shared" si="0"/>
        <v>8.25</v>
      </c>
      <c r="F13" s="7" t="s">
        <v>90</v>
      </c>
      <c r="G13" s="7">
        <v>2.75</v>
      </c>
      <c r="H13" s="7">
        <v>0.45</v>
      </c>
      <c r="I13" s="7">
        <f t="shared" si="1"/>
        <v>1.2375</v>
      </c>
      <c r="J13" s="7">
        <v>2.7</v>
      </c>
      <c r="K13" s="7">
        <v>1.8</v>
      </c>
      <c r="L13" s="7">
        <f t="shared" si="2"/>
        <v>4.8600000000000003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91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94</v>
      </c>
      <c r="C17" s="7"/>
      <c r="D17" s="7"/>
      <c r="E17" s="7">
        <f t="shared" si="0"/>
        <v>0</v>
      </c>
      <c r="F17" s="7" t="s">
        <v>90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91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94</v>
      </c>
      <c r="C20" s="7"/>
      <c r="D20" s="7"/>
      <c r="E20" s="7">
        <f t="shared" si="0"/>
        <v>0</v>
      </c>
      <c r="F20" s="7" t="s">
        <v>90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91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95</v>
      </c>
      <c r="C23" s="7">
        <v>0.95</v>
      </c>
      <c r="D23" s="7">
        <v>1.2</v>
      </c>
      <c r="E23" s="7">
        <f t="shared" si="0"/>
        <v>1.1399999999999999</v>
      </c>
      <c r="F23" s="7" t="s">
        <v>96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97</v>
      </c>
      <c r="C24" s="7">
        <v>1.2</v>
      </c>
      <c r="D24" s="7">
        <v>1.5</v>
      </c>
      <c r="E24" s="7">
        <f t="shared" si="0"/>
        <v>1.7999999999999998</v>
      </c>
      <c r="F24" s="7" t="s">
        <v>96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98</v>
      </c>
      <c r="C25" s="7"/>
      <c r="D25" s="7"/>
      <c r="E25" s="7">
        <f t="shared" si="0"/>
        <v>0</v>
      </c>
      <c r="F25" s="7" t="s">
        <v>96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99</v>
      </c>
      <c r="C27" s="7">
        <v>2.2999999999999998</v>
      </c>
      <c r="D27" s="7">
        <v>0.9</v>
      </c>
      <c r="E27" s="7">
        <f t="shared" si="0"/>
        <v>2.0699999999999998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100</v>
      </c>
      <c r="C28" s="7">
        <v>0.7</v>
      </c>
      <c r="D28" s="7">
        <v>1.2</v>
      </c>
      <c r="E28" s="7">
        <f t="shared" si="0"/>
        <v>0.84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101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102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366.27201000000002</v>
      </c>
      <c r="E34" s="7">
        <f>SUM(E6:E33)</f>
        <v>34.027500000000003</v>
      </c>
      <c r="F34" s="7"/>
      <c r="G34" s="7"/>
      <c r="H34" s="7">
        <f>I34*10.764</f>
        <v>13.320449999999999</v>
      </c>
      <c r="I34" s="7">
        <f>SUM(I6:I33)</f>
        <v>1.2375</v>
      </c>
      <c r="J34" s="7"/>
      <c r="K34" s="7">
        <f>L34*10.764</f>
        <v>98.167680000000004</v>
      </c>
      <c r="L34" s="7">
        <f>SUM(L6:L33)</f>
        <v>9.120000000000001</v>
      </c>
    </row>
    <row r="36" spans="2:12" x14ac:dyDescent="0.35">
      <c r="D36">
        <f>D34+H34</f>
        <v>379.59246000000002</v>
      </c>
      <c r="E36">
        <f>E34+I34</f>
        <v>35.265000000000001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E1" sqref="E1"/>
    </sheetView>
  </sheetViews>
  <sheetFormatPr defaultRowHeight="14.5" x14ac:dyDescent="0.35"/>
  <cols>
    <col min="1" max="1" width="10.7265625" bestFit="1" customWidth="1"/>
  </cols>
  <sheetData>
    <row r="1" spans="1:3" x14ac:dyDescent="0.35">
      <c r="A1" s="42">
        <v>44495</v>
      </c>
      <c r="B1" t="s">
        <v>247</v>
      </c>
      <c r="C1" t="s">
        <v>248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5" zoomScaleNormal="115" workbookViewId="0">
      <selection activeCell="H7" sqref="H7"/>
    </sheetView>
  </sheetViews>
  <sheetFormatPr defaultColWidth="8.7265625" defaultRowHeight="14.5" x14ac:dyDescent="0.35"/>
  <cols>
    <col min="1" max="1" width="8.7265625" style="20"/>
    <col min="2" max="2" width="22.1796875" style="20" customWidth="1"/>
    <col min="3" max="3" width="37" style="20" customWidth="1"/>
    <col min="4" max="5" width="11.453125" style="20" customWidth="1"/>
    <col min="6" max="6" width="14" style="20" customWidth="1"/>
    <col min="7" max="7" width="20" style="20" customWidth="1"/>
    <col min="8" max="8" width="16.453125" style="20" customWidth="1"/>
    <col min="9" max="16384" width="8.7265625" style="20"/>
  </cols>
  <sheetData>
    <row r="1" spans="1:9" ht="15" customHeight="1" x14ac:dyDescent="0.35"/>
    <row r="2" spans="1:9" ht="15" customHeight="1" x14ac:dyDescent="0.35">
      <c r="A2" s="21"/>
      <c r="B2" s="21"/>
      <c r="C2" s="21"/>
      <c r="D2" s="21"/>
      <c r="E2" s="21"/>
      <c r="F2" s="21"/>
      <c r="G2" s="21"/>
      <c r="H2" s="21"/>
    </row>
    <row r="3" spans="1:9" ht="15.75" customHeight="1" x14ac:dyDescent="0.35">
      <c r="A3" s="21"/>
      <c r="B3" s="197" t="s">
        <v>147</v>
      </c>
      <c r="C3" s="197"/>
      <c r="D3" s="197"/>
      <c r="E3" s="197"/>
      <c r="F3" s="197"/>
      <c r="G3" s="197"/>
      <c r="H3" s="197"/>
    </row>
    <row r="4" spans="1:9" x14ac:dyDescent="0.35">
      <c r="A4" s="21"/>
      <c r="B4" s="22" t="s">
        <v>148</v>
      </c>
      <c r="C4" s="22" t="s">
        <v>149</v>
      </c>
      <c r="D4" s="22" t="s">
        <v>82</v>
      </c>
      <c r="E4" s="22" t="s">
        <v>150</v>
      </c>
      <c r="F4" s="22" t="s">
        <v>155</v>
      </c>
      <c r="G4" s="22" t="s">
        <v>156</v>
      </c>
      <c r="H4" s="22" t="s">
        <v>151</v>
      </c>
    </row>
    <row r="5" spans="1:9" ht="15" customHeight="1" x14ac:dyDescent="0.35">
      <c r="A5" s="21"/>
      <c r="B5" s="33" t="s">
        <v>229</v>
      </c>
      <c r="C5" s="34" t="s">
        <v>230</v>
      </c>
      <c r="D5" s="33" t="s">
        <v>180</v>
      </c>
      <c r="E5" s="24">
        <v>359</v>
      </c>
      <c r="F5" s="26">
        <f>E5*1.45</f>
        <v>520.54999999999995</v>
      </c>
      <c r="G5" s="26">
        <f>H5/F5</f>
        <v>4610.5081164153307</v>
      </c>
      <c r="H5" s="27">
        <v>2400000</v>
      </c>
    </row>
    <row r="6" spans="1:9" x14ac:dyDescent="0.35">
      <c r="A6" s="21"/>
      <c r="B6" s="33" t="s">
        <v>229</v>
      </c>
      <c r="C6" s="28"/>
      <c r="D6" s="33" t="s">
        <v>180</v>
      </c>
      <c r="E6" s="24">
        <v>408</v>
      </c>
      <c r="F6" s="26">
        <f t="shared" ref="F6" si="0">E6*1.45</f>
        <v>591.6</v>
      </c>
      <c r="G6" s="26">
        <f t="shared" ref="G6:G8" si="1">H6/F6</f>
        <v>4643.3400946585525</v>
      </c>
      <c r="H6" s="27">
        <v>2747000</v>
      </c>
    </row>
    <row r="7" spans="1:9" ht="15" customHeight="1" x14ac:dyDescent="0.35">
      <c r="A7" s="21"/>
      <c r="B7" s="24" t="s">
        <v>152</v>
      </c>
      <c r="C7" s="25"/>
      <c r="D7" s="33" t="s">
        <v>180</v>
      </c>
      <c r="E7" s="24"/>
      <c r="F7" s="26">
        <v>832</v>
      </c>
      <c r="G7" s="26">
        <f t="shared" si="1"/>
        <v>4745.1923076923076</v>
      </c>
      <c r="H7" s="27">
        <v>3948000</v>
      </c>
    </row>
    <row r="8" spans="1:9" x14ac:dyDescent="0.35">
      <c r="A8" s="21"/>
      <c r="B8" s="24" t="s">
        <v>152</v>
      </c>
      <c r="C8" s="28"/>
      <c r="D8" s="33" t="s">
        <v>180</v>
      </c>
      <c r="E8" s="24"/>
      <c r="F8" s="26">
        <v>782</v>
      </c>
      <c r="G8" s="26">
        <f t="shared" si="1"/>
        <v>4473.1457800511507</v>
      </c>
      <c r="H8" s="27">
        <v>3498000</v>
      </c>
    </row>
    <row r="9" spans="1:9" ht="15" customHeight="1" x14ac:dyDescent="0.35">
      <c r="A9" s="21"/>
      <c r="B9" s="29" t="s">
        <v>153</v>
      </c>
      <c r="C9" s="24"/>
      <c r="D9" s="24"/>
      <c r="E9" s="24"/>
      <c r="F9" s="24"/>
      <c r="G9" s="30">
        <f>AVERAGE(G5:G8)</f>
        <v>4618.0465747043363</v>
      </c>
      <c r="H9" s="24"/>
    </row>
    <row r="10" spans="1:9" ht="15" customHeight="1" x14ac:dyDescent="0.35">
      <c r="B10" s="29" t="s">
        <v>154</v>
      </c>
      <c r="C10" s="24"/>
      <c r="D10" s="24"/>
      <c r="E10" s="24"/>
      <c r="F10" s="31"/>
      <c r="G10" s="29"/>
      <c r="H10" s="29"/>
      <c r="I10" s="23"/>
    </row>
    <row r="11" spans="1:9" ht="15" customHeight="1" x14ac:dyDescent="0.35"/>
    <row r="12" spans="1:9" ht="15" customHeight="1" x14ac:dyDescent="0.35"/>
    <row r="13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2025-07-15T11:22:31Z</cp:lastPrinted>
  <dcterms:created xsi:type="dcterms:W3CDTF">2019-07-16T09:29:46Z</dcterms:created>
  <dcterms:modified xsi:type="dcterms:W3CDTF">2025-07-15T11:27:02Z</dcterms:modified>
</cp:coreProperties>
</file>