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Sept 25\"/>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J63" i="1"/>
  <c r="I63" i="1"/>
  <c r="D177" i="1" l="1"/>
  <c r="E43" i="1"/>
  <c r="K119" i="1" l="1"/>
  <c r="I187" i="1"/>
  <c r="I173" i="1"/>
  <c r="E199" i="1"/>
  <c r="D199" i="1"/>
  <c r="E198" i="1"/>
  <c r="D198" i="1"/>
  <c r="E197" i="1"/>
  <c r="D197" i="1"/>
  <c r="E196" i="1"/>
  <c r="D196" i="1"/>
  <c r="F196" i="1" s="1"/>
  <c r="H196" i="1" s="1"/>
  <c r="E195" i="1"/>
  <c r="D195" i="1"/>
  <c r="F195" i="1" s="1"/>
  <c r="H195" i="1" s="1"/>
  <c r="A196" i="1"/>
  <c r="A197" i="1" s="1"/>
  <c r="A198" i="1" s="1"/>
  <c r="A199" i="1" s="1"/>
  <c r="A200" i="1" s="1"/>
  <c r="E193" i="1"/>
  <c r="D193" i="1"/>
  <c r="E192" i="1"/>
  <c r="D192" i="1"/>
  <c r="E191" i="1"/>
  <c r="D191" i="1"/>
  <c r="E190" i="1"/>
  <c r="D190" i="1"/>
  <c r="E189" i="1"/>
  <c r="D189" i="1"/>
  <c r="E188" i="1"/>
  <c r="D188" i="1"/>
  <c r="A189" i="1"/>
  <c r="A190" i="1" s="1"/>
  <c r="A191" i="1" s="1"/>
  <c r="A192" i="1" s="1"/>
  <c r="A193" i="1" s="1"/>
  <c r="E185" i="1"/>
  <c r="D185" i="1"/>
  <c r="E184" i="1"/>
  <c r="D184" i="1"/>
  <c r="E183" i="1"/>
  <c r="D183" i="1"/>
  <c r="E182" i="1"/>
  <c r="D182" i="1"/>
  <c r="E181" i="1"/>
  <c r="D181" i="1"/>
  <c r="A182" i="1"/>
  <c r="A183" i="1" s="1"/>
  <c r="A184" i="1" s="1"/>
  <c r="A185" i="1" s="1"/>
  <c r="A186" i="1" s="1"/>
  <c r="E179" i="1"/>
  <c r="D179" i="1"/>
  <c r="E178" i="1"/>
  <c r="D178" i="1"/>
  <c r="E177" i="1"/>
  <c r="F177" i="1"/>
  <c r="H177" i="1" s="1"/>
  <c r="N177" i="1" s="1"/>
  <c r="E176" i="1"/>
  <c r="D176" i="1"/>
  <c r="E175" i="1"/>
  <c r="D175" i="1"/>
  <c r="E174" i="1"/>
  <c r="D174" i="1"/>
  <c r="A175" i="1"/>
  <c r="A176" i="1" s="1"/>
  <c r="A177" i="1" s="1"/>
  <c r="A178" i="1" s="1"/>
  <c r="A179" i="1" s="1"/>
  <c r="G172" i="1"/>
  <c r="G171" i="1"/>
  <c r="G170" i="1"/>
  <c r="G169" i="1"/>
  <c r="E172" i="1"/>
  <c r="D172" i="1"/>
  <c r="E171" i="1"/>
  <c r="D171" i="1"/>
  <c r="E170" i="1"/>
  <c r="D170" i="1"/>
  <c r="E169" i="1"/>
  <c r="D169" i="1"/>
  <c r="E168" i="1"/>
  <c r="D168" i="1"/>
  <c r="E167" i="1"/>
  <c r="D167" i="1"/>
  <c r="A168" i="1"/>
  <c r="A169" i="1" s="1"/>
  <c r="A170" i="1" s="1"/>
  <c r="A171" i="1" s="1"/>
  <c r="A172" i="1" s="1"/>
  <c r="E159" i="1"/>
  <c r="D159" i="1"/>
  <c r="E158" i="1"/>
  <c r="D158" i="1"/>
  <c r="C138" i="1" s="1"/>
  <c r="F198" i="1" l="1"/>
  <c r="H198" i="1" s="1"/>
  <c r="F199" i="1"/>
  <c r="H199" i="1" s="1"/>
  <c r="F191" i="1"/>
  <c r="H191" i="1" s="1"/>
  <c r="N191" i="1" s="1"/>
  <c r="F197" i="1"/>
  <c r="H197" i="1" s="1"/>
  <c r="F183" i="1"/>
  <c r="H183" i="1" s="1"/>
  <c r="F182" i="1"/>
  <c r="H182" i="1" s="1"/>
  <c r="F176" i="1"/>
  <c r="H176" i="1" s="1"/>
  <c r="N176" i="1" s="1"/>
  <c r="F185" i="1"/>
  <c r="H185" i="1" s="1"/>
  <c r="F184" i="1"/>
  <c r="H184" i="1" s="1"/>
  <c r="F181" i="1"/>
  <c r="H181" i="1" s="1"/>
  <c r="F189" i="1"/>
  <c r="H189" i="1" s="1"/>
  <c r="N189" i="1" s="1"/>
  <c r="F190" i="1"/>
  <c r="H190" i="1" s="1"/>
  <c r="N190" i="1" s="1"/>
  <c r="F188" i="1"/>
  <c r="H188" i="1" s="1"/>
  <c r="N188" i="1" s="1"/>
  <c r="F192" i="1"/>
  <c r="H192" i="1" s="1"/>
  <c r="N192" i="1" s="1"/>
  <c r="F193" i="1"/>
  <c r="H193" i="1" s="1"/>
  <c r="N193" i="1" s="1"/>
  <c r="F174" i="1"/>
  <c r="H174" i="1" s="1"/>
  <c r="N174" i="1" s="1"/>
  <c r="F178" i="1"/>
  <c r="H178" i="1" s="1"/>
  <c r="N178" i="1" s="1"/>
  <c r="F175" i="1"/>
  <c r="H175" i="1" s="1"/>
  <c r="N175" i="1" s="1"/>
  <c r="F179" i="1"/>
  <c r="H179" i="1" s="1"/>
  <c r="N179" i="1" s="1"/>
  <c r="F172" i="1"/>
  <c r="H172" i="1" s="1"/>
  <c r="C76" i="1" l="1"/>
  <c r="F147" i="1" l="1"/>
  <c r="B38" i="6"/>
  <c r="B39" i="6" s="1"/>
  <c r="B40" i="6" s="1"/>
  <c r="B41" i="6" s="1"/>
  <c r="B42" i="6" s="1"/>
  <c r="B43" i="6" s="1"/>
  <c r="B44" i="6" s="1"/>
  <c r="B45" i="6" s="1"/>
  <c r="B46" i="6" s="1"/>
  <c r="B47" i="6" s="1"/>
  <c r="B48" i="6" s="1"/>
  <c r="B49" i="6" s="1"/>
  <c r="B50" i="6" s="1"/>
  <c r="B51" i="6" s="1"/>
  <c r="B52" i="6" s="1"/>
  <c r="B53" i="6" s="1"/>
  <c r="B54" i="6" s="1"/>
  <c r="H147"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32" i="1"/>
  <c r="B204" i="1"/>
  <c r="B203" i="1"/>
  <c r="F171" i="1"/>
  <c r="H171" i="1" s="1"/>
  <c r="F170" i="1"/>
  <c r="H170" i="1" s="1"/>
  <c r="F169" i="1"/>
  <c r="H169" i="1" s="1"/>
  <c r="F168" i="1"/>
  <c r="H168" i="1" s="1"/>
  <c r="F167" i="1"/>
  <c r="H167" i="1" s="1"/>
  <c r="F159" i="1"/>
  <c r="H159" i="1" s="1"/>
  <c r="A159" i="1"/>
  <c r="A160" i="1" s="1"/>
  <c r="A161" i="1" s="1"/>
  <c r="A162" i="1" s="1"/>
  <c r="A163" i="1" s="1"/>
  <c r="A164" i="1" s="1"/>
  <c r="A165" i="1" s="1"/>
  <c r="F158" i="1"/>
  <c r="F150" i="1"/>
  <c r="H150" i="1" s="1"/>
  <c r="F149" i="1"/>
  <c r="H149" i="1" s="1"/>
  <c r="F148" i="1"/>
  <c r="H148" i="1" s="1"/>
  <c r="A148" i="1"/>
  <c r="A149" i="1" s="1"/>
  <c r="A150" i="1" s="1"/>
  <c r="G141" i="1"/>
  <c r="E141" i="1"/>
  <c r="C141" i="1"/>
  <c r="F130" i="1"/>
  <c r="C104" i="1"/>
  <c r="C90" i="1"/>
  <c r="B77" i="1"/>
  <c r="D70" i="1"/>
  <c r="G51" i="1"/>
  <c r="G52" i="1" s="1"/>
  <c r="K54" i="1" s="1"/>
  <c r="C51" i="1"/>
  <c r="C52" i="1" s="1"/>
  <c r="E44" i="1"/>
  <c r="E45" i="1" s="1"/>
  <c r="S33" i="1"/>
  <c r="E31" i="1"/>
  <c r="E28" i="1"/>
  <c r="E26" i="1"/>
  <c r="C16" i="1"/>
  <c r="I15" i="1"/>
  <c r="Z13" i="1"/>
  <c r="E8" i="1"/>
  <c r="E3" i="1"/>
  <c r="H105" i="1"/>
  <c r="H91" i="1"/>
  <c r="H158" i="1" l="1"/>
  <c r="G138" i="1" s="1"/>
  <c r="E138" i="1"/>
  <c r="J138" i="1" s="1"/>
  <c r="B214" i="1"/>
  <c r="E42" i="7"/>
  <c r="J84" i="1"/>
  <c r="J85" i="1"/>
  <c r="B105" i="1"/>
  <c r="J113" i="1" s="1"/>
  <c r="I42" i="7"/>
  <c r="H42" i="7" s="1"/>
  <c r="L42" i="7"/>
  <c r="K42" i="7" s="1"/>
  <c r="J90" i="1"/>
  <c r="J92" i="1" s="1"/>
  <c r="D99" i="1"/>
  <c r="D98" i="1"/>
  <c r="D103" i="1"/>
  <c r="D97" i="1"/>
  <c r="J93" i="1"/>
  <c r="D102" i="1"/>
  <c r="J95" i="1"/>
  <c r="C94" i="1" s="1"/>
  <c r="D96" i="1"/>
  <c r="D101" i="1"/>
  <c r="J94" i="1"/>
  <c r="D100" i="1"/>
  <c r="D114" i="1"/>
  <c r="J108" i="1"/>
  <c r="J104" i="1"/>
  <c r="J106" i="1" s="1"/>
  <c r="J107" i="1"/>
  <c r="D112" i="1"/>
  <c r="D117" i="1"/>
  <c r="D111" i="1"/>
  <c r="D116" i="1"/>
  <c r="D110" i="1"/>
  <c r="D113" i="1"/>
  <c r="J109" i="1"/>
  <c r="C108" i="1" s="1"/>
  <c r="D108" i="1" s="1"/>
  <c r="D115" i="1"/>
  <c r="D42" i="7"/>
  <c r="L54" i="1"/>
  <c r="B91" i="1"/>
  <c r="J86" i="1"/>
  <c r="J87" i="1"/>
  <c r="I52" i="1"/>
  <c r="H77" i="1"/>
  <c r="D88" i="1" l="1"/>
  <c r="D82" i="1"/>
  <c r="J82" i="1"/>
  <c r="J83" i="1" s="1"/>
  <c r="J88" i="1" s="1"/>
  <c r="J89" i="1" s="1"/>
  <c r="C81" i="1" s="1"/>
  <c r="J81" i="1"/>
  <c r="C80" i="1" s="1"/>
  <c r="D80" i="1" s="1"/>
  <c r="D87" i="1"/>
  <c r="D86" i="1"/>
  <c r="J76" i="1"/>
  <c r="J78" i="1" s="1"/>
  <c r="D85" i="1"/>
  <c r="D89" i="1"/>
  <c r="D83" i="1"/>
  <c r="J80" i="1"/>
  <c r="J79" i="1"/>
  <c r="N79" i="1" s="1"/>
  <c r="D84" i="1"/>
  <c r="J115" i="1"/>
  <c r="J114" i="1"/>
  <c r="D44" i="7"/>
  <c r="E44" i="7"/>
  <c r="J112" i="1"/>
  <c r="J110" i="1"/>
  <c r="J111" i="1" s="1"/>
  <c r="J116" i="1" s="1"/>
  <c r="J117" i="1" s="1"/>
  <c r="C109" i="1" s="1"/>
  <c r="G108" i="1" s="1"/>
  <c r="D94" i="1"/>
  <c r="J99" i="1"/>
  <c r="J96" i="1"/>
  <c r="J97" i="1" s="1"/>
  <c r="J102" i="1" s="1"/>
  <c r="J103" i="1" s="1"/>
  <c r="C95" i="1" s="1"/>
  <c r="J101" i="1"/>
  <c r="J98" i="1"/>
  <c r="J100" i="1"/>
  <c r="L79" i="1" l="1"/>
  <c r="D74" i="1"/>
  <c r="D75" i="1" s="1"/>
  <c r="D81" i="1"/>
  <c r="I77" i="1" s="1"/>
  <c r="I78" i="1" s="1"/>
  <c r="D109" i="1"/>
  <c r="I105" i="1" s="1"/>
  <c r="I106" i="1" s="1"/>
  <c r="J105" i="1"/>
  <c r="E108" i="1"/>
  <c r="J77" i="1"/>
  <c r="E94" i="1"/>
  <c r="D95" i="1"/>
  <c r="I91" i="1" s="1"/>
  <c r="J91" i="1"/>
  <c r="G94" i="1"/>
  <c r="F75" i="1" l="1"/>
  <c r="I104" i="1"/>
  <c r="C106" i="1" s="1"/>
  <c r="I76" i="1"/>
  <c r="C78" i="1" s="1"/>
  <c r="I92" i="1"/>
  <c r="I90" i="1" s="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<sst xmlns="http://schemas.openxmlformats.org/spreadsheetml/2006/main" count="745" uniqueCount="448">
  <si>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</si>
  <si>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</si>
  <si>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</si>
  <si>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</si>
  <si>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</si>
  <si>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</si>
  <si>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</si>
  <si>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</si>
  <si>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</si>
  <si>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</si>
  <si>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</si>
  <si>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</si>
  <si>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</si>
  <si>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</si>
  <si>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</si>
  <si>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</si>
  <si>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</si>
  <si>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</si>
  <si>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</si>
  <si>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</si>
  <si>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</si>
  <si>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</si>
  <si>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</si>
  <si>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</si>
  <si>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</si>
  <si>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</si>
  <si>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</si>
  <si>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</si>
  <si>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</si>
  <si>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</si>
  <si>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</si>
  <si>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</si>
  <si>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</si>
  <si>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</si>
  <si>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</si>
  <si>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</si>
  <si>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</si>
  <si>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</si>
  <si>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</si>
  <si>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</si>
  <si>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</si>
  <si>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</si>
  <si>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</si>
  <si>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</si>
  <si>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</si>
  <si>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</si>
  <si>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</si>
  <si>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</si>
  <si>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</si>
  <si>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</si>
  <si>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</si>
  <si>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</si>
  <si>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</si>
  <si>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</si>
  <si>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</si>
  <si>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</si>
  <si>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</si>
  <si>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</si>
  <si>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</si>
  <si>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</si>
  <si>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</si>
  <si>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</si>
  <si>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</si>
  <si>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</si>
  <si>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</si>
  <si>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</si>
  <si>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</si>
  <si>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</si>
  <si>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</si>
  <si>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</si>
  <si>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</si>
  <si>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</si>
  <si>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</si>
  <si>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</si>
  <si>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</si>
  <si>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</si>
  <si>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</si>
  <si>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</si>
  <si>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</si>
  <si>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</si>
  <si>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</si>
  <si>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</si>
  <si>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</si>
  <si>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</si>
  <si>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</si>
  <si>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</si>
  <si>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</si>
  <si>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</si>
  <si>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</si>
  <si>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</si>
  <si>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</si>
  <si>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</si>
  <si>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</si>
  <si>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</si>
  <si>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</si>
  <si>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</si>
  <si>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</si>
  <si>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</si>
  <si>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</si>
  <si>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</si>
  <si>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</si>
  <si>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</si>
  <si>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</si>
  <si>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</si>
  <si>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</si>
  <si>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</si>
  <si>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</si>
  <si>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</si>
  <si>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</si>
  <si>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</si>
  <si>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</si>
  <si>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</si>
  <si>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</si>
  <si>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</si>
  <si>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</si>
  <si>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</si>
  <si>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</si>
  <si>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</si>
  <si>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</si>
  <si>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</si>
  <si>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</si>
  <si>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</si>
  <si>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</si>
  <si>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</si>
  <si>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</si>
  <si>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</si>
  <si>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</si>
  <si>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</si>
  <si>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</si>
  <si>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</si>
  <si>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</si>
  <si>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</si>
  <si>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</si>
  <si>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</si>
  <si>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</si>
  <si>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</si>
  <si>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</si>
  <si>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</si>
  <si>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</si>
  <si>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</si>
  <si>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</si>
  <si>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</si>
  <si>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</si>
  <si>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</si>
  <si>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</si>
  <si>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</si>
  <si>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</si>
  <si>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</si>
  <si>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</si>
  <si>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</si>
  <si>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</si>
  <si>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</si>
  <si>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</si>
  <si>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</si>
  <si>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</si>
  <si>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</si>
  <si>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</si>
  <si>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</si>
  <si>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</si>
  <si>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</si>
  <si>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</si>
  <si>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</si>
  <si>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</si>
  <si>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</si>
  <si>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</si>
  <si>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</si>
  <si>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</si>
  <si>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</si>
  <si>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</si>
  <si>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</si>
  <si>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</si>
  <si>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</si>
  <si>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</si>
  <si>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</si>
  <si>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</si>
  <si>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</si>
  <si>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</si>
  <si>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</si>
  <si>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</si>
  <si>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</si>
  <si>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</si>
  <si>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</si>
  <si>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</si>
  <si>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</si>
  <si>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</si>
  <si>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</si>
  <si>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</si>
  <si>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</si>
  <si>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</si>
  <si>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</si>
  <si>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</si>
  <si>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</si>
  <si>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</si>
  <si>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</si>
  <si>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</si>
  <si>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</si>
  <si>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</si>
  <si>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</si>
  <si>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</si>
  <si>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</si>
  <si>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</si>
  <si>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</si>
  <si>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</si>
  <si>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</si>
  <si>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</si>
  <si>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</si>
  <si>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</si>
  <si>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</si>
  <si>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</si>
  <si>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</si>
  <si>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</si>
  <si>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</si>
  <si>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</si>
  <si>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</si>
  <si>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</si>
  <si>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</si>
  <si>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</si>
  <si>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</si>
  <si>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</si>
  <si>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</si>
  <si>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</si>
  <si>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</si>
  <si>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</si>
  <si>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</si>
  <si>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</si>
  <si>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</si>
  <si>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</si>
  <si>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</si>
  <si>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</si>
  <si>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</si>
  <si>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</si>
  <si>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</si>
  <si>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</si>
  <si>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</si>
  <si>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</si>
  <si>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</si>
  <si>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</si>
  <si>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</si>
  <si>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</si>
  <si>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</si>
  <si>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</si>
  <si>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</si>
  <si>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</si>
  <si>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</si>
  <si>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</si>
  <si>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</si>
  <si>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</si>
  <si>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</si>
  <si>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</si>
  <si>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</si>
  <si>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</si>
  <si>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</si>
  <si>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</si>
  <si>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</si>
  <si>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</si>
  <si>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</si>
  <si>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</si>
  <si>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</si>
  <si>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</si>
  <si>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</si>
  <si>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</si>
  <si>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</si>
  <si>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</si>
  <si>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</si>
  <si>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</si>
  <si>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</si>
  <si>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</si>
  <si>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</si>
  <si>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</si>
  <si>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</si>
  <si>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</si>
  <si>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</si>
  <si>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</si>
  <si>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</si>
  <si>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</si>
  <si>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</si>
  <si>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</si>
  <si>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</si>
  <si>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</si>
  <si>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</si>
  <si>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</si>
  <si>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</si>
  <si>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</si>
  <si>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</si>
  <si>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</si>
  <si>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</si>
  <si>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</si>
  <si>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</si>
  <si>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</si>
  <si>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</si>
  <si>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</si>
  <si>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</si>
  <si>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</si>
  <si>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</si>
  <si>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</si>
  <si>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</si>
  <si>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</si>
  <si>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</si>
  <si>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</si>
  <si>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</si>
  <si>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</si>
  <si>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</si>
  <si>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</si>
  <si>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</si>
  <si>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</si>
  <si>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</si>
  <si>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</si>
  <si>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</si>
  <si>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</si>
  <si>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</si>
  <si>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</si>
  <si>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</si>
  <si>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</si>
  <si>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</si>
  <si>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</si>
  <si>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</si>
  <si>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</si>
  <si>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</si>
  <si>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</si>
  <si>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</si>
  <si>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</si>
  <si>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</si>
  <si>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</si>
  <si>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</si>
  <si>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</si>
  <si>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</si>
  <si>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</si>
  <si>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</si>
  <si>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</si>
  <si>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</si>
  <si>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</si>
  <si>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</si>
  <si>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</si>
  <si>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</si>
  <si>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</si>
  <si>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</si>
  <si>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</si>
  <si>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</si>
  <si>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</si>
  <si>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</si>
  <si>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</si>
  <si>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</si>
  <si>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</si>
  <si>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</si>
  <si>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</si>
  <si>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</si>
  <si>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</si>
  <si>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</si>
  <si>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</si>
  <si>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</si>
  <si>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</si>
  <si>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</si>
  <si>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</si>
  <si>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</si>
  <si>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</si>
  <si>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</si>
  <si>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</si>
  <si>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</si>
  <si>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</si>
  <si>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</si>
  <si>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</si>
  <si>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</si>
  <si>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</si>
  <si>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</si>
  <si>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</si>
  <si>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</si>
  <si>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</si>
  <si>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</si>
  <si>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</si>
  <si>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</si>
  <si>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</si>
  <si>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</si>
  <si>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</si>
  <si>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</si>
  <si>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</si>
  <si>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</si>
  <si>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</si>
  <si>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</si>
  <si>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</si>
  <si>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</si>
  <si>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</si>
  <si>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</si>
  <si>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</si>
  <si>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Newfound Properties And Leasing Private Limited</t>
  </si>
  <si>
    <t>T11 Raheja Jade City</t>
  </si>
  <si>
    <t>Suraj Pardeshi - 9665250409</t>
  </si>
  <si>
    <t>Tower No. 11</t>
  </si>
  <si>
    <t>P51700080277</t>
  </si>
  <si>
    <t>Mindspace Juinagar</t>
  </si>
  <si>
    <t>Shiravane</t>
  </si>
  <si>
    <t>Juinagar</t>
  </si>
  <si>
    <t>S Central Road</t>
  </si>
  <si>
    <t>2.00KM from Juinagar Railway Station</t>
  </si>
  <si>
    <t>Gen 2/1D, Gen 2/1E, Gen 2/1F</t>
  </si>
  <si>
    <t>Other Plot</t>
  </si>
  <si>
    <t>1.2 M Wide Driveway</t>
  </si>
  <si>
    <t>Tower 2</t>
  </si>
  <si>
    <t>Under Construction Building</t>
  </si>
  <si>
    <t>Kuchcha Road</t>
  </si>
  <si>
    <t>Open Plot</t>
  </si>
  <si>
    <t xml:space="preserve"> Power house</t>
  </si>
  <si>
    <t xml:space="preserve">EE/Dn. II/MHP/SPA/I/13157/of 2023 </t>
  </si>
  <si>
    <t>Tower 11 = P4 + P5 + E Deck + 1st to 26th Floor (BUA = 12622.42 Sq M)</t>
  </si>
  <si>
    <t>SWC/14/521/20220528/836405.</t>
  </si>
  <si>
    <t>T11 = P4 + P5 + E Deck + 1st to 26th Floor</t>
  </si>
  <si>
    <t>SIA/MH/INFRA2/410004/2022</t>
  </si>
  <si>
    <t>Plot No.Gen 2/1/D, Gen 2/1/E, Gen 2/1/F
Proposed BUA = 672025.55 Sq.M
B11- Residential Tower - T11 = P4+ P5 + E-Deck + 1st to
23rd Floor + (Part Basement For Service)</t>
  </si>
  <si>
    <t>NAVI/WEST/B/062422/679003</t>
  </si>
  <si>
    <t>Site Elevation (AMSL) = 27.5M
Permissible Top Elevation (AMSL) = 121.94M</t>
  </si>
  <si>
    <t>Tower 11 = P4 + P5 + E Deck + 1st to 26th Floor</t>
  </si>
  <si>
    <t>Tower 11 = G + P + E Deck + 1st to 26th Floor</t>
  </si>
  <si>
    <t>As per RERA - 31/07/2031</t>
  </si>
  <si>
    <t>Flower Garden, Jogging Track, Pet Park, Gym, Kids Play Area, Senior Citizen Area, Multipurpose Lawn, Swimming Pool, Cafeteria etc.</t>
  </si>
  <si>
    <t>19.050000,73.031250</t>
  </si>
  <si>
    <t>https://maps.app.goo.gl/KxqPRD7qE1PusDSh9</t>
  </si>
  <si>
    <r>
      <t xml:space="preserve">Proposed Amenities :                                                                                                                                                                                                                         </t>
    </r>
    <r>
      <rPr>
        <b/>
        <sz val="12"/>
        <rFont val="Times New Roman"/>
        <family val="1"/>
      </rPr>
      <t xml:space="preserve">                                               </t>
    </r>
  </si>
  <si>
    <t>Tower 11</t>
  </si>
  <si>
    <t>4th Podium Floor (Ground Floor) For Parking</t>
  </si>
  <si>
    <t>5th Podium Floor (1st Podium Floor) For Parking</t>
  </si>
  <si>
    <t>E- Deck Level Floor For Residential &amp; Parking</t>
  </si>
  <si>
    <t>2BHK</t>
  </si>
  <si>
    <t>Balcony + AC Ledge + Utility Area</t>
  </si>
  <si>
    <t>Stilt Area</t>
  </si>
  <si>
    <t>1st Floor For Residential</t>
  </si>
  <si>
    <t>3BHK</t>
  </si>
  <si>
    <t>2nd to 4th, 6th to 9th &amp; 11th to 13th Floor</t>
  </si>
  <si>
    <t>5th &amp; 10th Floor For Residential (Part Refuge Area)</t>
  </si>
  <si>
    <t>Refuge Area</t>
  </si>
  <si>
    <t>14th, 16th to 19th, 21st to 24th &amp; 26th Floor</t>
  </si>
  <si>
    <t>15th, 20th &amp; 25th Floor For Residential (Part Refuge Area)</t>
  </si>
  <si>
    <t>Construction work is in process at the time of Visit.</t>
  </si>
  <si>
    <t>We considered Gross carpet area = Net carpet + Balcony + Enclosed Balcony + AC Ledge Area.</t>
  </si>
  <si>
    <t>Kunal Kadam</t>
  </si>
  <si>
    <t xml:space="preserve">Details of Residential in Building   </t>
  </si>
  <si>
    <t>Flats - 153</t>
  </si>
  <si>
    <t>We have referred approved plans &amp; CC from RERA site.</t>
  </si>
  <si>
    <t>We have referred Airport Noc from AAI site.</t>
  </si>
  <si>
    <t>We have referred  Environment Clearance Certificate from Parivesh site.</t>
  </si>
  <si>
    <t>Rera Certificate.</t>
  </si>
  <si>
    <t>Total Permissible Builtup area of the project (Sq.Mt)</t>
  </si>
  <si>
    <t>22000-23000</t>
  </si>
  <si>
    <t xml:space="preserve">Village as per discussion with sachin sir &amp; ref of raheja Lunaris </t>
  </si>
  <si>
    <t xml:space="preserve">Mayur Ranvare	</t>
  </si>
  <si>
    <t>Mr. Shrikant 8688244119</t>
  </si>
  <si>
    <t xml:space="preserve">Please check for Fire NOC.
</t>
  </si>
  <si>
    <t>Juinagar East</t>
  </si>
  <si>
    <t>As per discussion with sachin sir</t>
  </si>
  <si>
    <t xml:space="preserve">Approved area of building T11 (Sq.Mt)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</si>
</sst>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0" xfId="0" applyNumberFormat="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2" fillId="0" borderId="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1" fontId="8" fillId="5" borderId="8" xfId="1" applyNumberFormat="1" applyFont="1" applyFill="1" applyBorder="1" applyAlignment="1" applyProtection="1">
      <alignment horizontal="center" vertical="center" wrapText="1"/>
      <protection locked="0"/>
    </xf>
    <xf numFmtId="1" fontId="8" fillId="5" borderId="21" xfId="1" applyNumberFormat="1" applyFont="1" applyFill="1" applyBorder="1" applyAlignment="1" applyProtection="1">
      <alignment horizontal="center" vertical="center" wrapText="1"/>
      <protection locked="0"/>
    </xf>
    <xf numFmtId="1" fontId="8" fillId="5" borderId="9" xfId="1" applyNumberFormat="1"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2" fontId="12"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83821</xdr:colOff>
      <xdr:row>274</xdr:row>
      <xdr:rowOff>0</xdr:rowOff>
    </xdr:from>
    <xdr:to>
      <xdr:col>6</xdr:col>
      <xdr:colOff>670560</xdr:colOff>
      <xdr:row>311</xdr:row>
      <xdr:rowOff>137160</xdr:rowOff>
    </xdr:to>
    <xdr:grpSp>
      <xdr:nvGrpSpPr>
        <xdr:cNvPr id="2" name="Group 1">
          <a:extLst>
            <a:ext uri="{FF2B5EF4-FFF2-40B4-BE49-F238E27FC236}">
              <a16:creationId xmlns:a16="http://schemas.microsoft.com/office/drawing/2014/main" xmlns="" id="{07AAEB44-0CDB-4364-AC3C-A7D56FEC8A67}"/>
            </a:ext>
          </a:extLst>
        </xdr:cNvPr>
        <xdr:cNvGrpSpPr/>
      </xdr:nvGrpSpPr>
      <xdr:grpSpPr>
        <a:xfrm>
          <a:off x="845821" y="47091600"/>
          <a:ext cx="4672964" cy="7538085"/>
          <a:chOff x="369000" y="0"/>
          <a:chExt cx="6120000" cy="9144000"/>
        </a:xfrm>
      </xdr:grpSpPr>
      <xdr:pic>
        <xdr:nvPicPr>
          <xdr:cNvPr id="3" name="Picture 2">
            <a:extLst>
              <a:ext uri="{FF2B5EF4-FFF2-40B4-BE49-F238E27FC236}">
                <a16:creationId xmlns:a16="http://schemas.microsoft.com/office/drawing/2014/main" xmlns="" id="{1A3103CB-CFA3-E63E-C325-D75ACED7F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000" y="0"/>
            <a:ext cx="6120000" cy="6531431"/>
          </a:xfrm>
          <a:prstGeom prst="rect">
            <a:avLst/>
          </a:prstGeom>
          <a:ln>
            <a:solidFill>
              <a:schemeClr val="tx1"/>
            </a:solidFill>
          </a:ln>
        </xdr:spPr>
      </xdr:pic>
      <xdr:pic>
        <xdr:nvPicPr>
          <xdr:cNvPr id="4" name="Picture 3">
            <a:extLst>
              <a:ext uri="{FF2B5EF4-FFF2-40B4-BE49-F238E27FC236}">
                <a16:creationId xmlns:a16="http://schemas.microsoft.com/office/drawing/2014/main" xmlns="" id="{23AF695D-ACCF-A295-1852-FE51766C47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72" y="6624000"/>
            <a:ext cx="4457656" cy="2520000"/>
          </a:xfrm>
          <a:prstGeom prst="rect">
            <a:avLst/>
          </a:prstGeom>
          <a:ln>
            <a:solidFill>
              <a:schemeClr val="tx1"/>
            </a:solidFill>
          </a:ln>
        </xdr:spPr>
      </xdr:pic>
    </xdr:grpSp>
    <xdr:clientData/>
  </xdr:twoCellAnchor>
  <xdr:twoCellAnchor>
    <xdr:from>
      <xdr:col>0</xdr:col>
      <xdr:colOff>213360</xdr:colOff>
      <xdr:row>233</xdr:row>
      <xdr:rowOff>38100</xdr:rowOff>
    </xdr:from>
    <xdr:to>
      <xdr:col>7</xdr:col>
      <xdr:colOff>607331</xdr:colOff>
      <xdr:row>258</xdr:row>
      <xdr:rowOff>6624</xdr:rowOff>
    </xdr:to>
    <xdr:grpSp>
      <xdr:nvGrpSpPr>
        <xdr:cNvPr id="15" name="Group 14">
          <a:extLst>
            <a:ext uri="{FF2B5EF4-FFF2-40B4-BE49-F238E27FC236}">
              <a16:creationId xmlns:a16="http://schemas.microsoft.com/office/drawing/2014/main" xmlns="" id="{296F465E-63AE-392B-743A-991116EB6B45}"/>
            </a:ext>
          </a:extLst>
        </xdr:cNvPr>
        <xdr:cNvGrpSpPr/>
      </xdr:nvGrpSpPr>
      <xdr:grpSpPr>
        <a:xfrm>
          <a:off x="213360" y="38938200"/>
          <a:ext cx="5975621" cy="4959624"/>
          <a:chOff x="164933" y="273733"/>
          <a:chExt cx="6124211" cy="4913904"/>
        </a:xfrm>
      </xdr:grpSpPr>
      <xdr:pic>
        <xdr:nvPicPr>
          <xdr:cNvPr id="16" name="Picture 15">
            <a:extLst>
              <a:ext uri="{FF2B5EF4-FFF2-40B4-BE49-F238E27FC236}">
                <a16:creationId xmlns:a16="http://schemas.microsoft.com/office/drawing/2014/main" xmlns="" id="{F6671CE9-D4D3-222A-5678-5DDB07DFC92A}"/>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4122394" y="273733"/>
            <a:ext cx="2166750" cy="2880000"/>
          </a:xfrm>
          <a:prstGeom prst="rect">
            <a:avLst/>
          </a:prstGeom>
          <a:ln>
            <a:solidFill>
              <a:schemeClr val="tx1"/>
            </a:solidFill>
          </a:ln>
        </xdr:spPr>
      </xdr:pic>
      <xdr:pic>
        <xdr:nvPicPr>
          <xdr:cNvPr id="17" name="Picture 16">
            <a:extLst>
              <a:ext uri="{FF2B5EF4-FFF2-40B4-BE49-F238E27FC236}">
                <a16:creationId xmlns:a16="http://schemas.microsoft.com/office/drawing/2014/main" xmlns="" id="{6CB84F1D-2BEE-8B20-B90D-D26FA3A9F2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164933" y="273733"/>
            <a:ext cx="3822288" cy="2880000"/>
          </a:xfrm>
          <a:prstGeom prst="rect">
            <a:avLst/>
          </a:prstGeom>
          <a:ln>
            <a:solidFill>
              <a:schemeClr val="tx1"/>
            </a:solidFill>
          </a:ln>
        </xdr:spPr>
      </xdr:pic>
      <xdr:pic>
        <xdr:nvPicPr>
          <xdr:cNvPr id="18" name="Picture 17">
            <a:extLst>
              <a:ext uri="{FF2B5EF4-FFF2-40B4-BE49-F238E27FC236}">
                <a16:creationId xmlns:a16="http://schemas.microsoft.com/office/drawing/2014/main" xmlns="" id="{0EAF5963-2F49-A347-7B46-4F6649AF37B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2552741" y="3387637"/>
            <a:ext cx="1348594" cy="180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0B268E1B-F64B-F14F-AA6F-98404843BD36}"/>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1063349" y="3387637"/>
            <a:ext cx="1354219" cy="180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5C095D52-9F65-D0F7-5CCC-A46678CA56A8}"/>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4036508" y="3387637"/>
            <a:ext cx="1354219" cy="1800000"/>
          </a:xfrm>
          <a:prstGeom prst="rect">
            <a:avLst/>
          </a:prstGeom>
          <a:ln>
            <a:solidFill>
              <a:schemeClr val="tx1"/>
            </a:solidFill>
          </a:ln>
        </xdr:spPr>
      </xdr:pic>
      <xdr:sp macro="" textlink="">
        <xdr:nvSpPr>
          <xdr:cNvPr id="21" name="TextBox 19">
            <a:extLst>
              <a:ext uri="{FF2B5EF4-FFF2-40B4-BE49-F238E27FC236}">
                <a16:creationId xmlns:a16="http://schemas.microsoft.com/office/drawing/2014/main" xmlns="" id="{E72F0B53-6487-4140-4DAC-152F187C254F}"/>
              </a:ext>
            </a:extLst>
          </xdr:cNvPr>
          <xdr:cNvSpPr txBox="1"/>
        </xdr:nvSpPr>
        <xdr:spPr>
          <a:xfrm>
            <a:off x="428992" y="2244387"/>
            <a:ext cx="105535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Tower 11</a:t>
            </a:r>
          </a:p>
        </xdr:txBody>
      </xdr:sp>
      <xdr:cxnSp macro="">
        <xdr:nvCxnSpPr>
          <xdr:cNvPr id="22" name="Straight Arrow Connector 21">
            <a:extLst>
              <a:ext uri="{FF2B5EF4-FFF2-40B4-BE49-F238E27FC236}">
                <a16:creationId xmlns:a16="http://schemas.microsoft.com/office/drawing/2014/main" xmlns="" id="{BFC3B725-3225-CCFD-A74B-0F66BB36CD59}"/>
              </a:ext>
            </a:extLst>
          </xdr:cNvPr>
          <xdr:cNvCxnSpPr/>
        </xdr:nvCxnSpPr>
        <xdr:spPr>
          <a:xfrm flipH="1" flipV="1">
            <a:off x="1216053" y="1995216"/>
            <a:ext cx="55880" cy="30480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TextBox 22">
            <a:extLst>
              <a:ext uri="{FF2B5EF4-FFF2-40B4-BE49-F238E27FC236}">
                <a16:creationId xmlns:a16="http://schemas.microsoft.com/office/drawing/2014/main" xmlns="" id="{65EAC693-246F-C862-A66B-157AADD44DB5}"/>
              </a:ext>
            </a:extLst>
          </xdr:cNvPr>
          <xdr:cNvSpPr txBox="1"/>
        </xdr:nvSpPr>
        <xdr:spPr>
          <a:xfrm>
            <a:off x="4183304" y="2488227"/>
            <a:ext cx="105535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Tower 11</a:t>
            </a:r>
          </a:p>
        </xdr:txBody>
      </xdr:sp>
      <xdr:cxnSp macro="">
        <xdr:nvCxnSpPr>
          <xdr:cNvPr id="24" name="Straight Arrow Connector 23">
            <a:extLst>
              <a:ext uri="{FF2B5EF4-FFF2-40B4-BE49-F238E27FC236}">
                <a16:creationId xmlns:a16="http://schemas.microsoft.com/office/drawing/2014/main" xmlns="" id="{486134C5-6AF2-3D8F-60E4-23CE9B9523C9}"/>
              </a:ext>
            </a:extLst>
          </xdr:cNvPr>
          <xdr:cNvCxnSpPr/>
        </xdr:nvCxnSpPr>
        <xdr:spPr>
          <a:xfrm flipH="1" flipV="1">
            <a:off x="4917632" y="2169160"/>
            <a:ext cx="55880" cy="30480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274320</xdr:colOff>
      <xdr:row>316</xdr:row>
      <xdr:rowOff>144781</xdr:rowOff>
    </xdr:from>
    <xdr:to>
      <xdr:col>7</xdr:col>
      <xdr:colOff>431090</xdr:colOff>
      <xdr:row>354</xdr:row>
      <xdr:rowOff>102420</xdr:rowOff>
    </xdr:to>
    <xdr:grpSp>
      <xdr:nvGrpSpPr>
        <xdr:cNvPr id="26" name="Group 25">
          <a:extLst>
            <a:ext uri="{FF2B5EF4-FFF2-40B4-BE49-F238E27FC236}">
              <a16:creationId xmlns:a16="http://schemas.microsoft.com/office/drawing/2014/main" xmlns="" id="{A9171326-039C-CD2A-2AA4-45FBA530FDB9}"/>
            </a:ext>
          </a:extLst>
        </xdr:cNvPr>
        <xdr:cNvGrpSpPr/>
      </xdr:nvGrpSpPr>
      <xdr:grpSpPr>
        <a:xfrm>
          <a:off x="274320" y="55637431"/>
          <a:ext cx="5738420" cy="7558589"/>
          <a:chOff x="274320" y="54589681"/>
          <a:chExt cx="5887010" cy="7486199"/>
        </a:xfrm>
      </xdr:grpSpPr>
      <xdr:grpSp>
        <xdr:nvGrpSpPr>
          <xdr:cNvPr id="5" name="Group 4">
            <a:extLst>
              <a:ext uri="{FF2B5EF4-FFF2-40B4-BE49-F238E27FC236}">
                <a16:creationId xmlns:a16="http://schemas.microsoft.com/office/drawing/2014/main" xmlns="" id="{B1ACE58F-FE7F-4D79-AB6D-4A0AC53221D4}"/>
              </a:ext>
            </a:extLst>
          </xdr:cNvPr>
          <xdr:cNvGrpSpPr/>
        </xdr:nvGrpSpPr>
        <xdr:grpSpPr>
          <a:xfrm>
            <a:off x="274320" y="57391240"/>
            <a:ext cx="5887010" cy="4684640"/>
            <a:chOff x="1210236" y="79318345"/>
            <a:chExt cx="6656294" cy="4434418"/>
          </a:xfrm>
        </xdr:grpSpPr>
        <xdr:grpSp>
          <xdr:nvGrpSpPr>
            <xdr:cNvPr id="6" name="Group 5">
              <a:extLst>
                <a:ext uri="{FF2B5EF4-FFF2-40B4-BE49-F238E27FC236}">
                  <a16:creationId xmlns:a16="http://schemas.microsoft.com/office/drawing/2014/main" xmlns="" id="{31C5664A-14D8-675A-9B26-174C99EC88B3}"/>
                </a:ext>
              </a:extLst>
            </xdr:cNvPr>
            <xdr:cNvGrpSpPr/>
          </xdr:nvGrpSpPr>
          <xdr:grpSpPr>
            <a:xfrm>
              <a:off x="1210236" y="79318345"/>
              <a:ext cx="6656294" cy="4434418"/>
              <a:chOff x="1411941" y="80054824"/>
              <a:chExt cx="7421011" cy="5582429"/>
            </a:xfrm>
          </xdr:grpSpPr>
          <xdr:grpSp>
            <xdr:nvGrpSpPr>
              <xdr:cNvPr id="12" name="Group 11">
                <a:extLst>
                  <a:ext uri="{FF2B5EF4-FFF2-40B4-BE49-F238E27FC236}">
                    <a16:creationId xmlns:a16="http://schemas.microsoft.com/office/drawing/2014/main" xmlns="" id="{149BE931-EC32-A828-89A0-F79986B40C74}"/>
                  </a:ext>
                </a:extLst>
              </xdr:cNvPr>
              <xdr:cNvGrpSpPr/>
            </xdr:nvGrpSpPr>
            <xdr:grpSpPr>
              <a:xfrm>
                <a:off x="4811620" y="82220154"/>
                <a:ext cx="2472203" cy="1363063"/>
                <a:chOff x="3298350" y="5052852"/>
                <a:chExt cx="3372831" cy="1812768"/>
              </a:xfrm>
            </xdr:grpSpPr>
            <xdr:sp macro="" textlink="">
              <xdr:nvSpPr>
                <xdr:cNvPr id="13" name="Rectangle 12">
                  <a:extLst>
                    <a:ext uri="{FF2B5EF4-FFF2-40B4-BE49-F238E27FC236}">
                      <a16:creationId xmlns:a16="http://schemas.microsoft.com/office/drawing/2014/main" xmlns="" id="{C9159C6A-8BA8-CCF8-DE90-20465A33B1EF}"/>
                    </a:ext>
                  </a:extLst>
                </xdr:cNvPr>
                <xdr:cNvSpPr/>
              </xdr:nvSpPr>
              <xdr:spPr>
                <a:xfrm>
                  <a:off x="4091940" y="5753100"/>
                  <a:ext cx="1120140" cy="111252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4" name="TextBox 7">
                  <a:extLst>
                    <a:ext uri="{FF2B5EF4-FFF2-40B4-BE49-F238E27FC236}">
                      <a16:creationId xmlns:a16="http://schemas.microsoft.com/office/drawing/2014/main" xmlns="" id="{478DA6A8-34DD-14C4-5F96-ADD7EBA52588}"/>
                    </a:ext>
                  </a:extLst>
                </xdr:cNvPr>
                <xdr:cNvSpPr txBox="1"/>
              </xdr:nvSpPr>
              <xdr:spPr>
                <a:xfrm>
                  <a:off x="3298350" y="5052852"/>
                  <a:ext cx="3372831" cy="49757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T11 Raheja Jade City</a:t>
                  </a:r>
                  <a:endParaRPr lang="en-IN" b="1">
                    <a:solidFill>
                      <a:srgbClr val="FFFF00"/>
                    </a:solidFill>
                  </a:endParaRPr>
                </a:p>
              </xdr:txBody>
            </xdr:sp>
          </xdr:grpSp>
          <xdr:pic>
            <xdr:nvPicPr>
              <xdr:cNvPr id="10" name="Picture 9">
                <a:extLst>
                  <a:ext uri="{FF2B5EF4-FFF2-40B4-BE49-F238E27FC236}">
                    <a16:creationId xmlns:a16="http://schemas.microsoft.com/office/drawing/2014/main" xmlns="" id="{DAD7446A-C4DF-826B-35EF-17CAB4C19545}"/>
                  </a:ext>
                </a:extLst>
              </xdr:cNvPr>
              <xdr:cNvPicPr>
                <a:picLocks noChangeAspect="1"/>
              </xdr:cNvPicPr>
            </xdr:nvPicPr>
            <xdr:blipFill>
              <a:blip xmlns:r="http://schemas.openxmlformats.org/officeDocument/2006/relationships" r:embed="rId8"/>
              <a:stretch>
                <a:fillRect/>
              </a:stretch>
            </xdr:blipFill>
            <xdr:spPr>
              <a:xfrm>
                <a:off x="1411941" y="80054824"/>
                <a:ext cx="7421011" cy="5582429"/>
              </a:xfrm>
              <a:prstGeom prst="rect">
                <a:avLst/>
              </a:prstGeom>
              <a:ln>
                <a:solidFill>
                  <a:sysClr val="windowText" lastClr="000000"/>
                </a:solidFill>
              </a:ln>
            </xdr:spPr>
          </xdr:pic>
        </xdr:grpSp>
        <xdr:sp macro="" textlink="">
          <xdr:nvSpPr>
            <xdr:cNvPr id="7" name="Rectangle 6">
              <a:extLst>
                <a:ext uri="{FF2B5EF4-FFF2-40B4-BE49-F238E27FC236}">
                  <a16:creationId xmlns:a16="http://schemas.microsoft.com/office/drawing/2014/main" xmlns="" id="{0381838B-0687-7C93-3DEF-58BC8A95A439}"/>
                </a:ext>
              </a:extLst>
            </xdr:cNvPr>
            <xdr:cNvSpPr/>
          </xdr:nvSpPr>
          <xdr:spPr>
            <a:xfrm>
              <a:off x="3899647" y="81971029"/>
              <a:ext cx="997324" cy="88526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TextBox 7">
              <a:extLst>
                <a:ext uri="{FF2B5EF4-FFF2-40B4-BE49-F238E27FC236}">
                  <a16:creationId xmlns:a16="http://schemas.microsoft.com/office/drawing/2014/main" xmlns="" id="{2D520D5B-0568-295D-76F5-4915F6418BA8}"/>
                </a:ext>
              </a:extLst>
            </xdr:cNvPr>
            <xdr:cNvSpPr txBox="1"/>
          </xdr:nvSpPr>
          <xdr:spPr>
            <a:xfrm>
              <a:off x="3227294" y="81634853"/>
              <a:ext cx="2805214" cy="705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FF00"/>
                  </a:solidFill>
                  <a:latin typeface="Times New Roman" panose="02020603050405020304" pitchFamily="18" charset="0"/>
                  <a:cs typeface="Times New Roman" panose="02020603050405020304" pitchFamily="18" charset="0"/>
                </a:rPr>
                <a:t>T11 Raheja Jade City</a:t>
              </a:r>
            </a:p>
          </xdr:txBody>
        </xdr:sp>
      </xdr:grpSp>
      <xdr:pic>
        <xdr:nvPicPr>
          <xdr:cNvPr id="25" name="Picture 24">
            <a:extLst>
              <a:ext uri="{FF2B5EF4-FFF2-40B4-BE49-F238E27FC236}">
                <a16:creationId xmlns:a16="http://schemas.microsoft.com/office/drawing/2014/main" xmlns="" id="{E09BA608-37DF-B271-4755-968F6EFD4D23}"/>
              </a:ext>
            </a:extLst>
          </xdr:cNvPr>
          <xdr:cNvPicPr>
            <a:picLocks noChangeAspect="1"/>
          </xdr:cNvPicPr>
        </xdr:nvPicPr>
        <xdr:blipFill>
          <a:blip xmlns:r="http://schemas.openxmlformats.org/officeDocument/2006/relationships" r:embed="rId9"/>
          <a:stretch>
            <a:fillRect/>
          </a:stretch>
        </xdr:blipFill>
        <xdr:spPr>
          <a:xfrm>
            <a:off x="1508760" y="54589681"/>
            <a:ext cx="3600000" cy="2599504"/>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xqPRD7qE1PusDSh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5"/>
  <sheetViews>
    <sheetView tabSelected="1" view="pageBreakPreview" zoomScaleNormal="100" zoomScaleSheetLayoutView="100" zoomScalePageLayoutView="85" workbookViewId="0">
      <selection activeCell="I9" sqref="I9"/>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1" t="s">
        <v>376</v>
      </c>
      <c r="B1" s="181"/>
      <c r="C1" s="181"/>
      <c r="D1" s="181"/>
      <c r="E1" s="181"/>
      <c r="F1" s="181"/>
      <c r="G1" s="181"/>
      <c r="H1" s="181"/>
    </row>
    <row r="2" spans="1:26" ht="16.5" customHeight="1" x14ac:dyDescent="0.25">
      <c r="A2" s="182" t="s">
        <v>0</v>
      </c>
      <c r="B2" s="182"/>
      <c r="C2" s="182"/>
      <c r="D2" s="182"/>
      <c r="E2" s="182"/>
      <c r="F2" s="182"/>
      <c r="G2" s="182"/>
      <c r="H2" s="182"/>
    </row>
    <row r="3" spans="1:26" x14ac:dyDescent="0.25">
      <c r="A3" s="153" t="s">
        <v>1</v>
      </c>
      <c r="B3" s="153"/>
      <c r="C3" s="153"/>
      <c r="D3" s="153"/>
      <c r="E3" s="153" t="str">
        <f ca="1">TEXT(TODAY(),"DD/MM/YYYY")</f>
        <v>12/09/2025</v>
      </c>
      <c r="F3" s="153"/>
      <c r="G3" s="153"/>
      <c r="H3" s="153"/>
      <c r="K3" s="56" t="s">
        <v>233</v>
      </c>
      <c r="L3" s="54" t="s">
        <v>231</v>
      </c>
      <c r="M3" s="54" t="s">
        <v>236</v>
      </c>
      <c r="N3" s="54" t="s">
        <v>234</v>
      </c>
      <c r="O3" s="54" t="s">
        <v>354</v>
      </c>
      <c r="P3" s="54" t="s">
        <v>379</v>
      </c>
    </row>
    <row r="4" spans="1:26" ht="15" customHeight="1" x14ac:dyDescent="0.25">
      <c r="A4" s="153" t="s">
        <v>230</v>
      </c>
      <c r="B4" s="153"/>
      <c r="C4" s="153"/>
      <c r="D4" s="153"/>
      <c r="E4" s="153" t="s">
        <v>379</v>
      </c>
      <c r="F4" s="153"/>
      <c r="G4" s="153"/>
      <c r="H4" s="153"/>
      <c r="K4" s="53" t="s">
        <v>232</v>
      </c>
      <c r="L4" s="54" t="s">
        <v>167</v>
      </c>
      <c r="M4" s="54" t="s">
        <v>241</v>
      </c>
      <c r="N4" s="54" t="s">
        <v>243</v>
      </c>
      <c r="O4" s="54" t="s">
        <v>339</v>
      </c>
      <c r="P4" s="54" t="s">
        <v>380</v>
      </c>
    </row>
    <row r="5" spans="1:26" ht="15" customHeight="1" x14ac:dyDescent="0.25">
      <c r="A5" s="153" t="s">
        <v>2</v>
      </c>
      <c r="B5" s="153"/>
      <c r="C5" s="153"/>
      <c r="D5" s="153"/>
      <c r="E5" s="153" t="s">
        <v>380</v>
      </c>
      <c r="F5" s="153"/>
      <c r="G5" s="153"/>
      <c r="H5" s="153"/>
      <c r="K5" s="53"/>
      <c r="L5" s="54" t="s">
        <v>238</v>
      </c>
      <c r="M5" s="54" t="s">
        <v>242</v>
      </c>
      <c r="N5" s="54" t="s">
        <v>244</v>
      </c>
      <c r="O5" s="54" t="s">
        <v>340</v>
      </c>
      <c r="P5" s="54"/>
    </row>
    <row r="6" spans="1:26" x14ac:dyDescent="0.25">
      <c r="A6" s="153" t="s">
        <v>3</v>
      </c>
      <c r="B6" s="153"/>
      <c r="C6" s="153"/>
      <c r="D6" s="153"/>
      <c r="E6" s="183">
        <v>45855</v>
      </c>
      <c r="F6" s="153"/>
      <c r="G6" s="153"/>
      <c r="H6" s="153"/>
      <c r="K6" s="53"/>
      <c r="L6" s="54" t="s">
        <v>239</v>
      </c>
      <c r="M6" s="54" t="s">
        <v>352</v>
      </c>
      <c r="N6" s="54"/>
      <c r="O6" s="54" t="s">
        <v>341</v>
      </c>
      <c r="P6" s="54"/>
    </row>
    <row r="7" spans="1:26" ht="31.15" customHeight="1" x14ac:dyDescent="0.25">
      <c r="A7" s="153" t="s">
        <v>4</v>
      </c>
      <c r="B7" s="153"/>
      <c r="C7" s="153"/>
      <c r="D7" s="153"/>
      <c r="E7" s="184" t="s">
        <v>383</v>
      </c>
      <c r="F7" s="184"/>
      <c r="G7" s="184"/>
      <c r="H7" s="184"/>
      <c r="K7" s="53"/>
      <c r="L7" s="54" t="s">
        <v>240</v>
      </c>
      <c r="M7" s="54"/>
      <c r="N7" s="54"/>
      <c r="O7" s="54" t="s">
        <v>341</v>
      </c>
      <c r="P7" s="54"/>
    </row>
    <row r="8" spans="1:26" ht="31.15" customHeight="1" x14ac:dyDescent="0.25">
      <c r="A8" s="153" t="s">
        <v>5</v>
      </c>
      <c r="B8" s="153"/>
      <c r="C8" s="153"/>
      <c r="D8" s="153"/>
      <c r="E8" s="184" t="str">
        <f>E7</f>
        <v>M/s. Newfound Properties And Leasing Private Limited</v>
      </c>
      <c r="F8" s="184"/>
      <c r="G8" s="184"/>
      <c r="H8" s="184"/>
      <c r="K8" s="53"/>
      <c r="L8" s="54"/>
      <c r="M8" s="54"/>
      <c r="N8" s="54"/>
      <c r="O8" s="54" t="s">
        <v>342</v>
      </c>
      <c r="P8" s="54"/>
    </row>
    <row r="9" spans="1:26" x14ac:dyDescent="0.25">
      <c r="A9" s="153" t="s">
        <v>6</v>
      </c>
      <c r="B9" s="153"/>
      <c r="C9" s="153"/>
      <c r="D9" s="153"/>
      <c r="E9" s="136" t="s">
        <v>384</v>
      </c>
      <c r="F9" s="136"/>
      <c r="G9" s="136"/>
      <c r="H9" s="136"/>
      <c r="K9" s="53"/>
      <c r="L9" s="54"/>
      <c r="M9" s="54"/>
      <c r="N9" s="54"/>
      <c r="O9" s="54" t="s">
        <v>343</v>
      </c>
      <c r="P9" s="54"/>
    </row>
    <row r="10" spans="1:26" x14ac:dyDescent="0.25">
      <c r="A10" s="153" t="s">
        <v>163</v>
      </c>
      <c r="B10" s="153"/>
      <c r="C10" s="153"/>
      <c r="D10" s="153"/>
      <c r="E10" s="153" t="s">
        <v>385</v>
      </c>
      <c r="F10" s="153"/>
      <c r="G10" s="153"/>
      <c r="H10" s="153"/>
      <c r="K10" s="53"/>
      <c r="L10" s="54"/>
      <c r="M10" s="54"/>
      <c r="N10" s="54"/>
      <c r="O10" s="54" t="s">
        <v>344</v>
      </c>
      <c r="P10" s="54"/>
    </row>
    <row r="11" spans="1:26" x14ac:dyDescent="0.25">
      <c r="A11" s="153" t="s">
        <v>164</v>
      </c>
      <c r="B11" s="153"/>
      <c r="C11" s="153"/>
      <c r="D11" s="153"/>
      <c r="E11" s="153" t="s">
        <v>443</v>
      </c>
      <c r="F11" s="153"/>
      <c r="G11" s="153"/>
      <c r="H11" s="153"/>
      <c r="O11" s="54" t="s">
        <v>345</v>
      </c>
    </row>
    <row r="12" spans="1:26" x14ac:dyDescent="0.25">
      <c r="A12" s="153" t="s">
        <v>7</v>
      </c>
      <c r="B12" s="153"/>
      <c r="C12" s="153"/>
      <c r="D12" s="153"/>
      <c r="E12" s="153" t="s">
        <v>386</v>
      </c>
      <c r="F12" s="153"/>
      <c r="G12" s="153"/>
      <c r="H12" s="153"/>
    </row>
    <row r="13" spans="1:26" x14ac:dyDescent="0.25">
      <c r="A13" s="153" t="s">
        <v>168</v>
      </c>
      <c r="B13" s="153"/>
      <c r="C13" s="153"/>
      <c r="D13" s="153"/>
      <c r="E13" s="153" t="s">
        <v>28</v>
      </c>
      <c r="F13" s="153"/>
      <c r="G13" s="153"/>
      <c r="H13" s="153"/>
      <c r="S13" s="54" t="s">
        <v>177</v>
      </c>
      <c r="T13" s="54" t="s">
        <v>186</v>
      </c>
      <c r="U13" s="54" t="s">
        <v>169</v>
      </c>
      <c r="V13" s="54" t="s">
        <v>191</v>
      </c>
      <c r="W13" s="54" t="s">
        <v>209</v>
      </c>
      <c r="X13"/>
      <c r="Y13" t="s">
        <v>191</v>
      </c>
      <c r="Z13" t="e">
        <f ca="1">OFFSET($S$13,1,MATCH($G20,$S$13:$W$13,0)-1,15,1)</f>
        <v>#VALUE!</v>
      </c>
    </row>
    <row r="14" spans="1:26" x14ac:dyDescent="0.25">
      <c r="A14" s="122" t="s">
        <v>276</v>
      </c>
      <c r="B14" s="122"/>
      <c r="C14" s="122"/>
      <c r="D14" s="122"/>
      <c r="E14" s="184" t="s">
        <v>438</v>
      </c>
      <c r="F14" s="184"/>
      <c r="G14" s="184"/>
      <c r="H14" s="184"/>
      <c r="I14" s="21" t="s">
        <v>166</v>
      </c>
      <c r="S14" s="54" t="s">
        <v>177</v>
      </c>
      <c r="T14" s="54" t="s">
        <v>184</v>
      </c>
      <c r="U14" s="54" t="s">
        <v>206</v>
      </c>
      <c r="V14" s="54" t="s">
        <v>192</v>
      </c>
      <c r="W14" s="54" t="s">
        <v>210</v>
      </c>
      <c r="X14"/>
      <c r="Y14"/>
      <c r="Z14"/>
    </row>
    <row r="15" spans="1:26" x14ac:dyDescent="0.25">
      <c r="A15" s="122" t="s">
        <v>8</v>
      </c>
      <c r="B15" s="122"/>
      <c r="C15" s="122"/>
      <c r="D15" s="122"/>
      <c r="E15" s="184" t="s">
        <v>387</v>
      </c>
      <c r="F15" s="153"/>
      <c r="G15" s="153"/>
      <c r="H15" s="153"/>
      <c r="I15" s="142" t="e">
        <f ca="1">OFFSET($D$5,1,MATCH($J13,$D$5:$H$5,0)-1,15,1)</f>
        <v>#N/A</v>
      </c>
      <c r="J15" s="143"/>
      <c r="K15" s="143"/>
      <c r="L15" s="143"/>
      <c r="M15" s="143"/>
      <c r="N15" s="143"/>
      <c r="O15" s="143"/>
      <c r="P15" s="143"/>
      <c r="S15" s="54" t="s">
        <v>178</v>
      </c>
      <c r="T15" s="54" t="s">
        <v>185</v>
      </c>
      <c r="U15" s="54" t="s">
        <v>207</v>
      </c>
      <c r="V15" s="54" t="s">
        <v>193</v>
      </c>
      <c r="W15" s="54" t="s">
        <v>223</v>
      </c>
      <c r="X15"/>
      <c r="Y15"/>
      <c r="Z15"/>
    </row>
    <row r="16" spans="1:26" ht="51.6" customHeight="1" x14ac:dyDescent="0.25">
      <c r="A16" s="123" t="s">
        <v>9</v>
      </c>
      <c r="B16" s="123"/>
      <c r="C16" s="123" t="str">
        <f>CONCATENATE((IF(OR(E9="",E9="NA"),"",E9)),", ",(IF(OR(A17="",A17="NA"),"",A17)),".",(IF(OR(C17="",C17="NA"),"",C17)),", near ",(IF(OR(C22="",C22="NA"),"",C22)),", ",(IF(OR(C19="",C19="NA"),"",C19)),", ",(IF(OR(C18="",C18="NA"),"",C18)),", ",(IF(OR(G19="",G19="NA"),"",G19)),", ",(IF(OR(C20="",C20="NA"),"",C20)),", ",(IF(OR(C21="",C21="NA"),"",C21)),", ",(IF(OR(G20="",G20="NA"),"",G20))," - ",(IF(OR(G21="",G21="NA"),"",G21)),".")</f>
        <v>T11 Raheja Jade City, CTS No.Gen 2/1D, Gen 2/1E, Gen 2/1F, near Mindspace Juinagar, S Central Road, Shiravane, Juinagar, Juinagar East, Thane, Thane - 400706.</v>
      </c>
      <c r="D16" s="123"/>
      <c r="E16" s="123"/>
      <c r="F16" s="123"/>
      <c r="G16" s="123"/>
      <c r="H16" s="123"/>
      <c r="S16" s="54" t="s">
        <v>179</v>
      </c>
      <c r="T16" s="54" t="s">
        <v>187</v>
      </c>
      <c r="U16" s="54" t="s">
        <v>208</v>
      </c>
      <c r="V16" s="54" t="s">
        <v>194</v>
      </c>
      <c r="W16" s="54" t="s">
        <v>211</v>
      </c>
      <c r="X16"/>
      <c r="Y16"/>
      <c r="Z16"/>
    </row>
    <row r="17" spans="1:26" x14ac:dyDescent="0.25">
      <c r="A17" s="184" t="s">
        <v>172</v>
      </c>
      <c r="B17" s="184"/>
      <c r="C17" s="184" t="s">
        <v>393</v>
      </c>
      <c r="D17" s="184"/>
      <c r="E17" s="184"/>
      <c r="F17" s="184"/>
      <c r="G17" s="184"/>
      <c r="H17" s="184"/>
      <c r="S17" s="54" t="s">
        <v>180</v>
      </c>
      <c r="T17" s="54" t="s">
        <v>188</v>
      </c>
      <c r="U17" s="54" t="s">
        <v>169</v>
      </c>
      <c r="V17" s="54" t="s">
        <v>195</v>
      </c>
      <c r="W17" s="54" t="s">
        <v>212</v>
      </c>
      <c r="X17"/>
      <c r="Y17"/>
      <c r="Z17"/>
    </row>
    <row r="18" spans="1:26" ht="15.75" customHeight="1" x14ac:dyDescent="0.25">
      <c r="A18" s="184" t="s">
        <v>159</v>
      </c>
      <c r="B18" s="184"/>
      <c r="C18" s="184" t="s">
        <v>389</v>
      </c>
      <c r="D18" s="184"/>
      <c r="E18" s="184"/>
      <c r="F18" s="184"/>
      <c r="G18" s="184"/>
      <c r="H18" s="184"/>
      <c r="S18" s="54" t="s">
        <v>181</v>
      </c>
      <c r="T18" s="54" t="s">
        <v>186</v>
      </c>
      <c r="U18" s="54"/>
      <c r="V18" s="54" t="s">
        <v>196</v>
      </c>
      <c r="W18" s="54" t="s">
        <v>213</v>
      </c>
      <c r="X18"/>
      <c r="Y18"/>
      <c r="Z18"/>
    </row>
    <row r="19" spans="1:26" ht="15.75" customHeight="1" x14ac:dyDescent="0.25">
      <c r="A19" s="184" t="s">
        <v>10</v>
      </c>
      <c r="B19" s="184"/>
      <c r="C19" s="153" t="s">
        <v>391</v>
      </c>
      <c r="D19" s="153"/>
      <c r="E19" s="184" t="s">
        <v>69</v>
      </c>
      <c r="F19" s="184"/>
      <c r="G19" s="184" t="s">
        <v>390</v>
      </c>
      <c r="H19" s="184"/>
      <c r="I19" s="21" t="s">
        <v>441</v>
      </c>
      <c r="S19" s="54" t="s">
        <v>182</v>
      </c>
      <c r="T19" s="54" t="s">
        <v>189</v>
      </c>
      <c r="U19" s="54"/>
      <c r="V19" s="54" t="s">
        <v>197</v>
      </c>
      <c r="W19" s="54" t="s">
        <v>214</v>
      </c>
      <c r="X19"/>
      <c r="Y19"/>
      <c r="Z19"/>
    </row>
    <row r="20" spans="1:26" x14ac:dyDescent="0.25">
      <c r="A20" s="153" t="s">
        <v>12</v>
      </c>
      <c r="B20" s="153"/>
      <c r="C20" s="184" t="s">
        <v>445</v>
      </c>
      <c r="D20" s="184"/>
      <c r="E20" s="184" t="s">
        <v>11</v>
      </c>
      <c r="F20" s="184"/>
      <c r="G20" s="185" t="s">
        <v>177</v>
      </c>
      <c r="H20" s="185"/>
      <c r="S20" s="54" t="s">
        <v>183</v>
      </c>
      <c r="T20" s="54" t="s">
        <v>190</v>
      </c>
      <c r="U20" s="54"/>
      <c r="V20" s="54" t="s">
        <v>198</v>
      </c>
      <c r="W20" s="54" t="s">
        <v>215</v>
      </c>
      <c r="X20"/>
      <c r="Y20"/>
      <c r="Z20"/>
    </row>
    <row r="21" spans="1:26" x14ac:dyDescent="0.25">
      <c r="A21" s="153" t="s">
        <v>70</v>
      </c>
      <c r="B21" s="153"/>
      <c r="C21" s="184" t="s">
        <v>177</v>
      </c>
      <c r="D21" s="184"/>
      <c r="E21" s="184" t="s">
        <v>13</v>
      </c>
      <c r="F21" s="184"/>
      <c r="G21" s="184">
        <v>400706</v>
      </c>
      <c r="H21" s="184"/>
      <c r="S21" s="54"/>
      <c r="T21" s="54"/>
      <c r="U21" s="54"/>
      <c r="V21" s="54" t="s">
        <v>199</v>
      </c>
      <c r="W21" s="54" t="s">
        <v>216</v>
      </c>
      <c r="X21"/>
      <c r="Y21"/>
      <c r="Z21"/>
    </row>
    <row r="22" spans="1:26" ht="32.25" customHeight="1" x14ac:dyDescent="0.25">
      <c r="A22" s="153" t="s">
        <v>118</v>
      </c>
      <c r="B22" s="153"/>
      <c r="C22" s="184" t="s">
        <v>388</v>
      </c>
      <c r="D22" s="184"/>
      <c r="E22" s="184" t="s">
        <v>14</v>
      </c>
      <c r="F22" s="184"/>
      <c r="G22" s="184" t="s">
        <v>392</v>
      </c>
      <c r="H22" s="184"/>
      <c r="S22" s="54"/>
      <c r="T22" s="54"/>
      <c r="U22" s="54"/>
      <c r="V22" s="54" t="s">
        <v>200</v>
      </c>
      <c r="W22" s="54" t="s">
        <v>217</v>
      </c>
      <c r="X22"/>
      <c r="Y22"/>
      <c r="Z22"/>
    </row>
    <row r="23" spans="1:26" ht="15" customHeight="1" x14ac:dyDescent="0.25">
      <c r="A23" s="123" t="s">
        <v>72</v>
      </c>
      <c r="B23" s="123"/>
      <c r="C23" s="123"/>
      <c r="D23" s="123"/>
      <c r="E23" s="153" t="s">
        <v>15</v>
      </c>
      <c r="F23" s="153"/>
      <c r="G23" s="153"/>
      <c r="H23" s="153"/>
      <c r="S23" s="54"/>
      <c r="T23" s="54"/>
      <c r="U23" s="54"/>
      <c r="V23" s="54" t="s">
        <v>201</v>
      </c>
      <c r="W23" s="54" t="s">
        <v>218</v>
      </c>
      <c r="X23"/>
      <c r="Y23"/>
      <c r="Z23"/>
    </row>
    <row r="24" spans="1:26" ht="18.75" customHeight="1" x14ac:dyDescent="0.25">
      <c r="A24" s="123"/>
      <c r="B24" s="123"/>
      <c r="C24" s="123"/>
      <c r="D24" s="123"/>
      <c r="E24" s="153"/>
      <c r="F24" s="153"/>
      <c r="G24" s="153"/>
      <c r="H24" s="153"/>
      <c r="S24" s="54"/>
      <c r="T24" s="54"/>
      <c r="U24" s="54"/>
      <c r="V24" s="54" t="s">
        <v>202</v>
      </c>
      <c r="W24" s="54" t="s">
        <v>219</v>
      </c>
      <c r="X24"/>
      <c r="Y24"/>
      <c r="Z24"/>
    </row>
    <row r="25" spans="1:26" ht="15" customHeight="1" x14ac:dyDescent="0.25">
      <c r="A25" s="123" t="s">
        <v>16</v>
      </c>
      <c r="B25" s="123"/>
      <c r="C25" s="123"/>
      <c r="D25" s="123"/>
      <c r="E25" s="184" t="s">
        <v>17</v>
      </c>
      <c r="F25" s="184"/>
      <c r="G25" s="184"/>
      <c r="H25" s="184"/>
      <c r="S25" s="54"/>
      <c r="T25" s="54"/>
      <c r="U25" s="54"/>
      <c r="V25" s="54" t="s">
        <v>203</v>
      </c>
      <c r="W25" s="54" t="s">
        <v>220</v>
      </c>
      <c r="X25"/>
      <c r="Y25"/>
      <c r="Z25"/>
    </row>
    <row r="26" spans="1:26" ht="15" customHeight="1" x14ac:dyDescent="0.25">
      <c r="A26" s="122" t="s">
        <v>18</v>
      </c>
      <c r="B26" s="122"/>
      <c r="C26" s="122"/>
      <c r="D26" s="122"/>
      <c r="E26" s="184" t="str">
        <f>IF(AND(G20="Mumbai"),"Upper Class","Middle Class")</f>
        <v>Middle Class</v>
      </c>
      <c r="F26" s="184"/>
      <c r="G26" s="184"/>
      <c r="H26" s="184"/>
      <c r="S26" s="54"/>
      <c r="T26" s="54"/>
      <c r="U26" s="54"/>
      <c r="V26" s="54" t="s">
        <v>204</v>
      </c>
      <c r="W26" s="54" t="s">
        <v>221</v>
      </c>
      <c r="X26"/>
      <c r="Y26"/>
      <c r="Z26"/>
    </row>
    <row r="27" spans="1:26" x14ac:dyDescent="0.25">
      <c r="A27" s="122" t="s">
        <v>19</v>
      </c>
      <c r="B27" s="122"/>
      <c r="C27" s="122"/>
      <c r="D27" s="122"/>
      <c r="E27" s="184" t="s">
        <v>20</v>
      </c>
      <c r="F27" s="184"/>
      <c r="G27" s="184"/>
      <c r="H27" s="184"/>
      <c r="S27" s="54"/>
      <c r="T27" s="54"/>
      <c r="U27" s="54"/>
      <c r="V27" s="54" t="s">
        <v>205</v>
      </c>
      <c r="W27" s="54" t="s">
        <v>222</v>
      </c>
      <c r="X27"/>
      <c r="Y27"/>
      <c r="Z27"/>
    </row>
    <row r="28" spans="1:26" ht="15.75" customHeight="1" x14ac:dyDescent="0.25">
      <c r="A28" s="122" t="s">
        <v>21</v>
      </c>
      <c r="B28" s="122"/>
      <c r="C28" s="122"/>
      <c r="D28" s="122"/>
      <c r="E28" s="184" t="str">
        <f>IF(AND(G20="Mumbai"),"Developed","Developing")</f>
        <v>Developing</v>
      </c>
      <c r="F28" s="184"/>
      <c r="G28" s="184"/>
      <c r="H28" s="184"/>
    </row>
    <row r="29" spans="1:26" x14ac:dyDescent="0.25">
      <c r="A29" s="122" t="s">
        <v>22</v>
      </c>
      <c r="B29" s="122"/>
      <c r="C29" s="122"/>
      <c r="D29" s="122"/>
      <c r="E29" s="184" t="s">
        <v>23</v>
      </c>
      <c r="F29" s="184"/>
      <c r="G29" s="184"/>
      <c r="H29" s="184"/>
    </row>
    <row r="30" spans="1:26" ht="15.75" customHeight="1" x14ac:dyDescent="0.25">
      <c r="A30" s="122" t="s">
        <v>77</v>
      </c>
      <c r="B30" s="122"/>
      <c r="C30" s="122"/>
      <c r="D30" s="122"/>
      <c r="E30" s="184" t="s">
        <v>78</v>
      </c>
      <c r="F30" s="184"/>
      <c r="G30" s="184"/>
      <c r="H30" s="184"/>
    </row>
    <row r="31" spans="1:26" ht="15" customHeight="1" x14ac:dyDescent="0.25">
      <c r="A31" s="122" t="s">
        <v>30</v>
      </c>
      <c r="B31" s="122"/>
      <c r="C31" s="122"/>
      <c r="D31" s="122"/>
      <c r="E31" s="18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84"/>
      <c r="G31" s="184"/>
      <c r="H31" s="184"/>
    </row>
    <row r="32" spans="1:26" ht="15.75" customHeight="1" x14ac:dyDescent="0.25">
      <c r="A32" s="122" t="s">
        <v>87</v>
      </c>
      <c r="B32" s="122"/>
      <c r="C32" s="122"/>
      <c r="D32" s="122"/>
      <c r="E32" s="184" t="s">
        <v>31</v>
      </c>
      <c r="F32" s="184"/>
      <c r="G32" s="184"/>
      <c r="H32" s="184"/>
    </row>
    <row r="33" spans="1:19" s="22" customFormat="1" x14ac:dyDescent="0.25">
      <c r="A33" s="193" t="s">
        <v>88</v>
      </c>
      <c r="B33" s="193"/>
      <c r="C33" s="190" t="s">
        <v>170</v>
      </c>
      <c r="D33" s="191"/>
      <c r="E33" s="192"/>
      <c r="F33" s="190" t="s">
        <v>29</v>
      </c>
      <c r="G33" s="191"/>
      <c r="H33" s="192"/>
      <c r="S33" s="22" t="e">
        <f ca="1">OFFSET($S$13,1,MATCH($G20,$S$13:$W$13,0)-1,15,1)</f>
        <v>#VALUE!</v>
      </c>
    </row>
    <row r="34" spans="1:19" s="22" customFormat="1" x14ac:dyDescent="0.25">
      <c r="A34" s="186" t="s">
        <v>24</v>
      </c>
      <c r="B34" s="186" t="s">
        <v>28</v>
      </c>
      <c r="C34" s="187" t="s">
        <v>394</v>
      </c>
      <c r="D34" s="188"/>
      <c r="E34" s="189"/>
      <c r="F34" s="187" t="s">
        <v>400</v>
      </c>
      <c r="G34" s="188"/>
      <c r="H34" s="189"/>
    </row>
    <row r="35" spans="1:19" x14ac:dyDescent="0.25">
      <c r="A35" s="186" t="s">
        <v>25</v>
      </c>
      <c r="B35" s="186" t="s">
        <v>28</v>
      </c>
      <c r="C35" s="187" t="s">
        <v>394</v>
      </c>
      <c r="D35" s="188"/>
      <c r="E35" s="189"/>
      <c r="F35" s="187" t="s">
        <v>399</v>
      </c>
      <c r="G35" s="188"/>
      <c r="H35" s="189"/>
    </row>
    <row r="36" spans="1:19" s="22" customFormat="1" x14ac:dyDescent="0.25">
      <c r="A36" s="186" t="s">
        <v>27</v>
      </c>
      <c r="B36" s="186" t="s">
        <v>28</v>
      </c>
      <c r="C36" s="187" t="s">
        <v>395</v>
      </c>
      <c r="D36" s="188"/>
      <c r="E36" s="189"/>
      <c r="F36" s="187" t="s">
        <v>398</v>
      </c>
      <c r="G36" s="188"/>
      <c r="H36" s="189"/>
    </row>
    <row r="37" spans="1:19" x14ac:dyDescent="0.25">
      <c r="A37" s="186" t="s">
        <v>26</v>
      </c>
      <c r="B37" s="186" t="s">
        <v>28</v>
      </c>
      <c r="C37" s="187" t="s">
        <v>396</v>
      </c>
      <c r="D37" s="188"/>
      <c r="E37" s="189"/>
      <c r="F37" s="187" t="s">
        <v>397</v>
      </c>
      <c r="G37" s="188"/>
      <c r="H37" s="189"/>
    </row>
    <row r="38" spans="1:19" x14ac:dyDescent="0.25">
      <c r="A38" s="122" t="s">
        <v>277</v>
      </c>
      <c r="B38" s="122"/>
      <c r="C38" s="122"/>
      <c r="D38" s="122"/>
      <c r="E38" s="122"/>
      <c r="F38" s="122"/>
      <c r="G38" s="122"/>
      <c r="H38" s="122"/>
    </row>
    <row r="39" spans="1:19" ht="15.75" customHeight="1" x14ac:dyDescent="0.25">
      <c r="A39" s="122" t="s">
        <v>161</v>
      </c>
      <c r="B39" s="122"/>
      <c r="C39" s="178" t="s">
        <v>413</v>
      </c>
      <c r="D39" s="178"/>
      <c r="E39" s="178"/>
      <c r="F39" s="178"/>
      <c r="G39" s="178"/>
      <c r="H39" s="178"/>
    </row>
    <row r="40" spans="1:19" x14ac:dyDescent="0.25">
      <c r="A40" s="122" t="s">
        <v>158</v>
      </c>
      <c r="B40" s="122"/>
      <c r="C40" s="236" t="s">
        <v>414</v>
      </c>
      <c r="D40" s="184"/>
      <c r="E40" s="184"/>
      <c r="F40" s="184"/>
      <c r="G40" s="184"/>
      <c r="H40" s="184"/>
    </row>
    <row r="41" spans="1:19" x14ac:dyDescent="0.25">
      <c r="A41" s="178" t="s">
        <v>32</v>
      </c>
      <c r="B41" s="178"/>
      <c r="C41" s="178"/>
      <c r="D41" s="178"/>
      <c r="E41" s="178"/>
      <c r="F41" s="178"/>
      <c r="G41" s="178"/>
      <c r="H41" s="178"/>
    </row>
    <row r="42" spans="1:19" x14ac:dyDescent="0.25">
      <c r="A42" s="122" t="s">
        <v>33</v>
      </c>
      <c r="B42" s="122"/>
      <c r="C42" s="122"/>
      <c r="D42" s="122"/>
      <c r="E42" s="196">
        <v>237860.23</v>
      </c>
      <c r="F42" s="196"/>
      <c r="G42" s="196"/>
      <c r="H42" s="196"/>
    </row>
    <row r="43" spans="1:19" x14ac:dyDescent="0.25">
      <c r="A43" s="122" t="s">
        <v>34</v>
      </c>
      <c r="B43" s="122"/>
      <c r="C43" s="122"/>
      <c r="D43" s="122"/>
      <c r="E43" s="198">
        <f>214074.21/E42</f>
        <v>0.90000001261244889</v>
      </c>
      <c r="F43" s="198"/>
      <c r="G43" s="198"/>
      <c r="H43" s="198"/>
    </row>
    <row r="44" spans="1:19" x14ac:dyDescent="0.25">
      <c r="A44" s="122" t="s">
        <v>35</v>
      </c>
      <c r="B44" s="122"/>
      <c r="C44" s="122"/>
      <c r="D44" s="122"/>
      <c r="E44" s="198">
        <f>E46/E42-E43</f>
        <v>0</v>
      </c>
      <c r="F44" s="198"/>
      <c r="G44" s="198"/>
      <c r="H44" s="198"/>
    </row>
    <row r="45" spans="1:19" x14ac:dyDescent="0.25">
      <c r="A45" s="122" t="s">
        <v>36</v>
      </c>
      <c r="B45" s="122"/>
      <c r="C45" s="122"/>
      <c r="D45" s="122"/>
      <c r="E45" s="198">
        <f>E43+E44</f>
        <v>0.90000001261244889</v>
      </c>
      <c r="F45" s="198"/>
      <c r="G45" s="198"/>
      <c r="H45" s="198"/>
    </row>
    <row r="46" spans="1:19" x14ac:dyDescent="0.25">
      <c r="A46" s="122" t="s">
        <v>439</v>
      </c>
      <c r="B46" s="122"/>
      <c r="C46" s="122"/>
      <c r="D46" s="122"/>
      <c r="E46" s="199">
        <v>214074.21</v>
      </c>
      <c r="F46" s="199"/>
      <c r="G46" s="199"/>
      <c r="H46" s="199"/>
      <c r="I46" s="21" t="s">
        <v>446</v>
      </c>
    </row>
    <row r="47" spans="1:19" x14ac:dyDescent="0.25">
      <c r="A47" s="153" t="s">
        <v>37</v>
      </c>
      <c r="B47" s="153"/>
      <c r="C47" s="153"/>
      <c r="D47" s="153"/>
      <c r="E47" s="153" t="s">
        <v>117</v>
      </c>
      <c r="F47" s="153"/>
      <c r="G47" s="153"/>
      <c r="H47" s="153"/>
    </row>
    <row r="48" spans="1:19" x14ac:dyDescent="0.25">
      <c r="A48" s="178" t="s">
        <v>38</v>
      </c>
      <c r="B48" s="178"/>
      <c r="C48" s="178"/>
      <c r="D48" s="178"/>
      <c r="E48" s="178"/>
      <c r="F48" s="178"/>
      <c r="G48" s="178"/>
      <c r="H48" s="178"/>
    </row>
    <row r="49" spans="1:24" ht="33.75" customHeight="1" x14ac:dyDescent="0.25">
      <c r="A49" s="154" t="s">
        <v>147</v>
      </c>
      <c r="B49" s="155"/>
      <c r="C49" s="205" t="s">
        <v>266</v>
      </c>
      <c r="D49" s="206"/>
      <c r="E49" s="206"/>
      <c r="F49" s="206"/>
      <c r="G49" s="206"/>
      <c r="H49" s="207"/>
      <c r="R49" t="s">
        <v>250</v>
      </c>
      <c r="S49" s="57" t="s">
        <v>169</v>
      </c>
      <c r="T49" s="57" t="s">
        <v>177</v>
      </c>
      <c r="U49" s="57" t="s">
        <v>191</v>
      </c>
      <c r="V49" s="57" t="s">
        <v>186</v>
      </c>
    </row>
    <row r="50" spans="1:24" ht="15.75" customHeight="1" x14ac:dyDescent="0.25">
      <c r="A50" s="154" t="s">
        <v>39</v>
      </c>
      <c r="B50" s="155"/>
      <c r="C50" s="154" t="s">
        <v>401</v>
      </c>
      <c r="D50" s="200"/>
      <c r="E50" s="155"/>
      <c r="F50" s="18" t="s">
        <v>40</v>
      </c>
      <c r="G50" s="218">
        <v>45159</v>
      </c>
      <c r="H50" s="219"/>
      <c r="R50"/>
      <c r="S50" s="57" t="s">
        <v>251</v>
      </c>
      <c r="T50" s="57" t="s">
        <v>256</v>
      </c>
      <c r="U50" s="57" t="s">
        <v>267</v>
      </c>
      <c r="V50" s="57" t="s">
        <v>272</v>
      </c>
    </row>
    <row r="51" spans="1:24" x14ac:dyDescent="0.25">
      <c r="A51" s="154" t="s">
        <v>41</v>
      </c>
      <c r="B51" s="155"/>
      <c r="C51" s="154" t="str">
        <f>C50</f>
        <v xml:space="preserve">EE/Dn. II/MHP/SPA/I/13157/of 2023 </v>
      </c>
      <c r="D51" s="200"/>
      <c r="E51" s="155"/>
      <c r="F51" s="96" t="s">
        <v>40</v>
      </c>
      <c r="G51" s="218">
        <f>G50</f>
        <v>45159</v>
      </c>
      <c r="H51" s="219"/>
      <c r="R51"/>
      <c r="S51" s="57" t="s">
        <v>252</v>
      </c>
      <c r="T51" s="57" t="s">
        <v>355</v>
      </c>
      <c r="U51" s="57" t="s">
        <v>265</v>
      </c>
      <c r="V51" s="57" t="s">
        <v>273</v>
      </c>
    </row>
    <row r="52" spans="1:24" s="23" customFormat="1" ht="19.149999999999999" customHeight="1" x14ac:dyDescent="0.25">
      <c r="A52" s="225" t="s">
        <v>151</v>
      </c>
      <c r="B52" s="227"/>
      <c r="C52" s="225" t="str">
        <f>C51</f>
        <v xml:space="preserve">EE/Dn. II/MHP/SPA/I/13157/of 2023 </v>
      </c>
      <c r="D52" s="226"/>
      <c r="E52" s="227"/>
      <c r="F52" s="96" t="s">
        <v>40</v>
      </c>
      <c r="G52" s="218">
        <f>G51</f>
        <v>45159</v>
      </c>
      <c r="H52" s="219"/>
      <c r="I52" s="22" t="str">
        <f ca="1">IF(G52&gt;EDATE(E3,-48),"NO REMARK","CC REMARK FOR CC")</f>
        <v>NO REMARK</v>
      </c>
      <c r="J52" s="79"/>
      <c r="R52"/>
      <c r="S52" s="57" t="s">
        <v>253</v>
      </c>
      <c r="T52" s="57" t="s">
        <v>258</v>
      </c>
      <c r="U52" s="57" t="s">
        <v>255</v>
      </c>
      <c r="V52" s="57" t="s">
        <v>274</v>
      </c>
    </row>
    <row r="53" spans="1:24" s="23" customFormat="1" x14ac:dyDescent="0.25">
      <c r="A53" s="228"/>
      <c r="B53" s="230"/>
      <c r="C53" s="154" t="s">
        <v>402</v>
      </c>
      <c r="D53" s="200"/>
      <c r="E53" s="200"/>
      <c r="F53" s="200"/>
      <c r="G53" s="200"/>
      <c r="H53" s="155"/>
      <c r="R53"/>
      <c r="S53" s="57"/>
      <c r="T53" s="57"/>
      <c r="U53" s="57"/>
      <c r="V53" s="75"/>
    </row>
    <row r="54" spans="1:24" s="23" customFormat="1" x14ac:dyDescent="0.25">
      <c r="A54" s="202" t="s">
        <v>278</v>
      </c>
      <c r="B54" s="204"/>
      <c r="C54" s="231" t="s">
        <v>403</v>
      </c>
      <c r="D54" s="232"/>
      <c r="E54" s="233"/>
      <c r="F54" s="97" t="s">
        <v>40</v>
      </c>
      <c r="G54" s="234">
        <v>45076</v>
      </c>
      <c r="H54" s="235"/>
      <c r="K54" s="80">
        <f>EDATE(G52,-48)</f>
        <v>43698</v>
      </c>
      <c r="L54" s="23" t="str">
        <f ca="1">IF(G52&gt;EDATE(E3,-48),"NO REMARK","CC REMARK FOR CC")</f>
        <v>NO REMARK</v>
      </c>
      <c r="R54"/>
      <c r="S54" s="57" t="s">
        <v>253</v>
      </c>
      <c r="T54" s="57" t="s">
        <v>258</v>
      </c>
      <c r="U54" s="57" t="s">
        <v>255</v>
      </c>
      <c r="V54" s="57" t="s">
        <v>274</v>
      </c>
    </row>
    <row r="55" spans="1:24" s="23" customFormat="1" ht="32.25" customHeight="1" x14ac:dyDescent="0.25">
      <c r="A55" s="210"/>
      <c r="B55" s="223"/>
      <c r="C55" s="231" t="s">
        <v>404</v>
      </c>
      <c r="D55" s="232"/>
      <c r="E55" s="232"/>
      <c r="F55" s="232"/>
      <c r="G55" s="232"/>
      <c r="H55" s="233"/>
      <c r="R55"/>
      <c r="S55" s="57" t="s">
        <v>255</v>
      </c>
      <c r="T55" s="57" t="s">
        <v>259</v>
      </c>
      <c r="U55" s="57" t="s">
        <v>269</v>
      </c>
      <c r="V55" s="76"/>
      <c r="W55" s="21"/>
      <c r="X55" s="21"/>
    </row>
    <row r="56" spans="1:24" s="23" customFormat="1" x14ac:dyDescent="0.25">
      <c r="A56" s="202" t="s">
        <v>279</v>
      </c>
      <c r="B56" s="204"/>
      <c r="C56" s="154" t="s">
        <v>405</v>
      </c>
      <c r="D56" s="200"/>
      <c r="E56" s="155"/>
      <c r="F56" s="96" t="s">
        <v>40</v>
      </c>
      <c r="G56" s="218">
        <v>45064</v>
      </c>
      <c r="H56" s="219"/>
      <c r="R56"/>
      <c r="S56" s="76"/>
      <c r="T56" s="57" t="s">
        <v>260</v>
      </c>
      <c r="U56" s="57" t="s">
        <v>270</v>
      </c>
      <c r="V56" s="76"/>
      <c r="W56" s="21"/>
      <c r="X56" s="21"/>
    </row>
    <row r="57" spans="1:24" s="23" customFormat="1" ht="65.45" customHeight="1" x14ac:dyDescent="0.25">
      <c r="A57" s="210"/>
      <c r="B57" s="223"/>
      <c r="C57" s="154" t="s">
        <v>406</v>
      </c>
      <c r="D57" s="200"/>
      <c r="E57" s="200"/>
      <c r="F57" s="200"/>
      <c r="G57" s="200"/>
      <c r="H57" s="155"/>
      <c r="R57"/>
      <c r="S57" s="76"/>
      <c r="T57" s="57" t="s">
        <v>262</v>
      </c>
      <c r="U57" s="57" t="s">
        <v>271</v>
      </c>
      <c r="V57" s="76"/>
      <c r="W57" s="21"/>
      <c r="X57" s="21"/>
    </row>
    <row r="58" spans="1:24" s="23" customFormat="1" ht="15.75" customHeight="1" x14ac:dyDescent="0.25">
      <c r="A58" s="202" t="s">
        <v>350</v>
      </c>
      <c r="B58" s="204"/>
      <c r="C58" s="225" t="s">
        <v>407</v>
      </c>
      <c r="D58" s="226"/>
      <c r="E58" s="227"/>
      <c r="F58" s="96" t="s">
        <v>40</v>
      </c>
      <c r="G58" s="218">
        <v>44789</v>
      </c>
      <c r="H58" s="219"/>
      <c r="R58"/>
      <c r="S58" s="76"/>
      <c r="T58" s="57" t="s">
        <v>263</v>
      </c>
      <c r="U58" s="76" t="s">
        <v>293</v>
      </c>
      <c r="V58" s="76"/>
      <c r="W58" s="21"/>
      <c r="X58" s="21"/>
    </row>
    <row r="59" spans="1:24" s="23" customFormat="1" ht="32.450000000000003" customHeight="1" x14ac:dyDescent="0.25">
      <c r="A59" s="208"/>
      <c r="B59" s="224"/>
      <c r="C59" s="228"/>
      <c r="D59" s="229"/>
      <c r="E59" s="230"/>
      <c r="F59" s="96" t="s">
        <v>351</v>
      </c>
      <c r="G59" s="218">
        <v>47710</v>
      </c>
      <c r="H59" s="219"/>
      <c r="R59"/>
      <c r="S59" s="76"/>
      <c r="T59" s="57" t="s">
        <v>264</v>
      </c>
      <c r="U59" s="76"/>
      <c r="V59" s="76"/>
      <c r="W59" s="21"/>
      <c r="X59" s="21"/>
    </row>
    <row r="60" spans="1:24" s="23" customFormat="1" ht="33.75" customHeight="1" x14ac:dyDescent="0.25">
      <c r="A60" s="210"/>
      <c r="B60" s="223"/>
      <c r="C60" s="154" t="s">
        <v>408</v>
      </c>
      <c r="D60" s="200"/>
      <c r="E60" s="200"/>
      <c r="F60" s="200"/>
      <c r="G60" s="200"/>
      <c r="H60" s="155"/>
      <c r="R60"/>
      <c r="S60" s="76"/>
      <c r="T60" s="57"/>
      <c r="U60" s="76"/>
      <c r="V60" s="76"/>
      <c r="W60" s="21"/>
      <c r="X60" s="21"/>
    </row>
    <row r="61" spans="1:24" x14ac:dyDescent="0.25">
      <c r="A61" s="147" t="s">
        <v>42</v>
      </c>
      <c r="B61" s="148"/>
      <c r="C61" s="147" t="s">
        <v>100</v>
      </c>
      <c r="D61" s="149"/>
      <c r="E61" s="148"/>
      <c r="F61" s="45" t="s">
        <v>40</v>
      </c>
      <c r="G61" s="221" t="s">
        <v>28</v>
      </c>
      <c r="H61" s="222"/>
      <c r="R61"/>
      <c r="S61" s="76"/>
      <c r="T61" s="57" t="s">
        <v>266</v>
      </c>
      <c r="U61" s="76"/>
      <c r="V61" s="76"/>
    </row>
    <row r="62" spans="1:24" x14ac:dyDescent="0.25">
      <c r="A62" s="179" t="s">
        <v>44</v>
      </c>
      <c r="B62" s="179"/>
      <c r="C62" s="179"/>
      <c r="D62" s="179"/>
      <c r="E62" s="179"/>
      <c r="F62" s="179"/>
      <c r="G62" s="179"/>
      <c r="H62" s="179"/>
      <c r="S62" s="76"/>
      <c r="T62" s="57" t="s">
        <v>275</v>
      </c>
      <c r="U62" s="76"/>
      <c r="V62" s="76"/>
    </row>
    <row r="63" spans="1:24" x14ac:dyDescent="0.25">
      <c r="A63" s="123" t="s">
        <v>447</v>
      </c>
      <c r="B63" s="123"/>
      <c r="C63" s="123"/>
      <c r="D63" s="122">
        <f>12622.4+1322.25+60.03+1734.35+1111.57+634.52</f>
        <v>17485.120000000003</v>
      </c>
      <c r="E63" s="122"/>
      <c r="F63" s="122"/>
      <c r="G63" s="122"/>
      <c r="H63" s="122"/>
      <c r="I63" s="21">
        <f>12622.4+1262.24+1322.25+60.03+1734.35+1111.57+634.52</f>
        <v>18747.36</v>
      </c>
      <c r="J63" s="21">
        <f>I63-1262.24</f>
        <v>17485.12</v>
      </c>
      <c r="R63"/>
    </row>
    <row r="64" spans="1:24" x14ac:dyDescent="0.25">
      <c r="A64" s="184" t="s">
        <v>45</v>
      </c>
      <c r="B64" s="153"/>
      <c r="C64" s="153"/>
      <c r="D64" s="153" t="s">
        <v>434</v>
      </c>
      <c r="E64" s="153"/>
      <c r="F64" s="153"/>
      <c r="G64" s="153"/>
      <c r="H64" s="153"/>
      <c r="I64" s="24"/>
      <c r="R64"/>
    </row>
    <row r="65" spans="1:19" x14ac:dyDescent="0.25">
      <c r="A65" s="202" t="s">
        <v>46</v>
      </c>
      <c r="B65" s="203"/>
      <c r="C65" s="204"/>
      <c r="D65" s="129" t="s">
        <v>409</v>
      </c>
      <c r="E65" s="201"/>
      <c r="F65" s="201"/>
      <c r="G65" s="201"/>
      <c r="H65" s="201"/>
      <c r="R65"/>
    </row>
    <row r="66" spans="1:19" ht="15.75" customHeight="1" x14ac:dyDescent="0.25">
      <c r="A66" s="202" t="s">
        <v>85</v>
      </c>
      <c r="B66" s="203"/>
      <c r="C66" s="203"/>
      <c r="D66" s="212" t="s">
        <v>410</v>
      </c>
      <c r="E66" s="213"/>
      <c r="F66" s="213"/>
      <c r="G66" s="213"/>
      <c r="H66" s="214"/>
      <c r="R66"/>
    </row>
    <row r="67" spans="1:19" ht="15.75" hidden="1" customHeight="1" x14ac:dyDescent="0.25">
      <c r="A67" s="208"/>
      <c r="B67" s="209"/>
      <c r="C67" s="209"/>
      <c r="D67" s="215" t="s">
        <v>294</v>
      </c>
      <c r="E67" s="216"/>
      <c r="F67" s="216"/>
      <c r="G67" s="216"/>
      <c r="H67" s="217"/>
      <c r="R67"/>
    </row>
    <row r="68" spans="1:19" ht="15.75" hidden="1" customHeight="1" x14ac:dyDescent="0.25">
      <c r="A68" s="210"/>
      <c r="B68" s="211"/>
      <c r="C68" s="211"/>
      <c r="D68" s="156" t="s">
        <v>165</v>
      </c>
      <c r="E68" s="157"/>
      <c r="F68" s="157"/>
      <c r="G68" s="157"/>
      <c r="H68" s="158"/>
      <c r="S68"/>
    </row>
    <row r="69" spans="1:19" ht="15.75" customHeight="1" x14ac:dyDescent="0.25">
      <c r="A69" s="122" t="s">
        <v>43</v>
      </c>
      <c r="B69" s="122"/>
      <c r="C69" s="122"/>
      <c r="D69" s="220" t="s">
        <v>411</v>
      </c>
      <c r="E69" s="220"/>
      <c r="F69" s="220"/>
      <c r="G69" s="220"/>
      <c r="H69" s="220"/>
      <c r="J69" s="25"/>
      <c r="K69" s="24"/>
      <c r="N69" s="24"/>
      <c r="S69"/>
    </row>
    <row r="70" spans="1:19" ht="15.75" customHeight="1" x14ac:dyDescent="0.25">
      <c r="A70" s="122" t="s">
        <v>83</v>
      </c>
      <c r="B70" s="122"/>
      <c r="C70" s="122"/>
      <c r="D70" s="197" t="str">
        <f>(IF(G61="NA","60 Years After Completion",IF(G61&lt;&gt;"NA",""&amp;60-ROUNDDOWN((E3-G61)/360,0)&amp;" Years"," ")))</f>
        <v>60 Years After Completion</v>
      </c>
      <c r="E70" s="197"/>
      <c r="F70" s="197"/>
      <c r="G70" s="197"/>
      <c r="H70" s="197"/>
      <c r="N70" s="24"/>
      <c r="S70"/>
    </row>
    <row r="71" spans="1:19" ht="15.75" customHeight="1" x14ac:dyDescent="0.25">
      <c r="A71" s="122" t="s">
        <v>84</v>
      </c>
      <c r="B71" s="122"/>
      <c r="C71" s="122"/>
      <c r="D71" s="123" t="s">
        <v>23</v>
      </c>
      <c r="E71" s="123"/>
      <c r="F71" s="123"/>
      <c r="G71" s="123"/>
      <c r="H71" s="123"/>
      <c r="J71" s="26"/>
      <c r="K71" s="26"/>
      <c r="S71"/>
    </row>
    <row r="72" spans="1:19" ht="48.6" customHeight="1" x14ac:dyDescent="0.25">
      <c r="A72" s="153" t="s">
        <v>415</v>
      </c>
      <c r="B72" s="153"/>
      <c r="C72" s="153"/>
      <c r="D72" s="184" t="s">
        <v>412</v>
      </c>
      <c r="E72" s="184"/>
      <c r="F72" s="184"/>
      <c r="G72" s="184"/>
      <c r="H72" s="184"/>
      <c r="S72"/>
    </row>
    <row r="73" spans="1:19" x14ac:dyDescent="0.25">
      <c r="A73" s="123" t="s">
        <v>144</v>
      </c>
      <c r="B73" s="123"/>
      <c r="C73" s="123"/>
      <c r="D73" s="123" t="s">
        <v>28</v>
      </c>
      <c r="E73" s="123"/>
      <c r="F73" s="123"/>
      <c r="G73" s="123"/>
      <c r="H73" s="123"/>
      <c r="I73" s="27"/>
      <c r="J73" s="27"/>
      <c r="K73" s="27"/>
      <c r="L73" s="27"/>
      <c r="M73" s="27"/>
      <c r="N73" s="27"/>
    </row>
    <row r="74" spans="1:19" ht="15.75" customHeight="1" x14ac:dyDescent="0.25">
      <c r="A74" s="195" t="s">
        <v>82</v>
      </c>
      <c r="B74" s="195"/>
      <c r="C74" s="195"/>
      <c r="D74" s="129" t="str">
        <f>(IF(G80&gt;95%,"Nothing",IF(G80&gt;0%,"Cement, Aggregate, Steel, etc",IF(G80=0%,"Work not yet Started"))))</f>
        <v>Cement, Aggregate, Steel, etc</v>
      </c>
      <c r="E74" s="129"/>
      <c r="F74" s="129"/>
      <c r="G74" s="129"/>
      <c r="H74" s="129"/>
      <c r="J74" s="26"/>
      <c r="S74"/>
    </row>
    <row r="75" spans="1:19" ht="33.75" customHeight="1" thickBot="1" x14ac:dyDescent="0.3">
      <c r="A75" s="194" t="s">
        <v>113</v>
      </c>
      <c r="B75" s="194"/>
      <c r="C75" s="194"/>
      <c r="D75" s="129" t="str">
        <f>(IF(D74="Nothing","Yes",IF(D74="Cement, Aggregate, Steel, etc","Under Construction",IF(D74="Work not yet Started","Work not yet Started"))))</f>
        <v>Under Construction</v>
      </c>
      <c r="E75" s="129"/>
      <c r="F75" s="129" t="str">
        <f>(IF(D74="Nothing","Yes",IF(D74="Cement, Aggregate, Steel, etc","Under Construction",IF(D74="Work not yet Started","Work not yet Started"))))</f>
        <v>Under Construction</v>
      </c>
      <c r="G75" s="129"/>
      <c r="H75" s="129"/>
      <c r="S75"/>
    </row>
    <row r="76" spans="1:19" ht="15.75" customHeight="1" x14ac:dyDescent="0.25">
      <c r="A76" s="137" t="s">
        <v>136</v>
      </c>
      <c r="B76" s="138"/>
      <c r="C76" s="139" t="str">
        <f>D66</f>
        <v>Tower 11 = G + P + E Deck + 1st to 26th Floor</v>
      </c>
      <c r="D76" s="140"/>
      <c r="E76" s="140"/>
      <c r="F76" s="140"/>
      <c r="G76" s="140"/>
      <c r="H76" s="141"/>
      <c r="I76" s="49" t="str">
        <f ca="1">IF(D89=100%,"All work Completed. Possession granted to the Building.",IF(D88=100%,"All work Completed, Waiting for OC",I77&amp;""&amp;I78&amp;""&amp;J77&amp;""&amp;J76&amp;" "&amp;J78))</f>
        <v xml:space="preserve">Excavation, Plinth Completed </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16" t="s">
        <v>138</v>
      </c>
      <c r="B77" s="47">
        <f>IF(AND(ISNUMBER(SEARCH("1B",C76))),1,IF(AND(ISNUMBER(SEARCH("2B",C76))),2,IF(AND(ISNUMBER(SEARCH("3B",C76))),3,IF(AND(ISNUMBER(SEARCH("4B",C76))),4,IF(ISNUMBER(SEARCH("5B",C76)),5,0)))))</f>
        <v>0</v>
      </c>
      <c r="C77" s="47" t="s">
        <v>68</v>
      </c>
      <c r="D77" s="47">
        <v>1</v>
      </c>
      <c r="E77" s="47" t="s">
        <v>67</v>
      </c>
      <c r="F77" s="47">
        <v>2</v>
      </c>
      <c r="G77" s="48" t="s">
        <v>76</v>
      </c>
      <c r="H77" s="17">
        <f ca="1">--TRIM(RIGHT(SUBSTITUTE(LEFT(C76,_xlfn.AGGREGATE(16,6,FIND({0,1,2,3,4,5,6,7,8,9},C76,ROW(INDIRECT("1:"&amp;LEN(C76)))),1))," ",REPT(" ",LEN(C76))),LEN(C76)))</f>
        <v>26</v>
      </c>
      <c r="I77" s="51" t="str">
        <f ca="1">IF(D80=100%,"Excavation","")&amp;IF(D81=100%,", Plinth","")&amp;IF(D82=100%,", RCC Slab","")&amp;IF(D83=100%,", Brickwork","")&amp;IF(D84=100%,", Internal Plaster","")&amp;IF(D85=100%,", External Plaster","")&amp;IF(D86=100%,", Flooring","")&amp;IF(D87=100%,", Painting","")&amp;IF(D88=100%,", Building common Amenities","")</f>
        <v>Excavation, Plinth</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135" t="s">
        <v>86</v>
      </c>
      <c r="B78" s="136"/>
      <c r="C78" s="124" t="str">
        <f ca="1">I76</f>
        <v xml:space="preserve">Excavation, Plinth Completed </v>
      </c>
      <c r="D78" s="124"/>
      <c r="E78" s="124"/>
      <c r="F78" s="124"/>
      <c r="G78" s="124"/>
      <c r="H78" s="125"/>
      <c r="I78" s="51" t="str">
        <f ca="1">IF(I77&lt;&gt;""," Completed","")</f>
        <v xml:space="preserve"> Completed</v>
      </c>
      <c r="J78" s="52" t="str">
        <f ca="1">IF(J76&lt;&gt;"","Completed","")</f>
        <v/>
      </c>
      <c r="S78"/>
    </row>
    <row r="79" spans="1:19" ht="15.75" customHeight="1" x14ac:dyDescent="0.25">
      <c r="A79" s="130" t="s">
        <v>47</v>
      </c>
      <c r="B79" s="131"/>
      <c r="C79" s="43" t="s">
        <v>135</v>
      </c>
      <c r="D79" s="43" t="s">
        <v>79</v>
      </c>
      <c r="E79" s="131" t="s">
        <v>81</v>
      </c>
      <c r="F79" s="131"/>
      <c r="G79" s="131" t="s">
        <v>80</v>
      </c>
      <c r="H79" s="132"/>
      <c r="I79" s="13" t="s">
        <v>137</v>
      </c>
      <c r="J79" s="28">
        <f ca="1">H77*25%</f>
        <v>6.5</v>
      </c>
      <c r="L79" s="240" t="e">
        <f ca="1">(((J80/O76*10)+(40/(K76+M76+O76)*J81)+(7.5/(O76)*J82)+(7.5/(O76)*J83)+(10/O76*J84)+(10/O76*J85)+(5/O76*J86)+(5/O76*J87)+(5/O76*J88))/100)</f>
        <v>#DIV/0!</v>
      </c>
      <c r="M79" s="258"/>
      <c r="N79" s="240" t="e">
        <f ca="1">((((J79/O76)*20)+((J80/O76)*25)+(30/(O76+M76+K76)*J81)+(5/O76*J82)+(5/O76*J83)+(5/O76*J84)+(5/O76*J85)+(0/O76*J86)+(0/O76*J87)+(5/O76*J88))/100)</f>
        <v>#DIV/0!</v>
      </c>
      <c r="O79" s="241"/>
      <c r="S79"/>
    </row>
    <row r="80" spans="1:19" x14ac:dyDescent="0.25">
      <c r="A80" s="130" t="s">
        <v>124</v>
      </c>
      <c r="B80" s="131"/>
      <c r="C80" s="99">
        <f ca="1">J81</f>
        <v>26</v>
      </c>
      <c r="D80" s="19">
        <f ca="1">((100/H77)*C80)/100</f>
        <v>1</v>
      </c>
      <c r="E80" s="240">
        <v>0.2</v>
      </c>
      <c r="F80" s="258"/>
      <c r="G80" s="240">
        <v>0.4</v>
      </c>
      <c r="H80" s="241"/>
      <c r="I80" s="13" t="s">
        <v>95</v>
      </c>
      <c r="J80" s="29">
        <f ca="1">H77*50%</f>
        <v>13</v>
      </c>
      <c r="L80" s="242"/>
      <c r="M80" s="259"/>
      <c r="N80" s="242"/>
      <c r="O80" s="243"/>
    </row>
    <row r="81" spans="1:19" x14ac:dyDescent="0.25">
      <c r="A81" s="130" t="s">
        <v>48</v>
      </c>
      <c r="B81" s="131"/>
      <c r="C81" s="99">
        <f ca="1">J89</f>
        <v>26</v>
      </c>
      <c r="D81" s="19">
        <f ca="1">((100/H77)*C81)/100</f>
        <v>1</v>
      </c>
      <c r="E81" s="242"/>
      <c r="F81" s="259"/>
      <c r="G81" s="242"/>
      <c r="H81" s="243"/>
      <c r="I81" s="13" t="s">
        <v>96</v>
      </c>
      <c r="J81" s="29">
        <f ca="1">H77</f>
        <v>26</v>
      </c>
      <c r="L81" s="242"/>
      <c r="M81" s="259"/>
      <c r="N81" s="242"/>
      <c r="O81" s="243"/>
      <c r="S81"/>
    </row>
    <row r="82" spans="1:19" ht="15.75" customHeight="1" x14ac:dyDescent="0.25">
      <c r="A82" s="130" t="s">
        <v>125</v>
      </c>
      <c r="B82" s="131"/>
      <c r="C82" s="43">
        <v>0</v>
      </c>
      <c r="D82" s="19">
        <f ca="1">((100/(D77+F77+H77))*C82)/100</f>
        <v>0</v>
      </c>
      <c r="E82" s="242"/>
      <c r="F82" s="259"/>
      <c r="G82" s="242"/>
      <c r="H82" s="243"/>
      <c r="I82" s="13" t="s">
        <v>97</v>
      </c>
      <c r="J82" s="30">
        <f ca="1">(IF(B77&gt;1,(H77/(B77+2)),H77/4))</f>
        <v>6.5</v>
      </c>
      <c r="L82" s="242"/>
      <c r="M82" s="259"/>
      <c r="N82" s="242"/>
      <c r="O82" s="243"/>
      <c r="S82"/>
    </row>
    <row r="83" spans="1:19" ht="15.75" customHeight="1" x14ac:dyDescent="0.25">
      <c r="A83" s="130" t="s">
        <v>132</v>
      </c>
      <c r="B83" s="131" t="s">
        <v>126</v>
      </c>
      <c r="C83" s="43">
        <v>0</v>
      </c>
      <c r="D83" s="19">
        <f ca="1">((100/H77)*C83)/100</f>
        <v>0</v>
      </c>
      <c r="E83" s="242"/>
      <c r="F83" s="259"/>
      <c r="G83" s="242"/>
      <c r="H83" s="243"/>
      <c r="I83" s="13" t="s">
        <v>98</v>
      </c>
      <c r="J83" s="30">
        <f ca="1">(IF(B77&gt;1,(H77/(B77+2)+J82),H77/4+J82))</f>
        <v>13</v>
      </c>
      <c r="L83" s="242"/>
      <c r="M83" s="259"/>
      <c r="N83" s="242"/>
      <c r="O83" s="243"/>
    </row>
    <row r="84" spans="1:19" ht="15.75" customHeight="1" x14ac:dyDescent="0.25">
      <c r="A84" s="130" t="s">
        <v>133</v>
      </c>
      <c r="B84" s="131" t="s">
        <v>126</v>
      </c>
      <c r="C84" s="43">
        <v>0</v>
      </c>
      <c r="D84" s="19">
        <f ca="1">((100/H77)*C84)/100</f>
        <v>0</v>
      </c>
      <c r="E84" s="242"/>
      <c r="F84" s="259"/>
      <c r="G84" s="242"/>
      <c r="H84" s="243"/>
      <c r="I84" s="13" t="s">
        <v>142</v>
      </c>
      <c r="J84" s="30">
        <f>(IF(B77&gt;1,(H77/(B77+2)+J83),0))</f>
        <v>0</v>
      </c>
      <c r="L84" s="242"/>
      <c r="M84" s="259"/>
      <c r="N84" s="242"/>
      <c r="O84" s="243"/>
    </row>
    <row r="85" spans="1:19" ht="15" customHeight="1" x14ac:dyDescent="0.25">
      <c r="A85" s="130" t="s">
        <v>131</v>
      </c>
      <c r="B85" s="131" t="s">
        <v>128</v>
      </c>
      <c r="C85" s="43">
        <v>0</v>
      </c>
      <c r="D85" s="19">
        <f ca="1">((100/(H77))*C85)/100</f>
        <v>0</v>
      </c>
      <c r="E85" s="242"/>
      <c r="F85" s="259"/>
      <c r="G85" s="242"/>
      <c r="H85" s="243"/>
      <c r="I85" s="13" t="s">
        <v>139</v>
      </c>
      <c r="J85" s="30">
        <f>(IF(B77&gt;2,(H77/(B77+2)+J84),0))</f>
        <v>0</v>
      </c>
      <c r="L85" s="242"/>
      <c r="M85" s="259"/>
      <c r="N85" s="242"/>
      <c r="O85" s="243"/>
    </row>
    <row r="86" spans="1:19" ht="15.75" customHeight="1" x14ac:dyDescent="0.25">
      <c r="A86" s="130" t="s">
        <v>127</v>
      </c>
      <c r="B86" s="131" t="s">
        <v>127</v>
      </c>
      <c r="C86" s="43">
        <v>0</v>
      </c>
      <c r="D86" s="19">
        <f ca="1">((100/H77)*C86)/100</f>
        <v>0</v>
      </c>
      <c r="E86" s="242"/>
      <c r="F86" s="259"/>
      <c r="G86" s="242"/>
      <c r="H86" s="243"/>
      <c r="I86" s="13" t="s">
        <v>140</v>
      </c>
      <c r="J86" s="31">
        <f>(IF(B77&gt;3,(H77/(B77+2)+J85),0))</f>
        <v>0</v>
      </c>
      <c r="L86" s="242"/>
      <c r="M86" s="259"/>
      <c r="N86" s="242"/>
      <c r="O86" s="243"/>
    </row>
    <row r="87" spans="1:19" ht="15.75" customHeight="1" x14ac:dyDescent="0.25">
      <c r="A87" s="130" t="s">
        <v>134</v>
      </c>
      <c r="B87" s="131"/>
      <c r="C87" s="43">
        <v>0</v>
      </c>
      <c r="D87" s="19">
        <f ca="1">((100/H77)*C87)/100</f>
        <v>0</v>
      </c>
      <c r="E87" s="242"/>
      <c r="F87" s="259"/>
      <c r="G87" s="242"/>
      <c r="H87" s="243"/>
      <c r="I87" s="13" t="s">
        <v>141</v>
      </c>
      <c r="J87" s="30">
        <f>(IF(B77&gt;4,(H77/(B77+2)+J86),0))</f>
        <v>0</v>
      </c>
      <c r="L87" s="242"/>
      <c r="M87" s="259"/>
      <c r="N87" s="242"/>
      <c r="O87" s="243"/>
    </row>
    <row r="88" spans="1:19" ht="15.75" customHeight="1" thickBot="1" x14ac:dyDescent="0.3">
      <c r="A88" s="130" t="s">
        <v>129</v>
      </c>
      <c r="B88" s="131" t="s">
        <v>129</v>
      </c>
      <c r="C88" s="43">
        <v>0</v>
      </c>
      <c r="D88" s="19">
        <f ca="1">((100/(H77))*C88)/100</f>
        <v>0</v>
      </c>
      <c r="E88" s="242"/>
      <c r="F88" s="259"/>
      <c r="G88" s="242"/>
      <c r="H88" s="243"/>
      <c r="I88" s="13" t="s">
        <v>143</v>
      </c>
      <c r="J88" s="30">
        <f ca="1">(IF(B77=1,(H77/(B77+3)+J83),IF(B77=0,(H77/4+J83),IF(B77&gt;1,0))))</f>
        <v>19.5</v>
      </c>
      <c r="L88" s="244"/>
      <c r="M88" s="260"/>
      <c r="N88" s="244"/>
      <c r="O88" s="245"/>
    </row>
    <row r="89" spans="1:19" ht="16.5" thickBot="1" x14ac:dyDescent="0.3">
      <c r="A89" s="133" t="s">
        <v>130</v>
      </c>
      <c r="B89" s="134"/>
      <c r="C89" s="44">
        <v>0</v>
      </c>
      <c r="D89" s="20">
        <f ca="1">((100/(H77))*C89)/100</f>
        <v>0</v>
      </c>
      <c r="E89" s="244"/>
      <c r="F89" s="260"/>
      <c r="G89" s="244"/>
      <c r="H89" s="245"/>
      <c r="I89" s="15" t="s">
        <v>99</v>
      </c>
      <c r="J89" s="32">
        <f ca="1">(IF(B77&gt;1.5,(H77/(B77+2)+J83+MAX(0,J84-J83)+MAX(0,J85-J84)+MAX(0,J86-J85)+MAX(0,J87-J86)+MAX(0,J88-J87)),IF(B77=1,(H77/(B77+3)+J88),IF(B77=0,H77/4+J88))))</f>
        <v>26</v>
      </c>
    </row>
    <row r="90" spans="1:19" ht="15.75" hidden="1" customHeight="1" x14ac:dyDescent="0.25">
      <c r="A90" s="137" t="s">
        <v>136</v>
      </c>
      <c r="B90" s="138"/>
      <c r="C90" s="139" t="str">
        <f>D67</f>
        <v>B Wing = 1B + G + 1st to 19th Floor</v>
      </c>
      <c r="D90" s="140"/>
      <c r="E90" s="140"/>
      <c r="F90" s="140"/>
      <c r="G90" s="140"/>
      <c r="H90" s="141"/>
      <c r="I90" s="49" t="str">
        <f ca="1">IF(D103=100%,"All work Completed. Possession granted to the Building.",IF(D102=100%,"All work Completed, Waiting for OC",I91&amp;""&amp;I92&amp;""&amp;J91&amp;""&amp;J90&amp;" "&amp;J92))</f>
        <v xml:space="preserve">Excavation, Plinth Completed </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138</v>
      </c>
      <c r="B91" s="47">
        <f>IF(AND(ISNUMBER(SEARCH("1B",C90))),1,IF(AND(ISNUMBER(SEARCH("2B",C90))),2,IF(AND(ISNUMBER(SEARCH("3B",C90))),3,IF(AND(ISNUMBER(SEARCH("4B",C90))),4,IF(ISNUMBER(SEARCH("5B",C90)),5,0)))))</f>
        <v>1</v>
      </c>
      <c r="C91" s="47" t="s">
        <v>68</v>
      </c>
      <c r="D91" s="47">
        <v>1</v>
      </c>
      <c r="E91" s="47" t="s">
        <v>67</v>
      </c>
      <c r="F91" s="14">
        <v>0</v>
      </c>
      <c r="G91" s="48" t="s">
        <v>76</v>
      </c>
      <c r="H91" s="17">
        <f ca="1">--TRIM(RIGHT(SUBSTITUTE(LEFT(C90,_xlfn.AGGREGATE(16,6,FIND({0,1,2,3,4,5,6,7,8,9},C90,ROW(INDIRECT("1:"&amp;LEN(C90)))),1))," ",REPT(" ",LEN(C90))),LEN(C90)))</f>
        <v>19</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135" t="s">
        <v>86</v>
      </c>
      <c r="B92" s="136"/>
      <c r="C92" s="124" t="str">
        <f ca="1">I90</f>
        <v xml:space="preserve">Excavation, Plinth Completed </v>
      </c>
      <c r="D92" s="124"/>
      <c r="E92" s="124"/>
      <c r="F92" s="124"/>
      <c r="G92" s="124"/>
      <c r="H92" s="125"/>
      <c r="I92" s="51" t="str">
        <f ca="1">IF(I91&lt;&gt;""," Completed","")</f>
        <v xml:space="preserve"> Completed</v>
      </c>
      <c r="J92" s="52" t="str">
        <f ca="1">IF(J90&lt;&gt;"","Completed","")</f>
        <v/>
      </c>
      <c r="S92"/>
    </row>
    <row r="93" spans="1:19" ht="15.75" hidden="1" customHeight="1" x14ac:dyDescent="0.25">
      <c r="A93" s="130" t="s">
        <v>47</v>
      </c>
      <c r="B93" s="131"/>
      <c r="C93" s="43" t="s">
        <v>135</v>
      </c>
      <c r="D93" s="43" t="s">
        <v>79</v>
      </c>
      <c r="E93" s="131" t="s">
        <v>81</v>
      </c>
      <c r="F93" s="131"/>
      <c r="G93" s="131" t="s">
        <v>80</v>
      </c>
      <c r="H93" s="132"/>
      <c r="I93" s="13" t="s">
        <v>137</v>
      </c>
      <c r="J93" s="28">
        <f ca="1">H91*25%</f>
        <v>4.75</v>
      </c>
      <c r="S93"/>
    </row>
    <row r="94" spans="1:19" hidden="1" x14ac:dyDescent="0.25">
      <c r="A94" s="130" t="s">
        <v>124</v>
      </c>
      <c r="B94" s="131"/>
      <c r="C94" s="60">
        <f ca="1">J95</f>
        <v>19</v>
      </c>
      <c r="D94" s="19">
        <f ca="1">((100/H91)*C94)/100</f>
        <v>1</v>
      </c>
      <c r="E94" s="240">
        <f ca="1">(((C95/H91*10)+(40/(D91+F91+H91)*C96)+(7.5/(H91)*C97)+(7.5/(H91)*C98)+(10/H91*C99)+(10/H91*C100)+(5/H91*C101)+(5/H91*C102)+(5/H91*C103))/100)</f>
        <v>0.1</v>
      </c>
      <c r="F94" s="258"/>
      <c r="G94" s="240">
        <f ca="1">((((C94/H91)*20)+((C95/H91)*25)+(30/(H91+F91+D91)*C96)+(5/H91*C97)+(5/H91*C98)+(5/H91*C99)+(5/H91*C100)+(0/H91*C101)+(0/H91*C102)+(5/H91*C103))/100)</f>
        <v>0.45</v>
      </c>
      <c r="H94" s="241"/>
      <c r="I94" s="13" t="s">
        <v>95</v>
      </c>
      <c r="J94" s="29">
        <f ca="1">H91*50%</f>
        <v>9.5</v>
      </c>
    </row>
    <row r="95" spans="1:19" hidden="1" x14ac:dyDescent="0.25">
      <c r="A95" s="130" t="s">
        <v>48</v>
      </c>
      <c r="B95" s="131"/>
      <c r="C95" s="43">
        <f ca="1">J103</f>
        <v>19</v>
      </c>
      <c r="D95" s="19">
        <f ca="1">((100/H91)*C95)/100</f>
        <v>1</v>
      </c>
      <c r="E95" s="242"/>
      <c r="F95" s="259"/>
      <c r="G95" s="242"/>
      <c r="H95" s="243"/>
      <c r="I95" s="13" t="s">
        <v>96</v>
      </c>
      <c r="J95" s="29">
        <f ca="1">H91</f>
        <v>19</v>
      </c>
      <c r="S95"/>
    </row>
    <row r="96" spans="1:19" ht="15.75" hidden="1" customHeight="1" x14ac:dyDescent="0.25">
      <c r="A96" s="130" t="s">
        <v>125</v>
      </c>
      <c r="B96" s="131"/>
      <c r="C96" s="43">
        <v>0</v>
      </c>
      <c r="D96" s="19">
        <f ca="1">((100/(D91+F91+H91))*C96)/100</f>
        <v>0</v>
      </c>
      <c r="E96" s="242"/>
      <c r="F96" s="259"/>
      <c r="G96" s="242"/>
      <c r="H96" s="243"/>
      <c r="I96" s="13" t="s">
        <v>97</v>
      </c>
      <c r="J96" s="30">
        <f ca="1">(IF(B91&gt;1,(H91/(B91+2)),H91/4))</f>
        <v>4.75</v>
      </c>
      <c r="S96"/>
    </row>
    <row r="97" spans="1:19" ht="15.75" hidden="1" customHeight="1" x14ac:dyDescent="0.25">
      <c r="A97" s="130" t="s">
        <v>132</v>
      </c>
      <c r="B97" s="131" t="s">
        <v>126</v>
      </c>
      <c r="C97" s="43">
        <v>0</v>
      </c>
      <c r="D97" s="19">
        <f ca="1">((100/H91)*C97)/100</f>
        <v>0</v>
      </c>
      <c r="E97" s="242"/>
      <c r="F97" s="259"/>
      <c r="G97" s="242"/>
      <c r="H97" s="243"/>
      <c r="I97" s="13" t="s">
        <v>98</v>
      </c>
      <c r="J97" s="30">
        <f ca="1">(IF(B91&gt;1,(H91/(B91+2)+J96),H91/4+J96))</f>
        <v>9.5</v>
      </c>
    </row>
    <row r="98" spans="1:19" ht="15.75" hidden="1" customHeight="1" x14ac:dyDescent="0.25">
      <c r="A98" s="130" t="s">
        <v>133</v>
      </c>
      <c r="B98" s="131" t="s">
        <v>126</v>
      </c>
      <c r="C98" s="43">
        <v>0</v>
      </c>
      <c r="D98" s="19">
        <f ca="1">((100/H91)*C98)/100</f>
        <v>0</v>
      </c>
      <c r="E98" s="242"/>
      <c r="F98" s="259"/>
      <c r="G98" s="242"/>
      <c r="H98" s="243"/>
      <c r="I98" s="13" t="s">
        <v>142</v>
      </c>
      <c r="J98" s="30">
        <f>(IF(B91&gt;1,(H91/(B91+2)+J97),0))</f>
        <v>0</v>
      </c>
    </row>
    <row r="99" spans="1:19" ht="15" hidden="1" customHeight="1" x14ac:dyDescent="0.25">
      <c r="A99" s="130" t="s">
        <v>131</v>
      </c>
      <c r="B99" s="131" t="s">
        <v>128</v>
      </c>
      <c r="C99" s="43">
        <v>0</v>
      </c>
      <c r="D99" s="19">
        <f ca="1">((100/(H91))*C99)/100</f>
        <v>0</v>
      </c>
      <c r="E99" s="242"/>
      <c r="F99" s="259"/>
      <c r="G99" s="242"/>
      <c r="H99" s="243"/>
      <c r="I99" s="13" t="s">
        <v>139</v>
      </c>
      <c r="J99" s="30">
        <f>(IF(B91&gt;2,(H91/(B91+2)+J98),0))</f>
        <v>0</v>
      </c>
    </row>
    <row r="100" spans="1:19" ht="15.75" hidden="1" customHeight="1" x14ac:dyDescent="0.25">
      <c r="A100" s="130" t="s">
        <v>127</v>
      </c>
      <c r="B100" s="131" t="s">
        <v>127</v>
      </c>
      <c r="C100" s="43">
        <v>0</v>
      </c>
      <c r="D100" s="19">
        <f ca="1">((100/H91)*C100)/100</f>
        <v>0</v>
      </c>
      <c r="E100" s="242"/>
      <c r="F100" s="259"/>
      <c r="G100" s="242"/>
      <c r="H100" s="243"/>
      <c r="I100" s="13" t="s">
        <v>140</v>
      </c>
      <c r="J100" s="31">
        <f>(IF(B91&gt;3,(H91/(B91+2)+J99),0))</f>
        <v>0</v>
      </c>
    </row>
    <row r="101" spans="1:19" ht="15.75" hidden="1" customHeight="1" x14ac:dyDescent="0.25">
      <c r="A101" s="130" t="s">
        <v>134</v>
      </c>
      <c r="B101" s="131"/>
      <c r="C101" s="43">
        <v>0</v>
      </c>
      <c r="D101" s="19">
        <f ca="1">((100/H91)*C101)/100</f>
        <v>0</v>
      </c>
      <c r="E101" s="242"/>
      <c r="F101" s="259"/>
      <c r="G101" s="242"/>
      <c r="H101" s="243"/>
      <c r="I101" s="13" t="s">
        <v>141</v>
      </c>
      <c r="J101" s="30">
        <f>(IF(B91&gt;4,(H91/(B91+2)+J100),0))</f>
        <v>0</v>
      </c>
    </row>
    <row r="102" spans="1:19" ht="15.75" hidden="1" customHeight="1" x14ac:dyDescent="0.25">
      <c r="A102" s="130" t="s">
        <v>129</v>
      </c>
      <c r="B102" s="131" t="s">
        <v>129</v>
      </c>
      <c r="C102" s="43">
        <v>0</v>
      </c>
      <c r="D102" s="19">
        <f ca="1">((100/(H91))*C102)/100</f>
        <v>0</v>
      </c>
      <c r="E102" s="242"/>
      <c r="F102" s="259"/>
      <c r="G102" s="242"/>
      <c r="H102" s="243"/>
      <c r="I102" s="13" t="s">
        <v>143</v>
      </c>
      <c r="J102" s="30">
        <f ca="1">(IF(B91=1,(H91/(B91+3)+J97),IF(B91=0,(H91/4+J97),IF(B91&gt;1,0))))</f>
        <v>14.25</v>
      </c>
    </row>
    <row r="103" spans="1:19" ht="16.5" hidden="1" thickBot="1" x14ac:dyDescent="0.3">
      <c r="A103" s="133" t="s">
        <v>130</v>
      </c>
      <c r="B103" s="134"/>
      <c r="C103" s="44">
        <v>0</v>
      </c>
      <c r="D103" s="20">
        <f ca="1">((100/(H91))*C103)/100</f>
        <v>0</v>
      </c>
      <c r="E103" s="244"/>
      <c r="F103" s="260"/>
      <c r="G103" s="244"/>
      <c r="H103" s="245"/>
      <c r="I103" s="15" t="s">
        <v>99</v>
      </c>
      <c r="J103" s="32">
        <f ca="1">(IF(B91&gt;1.5,(H91/(B91+2)+J97+MAX(0,J98-J97)+MAX(0,J99-J98)+MAX(0,J100-J99)+MAX(0,J101-J100)+MAX(0,J102-J101)),IF(B91=1,(H91/(B91+3)+J102),IF(B91=0,H91/4+J102))))</f>
        <v>19</v>
      </c>
    </row>
    <row r="104" spans="1:19" ht="15.75" hidden="1" customHeight="1" x14ac:dyDescent="0.25">
      <c r="A104" s="137" t="s">
        <v>136</v>
      </c>
      <c r="B104" s="138"/>
      <c r="C104" s="139" t="str">
        <f>D68</f>
        <v>C Wing = 1B + G + 1st to 20th Floor</v>
      </c>
      <c r="D104" s="140"/>
      <c r="E104" s="140"/>
      <c r="F104" s="140"/>
      <c r="G104" s="140"/>
      <c r="H104" s="141"/>
      <c r="I104" s="49" t="str">
        <f ca="1">IF(D117=100%,"All work Completed. Possession granted to the Building.",IF(D116=100%,"All work Completed, Waiting for OC",I105&amp;""&amp;I106&amp;""&amp;J105&amp;""&amp;J104&amp;" "&amp;J106))</f>
        <v xml:space="preserve">Excavation, Plinth Completed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138</v>
      </c>
      <c r="B105" s="47">
        <f>IF(AND(ISNUMBER(SEARCH("1B",C104))),1,IF(AND(ISNUMBER(SEARCH("2B",C104))),2,IF(AND(ISNUMBER(SEARCH("3B",C104))),3,IF(AND(ISNUMBER(SEARCH("4B",C104))),4,IF(ISNUMBER(SEARCH("5B",C104)),5,0)))))</f>
        <v>1</v>
      </c>
      <c r="C105" s="47" t="s">
        <v>68</v>
      </c>
      <c r="D105" s="47">
        <v>1</v>
      </c>
      <c r="E105" s="47" t="s">
        <v>67</v>
      </c>
      <c r="F105" s="14">
        <v>0</v>
      </c>
      <c r="G105" s="48" t="s">
        <v>76</v>
      </c>
      <c r="H105" s="17">
        <f ca="1">--TRIM(RIGHT(SUBSTITUTE(LEFT(C104,_xlfn.AGGREGATE(16,6,FIND({0,1,2,3,4,5,6,7,8,9},C104,ROW(INDIRECT("1:"&amp;LEN(C104)))),1))," ",REPT(" ",LEN(C104))),LEN(C104)))</f>
        <v>20</v>
      </c>
      <c r="I105" s="51" t="str">
        <f ca="1">IF(D108=100%,"Excavation","")&amp;IF(D109=100%,", Plinth","")&amp;IF(D110=100%,", RCC Slab","")&amp;IF(D111=100%,", Brickwork","")&amp;IF(D112=100%,", Internal Plaster","")&amp;IF(D113=100%,", External Plaster","")&amp;IF(D114=100%,", Flooring","")&amp;IF(D115=100%,", Painting","")&amp;IF(D116=100%,", Building common Amenities","")</f>
        <v>Excavation, Plinth</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idden="1" x14ac:dyDescent="0.25">
      <c r="A106" s="135" t="s">
        <v>86</v>
      </c>
      <c r="B106" s="136"/>
      <c r="C106" s="124" t="str">
        <f ca="1">I104</f>
        <v xml:space="preserve">Excavation, Plinth Completed </v>
      </c>
      <c r="D106" s="124"/>
      <c r="E106" s="124"/>
      <c r="F106" s="124"/>
      <c r="G106" s="124"/>
      <c r="H106" s="125"/>
      <c r="I106" s="51" t="str">
        <f ca="1">IF(I105&lt;&gt;""," Completed","")</f>
        <v xml:space="preserve"> Completed</v>
      </c>
      <c r="J106" s="52" t="str">
        <f ca="1">IF(J104&lt;&gt;"","Completed","")</f>
        <v/>
      </c>
      <c r="S106"/>
    </row>
    <row r="107" spans="1:19" ht="15.75" hidden="1" customHeight="1" x14ac:dyDescent="0.25">
      <c r="A107" s="130" t="s">
        <v>47</v>
      </c>
      <c r="B107" s="131"/>
      <c r="C107" s="43" t="s">
        <v>135</v>
      </c>
      <c r="D107" s="43" t="s">
        <v>79</v>
      </c>
      <c r="E107" s="131" t="s">
        <v>81</v>
      </c>
      <c r="F107" s="131"/>
      <c r="G107" s="131" t="s">
        <v>80</v>
      </c>
      <c r="H107" s="132"/>
      <c r="I107" s="13" t="s">
        <v>137</v>
      </c>
      <c r="J107" s="28">
        <f ca="1">H105*25%</f>
        <v>5</v>
      </c>
      <c r="S107"/>
    </row>
    <row r="108" spans="1:19" hidden="1" x14ac:dyDescent="0.25">
      <c r="A108" s="130" t="s">
        <v>124</v>
      </c>
      <c r="B108" s="131"/>
      <c r="C108" s="60">
        <f ca="1">J109</f>
        <v>20</v>
      </c>
      <c r="D108" s="19">
        <f ca="1">((100/H105)*C108)/100</f>
        <v>1</v>
      </c>
      <c r="E108" s="240">
        <f ca="1">(((C109/H105*10)+(40/(D105+F105+H105)*C110)+(7.5/(H105)*C111)+(7.5/(H105)*C112)+(10/H105*C113)+(10/H105*C114)+(5/H105*C115)+(5/H105*C116)+(5/H105*C117))/100)</f>
        <v>0.1</v>
      </c>
      <c r="F108" s="258"/>
      <c r="G108" s="240">
        <f ca="1">((((C108/H105)*20)+((C109/H105)*25)+(30/(H105+F105+D105)*C110)+(5/H105*C111)+(5/H105*C112)+(5/H105*C113)+(5/H105*C114)+(0/H105*C115)+(0/H105*C116)+(5/H105*C117))/100)</f>
        <v>0.45</v>
      </c>
      <c r="H108" s="241"/>
      <c r="I108" s="13" t="s">
        <v>95</v>
      </c>
      <c r="J108" s="29">
        <f ca="1">H105*50%</f>
        <v>10</v>
      </c>
    </row>
    <row r="109" spans="1:19" hidden="1" x14ac:dyDescent="0.25">
      <c r="A109" s="130" t="s">
        <v>48</v>
      </c>
      <c r="B109" s="131"/>
      <c r="C109" s="43">
        <f ca="1">J117</f>
        <v>20</v>
      </c>
      <c r="D109" s="19">
        <f ca="1">((100/H105)*C109)/100</f>
        <v>1</v>
      </c>
      <c r="E109" s="242"/>
      <c r="F109" s="259"/>
      <c r="G109" s="242"/>
      <c r="H109" s="243"/>
      <c r="I109" s="13" t="s">
        <v>96</v>
      </c>
      <c r="J109" s="29">
        <f ca="1">H105</f>
        <v>20</v>
      </c>
      <c r="S109"/>
    </row>
    <row r="110" spans="1:19" ht="15.75" hidden="1" customHeight="1" x14ac:dyDescent="0.25">
      <c r="A110" s="130" t="s">
        <v>125</v>
      </c>
      <c r="B110" s="131"/>
      <c r="C110" s="43">
        <v>0</v>
      </c>
      <c r="D110" s="19">
        <f ca="1">((100/(D105+F105+H105))*C110)/100</f>
        <v>0</v>
      </c>
      <c r="E110" s="242"/>
      <c r="F110" s="259"/>
      <c r="G110" s="242"/>
      <c r="H110" s="243"/>
      <c r="I110" s="13" t="s">
        <v>97</v>
      </c>
      <c r="J110" s="30">
        <f ca="1">(IF(B105&gt;1,(H105/(B105+2)),H105/4))</f>
        <v>5</v>
      </c>
      <c r="S110"/>
    </row>
    <row r="111" spans="1:19" ht="15.75" hidden="1" customHeight="1" x14ac:dyDescent="0.25">
      <c r="A111" s="130" t="s">
        <v>132</v>
      </c>
      <c r="B111" s="131" t="s">
        <v>126</v>
      </c>
      <c r="C111" s="43">
        <v>0</v>
      </c>
      <c r="D111" s="19">
        <f ca="1">((100/H105)*C111)/100</f>
        <v>0</v>
      </c>
      <c r="E111" s="242"/>
      <c r="F111" s="259"/>
      <c r="G111" s="242"/>
      <c r="H111" s="243"/>
      <c r="I111" s="13" t="s">
        <v>98</v>
      </c>
      <c r="J111" s="30">
        <f ca="1">(IF(B105&gt;1,(H105/(B105+2)+J110),H105/4+J110))</f>
        <v>10</v>
      </c>
    </row>
    <row r="112" spans="1:19" ht="15.75" hidden="1" customHeight="1" x14ac:dyDescent="0.25">
      <c r="A112" s="130" t="s">
        <v>133</v>
      </c>
      <c r="B112" s="131" t="s">
        <v>126</v>
      </c>
      <c r="C112" s="43">
        <v>0</v>
      </c>
      <c r="D112" s="19">
        <f ca="1">((100/H105)*C112)/100</f>
        <v>0</v>
      </c>
      <c r="E112" s="242"/>
      <c r="F112" s="259"/>
      <c r="G112" s="242"/>
      <c r="H112" s="243"/>
      <c r="I112" s="13" t="s">
        <v>142</v>
      </c>
      <c r="J112" s="30">
        <f>(IF(B105&gt;1,(H105/(B105+2)+J111),0))</f>
        <v>0</v>
      </c>
    </row>
    <row r="113" spans="1:22" ht="15" hidden="1" customHeight="1" x14ac:dyDescent="0.25">
      <c r="A113" s="130" t="s">
        <v>131</v>
      </c>
      <c r="B113" s="131" t="s">
        <v>128</v>
      </c>
      <c r="C113" s="43">
        <v>0</v>
      </c>
      <c r="D113" s="19">
        <f ca="1">((100/(H105))*C113)/100</f>
        <v>0</v>
      </c>
      <c r="E113" s="242"/>
      <c r="F113" s="259"/>
      <c r="G113" s="242"/>
      <c r="H113" s="243"/>
      <c r="I113" s="13" t="s">
        <v>139</v>
      </c>
      <c r="J113" s="30">
        <f>(IF(B105&gt;2,(H105/(B105+2)+J112),0))</f>
        <v>0</v>
      </c>
    </row>
    <row r="114" spans="1:22" ht="15.75" hidden="1" customHeight="1" x14ac:dyDescent="0.25">
      <c r="A114" s="130" t="s">
        <v>127</v>
      </c>
      <c r="B114" s="131" t="s">
        <v>127</v>
      </c>
      <c r="C114" s="43">
        <v>0</v>
      </c>
      <c r="D114" s="19">
        <f ca="1">((100/H105)*C114)/100</f>
        <v>0</v>
      </c>
      <c r="E114" s="242"/>
      <c r="F114" s="259"/>
      <c r="G114" s="242"/>
      <c r="H114" s="243"/>
      <c r="I114" s="13" t="s">
        <v>140</v>
      </c>
      <c r="J114" s="31">
        <f>(IF(B105&gt;3,(H105/(B105+2)+J113),0))</f>
        <v>0</v>
      </c>
    </row>
    <row r="115" spans="1:22" ht="15.75" hidden="1" customHeight="1" x14ac:dyDescent="0.25">
      <c r="A115" s="130" t="s">
        <v>134</v>
      </c>
      <c r="B115" s="131"/>
      <c r="C115" s="43">
        <v>0</v>
      </c>
      <c r="D115" s="19">
        <f ca="1">((100/H105)*C115)/100</f>
        <v>0</v>
      </c>
      <c r="E115" s="242"/>
      <c r="F115" s="259"/>
      <c r="G115" s="242"/>
      <c r="H115" s="243"/>
      <c r="I115" s="13" t="s">
        <v>141</v>
      </c>
      <c r="J115" s="30">
        <f>(IF(B105&gt;4,(H105/(B105+2)+J114),0))</f>
        <v>0</v>
      </c>
    </row>
    <row r="116" spans="1:22" ht="15.75" hidden="1" customHeight="1" x14ac:dyDescent="0.25">
      <c r="A116" s="130" t="s">
        <v>129</v>
      </c>
      <c r="B116" s="131" t="s">
        <v>129</v>
      </c>
      <c r="C116" s="43">
        <v>0</v>
      </c>
      <c r="D116" s="19">
        <f ca="1">((100/(H105))*C116)/100</f>
        <v>0</v>
      </c>
      <c r="E116" s="242"/>
      <c r="F116" s="259"/>
      <c r="G116" s="242"/>
      <c r="H116" s="243"/>
      <c r="I116" s="13" t="s">
        <v>143</v>
      </c>
      <c r="J116" s="30">
        <f ca="1">(IF(B105=1,(H105/(B105+3)+J111),IF(B105=0,(H105/4+J111),IF(B105&gt;1,0))))</f>
        <v>15</v>
      </c>
    </row>
    <row r="117" spans="1:22" ht="16.5" hidden="1" thickBot="1" x14ac:dyDescent="0.3">
      <c r="A117" s="133" t="s">
        <v>130</v>
      </c>
      <c r="B117" s="134"/>
      <c r="C117" s="44">
        <v>0</v>
      </c>
      <c r="D117" s="20">
        <f ca="1">((100/(H105))*C117)/100</f>
        <v>0</v>
      </c>
      <c r="E117" s="244"/>
      <c r="F117" s="260"/>
      <c r="G117" s="244"/>
      <c r="H117" s="245"/>
      <c r="I117" s="15" t="s">
        <v>99</v>
      </c>
      <c r="J117" s="32">
        <f ca="1">(IF(B105&gt;1.5,(H105/(B105+2)+J111+MAX(0,J112-J111)+MAX(0,J113-J112)+MAX(0,J114-J113)+MAX(0,J115-J114)+MAX(0,J116-J115)),IF(B105=1,(H105/(B105+3)+J116),IF(B105=0,H105/4+J116))))</f>
        <v>20</v>
      </c>
    </row>
    <row r="118" spans="1:22" x14ac:dyDescent="0.25">
      <c r="A118" s="264" t="s">
        <v>153</v>
      </c>
      <c r="B118" s="264"/>
      <c r="C118" s="264"/>
      <c r="D118" s="264"/>
      <c r="E118" s="264"/>
      <c r="F118" s="171" t="s">
        <v>157</v>
      </c>
      <c r="G118" s="171"/>
      <c r="H118" s="171"/>
      <c r="R118" t="s">
        <v>250</v>
      </c>
      <c r="S118" t="s">
        <v>169</v>
      </c>
      <c r="T118" t="s">
        <v>177</v>
      </c>
      <c r="U118" t="s">
        <v>191</v>
      </c>
      <c r="V118" t="s">
        <v>186</v>
      </c>
    </row>
    <row r="119" spans="1:22" x14ac:dyDescent="0.25">
      <c r="A119" s="122" t="s">
        <v>155</v>
      </c>
      <c r="B119" s="122"/>
      <c r="C119" s="122"/>
      <c r="D119" s="122"/>
      <c r="E119" s="122"/>
      <c r="F119" s="144">
        <v>15000</v>
      </c>
      <c r="G119" s="144"/>
      <c r="H119" s="144"/>
      <c r="K119" s="24">
        <f>23000/1.5</f>
        <v>15333.333333333334</v>
      </c>
      <c r="L119" s="21" t="s">
        <v>440</v>
      </c>
      <c r="R119"/>
      <c r="S119">
        <v>800000</v>
      </c>
      <c r="T119">
        <v>150000</v>
      </c>
      <c r="U119">
        <v>100000</v>
      </c>
      <c r="V119">
        <v>100000</v>
      </c>
    </row>
    <row r="120" spans="1:22" hidden="1" x14ac:dyDescent="0.25">
      <c r="A120" s="122" t="s">
        <v>154</v>
      </c>
      <c r="B120" s="122"/>
      <c r="C120" s="122"/>
      <c r="D120" s="122"/>
      <c r="E120" s="122"/>
      <c r="F120" s="144"/>
      <c r="G120" s="144"/>
      <c r="H120" s="144"/>
      <c r="R120"/>
      <c r="S120">
        <v>900000</v>
      </c>
      <c r="T120">
        <v>200000</v>
      </c>
      <c r="U120">
        <v>150000</v>
      </c>
      <c r="V120">
        <v>150000</v>
      </c>
    </row>
    <row r="121" spans="1:22" hidden="1" x14ac:dyDescent="0.25">
      <c r="A121" s="122" t="s">
        <v>156</v>
      </c>
      <c r="B121" s="122"/>
      <c r="C121" s="122"/>
      <c r="D121" s="122"/>
      <c r="E121" s="122"/>
      <c r="F121" s="144"/>
      <c r="G121" s="144"/>
      <c r="H121" s="144"/>
      <c r="R121"/>
      <c r="S121">
        <v>1000000</v>
      </c>
      <c r="T121">
        <v>250000</v>
      </c>
      <c r="U121">
        <v>200000</v>
      </c>
      <c r="V121">
        <v>200000</v>
      </c>
    </row>
    <row r="122" spans="1:22" s="33" customFormat="1" hidden="1" x14ac:dyDescent="0.25">
      <c r="A122" s="122" t="s">
        <v>171</v>
      </c>
      <c r="B122" s="122"/>
      <c r="C122" s="122"/>
      <c r="D122" s="122"/>
      <c r="E122" s="122"/>
      <c r="F122" s="144"/>
      <c r="G122" s="144"/>
      <c r="H122" s="144"/>
      <c r="R122"/>
      <c r="S122">
        <v>1100000</v>
      </c>
      <c r="T122">
        <v>300000</v>
      </c>
      <c r="U122">
        <v>250000</v>
      </c>
      <c r="V122" s="23">
        <v>250000</v>
      </c>
    </row>
    <row r="123" spans="1:22" s="33" customFormat="1" hidden="1" x14ac:dyDescent="0.25">
      <c r="A123" s="122" t="s">
        <v>89</v>
      </c>
      <c r="B123" s="122"/>
      <c r="C123" s="122"/>
      <c r="D123" s="122"/>
      <c r="E123" s="122"/>
      <c r="F123" s="144"/>
      <c r="G123" s="144"/>
      <c r="H123" s="144"/>
      <c r="R123"/>
      <c r="S123">
        <v>1200000</v>
      </c>
      <c r="T123">
        <v>350000</v>
      </c>
      <c r="U123">
        <v>300000</v>
      </c>
      <c r="V123">
        <v>300000</v>
      </c>
    </row>
    <row r="124" spans="1:22" s="33" customFormat="1" hidden="1" x14ac:dyDescent="0.25">
      <c r="A124" s="122" t="s">
        <v>90</v>
      </c>
      <c r="B124" s="122"/>
      <c r="C124" s="122"/>
      <c r="D124" s="122"/>
      <c r="E124" s="122"/>
      <c r="F124" s="144"/>
      <c r="G124" s="144"/>
      <c r="H124" s="144"/>
      <c r="R124"/>
      <c r="S124">
        <v>1300000</v>
      </c>
      <c r="T124">
        <v>400000</v>
      </c>
      <c r="U124">
        <v>350000</v>
      </c>
      <c r="V124" s="23">
        <v>400000</v>
      </c>
    </row>
    <row r="125" spans="1:22" s="33" customFormat="1" hidden="1" x14ac:dyDescent="0.25">
      <c r="A125" s="122" t="s">
        <v>91</v>
      </c>
      <c r="B125" s="122"/>
      <c r="C125" s="122"/>
      <c r="D125" s="122"/>
      <c r="E125" s="122"/>
      <c r="F125" s="144"/>
      <c r="G125" s="144"/>
      <c r="H125" s="144"/>
      <c r="R125"/>
      <c r="S125">
        <v>1400000</v>
      </c>
      <c r="T125">
        <v>500000</v>
      </c>
      <c r="U125">
        <v>400000</v>
      </c>
      <c r="V125"/>
    </row>
    <row r="126" spans="1:22" s="33" customFormat="1" hidden="1" x14ac:dyDescent="0.25">
      <c r="A126" s="122" t="s">
        <v>92</v>
      </c>
      <c r="B126" s="122"/>
      <c r="C126" s="122"/>
      <c r="D126" s="122"/>
      <c r="E126" s="122"/>
      <c r="F126" s="144"/>
      <c r="G126" s="144"/>
      <c r="H126" s="144"/>
      <c r="R126"/>
      <c r="S126">
        <v>1500000</v>
      </c>
      <c r="T126">
        <v>600000</v>
      </c>
      <c r="U126">
        <v>500000</v>
      </c>
      <c r="V126" s="23"/>
    </row>
    <row r="127" spans="1:22" s="33" customFormat="1" hidden="1" x14ac:dyDescent="0.25">
      <c r="A127" s="122" t="s">
        <v>93</v>
      </c>
      <c r="B127" s="122"/>
      <c r="C127" s="122"/>
      <c r="D127" s="122"/>
      <c r="E127" s="122"/>
      <c r="F127" s="144"/>
      <c r="G127" s="144"/>
      <c r="H127" s="144"/>
      <c r="R127"/>
      <c r="S127">
        <v>1600000</v>
      </c>
      <c r="T127">
        <v>700000</v>
      </c>
      <c r="U127">
        <v>600000</v>
      </c>
      <c r="V127"/>
    </row>
    <row r="128" spans="1:22" s="33" customFormat="1" hidden="1" x14ac:dyDescent="0.25">
      <c r="A128" s="122" t="s">
        <v>94</v>
      </c>
      <c r="B128" s="122"/>
      <c r="C128" s="122"/>
      <c r="D128" s="122"/>
      <c r="E128" s="122"/>
      <c r="F128" s="144"/>
      <c r="G128" s="144"/>
      <c r="H128" s="144"/>
      <c r="R128"/>
      <c r="S128">
        <v>1700000</v>
      </c>
      <c r="T128">
        <v>800000</v>
      </c>
      <c r="U128"/>
      <c r="V128" s="23"/>
    </row>
    <row r="129" spans="1:22" x14ac:dyDescent="0.25">
      <c r="A129" s="122" t="s">
        <v>49</v>
      </c>
      <c r="B129" s="122"/>
      <c r="C129" s="122"/>
      <c r="D129" s="122"/>
      <c r="E129" s="122"/>
      <c r="F129" s="144">
        <v>800000</v>
      </c>
      <c r="G129" s="144"/>
      <c r="H129" s="144"/>
      <c r="R129"/>
      <c r="S129">
        <v>1800000</v>
      </c>
      <c r="T129">
        <v>900000</v>
      </c>
      <c r="U129"/>
    </row>
    <row r="130" spans="1:22" s="34" customFormat="1" x14ac:dyDescent="0.25">
      <c r="A130" s="178" t="s">
        <v>50</v>
      </c>
      <c r="B130" s="178"/>
      <c r="C130" s="178"/>
      <c r="D130" s="178"/>
      <c r="E130" s="178"/>
      <c r="F130" s="144">
        <f>F119*0.8</f>
        <v>12000</v>
      </c>
      <c r="G130" s="144"/>
      <c r="H130" s="144"/>
      <c r="R130" s="21"/>
      <c r="S130" s="21"/>
      <c r="T130">
        <v>1000000</v>
      </c>
      <c r="U130"/>
      <c r="V130" s="21"/>
    </row>
    <row r="131" spans="1:22" s="35" customFormat="1" ht="15.75" hidden="1" customHeight="1" x14ac:dyDescent="0.25">
      <c r="A131" s="172" t="s">
        <v>71</v>
      </c>
      <c r="B131" s="172"/>
      <c r="C131" s="172"/>
      <c r="D131" s="172"/>
      <c r="E131" s="172"/>
      <c r="F131" s="172"/>
      <c r="G131" s="172"/>
      <c r="H131" s="172"/>
      <c r="R131"/>
      <c r="S131" s="21"/>
      <c r="T131"/>
      <c r="U131"/>
      <c r="V131" s="21"/>
    </row>
    <row r="132" spans="1:22" s="35" customFormat="1" ht="15.75" hidden="1" customHeight="1" x14ac:dyDescent="0.25">
      <c r="A132" s="146" t="s">
        <v>51</v>
      </c>
      <c r="B132" s="146"/>
      <c r="C132" s="152" t="s">
        <v>74</v>
      </c>
      <c r="D132" s="152"/>
      <c r="E132" s="150" t="s">
        <v>52</v>
      </c>
      <c r="F132" s="150"/>
      <c r="G132" s="146" t="s">
        <v>53</v>
      </c>
      <c r="H132" s="146"/>
      <c r="R132"/>
      <c r="S132" s="21"/>
      <c r="T132"/>
      <c r="U132" s="21"/>
      <c r="V132" s="21"/>
    </row>
    <row r="133" spans="1:22" s="35" customFormat="1" hidden="1" x14ac:dyDescent="0.25">
      <c r="A133" s="151"/>
      <c r="B133" s="151"/>
      <c r="C133" s="249"/>
      <c r="D133" s="249"/>
      <c r="E133" s="250"/>
      <c r="F133" s="250"/>
      <c r="G133" s="162"/>
      <c r="H133" s="162"/>
      <c r="R133"/>
      <c r="S133" s="21"/>
      <c r="T133"/>
      <c r="U133" s="21"/>
      <c r="V133" s="21"/>
    </row>
    <row r="134" spans="1:22" s="35" customFormat="1" hidden="1" x14ac:dyDescent="0.25">
      <c r="A134" s="151"/>
      <c r="B134" s="151"/>
      <c r="C134" s="249"/>
      <c r="D134" s="249"/>
      <c r="E134" s="250"/>
      <c r="F134" s="250"/>
      <c r="G134" s="162"/>
      <c r="H134" s="162"/>
      <c r="R134"/>
      <c r="S134" s="21"/>
      <c r="T134"/>
      <c r="U134" s="21"/>
      <c r="V134" s="21"/>
    </row>
    <row r="135" spans="1:22" s="35" customFormat="1" hidden="1" x14ac:dyDescent="0.25">
      <c r="A135" s="172" t="s">
        <v>146</v>
      </c>
      <c r="B135" s="172"/>
      <c r="C135" s="152"/>
      <c r="D135" s="152"/>
      <c r="E135" s="150"/>
      <c r="F135" s="150"/>
      <c r="G135" s="146"/>
      <c r="H135" s="146"/>
      <c r="R135"/>
      <c r="S135" s="21"/>
      <c r="T135"/>
      <c r="U135" s="21"/>
      <c r="V135" s="21"/>
    </row>
    <row r="136" spans="1:22" s="35" customFormat="1" x14ac:dyDescent="0.25">
      <c r="A136" s="172" t="s">
        <v>66</v>
      </c>
      <c r="B136" s="172"/>
      <c r="C136" s="172"/>
      <c r="D136" s="172"/>
      <c r="E136" s="172"/>
      <c r="F136" s="172"/>
      <c r="G136" s="172"/>
      <c r="H136" s="172"/>
      <c r="T136"/>
    </row>
    <row r="137" spans="1:22" s="35" customFormat="1" ht="15.75" customHeight="1" x14ac:dyDescent="0.25">
      <c r="A137" s="146" t="s">
        <v>51</v>
      </c>
      <c r="B137" s="146"/>
      <c r="C137" s="152" t="s">
        <v>74</v>
      </c>
      <c r="D137" s="152"/>
      <c r="E137" s="150" t="s">
        <v>52</v>
      </c>
      <c r="F137" s="150"/>
      <c r="G137" s="146" t="s">
        <v>53</v>
      </c>
      <c r="H137" s="146"/>
      <c r="T137"/>
    </row>
    <row r="138" spans="1:22" s="35" customFormat="1" x14ac:dyDescent="0.25">
      <c r="A138" s="151" t="s">
        <v>416</v>
      </c>
      <c r="B138" s="151"/>
      <c r="C138" s="237">
        <f>COUNT(D158:D159)+COUNT(D167:D172)+COUNT(D174:D179)*10+COUNT(D181:D185)*2+COUNT(D188:D193)*10+COUNT(D195:D199)*3</f>
        <v>153</v>
      </c>
      <c r="D138" s="237"/>
      <c r="E138" s="237">
        <f>SUM(F158:F159)+SUM(F167:F172)+SUM(F174:F179)*10+SUM(F181:F185)*2+SUM(F188:F193)*10+SUM(F195:F199)*3</f>
        <v>126953.99455050002</v>
      </c>
      <c r="F138" s="237"/>
      <c r="G138" s="237">
        <f t="shared" ref="G138" si="0">SUM(H158:H159)+SUM(H167:H172)+SUM(H174:H179)*10+SUM(H181:H185)*2+SUM(H188:H193)*10+SUM(H195:H199)*3</f>
        <v>190787.94759374997</v>
      </c>
      <c r="H138" s="237"/>
      <c r="J138" s="100">
        <f>E138+179+89+89+179</f>
        <v>127489.99455050002</v>
      </c>
      <c r="T138"/>
    </row>
    <row r="139" spans="1:22" s="35" customFormat="1" hidden="1" x14ac:dyDescent="0.25">
      <c r="A139" s="151"/>
      <c r="B139" s="151"/>
      <c r="C139" s="249"/>
      <c r="D139" s="249"/>
      <c r="E139" s="250"/>
      <c r="F139" s="250"/>
      <c r="G139" s="162"/>
      <c r="H139" s="162"/>
      <c r="T139"/>
    </row>
    <row r="140" spans="1:22" s="35" customFormat="1" ht="16.5" hidden="1" thickBot="1" x14ac:dyDescent="0.3">
      <c r="A140" s="261" t="s">
        <v>146</v>
      </c>
      <c r="B140" s="261"/>
      <c r="C140" s="163"/>
      <c r="D140" s="163"/>
      <c r="E140" s="262"/>
      <c r="F140" s="262"/>
      <c r="G140" s="263"/>
      <c r="H140" s="263"/>
      <c r="T140"/>
    </row>
    <row r="141" spans="1:22" s="35" customFormat="1" ht="16.5" hidden="1" thickBot="1" x14ac:dyDescent="0.3">
      <c r="A141" s="253" t="s">
        <v>162</v>
      </c>
      <c r="B141" s="254"/>
      <c r="C141" s="180">
        <f>C135+C140</f>
        <v>0</v>
      </c>
      <c r="D141" s="180"/>
      <c r="E141" s="246">
        <f>E135+E140</f>
        <v>0</v>
      </c>
      <c r="F141" s="246"/>
      <c r="G141" s="251">
        <f>G135+G140</f>
        <v>0</v>
      </c>
      <c r="H141" s="252"/>
      <c r="T141"/>
    </row>
    <row r="142" spans="1:22" s="34" customFormat="1" x14ac:dyDescent="0.25">
      <c r="A142" s="255" t="s">
        <v>353</v>
      </c>
      <c r="B142" s="255"/>
      <c r="C142" s="255"/>
      <c r="D142" s="255"/>
      <c r="E142" s="255"/>
      <c r="F142" s="255"/>
      <c r="G142" s="255"/>
      <c r="H142" s="255"/>
      <c r="T142" s="35"/>
    </row>
    <row r="143" spans="1:22" x14ac:dyDescent="0.25">
      <c r="A143" s="145" t="s">
        <v>433</v>
      </c>
      <c r="B143" s="145"/>
      <c r="C143" s="145"/>
      <c r="D143" s="145"/>
      <c r="E143" s="145"/>
      <c r="F143" s="145"/>
      <c r="G143" s="145"/>
      <c r="H143" s="145"/>
      <c r="T143" s="35"/>
    </row>
    <row r="144" spans="1:22" ht="47.25" hidden="1" customHeight="1" x14ac:dyDescent="0.25">
      <c r="A144" s="247" t="s">
        <v>115</v>
      </c>
      <c r="B144" s="167" t="s">
        <v>173</v>
      </c>
      <c r="C144" s="247" t="s">
        <v>54</v>
      </c>
      <c r="D144" s="167" t="s">
        <v>229</v>
      </c>
      <c r="E144" s="238" t="s">
        <v>152</v>
      </c>
      <c r="F144" s="247" t="s">
        <v>55</v>
      </c>
      <c r="G144" s="169" t="s">
        <v>56</v>
      </c>
      <c r="H144" s="65" t="s">
        <v>145</v>
      </c>
      <c r="T144" s="35"/>
    </row>
    <row r="145" spans="1:20" s="37" customFormat="1" hidden="1" x14ac:dyDescent="0.25">
      <c r="A145" s="248"/>
      <c r="B145" s="168"/>
      <c r="C145" s="248"/>
      <c r="D145" s="168"/>
      <c r="E145" s="239"/>
      <c r="F145" s="248"/>
      <c r="G145" s="170"/>
      <c r="H145" s="55">
        <v>0.45</v>
      </c>
      <c r="T145" s="35"/>
    </row>
    <row r="146" spans="1:20" s="37" customFormat="1" hidden="1" x14ac:dyDescent="0.25">
      <c r="A146" s="126" t="s">
        <v>114</v>
      </c>
      <c r="B146" s="127"/>
      <c r="C146" s="127"/>
      <c r="D146" s="127"/>
      <c r="E146" s="127"/>
      <c r="F146" s="127"/>
      <c r="G146" s="127"/>
      <c r="H146" s="128"/>
      <c r="J146" s="36"/>
      <c r="T146" s="35"/>
    </row>
    <row r="147" spans="1:20" s="37" customFormat="1" ht="15.75" hidden="1" customHeight="1" x14ac:dyDescent="0.25">
      <c r="A147" s="101">
        <v>1</v>
      </c>
      <c r="B147" s="102"/>
      <c r="C147" s="42"/>
      <c r="D147" s="42">
        <v>0</v>
      </c>
      <c r="E147" s="42">
        <v>0</v>
      </c>
      <c r="F147" s="42">
        <f>D147+(IF(E147&lt;201,E147,IF(E147&lt;301,E147/2,E147/3)))</f>
        <v>0</v>
      </c>
      <c r="G147" s="42">
        <v>0</v>
      </c>
      <c r="H147" s="42">
        <f>(F147+(IF(G147&lt;101,G147,IF(G147&lt;201,G147/2,IF(G147&lt;=301,G147/3,G147/4)))))*(($H$145)+1)</f>
        <v>0</v>
      </c>
      <c r="I147" s="36"/>
      <c r="L147" s="112"/>
      <c r="M147" s="112"/>
      <c r="N147" s="36"/>
      <c r="T147" s="35"/>
    </row>
    <row r="148" spans="1:20" s="37" customFormat="1" ht="15.75" hidden="1" customHeight="1" x14ac:dyDescent="0.25">
      <c r="A148" s="101">
        <f>A147+1</f>
        <v>2</v>
      </c>
      <c r="B148" s="102"/>
      <c r="C148" s="42"/>
      <c r="D148" s="42"/>
      <c r="E148" s="42">
        <v>0</v>
      </c>
      <c r="F148" s="42">
        <f>D148+(IF(E148&lt;201,E148,IF(E148&lt;301,E148/2,E148/3)))</f>
        <v>0</v>
      </c>
      <c r="G148" s="42">
        <v>0</v>
      </c>
      <c r="H148" s="42">
        <f>(F148+(IF(G148&lt;101,G148,IF(G148&lt;201,G148/2,IF(G148&lt;=301,G148/3,G148/4)))))*(($H$145)+1)</f>
        <v>0</v>
      </c>
      <c r="I148" s="36"/>
      <c r="L148" s="112"/>
      <c r="M148" s="112"/>
      <c r="N148" s="36"/>
      <c r="T148" s="34"/>
    </row>
    <row r="149" spans="1:20" s="37" customFormat="1" ht="15.75" hidden="1" customHeight="1" x14ac:dyDescent="0.25">
      <c r="A149" s="101">
        <f>A148+1</f>
        <v>3</v>
      </c>
      <c r="B149" s="102"/>
      <c r="C149" s="42"/>
      <c r="D149" s="42"/>
      <c r="E149" s="42">
        <v>0</v>
      </c>
      <c r="F149" s="42">
        <f>D149+(IF(E149&lt;201,E149,IF(E149&lt;301,E149/2,E149/3)))</f>
        <v>0</v>
      </c>
      <c r="G149" s="42">
        <v>0</v>
      </c>
      <c r="H149" s="42">
        <f>(F149+(IF(G149&lt;101,G149,IF(G149&lt;201,G149/2,IF(G149&lt;=301,G149/3,G149/4)))))*(($H$145)+1)</f>
        <v>0</v>
      </c>
      <c r="I149" s="36"/>
      <c r="L149" s="112"/>
      <c r="M149" s="112"/>
      <c r="N149" s="36"/>
      <c r="T149" s="21"/>
    </row>
    <row r="150" spans="1:20" s="37" customFormat="1" ht="15.75" hidden="1" customHeight="1" x14ac:dyDescent="0.25">
      <c r="A150" s="101">
        <f>A149+1</f>
        <v>4</v>
      </c>
      <c r="B150" s="102"/>
      <c r="C150" s="42"/>
      <c r="D150" s="42"/>
      <c r="E150" s="42">
        <v>0</v>
      </c>
      <c r="F150" s="42">
        <f>D150+(IF(E150&lt;201,E150,IF(E150&lt;301,E150/2,E150/3)))</f>
        <v>0</v>
      </c>
      <c r="G150" s="42">
        <v>0</v>
      </c>
      <c r="H150" s="42">
        <f>(F150+(IF(G150&lt;101,G150,IF(G150&lt;201,G150/2,IF(G150&lt;=301,G150/3,G150/4)))))*(($H$145)+1)</f>
        <v>0</v>
      </c>
      <c r="I150" s="36"/>
      <c r="L150" s="112"/>
      <c r="M150" s="112"/>
      <c r="N150" s="36"/>
      <c r="T150" s="21"/>
    </row>
    <row r="151" spans="1:20" s="37" customFormat="1" hidden="1" x14ac:dyDescent="0.25">
      <c r="A151" s="101"/>
      <c r="B151" s="107"/>
      <c r="C151" s="107"/>
      <c r="D151" s="107"/>
      <c r="E151" s="107"/>
      <c r="F151" s="107"/>
      <c r="G151" s="107"/>
      <c r="H151" s="102"/>
      <c r="I151" s="36"/>
      <c r="N151" s="36"/>
    </row>
    <row r="152" spans="1:20" ht="47.25" customHeight="1" x14ac:dyDescent="0.25">
      <c r="A152" s="256" t="s">
        <v>116</v>
      </c>
      <c r="B152" s="160" t="s">
        <v>174</v>
      </c>
      <c r="C152" s="160" t="s">
        <v>54</v>
      </c>
      <c r="D152" s="160" t="s">
        <v>373</v>
      </c>
      <c r="E152" s="160" t="s">
        <v>421</v>
      </c>
      <c r="F152" s="247" t="s">
        <v>55</v>
      </c>
      <c r="G152" s="169" t="s">
        <v>56</v>
      </c>
      <c r="H152" s="64" t="s">
        <v>145</v>
      </c>
      <c r="I152" s="36"/>
      <c r="T152" s="37"/>
    </row>
    <row r="153" spans="1:20" s="37" customFormat="1" x14ac:dyDescent="0.25">
      <c r="A153" s="257"/>
      <c r="B153" s="161"/>
      <c r="C153" s="161"/>
      <c r="D153" s="161"/>
      <c r="E153" s="161"/>
      <c r="F153" s="248"/>
      <c r="G153" s="170"/>
      <c r="H153" s="98">
        <v>0.5</v>
      </c>
      <c r="I153" s="36"/>
    </row>
    <row r="154" spans="1:20" s="37" customFormat="1" x14ac:dyDescent="0.25">
      <c r="A154" s="173" t="s">
        <v>416</v>
      </c>
      <c r="B154" s="174"/>
      <c r="C154" s="174"/>
      <c r="D154" s="174"/>
      <c r="E154" s="174"/>
      <c r="F154" s="174"/>
      <c r="G154" s="174"/>
      <c r="H154" s="175"/>
      <c r="J154" s="36"/>
    </row>
    <row r="155" spans="1:20" s="37" customFormat="1" x14ac:dyDescent="0.25">
      <c r="A155" s="126" t="s">
        <v>417</v>
      </c>
      <c r="B155" s="127"/>
      <c r="C155" s="127"/>
      <c r="D155" s="127"/>
      <c r="E155" s="127"/>
      <c r="F155" s="127"/>
      <c r="G155" s="127"/>
      <c r="H155" s="128"/>
      <c r="J155" s="36"/>
    </row>
    <row r="156" spans="1:20" s="37" customFormat="1" x14ac:dyDescent="0.25">
      <c r="A156" s="126" t="s">
        <v>418</v>
      </c>
      <c r="B156" s="127"/>
      <c r="C156" s="127"/>
      <c r="D156" s="127"/>
      <c r="E156" s="127"/>
      <c r="F156" s="127"/>
      <c r="G156" s="127"/>
      <c r="H156" s="128"/>
      <c r="J156" s="36"/>
    </row>
    <row r="157" spans="1:20" s="37" customFormat="1" x14ac:dyDescent="0.25">
      <c r="A157" s="126" t="s">
        <v>419</v>
      </c>
      <c r="B157" s="127"/>
      <c r="C157" s="127"/>
      <c r="D157" s="127"/>
      <c r="E157" s="127"/>
      <c r="F157" s="127"/>
      <c r="G157" s="127"/>
      <c r="H157" s="128"/>
      <c r="J157" s="36"/>
    </row>
    <row r="158" spans="1:20" s="37" customFormat="1" ht="15.75" customHeight="1" x14ac:dyDescent="0.25">
      <c r="A158" s="101">
        <v>1</v>
      </c>
      <c r="B158" s="102"/>
      <c r="C158" s="42" t="s">
        <v>420</v>
      </c>
      <c r="D158" s="42">
        <f>(3.175*4.6+2.135*2.125+3.15*3.65+3.225*3.35+2*(2.275*1.375)+0.6*(1.9+1.9)+1.1*2.6+3.6*0.9+1.45*2.125)*(10.764)</f>
        <v>636.80496749999998</v>
      </c>
      <c r="E158" s="42">
        <f>(1.9*0.7)*(10.764)</f>
        <v>14.316119999999998</v>
      </c>
      <c r="F158" s="42">
        <f>D158+E158</f>
        <v>651.12108749999993</v>
      </c>
      <c r="G158" s="42">
        <v>0</v>
      </c>
      <c r="H158" s="42">
        <f>F158*(($H$153)+1)+(IF(G158&lt;101,G158,IF(G158&lt;201,G158/2,IF(G158&lt;=301,G158/3,G158/4))))</f>
        <v>976.6816312499999</v>
      </c>
      <c r="I158" s="36"/>
      <c r="L158" s="112"/>
      <c r="M158" s="112"/>
      <c r="N158" s="36"/>
    </row>
    <row r="159" spans="1:20" s="37" customFormat="1" ht="15.75" customHeight="1" x14ac:dyDescent="0.25">
      <c r="A159" s="101">
        <f>A158+1</f>
        <v>2</v>
      </c>
      <c r="B159" s="102"/>
      <c r="C159" s="42" t="s">
        <v>420</v>
      </c>
      <c r="D159" s="42">
        <f>(3.175*4.6+2.135*2.125+3.15*3.65+3.225*3.35+2*(2.275*1.375)+0.6*(1.9+1.9)+1.1*2.6+3.6*0.9+1.45*2.125)*(10.764)</f>
        <v>636.80496749999998</v>
      </c>
      <c r="E159" s="42">
        <f>(1.9*0.7)*(10.764)</f>
        <v>14.316119999999998</v>
      </c>
      <c r="F159" s="42">
        <f>D159+E159</f>
        <v>651.12108749999993</v>
      </c>
      <c r="G159" s="42">
        <v>0</v>
      </c>
      <c r="H159" s="42">
        <f>F159*(($H$153)+1)+(IF(G159&lt;101,G159,IF(G159&lt;201,G159/2,IF(G159&lt;=301,G159/3,G159/4))))</f>
        <v>976.6816312499999</v>
      </c>
      <c r="I159" s="36"/>
      <c r="L159" s="112"/>
      <c r="M159" s="112"/>
      <c r="N159" s="36"/>
    </row>
    <row r="160" spans="1:20" s="37" customFormat="1" ht="15.75" customHeight="1" x14ac:dyDescent="0.25">
      <c r="A160" s="101">
        <f>A159+1</f>
        <v>3</v>
      </c>
      <c r="B160" s="102"/>
      <c r="C160" s="113" t="s">
        <v>422</v>
      </c>
      <c r="D160" s="114"/>
      <c r="E160" s="114"/>
      <c r="F160" s="114"/>
      <c r="G160" s="114"/>
      <c r="H160" s="115"/>
      <c r="I160" s="36"/>
      <c r="L160" s="112"/>
      <c r="M160" s="112"/>
      <c r="N160" s="36"/>
    </row>
    <row r="161" spans="1:20" s="37" customFormat="1" ht="15.75" customHeight="1" x14ac:dyDescent="0.25">
      <c r="A161" s="101">
        <f>A160+1</f>
        <v>4</v>
      </c>
      <c r="B161" s="102"/>
      <c r="C161" s="116"/>
      <c r="D161" s="117"/>
      <c r="E161" s="117"/>
      <c r="F161" s="117"/>
      <c r="G161" s="117"/>
      <c r="H161" s="118"/>
      <c r="I161" s="36"/>
      <c r="L161" s="112"/>
      <c r="M161" s="112"/>
      <c r="N161" s="36"/>
      <c r="T161" s="21"/>
    </row>
    <row r="162" spans="1:20" s="37" customFormat="1" ht="15.75" customHeight="1" x14ac:dyDescent="0.25">
      <c r="A162" s="101">
        <f t="shared" ref="A162:A165" si="1">A161+1</f>
        <v>5</v>
      </c>
      <c r="B162" s="102"/>
      <c r="C162" s="116"/>
      <c r="D162" s="117"/>
      <c r="E162" s="117"/>
      <c r="F162" s="117"/>
      <c r="G162" s="117"/>
      <c r="H162" s="118"/>
      <c r="I162" s="36"/>
      <c r="L162" s="112"/>
      <c r="M162" s="112"/>
      <c r="N162" s="36"/>
      <c r="T162" s="21"/>
    </row>
    <row r="163" spans="1:20" s="37" customFormat="1" ht="15.75" customHeight="1" x14ac:dyDescent="0.25">
      <c r="A163" s="101">
        <f t="shared" si="1"/>
        <v>6</v>
      </c>
      <c r="B163" s="102"/>
      <c r="C163" s="116"/>
      <c r="D163" s="117"/>
      <c r="E163" s="117"/>
      <c r="F163" s="117"/>
      <c r="G163" s="117"/>
      <c r="H163" s="118"/>
      <c r="I163" s="36"/>
      <c r="L163" s="112"/>
      <c r="M163" s="112"/>
      <c r="N163" s="36"/>
      <c r="T163" s="21"/>
    </row>
    <row r="164" spans="1:20" s="37" customFormat="1" ht="15.75" customHeight="1" x14ac:dyDescent="0.25">
      <c r="A164" s="101">
        <f t="shared" si="1"/>
        <v>7</v>
      </c>
      <c r="B164" s="102"/>
      <c r="C164" s="116"/>
      <c r="D164" s="117"/>
      <c r="E164" s="117"/>
      <c r="F164" s="117"/>
      <c r="G164" s="117"/>
      <c r="H164" s="118"/>
      <c r="I164" s="36"/>
      <c r="L164" s="112"/>
      <c r="M164" s="112"/>
      <c r="N164" s="36"/>
      <c r="T164" s="21"/>
    </row>
    <row r="165" spans="1:20" s="37" customFormat="1" ht="15.75" customHeight="1" x14ac:dyDescent="0.25">
      <c r="A165" s="101">
        <f t="shared" si="1"/>
        <v>8</v>
      </c>
      <c r="B165" s="102"/>
      <c r="C165" s="119"/>
      <c r="D165" s="120"/>
      <c r="E165" s="120"/>
      <c r="F165" s="120"/>
      <c r="G165" s="120"/>
      <c r="H165" s="121"/>
      <c r="I165" s="36"/>
      <c r="L165" s="112"/>
      <c r="M165" s="112"/>
      <c r="N165" s="36"/>
      <c r="T165" s="21"/>
    </row>
    <row r="166" spans="1:20" s="37" customFormat="1" x14ac:dyDescent="0.25">
      <c r="A166" s="103" t="s">
        <v>423</v>
      </c>
      <c r="B166" s="103"/>
      <c r="C166" s="103"/>
      <c r="D166" s="103"/>
      <c r="E166" s="103"/>
      <c r="F166" s="103"/>
      <c r="G166" s="103"/>
      <c r="H166" s="103"/>
      <c r="I166" s="36">
        <v>1</v>
      </c>
      <c r="L166" s="112"/>
      <c r="M166" s="112"/>
    </row>
    <row r="167" spans="1:20" s="37" customFormat="1" x14ac:dyDescent="0.25">
      <c r="A167" s="101">
        <v>1</v>
      </c>
      <c r="B167" s="102"/>
      <c r="C167" s="42" t="s">
        <v>420</v>
      </c>
      <c r="D167" s="42">
        <f>(3.175*4.6+2.135*2.125+3.15*3.65+3.225*3.35+2*(2.275*1.375)+0.6*(1.9+1.9)+1.1*2.6+3.6*0.9+1.45*2.125)*(10.764)</f>
        <v>636.80496749999998</v>
      </c>
      <c r="E167" s="42">
        <f>(1.9*0.7)*(10.764)</f>
        <v>14.316119999999998</v>
      </c>
      <c r="F167" s="42">
        <f t="shared" ref="F167:F172" si="2">D167+E167</f>
        <v>651.12108749999993</v>
      </c>
      <c r="G167" s="42">
        <v>0</v>
      </c>
      <c r="H167" s="42">
        <f t="shared" ref="H167:H172" si="3">F167*(($H$153)+1)+(IF(G167&lt;101,G167,IF(G167&lt;201,G167/2,IF(G167&lt;=301,G167/3,G167/4))))</f>
        <v>976.6816312499999</v>
      </c>
      <c r="I167" s="36"/>
      <c r="N167" s="36"/>
    </row>
    <row r="168" spans="1:20" s="37" customFormat="1" x14ac:dyDescent="0.25">
      <c r="A168" s="101">
        <f>A167+1</f>
        <v>2</v>
      </c>
      <c r="B168" s="102"/>
      <c r="C168" s="42" t="s">
        <v>420</v>
      </c>
      <c r="D168" s="42">
        <f>(3.175*4.6+2.135*2.125+3.15*3.65+3.225*3.35+2*(2.275*1.375)+0.6*(1.9+1.9)+1.1*2.6+3.6*0.9+1.45*2.125)*(10.764)</f>
        <v>636.80496749999998</v>
      </c>
      <c r="E168" s="42">
        <f>(1.9*0.7)*(10.764)</f>
        <v>14.316119999999998</v>
      </c>
      <c r="F168" s="42">
        <f t="shared" si="2"/>
        <v>651.12108749999993</v>
      </c>
      <c r="G168" s="42">
        <v>0</v>
      </c>
      <c r="H168" s="42">
        <f t="shared" si="3"/>
        <v>976.6816312499999</v>
      </c>
      <c r="I168" s="36"/>
      <c r="N168" s="36"/>
    </row>
    <row r="169" spans="1:20" s="37" customFormat="1" x14ac:dyDescent="0.25">
      <c r="A169" s="101">
        <f>A168+1</f>
        <v>3</v>
      </c>
      <c r="B169" s="102"/>
      <c r="C169" s="42" t="s">
        <v>424</v>
      </c>
      <c r="D169" s="42">
        <f>(4.225*4.15+3.2*3.475+2.45*3.05+3.95*3.2+3.95*3.05+3.05*3.35+2*(2.45*1.5)+1.375*2.275+0.6*2*2+1.7*0.6+1.6*2.9+2.2*1.2)*(10.764)</f>
        <v>992.5417124999999</v>
      </c>
      <c r="E169" s="42">
        <f>(3.63*1.475+2.3*1.325)*(10.764)</f>
        <v>90.436436999999998</v>
      </c>
      <c r="F169" s="42">
        <f t="shared" si="2"/>
        <v>1082.9781495</v>
      </c>
      <c r="G169" s="42">
        <f>(3.1*0.9+0.45*5.2+2.5*0.65+1.5*0.75+1.4*0.75+2.9*0.8+4.8*0.6+4*0.3+1.4*0.9)*(10.764)</f>
        <v>178.57476</v>
      </c>
      <c r="H169" s="42">
        <f t="shared" si="3"/>
        <v>1713.7546042500001</v>
      </c>
      <c r="I169" s="36"/>
      <c r="N169" s="36"/>
    </row>
    <row r="170" spans="1:20" s="37" customFormat="1" x14ac:dyDescent="0.25">
      <c r="A170" s="101">
        <f>A169+1</f>
        <v>4</v>
      </c>
      <c r="B170" s="102"/>
      <c r="C170" s="42" t="s">
        <v>420</v>
      </c>
      <c r="D170" s="42">
        <f>(3.205*5.475+2.875*2.275+3.2*3.86+2.9*3.65+2.45*1.625+2.45*1.525+0.6*2.31+0.6*1.7+0.9*3.4+2.6*1.105)*(10.764)</f>
        <v>679.00926600000003</v>
      </c>
      <c r="E170" s="42">
        <f>(1.325*3.205+2.28*1.1+1.6*0.7)*(10.764)</f>
        <v>84.762463499999996</v>
      </c>
      <c r="F170" s="42">
        <f t="shared" si="2"/>
        <v>763.77172949999999</v>
      </c>
      <c r="G170" s="42">
        <f>(3.2*0.38+1.9*0.5+0.7*0.6+3.5*0.6+0.6*6)*(10.764)</f>
        <v>89.19050399999999</v>
      </c>
      <c r="H170" s="42">
        <f t="shared" si="3"/>
        <v>1234.8480982499998</v>
      </c>
      <c r="I170" s="36"/>
      <c r="N170" s="36"/>
    </row>
    <row r="171" spans="1:20" s="37" customFormat="1" x14ac:dyDescent="0.25">
      <c r="A171" s="101">
        <f t="shared" ref="A171:A172" si="4">A170+1</f>
        <v>5</v>
      </c>
      <c r="B171" s="102"/>
      <c r="C171" s="42" t="s">
        <v>420</v>
      </c>
      <c r="D171" s="42">
        <f>(3.205*5.475+2.875*2.275+3.2*3.86+2.9*3.65+2.45*1.625+2.45*1.525+0.6*2.31+0.6*1.7+0.9*3.4+2.6*1.105)*(10.764)</f>
        <v>679.00926600000003</v>
      </c>
      <c r="E171" s="42">
        <f>(1.325*3.205+2.28*1.1+1.6*0.7)*(10.764)</f>
        <v>84.762463499999996</v>
      </c>
      <c r="F171" s="42">
        <f t="shared" si="2"/>
        <v>763.77172949999999</v>
      </c>
      <c r="G171" s="42">
        <f>(3.2*0.38+1.9*0.5+0.7*0.6+3.5*0.6+0.6*6)*(10.764)</f>
        <v>89.19050399999999</v>
      </c>
      <c r="H171" s="42">
        <f t="shared" si="3"/>
        <v>1234.8480982499998</v>
      </c>
      <c r="I171" s="36"/>
      <c r="N171" s="36"/>
    </row>
    <row r="172" spans="1:20" s="37" customFormat="1" x14ac:dyDescent="0.25">
      <c r="A172" s="101">
        <f t="shared" si="4"/>
        <v>6</v>
      </c>
      <c r="B172" s="102"/>
      <c r="C172" s="42" t="s">
        <v>424</v>
      </c>
      <c r="D172" s="42">
        <f>(4.225*4.15+3.2*3.475+2.45*3.05+3.95*3.2+3.95*3.05+3.05*3.35+2*(2.45*1.5)+1.375*2.275+0.6*2*2+1.7*0.6+1.6*2.9+2.2*1.2)*(10.764)</f>
        <v>992.5417124999999</v>
      </c>
      <c r="E172" s="42">
        <f>(3.63*1.475+2.3*1.325)*(10.764)</f>
        <v>90.436436999999998</v>
      </c>
      <c r="F172" s="42">
        <f t="shared" si="2"/>
        <v>1082.9781495</v>
      </c>
      <c r="G172" s="42">
        <f>(3.1*0.9+0.45*5.2+2.5*0.65+1.5*0.75+1.4*0.75+2.9*0.8+4.8*0.6+4*0.3+1.4*0.9)*(10.764)</f>
        <v>178.57476</v>
      </c>
      <c r="H172" s="42">
        <f t="shared" si="3"/>
        <v>1713.7546042500001</v>
      </c>
      <c r="I172" s="36"/>
      <c r="N172" s="36"/>
    </row>
    <row r="173" spans="1:20" s="37" customFormat="1" x14ac:dyDescent="0.25">
      <c r="A173" s="103" t="s">
        <v>425</v>
      </c>
      <c r="B173" s="103"/>
      <c r="C173" s="103"/>
      <c r="D173" s="103"/>
      <c r="E173" s="103"/>
      <c r="F173" s="103"/>
      <c r="G173" s="103"/>
      <c r="H173" s="103"/>
      <c r="I173" s="36">
        <f>3+4+3</f>
        <v>10</v>
      </c>
      <c r="L173" s="112"/>
      <c r="M173" s="112"/>
      <c r="N173" s="37">
        <v>15000</v>
      </c>
    </row>
    <row r="174" spans="1:20" s="37" customFormat="1" x14ac:dyDescent="0.25">
      <c r="A174" s="101">
        <v>1</v>
      </c>
      <c r="B174" s="102"/>
      <c r="C174" s="42" t="s">
        <v>420</v>
      </c>
      <c r="D174" s="42">
        <f>(3.175*4.6+2.135*2.125+3.15*3.65+3.225*3.35+2*(2.275*1.375)+0.6*(1.9+1.9)+1.1*2.6+3.6*0.9+1.45*2.125)*(10.764)</f>
        <v>636.80496749999998</v>
      </c>
      <c r="E174" s="42">
        <f>(1.9*0.7)*(10.764)</f>
        <v>14.316119999999998</v>
      </c>
      <c r="F174" s="42">
        <f t="shared" ref="F174:F179" si="5">D174+E174</f>
        <v>651.12108749999993</v>
      </c>
      <c r="G174" s="42">
        <v>0</v>
      </c>
      <c r="H174" s="42">
        <f t="shared" ref="H174:H179" si="6">F174*(($H$153)+1)+(IF(G174&lt;101,G174,IF(G174&lt;201,G174/2,IF(G174&lt;=301,G174/3,G174/4))))</f>
        <v>976.6816312499999</v>
      </c>
      <c r="I174" s="36"/>
      <c r="N174" s="36">
        <f>$N$173*H174</f>
        <v>14650224.468749998</v>
      </c>
    </row>
    <row r="175" spans="1:20" s="37" customFormat="1" x14ac:dyDescent="0.25">
      <c r="A175" s="101">
        <f>A174+1</f>
        <v>2</v>
      </c>
      <c r="B175" s="102"/>
      <c r="C175" s="42" t="s">
        <v>420</v>
      </c>
      <c r="D175" s="42">
        <f>(3.175*4.6+2.135*2.125+3.15*3.65+3.225*3.35+2*(2.275*1.375)+0.6*(1.9+1.9)+1.1*2.6+3.6*0.9+1.45*2.125)*(10.764)</f>
        <v>636.80496749999998</v>
      </c>
      <c r="E175" s="42">
        <f>(1.9*0.7)*(10.764)</f>
        <v>14.316119999999998</v>
      </c>
      <c r="F175" s="42">
        <f t="shared" si="5"/>
        <v>651.12108749999993</v>
      </c>
      <c r="G175" s="42">
        <v>0</v>
      </c>
      <c r="H175" s="42">
        <f t="shared" si="6"/>
        <v>976.6816312499999</v>
      </c>
      <c r="I175" s="36"/>
      <c r="N175" s="36">
        <f t="shared" ref="N175:N179" si="7">$N$173*H175</f>
        <v>14650224.468749998</v>
      </c>
    </row>
    <row r="176" spans="1:20" s="37" customFormat="1" x14ac:dyDescent="0.25">
      <c r="A176" s="101">
        <f>A175+1</f>
        <v>3</v>
      </c>
      <c r="B176" s="102"/>
      <c r="C176" s="42" t="s">
        <v>424</v>
      </c>
      <c r="D176" s="42">
        <f>(4.225*4.15+3.2*3.475+2.45*3.05+3.95*3.2+3.95*3.05+3.05*3.35+2*(2.45*1.5)+1.375*2.275+0.6*2*2+1.7*0.6+1.6*2.9+2.2*1.2)*(10.764)</f>
        <v>992.5417124999999</v>
      </c>
      <c r="E176" s="42">
        <f>(3.63*1.475+2.3*1.325)*(10.764)</f>
        <v>90.436436999999998</v>
      </c>
      <c r="F176" s="42">
        <f t="shared" si="5"/>
        <v>1082.9781495</v>
      </c>
      <c r="G176" s="42">
        <v>0</v>
      </c>
      <c r="H176" s="42">
        <f t="shared" si="6"/>
        <v>1624.4672242500001</v>
      </c>
      <c r="I176" s="36"/>
      <c r="N176" s="36">
        <f t="shared" si="7"/>
        <v>24367008.36375</v>
      </c>
    </row>
    <row r="177" spans="1:14" s="37" customFormat="1" x14ac:dyDescent="0.25">
      <c r="A177" s="101">
        <f>A176+1</f>
        <v>4</v>
      </c>
      <c r="B177" s="102"/>
      <c r="C177" s="42" t="s">
        <v>420</v>
      </c>
      <c r="D177" s="42">
        <f>(3.205*5.475+2.875*2.275+3.2*3.86+2.9*3.65+2.45*1.625+2.45*1.525+0.6*2.31+0.6*1.7+0.9*3.4+2.6*1.105)*(10.764)</f>
        <v>679.00926600000003</v>
      </c>
      <c r="E177" s="42">
        <f>(1.325*3.205+2.28*1.1+1.6*0.7)*(10.764)</f>
        <v>84.762463499999996</v>
      </c>
      <c r="F177" s="42">
        <f t="shared" si="5"/>
        <v>763.77172949999999</v>
      </c>
      <c r="G177" s="42">
        <v>0</v>
      </c>
      <c r="H177" s="42">
        <f t="shared" si="6"/>
        <v>1145.6575942499999</v>
      </c>
      <c r="I177" s="36"/>
      <c r="N177" s="36">
        <f t="shared" si="7"/>
        <v>17184863.913749997</v>
      </c>
    </row>
    <row r="178" spans="1:14" s="37" customFormat="1" x14ac:dyDescent="0.25">
      <c r="A178" s="101">
        <f t="shared" ref="A178:A179" si="8">A177+1</f>
        <v>5</v>
      </c>
      <c r="B178" s="102"/>
      <c r="C178" s="42" t="s">
        <v>420</v>
      </c>
      <c r="D178" s="42">
        <f>(3.205*5.475+2.875*2.275+3.2*3.86+2.9*3.65+2.45*1.625+2.45*1.525+0.6*2.31+0.6*1.7+0.9*3.4+2.6*1.105)*(10.764)</f>
        <v>679.00926600000003</v>
      </c>
      <c r="E178" s="42">
        <f>(1.325*3.205+2.28*1.1+1.6*0.7)*(10.764)</f>
        <v>84.762463499999996</v>
      </c>
      <c r="F178" s="42">
        <f t="shared" si="5"/>
        <v>763.77172949999999</v>
      </c>
      <c r="G178" s="42">
        <v>0</v>
      </c>
      <c r="H178" s="42">
        <f t="shared" si="6"/>
        <v>1145.6575942499999</v>
      </c>
      <c r="I178" s="36"/>
      <c r="N178" s="36">
        <f t="shared" si="7"/>
        <v>17184863.913749997</v>
      </c>
    </row>
    <row r="179" spans="1:14" s="37" customFormat="1" x14ac:dyDescent="0.25">
      <c r="A179" s="101">
        <f t="shared" si="8"/>
        <v>6</v>
      </c>
      <c r="B179" s="102"/>
      <c r="C179" s="42" t="s">
        <v>424</v>
      </c>
      <c r="D179" s="42">
        <f>(4.225*4.15+3.2*3.475+2.45*3.05+3.95*3.2+3.95*3.05+3.05*3.35+2*(2.45*1.5)+1.375*2.275+0.6*2*2+1.7*0.6+1.6*2.9+2.2*1.2)*(10.764)</f>
        <v>992.5417124999999</v>
      </c>
      <c r="E179" s="42">
        <f>(3.63*1.475+2.3*1.325)*(10.764)</f>
        <v>90.436436999999998</v>
      </c>
      <c r="F179" s="42">
        <f t="shared" si="5"/>
        <v>1082.9781495</v>
      </c>
      <c r="G179" s="42">
        <v>0</v>
      </c>
      <c r="H179" s="42">
        <f t="shared" si="6"/>
        <v>1624.4672242500001</v>
      </c>
      <c r="I179" s="36"/>
      <c r="N179" s="36">
        <f t="shared" si="7"/>
        <v>24367008.36375</v>
      </c>
    </row>
    <row r="180" spans="1:14" s="37" customFormat="1" x14ac:dyDescent="0.25">
      <c r="A180" s="103" t="s">
        <v>426</v>
      </c>
      <c r="B180" s="103"/>
      <c r="C180" s="103"/>
      <c r="D180" s="103"/>
      <c r="E180" s="103"/>
      <c r="F180" s="103"/>
      <c r="G180" s="103"/>
      <c r="H180" s="103"/>
      <c r="I180" s="36">
        <v>2</v>
      </c>
      <c r="L180" s="112"/>
      <c r="M180" s="112"/>
    </row>
    <row r="181" spans="1:14" s="37" customFormat="1" x14ac:dyDescent="0.25">
      <c r="A181" s="101">
        <v>1</v>
      </c>
      <c r="B181" s="102"/>
      <c r="C181" s="42" t="s">
        <v>420</v>
      </c>
      <c r="D181" s="42">
        <f>(3.175*4.6+2.135*2.125+3.15*3.65+3.225*3.35+2*(2.275*1.375)+0.6*(1.9+1.9)+1.1*2.6+3.6*0.9+1.45*2.125)*(10.764)</f>
        <v>636.80496749999998</v>
      </c>
      <c r="E181" s="42">
        <f>(1.9*0.7)*(10.764)</f>
        <v>14.316119999999998</v>
      </c>
      <c r="F181" s="42">
        <f>D181+E181</f>
        <v>651.12108749999993</v>
      </c>
      <c r="G181" s="42">
        <v>0</v>
      </c>
      <c r="H181" s="42">
        <f>F181*(($H$153)+1)+(IF(G181&lt;101,G181,IF(G181&lt;201,G181/2,IF(G181&lt;=301,G181/3,G181/4))))</f>
        <v>976.6816312499999</v>
      </c>
      <c r="I181" s="36"/>
      <c r="N181" s="36"/>
    </row>
    <row r="182" spans="1:14" s="37" customFormat="1" x14ac:dyDescent="0.25">
      <c r="A182" s="101">
        <f>A181+1</f>
        <v>2</v>
      </c>
      <c r="B182" s="102"/>
      <c r="C182" s="42" t="s">
        <v>420</v>
      </c>
      <c r="D182" s="42">
        <f>(3.175*4.6+2.135*2.125+3.15*3.65+3.225*3.35+2*(2.275*1.375)+0.6*(1.9+1.9)+1.1*2.6+3.6*0.9+1.45*2.125)*(10.764)</f>
        <v>636.80496749999998</v>
      </c>
      <c r="E182" s="42">
        <f>(1.9*0.7)*(10.764)</f>
        <v>14.316119999999998</v>
      </c>
      <c r="F182" s="42">
        <f>D182+E182</f>
        <v>651.12108749999993</v>
      </c>
      <c r="G182" s="42">
        <v>0</v>
      </c>
      <c r="H182" s="42">
        <f>F182*(($H$153)+1)+(IF(G182&lt;101,G182,IF(G182&lt;201,G182/2,IF(G182&lt;=301,G182/3,G182/4))))</f>
        <v>976.6816312499999</v>
      </c>
      <c r="I182" s="36"/>
      <c r="N182" s="36"/>
    </row>
    <row r="183" spans="1:14" s="37" customFormat="1" x14ac:dyDescent="0.25">
      <c r="A183" s="101">
        <f>A182+1</f>
        <v>3</v>
      </c>
      <c r="B183" s="102"/>
      <c r="C183" s="42" t="s">
        <v>424</v>
      </c>
      <c r="D183" s="42">
        <f>(4.225*4.15+3.2*3.475+2.45*3.05+3.95*3.2+3.95*3.05+3.05*3.35+2*(2.45*1.5)+1.375*2.275+0.6*2*2+1.7*0.6+1.6*2.9+2.2*1.2)*(10.764)</f>
        <v>992.5417124999999</v>
      </c>
      <c r="E183" s="42">
        <f>(3.63*1.475+2.3*1.325)*(10.764)</f>
        <v>90.436436999999998</v>
      </c>
      <c r="F183" s="42">
        <f>D183+E183</f>
        <v>1082.9781495</v>
      </c>
      <c r="G183" s="42">
        <v>0</v>
      </c>
      <c r="H183" s="42">
        <f>F183*(($H$153)+1)+(IF(G183&lt;101,G183,IF(G183&lt;201,G183/2,IF(G183&lt;=301,G183/3,G183/4))))</f>
        <v>1624.4672242500001</v>
      </c>
      <c r="I183" s="36"/>
      <c r="N183" s="36"/>
    </row>
    <row r="184" spans="1:14" s="37" customFormat="1" x14ac:dyDescent="0.25">
      <c r="A184" s="101">
        <f>A183+1</f>
        <v>4</v>
      </c>
      <c r="B184" s="102"/>
      <c r="C184" s="42" t="s">
        <v>420</v>
      </c>
      <c r="D184" s="42">
        <f>(3.205*5.475+2.875*2.275+3.2*3.86+2.9*3.65+2.45*1.625+2.45*1.525+0.6*2.31+0.6*1.7+0.9*3.4+2.6*1.105)*(10.764)</f>
        <v>679.00926600000003</v>
      </c>
      <c r="E184" s="42">
        <f>(1.325*3.205+2.28*1.1+1.6*0.7)*(10.764)</f>
        <v>84.762463499999996</v>
      </c>
      <c r="F184" s="42">
        <f>D184+E184</f>
        <v>763.77172949999999</v>
      </c>
      <c r="G184" s="42">
        <v>0</v>
      </c>
      <c r="H184" s="42">
        <f>F184*(($H$153)+1)+(IF(G184&lt;101,G184,IF(G184&lt;201,G184/2,IF(G184&lt;=301,G184/3,G184/4))))</f>
        <v>1145.6575942499999</v>
      </c>
      <c r="I184" s="36"/>
      <c r="N184" s="36"/>
    </row>
    <row r="185" spans="1:14" s="37" customFormat="1" x14ac:dyDescent="0.25">
      <c r="A185" s="101">
        <f t="shared" ref="A185:A186" si="9">A184+1</f>
        <v>5</v>
      </c>
      <c r="B185" s="102"/>
      <c r="C185" s="42" t="s">
        <v>420</v>
      </c>
      <c r="D185" s="42">
        <f>(3.205*5.475+2.875*2.275+3.2*3.86+2.9*3.65+2.45*1.625+2.45*1.525+0.6*2.31+0.6*1.7+0.9*3.4+2.6*1.105)*(10.764)</f>
        <v>679.00926600000003</v>
      </c>
      <c r="E185" s="42">
        <f>(1.325*3.205+2.28*1.1+1.6*0.7)*(10.764)</f>
        <v>84.762463499999996</v>
      </c>
      <c r="F185" s="42">
        <f>D185+E185</f>
        <v>763.77172949999999</v>
      </c>
      <c r="G185" s="42">
        <v>0</v>
      </c>
      <c r="H185" s="42">
        <f>F185*(($H$153)+1)+(IF(G185&lt;101,G185,IF(G185&lt;201,G185/2,IF(G185&lt;=301,G185/3,G185/4))))</f>
        <v>1145.6575942499999</v>
      </c>
      <c r="I185" s="36"/>
      <c r="N185" s="36"/>
    </row>
    <row r="186" spans="1:14" s="37" customFormat="1" x14ac:dyDescent="0.25">
      <c r="A186" s="101">
        <f t="shared" si="9"/>
        <v>6</v>
      </c>
      <c r="B186" s="102"/>
      <c r="C186" s="101" t="s">
        <v>427</v>
      </c>
      <c r="D186" s="107"/>
      <c r="E186" s="107"/>
      <c r="F186" s="107"/>
      <c r="G186" s="107"/>
      <c r="H186" s="102"/>
      <c r="I186" s="36"/>
      <c r="N186" s="36"/>
    </row>
    <row r="187" spans="1:14" s="37" customFormat="1" x14ac:dyDescent="0.25">
      <c r="A187" s="103" t="s">
        <v>428</v>
      </c>
      <c r="B187" s="103"/>
      <c r="C187" s="103"/>
      <c r="D187" s="103"/>
      <c r="E187" s="103"/>
      <c r="F187" s="103"/>
      <c r="G187" s="103"/>
      <c r="H187" s="103"/>
      <c r="I187" s="36">
        <f>1+4+4+1</f>
        <v>10</v>
      </c>
      <c r="L187" s="112"/>
      <c r="M187" s="112"/>
      <c r="N187" s="37">
        <v>15500</v>
      </c>
    </row>
    <row r="188" spans="1:14" s="37" customFormat="1" x14ac:dyDescent="0.25">
      <c r="A188" s="101">
        <v>1</v>
      </c>
      <c r="B188" s="102"/>
      <c r="C188" s="42" t="s">
        <v>420</v>
      </c>
      <c r="D188" s="42">
        <f>(3.175*4.6+2.135*2.125+3.15*3.65+3.225*3.35+2*(2.275*1.375)+0.6*(1.9+1.9)+1.1*2.6+3.6*0.9+1.45*2.125)*(10.764)</f>
        <v>636.80496749999998</v>
      </c>
      <c r="E188" s="42">
        <f>(1.9*0.7+3.175*1.325)*(10.764)</f>
        <v>59.598922499999986</v>
      </c>
      <c r="F188" s="42">
        <f t="shared" ref="F188:F193" si="10">D188+E188</f>
        <v>696.40388999999993</v>
      </c>
      <c r="G188" s="42">
        <v>0</v>
      </c>
      <c r="H188" s="42">
        <f t="shared" ref="H188:H193" si="11">F188*(($H$153)+1)+(IF(G188&lt;101,G188,IF(G188&lt;201,G188/2,IF(G188&lt;=301,G188/3,G188/4))))</f>
        <v>1044.6058349999998</v>
      </c>
      <c r="I188" s="36"/>
      <c r="N188" s="36">
        <f>$N$187*H188</f>
        <v>16191390.442499997</v>
      </c>
    </row>
    <row r="189" spans="1:14" s="37" customFormat="1" x14ac:dyDescent="0.25">
      <c r="A189" s="101">
        <f>A188+1</f>
        <v>2</v>
      </c>
      <c r="B189" s="102"/>
      <c r="C189" s="42" t="s">
        <v>420</v>
      </c>
      <c r="D189" s="42">
        <f>(3.175*4.6+2.135*2.125+3.15*3.65+3.225*3.35+2*(2.275*1.375)+0.6*(1.9+1.9)+1.1*2.6+3.6*0.9+1.45*2.125)*(10.764)</f>
        <v>636.80496749999998</v>
      </c>
      <c r="E189" s="42">
        <f>(1.9*0.7+3.175*1.325)*(10.764)</f>
        <v>59.598922499999986</v>
      </c>
      <c r="F189" s="42">
        <f t="shared" si="10"/>
        <v>696.40388999999993</v>
      </c>
      <c r="G189" s="42">
        <v>0</v>
      </c>
      <c r="H189" s="42">
        <f t="shared" si="11"/>
        <v>1044.6058349999998</v>
      </c>
      <c r="I189" s="36"/>
      <c r="N189" s="36">
        <f t="shared" ref="N189:N193" si="12">$N$187*H189</f>
        <v>16191390.442499997</v>
      </c>
    </row>
    <row r="190" spans="1:14" s="37" customFormat="1" x14ac:dyDescent="0.25">
      <c r="A190" s="101">
        <f>A189+1</f>
        <v>3</v>
      </c>
      <c r="B190" s="102"/>
      <c r="C190" s="42" t="s">
        <v>424</v>
      </c>
      <c r="D190" s="42">
        <f>(4.225*4.15+3.2*3.475+2.45*3.05+3.95*3.2+3.95*3.05+3.05*3.35+2*(2.45*1.5)+1.375*2.275+0.6*2*2+1.7*0.6+1.6*2.9+2.2*1.2)*(10.764)</f>
        <v>992.5417124999999</v>
      </c>
      <c r="E190" s="42">
        <f>(3.63*1.475+2.3*1.325)*(10.764)</f>
        <v>90.436436999999998</v>
      </c>
      <c r="F190" s="42">
        <f t="shared" si="10"/>
        <v>1082.9781495</v>
      </c>
      <c r="G190" s="42">
        <v>0</v>
      </c>
      <c r="H190" s="42">
        <f t="shared" si="11"/>
        <v>1624.4672242500001</v>
      </c>
      <c r="I190" s="36"/>
      <c r="N190" s="36">
        <f t="shared" si="12"/>
        <v>25179241.975875001</v>
      </c>
    </row>
    <row r="191" spans="1:14" s="37" customFormat="1" x14ac:dyDescent="0.25">
      <c r="A191" s="101">
        <f>A190+1</f>
        <v>4</v>
      </c>
      <c r="B191" s="102"/>
      <c r="C191" s="42" t="s">
        <v>420</v>
      </c>
      <c r="D191" s="42">
        <f>(3.205*5.475+2.875*2.275+3.2*3.86+2.9*3.65+2.45*1.625+2.45*1.525+0.6*2.31+0.6*1.7+0.9*3.4+2.6*1.105)*(10.764)</f>
        <v>679.00926600000003</v>
      </c>
      <c r="E191" s="42">
        <f>(1.325*3.205+2.28*1.1+1.6*0.7)*(10.764)</f>
        <v>84.762463499999996</v>
      </c>
      <c r="F191" s="42">
        <f t="shared" si="10"/>
        <v>763.77172949999999</v>
      </c>
      <c r="G191" s="42">
        <v>0</v>
      </c>
      <c r="H191" s="42">
        <f t="shared" si="11"/>
        <v>1145.6575942499999</v>
      </c>
      <c r="I191" s="36"/>
      <c r="N191" s="36">
        <f t="shared" si="12"/>
        <v>17757692.710874997</v>
      </c>
    </row>
    <row r="192" spans="1:14" s="37" customFormat="1" x14ac:dyDescent="0.25">
      <c r="A192" s="101">
        <f t="shared" ref="A192:A193" si="13">A191+1</f>
        <v>5</v>
      </c>
      <c r="B192" s="102"/>
      <c r="C192" s="42" t="s">
        <v>420</v>
      </c>
      <c r="D192" s="42">
        <f>(3.205*5.475+2.875*2.275+3.2*3.86+2.9*3.65+2.45*1.625+2.45*1.525+0.6*2.31+0.6*1.7+0.9*3.4+2.6*1.105)*(10.764)</f>
        <v>679.00926600000003</v>
      </c>
      <c r="E192" s="42">
        <f>(1.325*3.205+2.28*1.1+1.6*0.7)*(10.764)</f>
        <v>84.762463499999996</v>
      </c>
      <c r="F192" s="42">
        <f t="shared" si="10"/>
        <v>763.77172949999999</v>
      </c>
      <c r="G192" s="42">
        <v>0</v>
      </c>
      <c r="H192" s="42">
        <f t="shared" si="11"/>
        <v>1145.6575942499999</v>
      </c>
      <c r="I192" s="36"/>
      <c r="N192" s="36">
        <f t="shared" si="12"/>
        <v>17757692.710874997</v>
      </c>
    </row>
    <row r="193" spans="1:20" s="37" customFormat="1" x14ac:dyDescent="0.25">
      <c r="A193" s="101">
        <f t="shared" si="13"/>
        <v>6</v>
      </c>
      <c r="B193" s="102"/>
      <c r="C193" s="42" t="s">
        <v>424</v>
      </c>
      <c r="D193" s="42">
        <f>(4.225*4.15+3.2*3.475+2.45*3.05+3.95*3.2+3.95*3.05+3.05*3.35+2*(2.45*1.5)+1.375*2.275+0.6*2*2+1.7*0.6+1.6*2.9+2.2*1.2)*(10.764)</f>
        <v>992.5417124999999</v>
      </c>
      <c r="E193" s="42">
        <f>(3.63*1.475+2.3*1.325)*(10.764)</f>
        <v>90.436436999999998</v>
      </c>
      <c r="F193" s="42">
        <f t="shared" si="10"/>
        <v>1082.9781495</v>
      </c>
      <c r="G193" s="42">
        <v>0</v>
      </c>
      <c r="H193" s="42">
        <f t="shared" si="11"/>
        <v>1624.4672242500001</v>
      </c>
      <c r="I193" s="36"/>
      <c r="N193" s="36">
        <f t="shared" si="12"/>
        <v>25179241.975875001</v>
      </c>
    </row>
    <row r="194" spans="1:20" s="37" customFormat="1" x14ac:dyDescent="0.25">
      <c r="A194" s="103" t="s">
        <v>429</v>
      </c>
      <c r="B194" s="103"/>
      <c r="C194" s="103"/>
      <c r="D194" s="103"/>
      <c r="E194" s="103"/>
      <c r="F194" s="103"/>
      <c r="G194" s="103"/>
      <c r="H194" s="103"/>
      <c r="I194" s="36">
        <v>3</v>
      </c>
      <c r="L194" s="112"/>
      <c r="M194" s="112"/>
    </row>
    <row r="195" spans="1:20" s="37" customFormat="1" x14ac:dyDescent="0.25">
      <c r="A195" s="101">
        <v>1</v>
      </c>
      <c r="B195" s="102"/>
      <c r="C195" s="42" t="s">
        <v>420</v>
      </c>
      <c r="D195" s="42">
        <f>(3.175*4.6+2.135*2.125+3.15*3.65+3.225*3.35+2*(2.275*1.375)+0.6*(1.9+1.9)+1.1*2.6+3.6*0.9+1.45*2.125)*(10.764)</f>
        <v>636.80496749999998</v>
      </c>
      <c r="E195" s="42">
        <f>(1.9*0.7+3.175*1.325)*(10.764)</f>
        <v>59.598922499999986</v>
      </c>
      <c r="F195" s="42">
        <f>D195+E195</f>
        <v>696.40388999999993</v>
      </c>
      <c r="G195" s="42">
        <v>0</v>
      </c>
      <c r="H195" s="42">
        <f>F195*(($H$153)+1)+(IF(G195&lt;101,G195,IF(G195&lt;201,G195/2,IF(G195&lt;=301,G195/3,G195/4))))</f>
        <v>1044.6058349999998</v>
      </c>
      <c r="I195" s="36"/>
      <c r="N195" s="36"/>
    </row>
    <row r="196" spans="1:20" s="37" customFormat="1" x14ac:dyDescent="0.25">
      <c r="A196" s="101">
        <f>A195+1</f>
        <v>2</v>
      </c>
      <c r="B196" s="102"/>
      <c r="C196" s="42" t="s">
        <v>420</v>
      </c>
      <c r="D196" s="42">
        <f>(3.175*4.6+2.135*2.125+3.15*3.65+3.225*3.35+2*(2.275*1.375)+0.6*(1.9+1.9)+1.1*2.6+3.6*0.9+1.45*2.125)*(10.764)</f>
        <v>636.80496749999998</v>
      </c>
      <c r="E196" s="42">
        <f>(1.9*0.7+3.175*1.325)*(10.764)</f>
        <v>59.598922499999986</v>
      </c>
      <c r="F196" s="42">
        <f>D196+E196</f>
        <v>696.40388999999993</v>
      </c>
      <c r="G196" s="42">
        <v>0</v>
      </c>
      <c r="H196" s="42">
        <f>F196*(($H$153)+1)+(IF(G196&lt;101,G196,IF(G196&lt;201,G196/2,IF(G196&lt;=301,G196/3,G196/4))))</f>
        <v>1044.6058349999998</v>
      </c>
      <c r="I196" s="36"/>
      <c r="N196" s="36"/>
    </row>
    <row r="197" spans="1:20" s="37" customFormat="1" x14ac:dyDescent="0.25">
      <c r="A197" s="101">
        <f>A196+1</f>
        <v>3</v>
      </c>
      <c r="B197" s="102"/>
      <c r="C197" s="42" t="s">
        <v>424</v>
      </c>
      <c r="D197" s="42">
        <f>(4.225*4.15+3.2*3.475+2.45*3.05+3.95*3.2+3.95*3.05+3.05*3.35+2*(2.45*1.5)+1.375*2.275+0.6*2*2+1.7*0.6+1.6*2.9+2.2*1.2)*(10.764)</f>
        <v>992.5417124999999</v>
      </c>
      <c r="E197" s="42">
        <f>(3.63*1.475+2.3*1.325)*(10.764)</f>
        <v>90.436436999999998</v>
      </c>
      <c r="F197" s="42">
        <f>D197+E197</f>
        <v>1082.9781495</v>
      </c>
      <c r="G197" s="42">
        <v>0</v>
      </c>
      <c r="H197" s="42">
        <f>F197*(($H$153)+1)+(IF(G197&lt;101,G197,IF(G197&lt;201,G197/2,IF(G197&lt;=301,G197/3,G197/4))))</f>
        <v>1624.4672242500001</v>
      </c>
      <c r="I197" s="36"/>
      <c r="N197" s="36"/>
    </row>
    <row r="198" spans="1:20" s="37" customFormat="1" x14ac:dyDescent="0.25">
      <c r="A198" s="101">
        <f>A197+1</f>
        <v>4</v>
      </c>
      <c r="B198" s="102"/>
      <c r="C198" s="42" t="s">
        <v>420</v>
      </c>
      <c r="D198" s="42">
        <f>(3.205*5.475+2.875*2.275+3.2*3.86+2.9*3.65+2.45*1.625+2.45*1.525+0.6*2.31+0.6*1.7+0.9*3.4+2.6*1.105)*(10.764)</f>
        <v>679.00926600000003</v>
      </c>
      <c r="E198" s="42">
        <f>(1.325*3.205+2.28*1.1+1.6*0.7)*(10.764)</f>
        <v>84.762463499999996</v>
      </c>
      <c r="F198" s="42">
        <f>D198+E198</f>
        <v>763.77172949999999</v>
      </c>
      <c r="G198" s="42">
        <v>0</v>
      </c>
      <c r="H198" s="42">
        <f>F198*(($H$153)+1)+(IF(G198&lt;101,G198,IF(G198&lt;201,G198/2,IF(G198&lt;=301,G198/3,G198/4))))</f>
        <v>1145.6575942499999</v>
      </c>
      <c r="I198" s="36"/>
      <c r="N198" s="36"/>
    </row>
    <row r="199" spans="1:20" s="37" customFormat="1" x14ac:dyDescent="0.25">
      <c r="A199" s="101">
        <f t="shared" ref="A199:A200" si="14">A198+1</f>
        <v>5</v>
      </c>
      <c r="B199" s="102"/>
      <c r="C199" s="42" t="s">
        <v>420</v>
      </c>
      <c r="D199" s="42">
        <f>(3.205*5.475+2.875*2.275+3.2*3.86+2.9*3.65+2.45*1.625+2.45*1.525+0.6*2.31+0.6*1.7+0.9*3.4+2.6*1.105)*(10.764)</f>
        <v>679.00926600000003</v>
      </c>
      <c r="E199" s="42">
        <f>(1.325*3.205+2.28*1.1+1.6*0.7)*(10.764)</f>
        <v>84.762463499999996</v>
      </c>
      <c r="F199" s="42">
        <f>D199+E199</f>
        <v>763.77172949999999</v>
      </c>
      <c r="G199" s="42">
        <v>0</v>
      </c>
      <c r="H199" s="42">
        <f>F199*(($H$153)+1)+(IF(G199&lt;101,G199,IF(G199&lt;201,G199/2,IF(G199&lt;=301,G199/3,G199/4))))</f>
        <v>1145.6575942499999</v>
      </c>
      <c r="I199" s="36"/>
      <c r="N199" s="36"/>
    </row>
    <row r="200" spans="1:20" s="37" customFormat="1" x14ac:dyDescent="0.25">
      <c r="A200" s="101">
        <f t="shared" si="14"/>
        <v>6</v>
      </c>
      <c r="B200" s="102"/>
      <c r="C200" s="101" t="s">
        <v>427</v>
      </c>
      <c r="D200" s="107"/>
      <c r="E200" s="107"/>
      <c r="F200" s="107"/>
      <c r="G200" s="107"/>
      <c r="H200" s="102"/>
      <c r="I200" s="36"/>
      <c r="N200" s="36"/>
    </row>
    <row r="201" spans="1:20" s="35" customFormat="1" x14ac:dyDescent="0.25">
      <c r="A201" s="108" t="s">
        <v>64</v>
      </c>
      <c r="B201" s="108"/>
      <c r="C201" s="108"/>
      <c r="D201" s="108"/>
      <c r="E201" s="108"/>
      <c r="F201" s="108"/>
      <c r="G201" s="108"/>
      <c r="H201" s="108"/>
      <c r="T201" s="37"/>
    </row>
    <row r="202" spans="1:20" s="35" customFormat="1" x14ac:dyDescent="0.25">
      <c r="A202" s="46" t="s">
        <v>149</v>
      </c>
      <c r="B202" s="164" t="s">
        <v>430</v>
      </c>
      <c r="C202" s="165"/>
      <c r="D202" s="165"/>
      <c r="E202" s="165"/>
      <c r="F202" s="165"/>
      <c r="G202" s="165"/>
      <c r="H202" s="166"/>
      <c r="T202" s="37"/>
    </row>
    <row r="203" spans="1:20" s="35" customFormat="1" x14ac:dyDescent="0.25">
      <c r="A203" s="46" t="s">
        <v>149</v>
      </c>
      <c r="B203" s="164" t="str">
        <f>(IF(H152="Saleable area Loading :","We have considered Saleable area of Flats as per our Calculation.","We considered Saleable area of Flat as per Builder area Sheet."))</f>
        <v>We have considered Saleable area of Flats as per our Calculation.</v>
      </c>
      <c r="C203" s="165"/>
      <c r="D203" s="165"/>
      <c r="E203" s="165"/>
      <c r="F203" s="165"/>
      <c r="G203" s="165"/>
      <c r="H203" s="166"/>
      <c r="T203" s="37"/>
    </row>
    <row r="204" spans="1:20" s="35" customFormat="1" hidden="1" x14ac:dyDescent="0.25">
      <c r="A204" s="46" t="s">
        <v>149</v>
      </c>
      <c r="B204" s="109" t="str">
        <f>(IF(H144="Saleable area Loading :","We have considered Saleable area of Commercial as per our Calculation.","We considered Saleable area of Commercial as per Builder area Sheet."))</f>
        <v>We have considered Saleable area of Commercial as per our Calculation.</v>
      </c>
      <c r="C204" s="110"/>
      <c r="D204" s="110"/>
      <c r="E204" s="110"/>
      <c r="F204" s="110"/>
      <c r="G204" s="110"/>
      <c r="H204" s="111"/>
      <c r="T204" s="37"/>
    </row>
    <row r="205" spans="1:20" s="35" customFormat="1" x14ac:dyDescent="0.25">
      <c r="A205" s="46" t="s">
        <v>149</v>
      </c>
      <c r="B205" s="104" t="s">
        <v>119</v>
      </c>
      <c r="C205" s="105"/>
      <c r="D205" s="105"/>
      <c r="E205" s="105"/>
      <c r="F205" s="105"/>
      <c r="G205" s="105"/>
      <c r="H205" s="106"/>
      <c r="T205" s="37"/>
    </row>
    <row r="206" spans="1:20" s="35" customFormat="1" ht="33.75" customHeight="1" x14ac:dyDescent="0.25">
      <c r="A206" s="46" t="s">
        <v>149</v>
      </c>
      <c r="B206" s="164" t="s">
        <v>431</v>
      </c>
      <c r="C206" s="165"/>
      <c r="D206" s="165"/>
      <c r="E206" s="165"/>
      <c r="F206" s="165"/>
      <c r="G206" s="165"/>
      <c r="H206" s="166"/>
      <c r="T206" s="37"/>
    </row>
    <row r="207" spans="1:20" s="35" customFormat="1" x14ac:dyDescent="0.25">
      <c r="A207" s="46" t="s">
        <v>149</v>
      </c>
      <c r="B207" s="104" t="s">
        <v>148</v>
      </c>
      <c r="C207" s="105"/>
      <c r="D207" s="105"/>
      <c r="E207" s="105"/>
      <c r="F207" s="105"/>
      <c r="G207" s="105"/>
      <c r="H207" s="106"/>
    </row>
    <row r="208" spans="1:20" s="35" customFormat="1" x14ac:dyDescent="0.25">
      <c r="A208" s="46" t="s">
        <v>149</v>
      </c>
      <c r="B208" s="104" t="s">
        <v>120</v>
      </c>
      <c r="C208" s="105"/>
      <c r="D208" s="105"/>
      <c r="E208" s="105"/>
      <c r="F208" s="105"/>
      <c r="G208" s="105"/>
      <c r="H208" s="106"/>
    </row>
    <row r="209" spans="1:20" s="35" customFormat="1" ht="34.5" customHeight="1" x14ac:dyDescent="0.25">
      <c r="A209" s="46" t="s">
        <v>149</v>
      </c>
      <c r="B209" s="164" t="s">
        <v>150</v>
      </c>
      <c r="C209" s="165"/>
      <c r="D209" s="165"/>
      <c r="E209" s="165"/>
      <c r="F209" s="165"/>
      <c r="G209" s="165"/>
      <c r="H209" s="166"/>
    </row>
    <row r="210" spans="1:20" s="35" customFormat="1" x14ac:dyDescent="0.25">
      <c r="A210" s="46" t="s">
        <v>149</v>
      </c>
      <c r="B210" s="104" t="s">
        <v>121</v>
      </c>
      <c r="C210" s="105"/>
      <c r="D210" s="105"/>
      <c r="E210" s="105"/>
      <c r="F210" s="105"/>
      <c r="G210" s="105"/>
      <c r="H210" s="106"/>
    </row>
    <row r="211" spans="1:20" s="35" customFormat="1" ht="32.25" hidden="1" customHeight="1" x14ac:dyDescent="0.25">
      <c r="A211" s="46" t="s">
        <v>149</v>
      </c>
      <c r="B211" s="109" t="s">
        <v>175</v>
      </c>
      <c r="C211" s="110"/>
      <c r="D211" s="110"/>
      <c r="E211" s="110"/>
      <c r="F211" s="110"/>
      <c r="G211" s="110"/>
      <c r="H211" s="111"/>
    </row>
    <row r="212" spans="1:20" s="35" customFormat="1" ht="38.25" hidden="1" customHeight="1" x14ac:dyDescent="0.25">
      <c r="A212" s="46" t="s">
        <v>149</v>
      </c>
      <c r="B212" s="109" t="s">
        <v>347</v>
      </c>
      <c r="C212" s="110"/>
      <c r="D212" s="110"/>
      <c r="E212" s="110"/>
      <c r="F212" s="110"/>
      <c r="G212" s="110"/>
      <c r="H212" s="111"/>
    </row>
    <row r="213" spans="1:20" s="35" customFormat="1" hidden="1" x14ac:dyDescent="0.25">
      <c r="A213" s="46" t="s">
        <v>149</v>
      </c>
      <c r="B213" s="164" t="s">
        <v>348</v>
      </c>
      <c r="C213" s="165"/>
      <c r="D213" s="165"/>
      <c r="E213" s="165"/>
      <c r="F213" s="165"/>
      <c r="G213" s="165"/>
      <c r="H213" s="166"/>
    </row>
    <row r="214" spans="1:20" s="35" customFormat="1" hidden="1" x14ac:dyDescent="0.25">
      <c r="A214" s="46" t="s">
        <v>149</v>
      </c>
      <c r="B214" s="109" t="str">
        <f ca="1">IF(G52&gt;EDATE(E3,-48),"NO REMARK FOR CC","REMARK FOR CC")</f>
        <v>NO REMARK FOR CC</v>
      </c>
      <c r="C214" s="110"/>
      <c r="D214" s="110"/>
      <c r="E214" s="110"/>
      <c r="F214" s="110"/>
      <c r="G214" s="110"/>
      <c r="H214" s="111"/>
    </row>
    <row r="215" spans="1:20" s="35" customFormat="1" ht="81.75" hidden="1" customHeight="1" x14ac:dyDescent="0.25">
      <c r="A215" s="46" t="s">
        <v>149</v>
      </c>
      <c r="B215" s="109" t="s">
        <v>349</v>
      </c>
      <c r="C215" s="110"/>
      <c r="D215" s="110"/>
      <c r="E215" s="110"/>
      <c r="F215" s="110"/>
      <c r="G215" s="110"/>
      <c r="H215" s="111"/>
    </row>
    <row r="216" spans="1:20" s="35" customFormat="1" x14ac:dyDescent="0.25">
      <c r="A216" s="46" t="s">
        <v>149</v>
      </c>
      <c r="B216" s="104" t="s">
        <v>435</v>
      </c>
      <c r="C216" s="105"/>
      <c r="D216" s="105"/>
      <c r="E216" s="105"/>
      <c r="F216" s="105"/>
      <c r="G216" s="105"/>
      <c r="H216" s="106"/>
    </row>
    <row r="217" spans="1:20" s="35" customFormat="1" x14ac:dyDescent="0.25">
      <c r="A217" s="46" t="s">
        <v>149</v>
      </c>
      <c r="B217" s="104" t="s">
        <v>436</v>
      </c>
      <c r="C217" s="105"/>
      <c r="D217" s="105"/>
      <c r="E217" s="105"/>
      <c r="F217" s="105"/>
      <c r="G217" s="105"/>
      <c r="H217" s="106"/>
    </row>
    <row r="218" spans="1:20" s="35" customFormat="1" x14ac:dyDescent="0.25">
      <c r="A218" s="46" t="s">
        <v>149</v>
      </c>
      <c r="B218" s="104" t="s">
        <v>437</v>
      </c>
      <c r="C218" s="105"/>
      <c r="D218" s="105"/>
      <c r="E218" s="105"/>
      <c r="F218" s="105"/>
      <c r="G218" s="105"/>
      <c r="H218" s="106"/>
    </row>
    <row r="219" spans="1:20" s="35" customFormat="1" hidden="1" x14ac:dyDescent="0.25">
      <c r="A219" s="46" t="s">
        <v>149</v>
      </c>
      <c r="B219" s="104" t="s">
        <v>444</v>
      </c>
      <c r="C219" s="105"/>
      <c r="D219" s="105"/>
      <c r="E219" s="105"/>
      <c r="F219" s="105"/>
      <c r="G219" s="105"/>
      <c r="H219" s="106"/>
    </row>
    <row r="220" spans="1:20" x14ac:dyDescent="0.25">
      <c r="A220" s="179" t="s">
        <v>57</v>
      </c>
      <c r="B220" s="179"/>
      <c r="C220" s="179"/>
      <c r="D220" s="179"/>
      <c r="E220" s="179"/>
      <c r="F220" s="179"/>
      <c r="G220" s="179"/>
      <c r="H220" s="179"/>
      <c r="T220" s="35"/>
    </row>
    <row r="221" spans="1:20" x14ac:dyDescent="0.25">
      <c r="A221" s="122" t="s">
        <v>58</v>
      </c>
      <c r="B221" s="122"/>
      <c r="C221" s="122"/>
      <c r="D221" s="122"/>
      <c r="E221" s="122"/>
      <c r="F221" s="122"/>
      <c r="G221" s="122"/>
      <c r="H221" s="122"/>
      <c r="T221" s="35"/>
    </row>
    <row r="222" spans="1:20" ht="15.75" customHeight="1" x14ac:dyDescent="0.25">
      <c r="A222" s="159" t="s">
        <v>59</v>
      </c>
      <c r="B222" s="159"/>
      <c r="C222" s="159"/>
      <c r="D222" s="159"/>
      <c r="E222" s="159"/>
      <c r="F222" s="159"/>
      <c r="G222" s="159"/>
      <c r="H222" s="159"/>
      <c r="T222" s="35"/>
    </row>
    <row r="223" spans="1:20" x14ac:dyDescent="0.25">
      <c r="A223" s="122" t="s">
        <v>60</v>
      </c>
      <c r="B223" s="122"/>
      <c r="C223" s="122"/>
      <c r="D223" s="122"/>
      <c r="E223" s="122"/>
      <c r="F223" s="122"/>
      <c r="G223" s="122"/>
      <c r="H223" s="122"/>
      <c r="T223" s="35"/>
    </row>
    <row r="224" spans="1:20" x14ac:dyDescent="0.25">
      <c r="A224" s="122" t="s">
        <v>61</v>
      </c>
      <c r="B224" s="122"/>
      <c r="C224" s="122"/>
      <c r="D224" s="122"/>
      <c r="E224" s="122"/>
      <c r="F224" s="122"/>
      <c r="G224" s="122"/>
      <c r="H224" s="122"/>
      <c r="T224" s="35"/>
    </row>
    <row r="225" spans="1:20" x14ac:dyDescent="0.25">
      <c r="A225" s="122" t="s">
        <v>122</v>
      </c>
      <c r="B225" s="122"/>
      <c r="C225" s="122"/>
      <c r="D225" s="122"/>
      <c r="E225" s="122"/>
      <c r="F225" s="122"/>
      <c r="G225" s="122"/>
      <c r="H225" s="122"/>
      <c r="T225" s="35"/>
    </row>
    <row r="226" spans="1:20" ht="33.950000000000003" customHeight="1" x14ac:dyDescent="0.25">
      <c r="A226" s="123" t="s">
        <v>123</v>
      </c>
      <c r="B226" s="123"/>
      <c r="C226" s="123"/>
      <c r="D226" s="123"/>
      <c r="E226" s="123"/>
      <c r="F226" s="123"/>
      <c r="G226" s="123"/>
      <c r="H226" s="123"/>
    </row>
    <row r="227" spans="1:20" x14ac:dyDescent="0.25">
      <c r="A227" s="177" t="s">
        <v>73</v>
      </c>
      <c r="B227" s="177"/>
      <c r="C227" s="177" t="s">
        <v>442</v>
      </c>
      <c r="D227" s="177"/>
      <c r="E227" s="177" t="s">
        <v>101</v>
      </c>
      <c r="F227" s="177"/>
      <c r="G227" s="177" t="s">
        <v>432</v>
      </c>
      <c r="H227" s="177"/>
    </row>
    <row r="228" spans="1:20" x14ac:dyDescent="0.25">
      <c r="A228" s="176" t="s">
        <v>75</v>
      </c>
      <c r="B228" s="176"/>
      <c r="C228" s="176"/>
      <c r="D228" s="176"/>
      <c r="E228" s="176"/>
      <c r="F228" s="176"/>
      <c r="G228" s="176"/>
      <c r="H228" s="176"/>
    </row>
    <row r="229" spans="1:20" x14ac:dyDescent="0.25">
      <c r="A229" s="176"/>
      <c r="B229" s="176"/>
      <c r="C229" s="176"/>
      <c r="D229" s="176"/>
      <c r="E229" s="176"/>
      <c r="F229" s="176"/>
      <c r="G229" s="176"/>
      <c r="H229" s="176"/>
    </row>
    <row r="230" spans="1:20" x14ac:dyDescent="0.25">
      <c r="A230" s="176"/>
      <c r="B230" s="176"/>
      <c r="C230" s="176"/>
      <c r="D230" s="176"/>
      <c r="E230" s="176"/>
      <c r="F230" s="176"/>
      <c r="G230" s="176"/>
      <c r="H230" s="176"/>
    </row>
    <row r="231" spans="1:20" x14ac:dyDescent="0.25">
      <c r="A231" s="176"/>
      <c r="B231" s="176"/>
      <c r="C231" s="176"/>
      <c r="D231" s="176"/>
      <c r="E231" s="176"/>
      <c r="F231" s="176"/>
      <c r="G231" s="176"/>
      <c r="H231" s="176"/>
    </row>
    <row r="232" spans="1:20" x14ac:dyDescent="0.25">
      <c r="A232" s="38" t="s">
        <v>62</v>
      </c>
      <c r="B232" s="39"/>
      <c r="C232" s="39"/>
      <c r="D232" s="38" t="str">
        <f>E9</f>
        <v>T11 Raheja Jade City</v>
      </c>
      <c r="F232" s="39"/>
      <c r="G232" s="39"/>
      <c r="H232" s="39"/>
    </row>
    <row r="233" spans="1:20" x14ac:dyDescent="0.25">
      <c r="A233" s="39"/>
      <c r="B233" s="39"/>
      <c r="C233" s="39"/>
      <c r="D233" s="39"/>
      <c r="E233" s="39"/>
      <c r="F233" s="39"/>
      <c r="G233" s="39"/>
      <c r="H233" s="39"/>
    </row>
    <row r="234" spans="1:20" x14ac:dyDescent="0.25">
      <c r="A234" s="39"/>
      <c r="B234" s="39"/>
      <c r="C234" s="39"/>
      <c r="D234" s="39"/>
      <c r="E234" s="39"/>
      <c r="F234" s="39"/>
      <c r="G234" s="39"/>
      <c r="H234" s="39"/>
    </row>
    <row r="235" spans="1:20" ht="15" customHeight="1" x14ac:dyDescent="0.25"/>
    <row r="273" spans="1:1" x14ac:dyDescent="0.25">
      <c r="A273" s="41" t="s">
        <v>160</v>
      </c>
    </row>
    <row r="315" spans="1:1" x14ac:dyDescent="0.25">
      <c r="A315" s="41" t="s">
        <v>63</v>
      </c>
    </row>
  </sheetData>
  <mergeCells count="399">
    <mergeCell ref="L79:M88"/>
    <mergeCell ref="N79:O88"/>
    <mergeCell ref="G107:H107"/>
    <mergeCell ref="A108:B108"/>
    <mergeCell ref="A115:B115"/>
    <mergeCell ref="A121:E121"/>
    <mergeCell ref="A118:E118"/>
    <mergeCell ref="F122:H122"/>
    <mergeCell ref="A122:E122"/>
    <mergeCell ref="E108:F117"/>
    <mergeCell ref="G108:H117"/>
    <mergeCell ref="A109:B109"/>
    <mergeCell ref="A110:B110"/>
    <mergeCell ref="A111:B111"/>
    <mergeCell ref="A113:B113"/>
    <mergeCell ref="A82:B82"/>
    <mergeCell ref="E80:F89"/>
    <mergeCell ref="G80:H89"/>
    <mergeCell ref="A123:E123"/>
    <mergeCell ref="A140:B140"/>
    <mergeCell ref="E140:F140"/>
    <mergeCell ref="A128:E128"/>
    <mergeCell ref="G140:H140"/>
    <mergeCell ref="C134:D134"/>
    <mergeCell ref="E134:F134"/>
    <mergeCell ref="G134:H134"/>
    <mergeCell ref="A99:B99"/>
    <mergeCell ref="G93:H93"/>
    <mergeCell ref="A101:B101"/>
    <mergeCell ref="A117:B117"/>
    <mergeCell ref="A93:B93"/>
    <mergeCell ref="E93:F93"/>
    <mergeCell ref="E94:F103"/>
    <mergeCell ref="A104:B104"/>
    <mergeCell ref="C104:H104"/>
    <mergeCell ref="A106:B106"/>
    <mergeCell ref="C106:H106"/>
    <mergeCell ref="A107:B107"/>
    <mergeCell ref="E107:F107"/>
    <mergeCell ref="A112:B112"/>
    <mergeCell ref="A114:B114"/>
    <mergeCell ref="A116:B116"/>
    <mergeCell ref="C144:C145"/>
    <mergeCell ref="B152:B153"/>
    <mergeCell ref="E135:F135"/>
    <mergeCell ref="G135:H135"/>
    <mergeCell ref="A139:B139"/>
    <mergeCell ref="C139:D139"/>
    <mergeCell ref="E139:F139"/>
    <mergeCell ref="A141:B141"/>
    <mergeCell ref="A142:H142"/>
    <mergeCell ref="A152:A153"/>
    <mergeCell ref="F152:F153"/>
    <mergeCell ref="L150:M150"/>
    <mergeCell ref="L149:M149"/>
    <mergeCell ref="L148:M148"/>
    <mergeCell ref="L147:M147"/>
    <mergeCell ref="A87:B87"/>
    <mergeCell ref="C138:D138"/>
    <mergeCell ref="E138:F138"/>
    <mergeCell ref="G138:H138"/>
    <mergeCell ref="A119:E119"/>
    <mergeCell ref="A90:B90"/>
    <mergeCell ref="C90:H90"/>
    <mergeCell ref="A146:H146"/>
    <mergeCell ref="E144:E145"/>
    <mergeCell ref="A94:B94"/>
    <mergeCell ref="C92:H92"/>
    <mergeCell ref="A95:B95"/>
    <mergeCell ref="A96:B96"/>
    <mergeCell ref="G94:H103"/>
    <mergeCell ref="A97:B97"/>
    <mergeCell ref="F120:H120"/>
    <mergeCell ref="A120:E120"/>
    <mergeCell ref="E141:F141"/>
    <mergeCell ref="A92:B92"/>
    <mergeCell ref="F144:F145"/>
    <mergeCell ref="G51:H51"/>
    <mergeCell ref="A39:B39"/>
    <mergeCell ref="C39:H39"/>
    <mergeCell ref="C55:H55"/>
    <mergeCell ref="A52:B53"/>
    <mergeCell ref="C54:E54"/>
    <mergeCell ref="C52:E52"/>
    <mergeCell ref="C56:E56"/>
    <mergeCell ref="G54:H54"/>
    <mergeCell ref="A56:B57"/>
    <mergeCell ref="A40:B40"/>
    <mergeCell ref="C40:H40"/>
    <mergeCell ref="E43:H43"/>
    <mergeCell ref="A43:D43"/>
    <mergeCell ref="A79:B79"/>
    <mergeCell ref="A46:D46"/>
    <mergeCell ref="A47:D47"/>
    <mergeCell ref="D70:H70"/>
    <mergeCell ref="A44:D44"/>
    <mergeCell ref="E44:H44"/>
    <mergeCell ref="E45:H45"/>
    <mergeCell ref="E46:H46"/>
    <mergeCell ref="E47:H47"/>
    <mergeCell ref="C57:H57"/>
    <mergeCell ref="A48:H48"/>
    <mergeCell ref="D65:H65"/>
    <mergeCell ref="A65:C65"/>
    <mergeCell ref="A45:D45"/>
    <mergeCell ref="A49:B49"/>
    <mergeCell ref="C49:H49"/>
    <mergeCell ref="A66:C68"/>
    <mergeCell ref="D66:H66"/>
    <mergeCell ref="D67:H67"/>
    <mergeCell ref="G52:H52"/>
    <mergeCell ref="A62:H62"/>
    <mergeCell ref="C53:H53"/>
    <mergeCell ref="A63:C63"/>
    <mergeCell ref="A69:C69"/>
    <mergeCell ref="F34:H34"/>
    <mergeCell ref="F35:H35"/>
    <mergeCell ref="A72:C72"/>
    <mergeCell ref="D72:H72"/>
    <mergeCell ref="A75:C75"/>
    <mergeCell ref="D75:H75"/>
    <mergeCell ref="A74:C74"/>
    <mergeCell ref="E42:H42"/>
    <mergeCell ref="A41:H41"/>
    <mergeCell ref="A70:C70"/>
    <mergeCell ref="D69:H69"/>
    <mergeCell ref="A64:C64"/>
    <mergeCell ref="G59:H59"/>
    <mergeCell ref="G61:H61"/>
    <mergeCell ref="A54:B55"/>
    <mergeCell ref="A58:B60"/>
    <mergeCell ref="C60:H60"/>
    <mergeCell ref="C58:E59"/>
    <mergeCell ref="C51:E51"/>
    <mergeCell ref="C50:E50"/>
    <mergeCell ref="G50:H50"/>
    <mergeCell ref="A51:B51"/>
    <mergeCell ref="G56:H56"/>
    <mergeCell ref="G58:H58"/>
    <mergeCell ref="A37:B37"/>
    <mergeCell ref="C37:E37"/>
    <mergeCell ref="A42:D42"/>
    <mergeCell ref="F37:H37"/>
    <mergeCell ref="A38:H38"/>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E27:H27"/>
    <mergeCell ref="A29:D29"/>
    <mergeCell ref="E29:H29"/>
    <mergeCell ref="A26:D26"/>
    <mergeCell ref="E26:H26"/>
    <mergeCell ref="A28:D28"/>
    <mergeCell ref="E28:H28"/>
    <mergeCell ref="E14:H14"/>
    <mergeCell ref="A15:D15"/>
    <mergeCell ref="E20:F20"/>
    <mergeCell ref="G20:H20"/>
    <mergeCell ref="A21:B21"/>
    <mergeCell ref="C21:D21"/>
    <mergeCell ref="E21:F21"/>
    <mergeCell ref="G21:H21"/>
    <mergeCell ref="A22:B22"/>
    <mergeCell ref="C22:D22"/>
    <mergeCell ref="E22:F22"/>
    <mergeCell ref="G22:H22"/>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23:H2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8:H231"/>
    <mergeCell ref="A227:B227"/>
    <mergeCell ref="E227:F227"/>
    <mergeCell ref="C227:D227"/>
    <mergeCell ref="G227:H227"/>
    <mergeCell ref="A131:H131"/>
    <mergeCell ref="A129:E129"/>
    <mergeCell ref="F129:H129"/>
    <mergeCell ref="A130:E130"/>
    <mergeCell ref="F130:H130"/>
    <mergeCell ref="A166:H166"/>
    <mergeCell ref="A138:B138"/>
    <mergeCell ref="A133:B133"/>
    <mergeCell ref="A223:H223"/>
    <mergeCell ref="A136:H136"/>
    <mergeCell ref="A226:H226"/>
    <mergeCell ref="A224:H224"/>
    <mergeCell ref="A220:H220"/>
    <mergeCell ref="G137:H137"/>
    <mergeCell ref="B207:H207"/>
    <mergeCell ref="A170:B170"/>
    <mergeCell ref="C141:D141"/>
    <mergeCell ref="B208:H208"/>
    <mergeCell ref="A147:B147"/>
    <mergeCell ref="F118:H118"/>
    <mergeCell ref="F123:H123"/>
    <mergeCell ref="A158:B158"/>
    <mergeCell ref="A150:B150"/>
    <mergeCell ref="A149:B149"/>
    <mergeCell ref="F124:H124"/>
    <mergeCell ref="A126:E126"/>
    <mergeCell ref="A171:B171"/>
    <mergeCell ref="A168:B168"/>
    <mergeCell ref="A169:B169"/>
    <mergeCell ref="A159:B159"/>
    <mergeCell ref="A160:B160"/>
    <mergeCell ref="A135:B135"/>
    <mergeCell ref="C135:D135"/>
    <mergeCell ref="A154:H154"/>
    <mergeCell ref="A162:B162"/>
    <mergeCell ref="A165:B165"/>
    <mergeCell ref="A151:H151"/>
    <mergeCell ref="C133:D133"/>
    <mergeCell ref="E133:F133"/>
    <mergeCell ref="B144:B145"/>
    <mergeCell ref="A144:A145"/>
    <mergeCell ref="C152:C153"/>
    <mergeCell ref="G152:G153"/>
    <mergeCell ref="D144:D145"/>
    <mergeCell ref="G139:H139"/>
    <mergeCell ref="E137:F137"/>
    <mergeCell ref="A161:B161"/>
    <mergeCell ref="B209:H209"/>
    <mergeCell ref="G144:G145"/>
    <mergeCell ref="B202:H202"/>
    <mergeCell ref="B203:H203"/>
    <mergeCell ref="B205:H205"/>
    <mergeCell ref="G141:H141"/>
    <mergeCell ref="A50:B50"/>
    <mergeCell ref="D68:H68"/>
    <mergeCell ref="A73:C73"/>
    <mergeCell ref="A102:B102"/>
    <mergeCell ref="A225:H225"/>
    <mergeCell ref="A222:H222"/>
    <mergeCell ref="A167:B167"/>
    <mergeCell ref="A137:B137"/>
    <mergeCell ref="D152:D153"/>
    <mergeCell ref="E152:E153"/>
    <mergeCell ref="A98:B98"/>
    <mergeCell ref="A100:B100"/>
    <mergeCell ref="F119:H119"/>
    <mergeCell ref="G133:H133"/>
    <mergeCell ref="A103:B103"/>
    <mergeCell ref="F125:H125"/>
    <mergeCell ref="C132:D132"/>
    <mergeCell ref="C140:D140"/>
    <mergeCell ref="A157:H157"/>
    <mergeCell ref="B206:H206"/>
    <mergeCell ref="B214:H214"/>
    <mergeCell ref="B213:H213"/>
    <mergeCell ref="F121:H121"/>
    <mergeCell ref="A125:E125"/>
    <mergeCell ref="A78:B78"/>
    <mergeCell ref="A76:B76"/>
    <mergeCell ref="C76:H76"/>
    <mergeCell ref="A221:H221"/>
    <mergeCell ref="A124:E124"/>
    <mergeCell ref="A86:B86"/>
    <mergeCell ref="I15:P15"/>
    <mergeCell ref="F128:H128"/>
    <mergeCell ref="F126:H126"/>
    <mergeCell ref="A143:H143"/>
    <mergeCell ref="G132:H132"/>
    <mergeCell ref="A127:E127"/>
    <mergeCell ref="A148:B148"/>
    <mergeCell ref="A61:B61"/>
    <mergeCell ref="C61:E61"/>
    <mergeCell ref="D63:H63"/>
    <mergeCell ref="F127:H127"/>
    <mergeCell ref="E132:F132"/>
    <mergeCell ref="A132:B132"/>
    <mergeCell ref="A134:B134"/>
    <mergeCell ref="C137:D137"/>
    <mergeCell ref="D73:H73"/>
    <mergeCell ref="D64:H64"/>
    <mergeCell ref="A85:B85"/>
    <mergeCell ref="A71:C71"/>
    <mergeCell ref="D71:H71"/>
    <mergeCell ref="C78:H78"/>
    <mergeCell ref="A155:H155"/>
    <mergeCell ref="A156:H156"/>
    <mergeCell ref="L166:M166"/>
    <mergeCell ref="L161:M161"/>
    <mergeCell ref="L158:M158"/>
    <mergeCell ref="L159:M159"/>
    <mergeCell ref="L160:M160"/>
    <mergeCell ref="L162:M162"/>
    <mergeCell ref="A163:B163"/>
    <mergeCell ref="L163:M163"/>
    <mergeCell ref="A164:B164"/>
    <mergeCell ref="L164:M164"/>
    <mergeCell ref="D74:H74"/>
    <mergeCell ref="A80:B80"/>
    <mergeCell ref="G79:H79"/>
    <mergeCell ref="A88:B88"/>
    <mergeCell ref="A89:B89"/>
    <mergeCell ref="A84:B84"/>
    <mergeCell ref="A83:B83"/>
    <mergeCell ref="E79:F79"/>
    <mergeCell ref="A81:B81"/>
    <mergeCell ref="L180:M180"/>
    <mergeCell ref="A181:B181"/>
    <mergeCell ref="A182:B182"/>
    <mergeCell ref="A183:B183"/>
    <mergeCell ref="L194:M194"/>
    <mergeCell ref="L187:M187"/>
    <mergeCell ref="L165:M165"/>
    <mergeCell ref="C160:H165"/>
    <mergeCell ref="A172:B172"/>
    <mergeCell ref="A173:H173"/>
    <mergeCell ref="L173:M173"/>
    <mergeCell ref="A174:B174"/>
    <mergeCell ref="A175:B175"/>
    <mergeCell ref="A176:B176"/>
    <mergeCell ref="A184:B184"/>
    <mergeCell ref="A185:B185"/>
    <mergeCell ref="A186:B186"/>
    <mergeCell ref="C186:H186"/>
    <mergeCell ref="A187:H187"/>
    <mergeCell ref="A188:B188"/>
    <mergeCell ref="A189:B189"/>
    <mergeCell ref="A190:B190"/>
    <mergeCell ref="A177:B177"/>
    <mergeCell ref="A178:B178"/>
    <mergeCell ref="A179:B179"/>
    <mergeCell ref="A180:H180"/>
    <mergeCell ref="B219:H219"/>
    <mergeCell ref="A199:B199"/>
    <mergeCell ref="A200:B200"/>
    <mergeCell ref="C200:H200"/>
    <mergeCell ref="B216:H216"/>
    <mergeCell ref="B217:H217"/>
    <mergeCell ref="B218:H218"/>
    <mergeCell ref="A191:B191"/>
    <mergeCell ref="A192:B192"/>
    <mergeCell ref="A193:B193"/>
    <mergeCell ref="A194:H194"/>
    <mergeCell ref="A201:H201"/>
    <mergeCell ref="B212:H212"/>
    <mergeCell ref="B215:H215"/>
    <mergeCell ref="A195:B195"/>
    <mergeCell ref="A196:B196"/>
    <mergeCell ref="A197:B197"/>
    <mergeCell ref="A198:B198"/>
    <mergeCell ref="B211:H211"/>
    <mergeCell ref="B210:H210"/>
    <mergeCell ref="B204:H204"/>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27:H227">
      <formula1>"Kunal Kadam,Pranita Mhatre,Shruti Fule,Pooja Kawale,Gaurav Panchal,Shruti Tathare, Dipti Gothawade,Saurav Panse,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OFFSET($S$118,1,MATCH($G20,$S$118:$W$118,0)-1,15,1)</formula1>
    </dataValidation>
    <dataValidation type="list" allowBlank="1" showInputMessage="1" showErrorMessage="1" sqref="B144:B145">
      <formula1>"Shop No. (Sale Plan),Sale / Rehab,Sale / Mhada"</formula1>
    </dataValidation>
    <dataValidation type="list" allowBlank="1" showInputMessage="1" showErrorMessage="1" sqref="B152:B15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2:E153">
      <formula1>"Fungible area,Balcony Area,Chajja Area,Cornice Area,AP Area,WS Area,Balcony + AC Ledge + Utility Area"</formula1>
    </dataValidation>
    <dataValidation type="list" allowBlank="1" showInputMessage="1" showErrorMessage="1" sqref="H145 H15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4 H152">
      <formula1>"Saleable area Loading :,Builder Saleable Area"</formula1>
    </dataValidation>
    <dataValidation type="list" allowBlank="1" showInputMessage="1" showErrorMessage="1" sqref="D144:D145">
      <formula1>"Carpet area,RERA Carpet area"</formula1>
    </dataValidation>
    <dataValidation type="list" allowBlank="1" showInputMessage="1" showErrorMessage="1" sqref="D152:D153">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31" max="16383" man="1"/>
    <brk id="272"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5" t="s">
        <v>102</v>
      </c>
      <c r="C3" s="265"/>
      <c r="D3" s="265"/>
      <c r="E3" s="265"/>
      <c r="F3" s="265"/>
      <c r="G3" s="265"/>
      <c r="H3" s="265"/>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176</v>
      </c>
      <c r="E4" s="54" t="s">
        <v>186</v>
      </c>
      <c r="F4" s="54" t="s">
        <v>169</v>
      </c>
      <c r="G4" s="54" t="s">
        <v>191</v>
      </c>
      <c r="H4" s="54" t="s">
        <v>209</v>
      </c>
      <c r="J4" t="s">
        <v>191</v>
      </c>
      <c r="K4" t="s">
        <v>207</v>
      </c>
    </row>
    <row r="5" spans="2:11" x14ac:dyDescent="0.25">
      <c r="B5" s="53"/>
      <c r="C5" s="53"/>
      <c r="D5" s="54" t="s">
        <v>177</v>
      </c>
      <c r="E5" s="54" t="s">
        <v>184</v>
      </c>
      <c r="F5" s="54" t="s">
        <v>206</v>
      </c>
      <c r="G5" s="54" t="s">
        <v>192</v>
      </c>
      <c r="H5" s="54" t="s">
        <v>210</v>
      </c>
    </row>
    <row r="6" spans="2:11" x14ac:dyDescent="0.25">
      <c r="B6" s="53"/>
      <c r="C6" s="53"/>
      <c r="D6" s="54" t="s">
        <v>178</v>
      </c>
      <c r="E6" s="54" t="s">
        <v>185</v>
      </c>
      <c r="F6" s="54" t="s">
        <v>207</v>
      </c>
      <c r="G6" s="54" t="s">
        <v>193</v>
      </c>
      <c r="H6" s="54" t="s">
        <v>223</v>
      </c>
    </row>
    <row r="7" spans="2:11" x14ac:dyDescent="0.25">
      <c r="B7" s="53"/>
      <c r="C7" s="53"/>
      <c r="D7" s="54" t="s">
        <v>179</v>
      </c>
      <c r="E7" s="54" t="s">
        <v>187</v>
      </c>
      <c r="F7" s="54" t="s">
        <v>208</v>
      </c>
      <c r="G7" s="54" t="s">
        <v>194</v>
      </c>
      <c r="H7" s="54" t="s">
        <v>211</v>
      </c>
    </row>
    <row r="8" spans="2:11" x14ac:dyDescent="0.25">
      <c r="B8" s="53"/>
      <c r="C8" s="53"/>
      <c r="D8" s="54" t="s">
        <v>180</v>
      </c>
      <c r="E8" s="54" t="s">
        <v>188</v>
      </c>
      <c r="F8" s="54"/>
      <c r="G8" s="54" t="s">
        <v>195</v>
      </c>
      <c r="H8" s="54" t="s">
        <v>212</v>
      </c>
    </row>
    <row r="9" spans="2:11" x14ac:dyDescent="0.25">
      <c r="B9" s="53"/>
      <c r="C9" s="53"/>
      <c r="D9" s="54" t="s">
        <v>181</v>
      </c>
      <c r="E9" s="54" t="s">
        <v>186</v>
      </c>
      <c r="F9" s="54"/>
      <c r="G9" s="54" t="s">
        <v>196</v>
      </c>
      <c r="H9" s="54" t="s">
        <v>213</v>
      </c>
    </row>
    <row r="10" spans="2:11" x14ac:dyDescent="0.25">
      <c r="B10" s="53"/>
      <c r="C10" s="53"/>
      <c r="D10" s="54" t="s">
        <v>182</v>
      </c>
      <c r="E10" s="54" t="s">
        <v>189</v>
      </c>
      <c r="F10" s="54"/>
      <c r="G10" s="54" t="s">
        <v>197</v>
      </c>
      <c r="H10" s="54" t="s">
        <v>214</v>
      </c>
    </row>
    <row r="11" spans="2:11" x14ac:dyDescent="0.25">
      <c r="B11" s="53"/>
      <c r="C11" s="53"/>
      <c r="D11" s="54" t="s">
        <v>183</v>
      </c>
      <c r="E11" s="54" t="s">
        <v>190</v>
      </c>
      <c r="F11" s="54"/>
      <c r="G11" s="54" t="s">
        <v>198</v>
      </c>
      <c r="H11" s="54" t="s">
        <v>215</v>
      </c>
    </row>
    <row r="12" spans="2:11" x14ac:dyDescent="0.25">
      <c r="B12" s="53"/>
      <c r="C12" s="53"/>
      <c r="D12" s="54"/>
      <c r="E12" s="54"/>
      <c r="F12" s="54"/>
      <c r="G12" s="54" t="s">
        <v>199</v>
      </c>
      <c r="H12" s="54" t="s">
        <v>216</v>
      </c>
    </row>
    <row r="13" spans="2:11" x14ac:dyDescent="0.25">
      <c r="B13" s="53"/>
      <c r="C13" s="53"/>
      <c r="D13" s="54"/>
      <c r="E13" s="54"/>
      <c r="F13" s="54"/>
      <c r="G13" s="54" t="s">
        <v>200</v>
      </c>
      <c r="H13" s="54" t="s">
        <v>217</v>
      </c>
    </row>
    <row r="14" spans="2:11" x14ac:dyDescent="0.25">
      <c r="B14" s="53"/>
      <c r="C14" s="53"/>
      <c r="D14" s="54"/>
      <c r="E14" s="54"/>
      <c r="F14" s="54"/>
      <c r="G14" s="54" t="s">
        <v>201</v>
      </c>
      <c r="H14" s="54" t="s">
        <v>218</v>
      </c>
    </row>
    <row r="15" spans="2:11" x14ac:dyDescent="0.25">
      <c r="B15" s="53"/>
      <c r="C15" s="53"/>
      <c r="D15" s="54"/>
      <c r="E15" s="54"/>
      <c r="F15" s="54"/>
      <c r="G15" s="54" t="s">
        <v>202</v>
      </c>
      <c r="H15" s="54" t="s">
        <v>219</v>
      </c>
    </row>
    <row r="16" spans="2:11" x14ac:dyDescent="0.25">
      <c r="B16" s="53"/>
      <c r="C16" s="53"/>
      <c r="D16" s="54"/>
      <c r="E16" s="54"/>
      <c r="F16" s="54"/>
      <c r="G16" s="54" t="s">
        <v>203</v>
      </c>
      <c r="H16" s="54" t="s">
        <v>220</v>
      </c>
    </row>
    <row r="17" spans="2:8" x14ac:dyDescent="0.25">
      <c r="B17" s="53"/>
      <c r="C17" s="53"/>
      <c r="D17" s="54"/>
      <c r="E17" s="54"/>
      <c r="F17" s="54"/>
      <c r="G17" s="54" t="s">
        <v>204</v>
      </c>
      <c r="H17" s="54" t="s">
        <v>221</v>
      </c>
    </row>
    <row r="18" spans="2:8" x14ac:dyDescent="0.25">
      <c r="B18" s="53"/>
      <c r="C18" s="53"/>
      <c r="D18" s="54"/>
      <c r="E18" s="54"/>
      <c r="F18" s="54"/>
      <c r="G18" s="54" t="s">
        <v>205</v>
      </c>
      <c r="H18" s="54" t="s">
        <v>222</v>
      </c>
    </row>
    <row r="24" spans="2:8" x14ac:dyDescent="0.25">
      <c r="C24" t="s">
        <v>166</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166</v>
      </c>
    </row>
    <row r="33" spans="3:11" x14ac:dyDescent="0.25">
      <c r="J33">
        <v>1</v>
      </c>
      <c r="K33">
        <v>2</v>
      </c>
    </row>
    <row r="34" spans="3:11" x14ac:dyDescent="0.25">
      <c r="C34" s="56" t="s">
        <v>233</v>
      </c>
      <c r="D34" s="54" t="s">
        <v>231</v>
      </c>
      <c r="E34" s="54" t="s">
        <v>236</v>
      </c>
      <c r="F34" s="54" t="s">
        <v>234</v>
      </c>
      <c r="G34" s="54" t="s">
        <v>235</v>
      </c>
      <c r="H34" s="54" t="s">
        <v>237</v>
      </c>
      <c r="J34" t="s">
        <v>191</v>
      </c>
      <c r="K34" t="s">
        <v>207</v>
      </c>
    </row>
    <row r="35" spans="3:11" x14ac:dyDescent="0.25">
      <c r="C35" s="53" t="s">
        <v>232</v>
      </c>
      <c r="D35" s="54" t="s">
        <v>167</v>
      </c>
      <c r="E35" s="54" t="s">
        <v>241</v>
      </c>
      <c r="F35" s="54" t="s">
        <v>243</v>
      </c>
      <c r="G35" s="54" t="s">
        <v>245</v>
      </c>
      <c r="H35" s="54"/>
    </row>
    <row r="36" spans="3:11" x14ac:dyDescent="0.25">
      <c r="C36" s="53"/>
      <c r="D36" s="54" t="s">
        <v>238</v>
      </c>
      <c r="E36" s="54" t="s">
        <v>242</v>
      </c>
      <c r="F36" s="54" t="s">
        <v>244</v>
      </c>
      <c r="G36" s="54" t="s">
        <v>246</v>
      </c>
      <c r="H36" s="54"/>
    </row>
    <row r="37" spans="3:11" x14ac:dyDescent="0.25">
      <c r="C37" s="53"/>
      <c r="D37" s="54" t="s">
        <v>239</v>
      </c>
      <c r="E37" s="54"/>
      <c r="F37" s="54"/>
      <c r="G37" s="54" t="s">
        <v>247</v>
      </c>
      <c r="H37" s="54"/>
    </row>
    <row r="38" spans="3:11" x14ac:dyDescent="0.25">
      <c r="C38" s="53"/>
      <c r="D38" s="54" t="s">
        <v>240</v>
      </c>
      <c r="E38" s="54"/>
      <c r="F38" s="54"/>
      <c r="G38" s="54" t="s">
        <v>247</v>
      </c>
      <c r="H38" s="54"/>
    </row>
    <row r="39" spans="3:11" x14ac:dyDescent="0.25">
      <c r="C39" s="53"/>
      <c r="D39" s="54"/>
      <c r="E39" s="54"/>
      <c r="F39" s="54"/>
      <c r="G39" s="54" t="s">
        <v>248</v>
      </c>
      <c r="H39" s="54"/>
    </row>
    <row r="40" spans="3:11" x14ac:dyDescent="0.25">
      <c r="C40" s="53"/>
      <c r="D40" s="54"/>
      <c r="E40" s="54"/>
      <c r="F40" s="54"/>
      <c r="G40" s="54" t="s">
        <v>249</v>
      </c>
      <c r="H40" s="54"/>
    </row>
    <row r="41" spans="3:11" x14ac:dyDescent="0.25">
      <c r="C41" s="53"/>
      <c r="D41" s="54"/>
      <c r="E41" s="54"/>
      <c r="F41" s="54"/>
      <c r="G41" s="54"/>
      <c r="H41" s="54"/>
    </row>
    <row r="43" spans="3:11" x14ac:dyDescent="0.25">
      <c r="C43" t="s">
        <v>250</v>
      </c>
    </row>
    <row r="44" spans="3:11" x14ac:dyDescent="0.25">
      <c r="C44" t="s">
        <v>169</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176</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191</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186</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13" zoomScale="85" zoomScaleNormal="85" workbookViewId="0">
      <selection activeCell="C29" sqref="C29"/>
    </sheetView>
  </sheetViews>
  <sheetFormatPr defaultRowHeight="15" x14ac:dyDescent="0.25"/>
  <cols>
    <col min="2" max="2" width="3" bestFit="1" customWidth="1"/>
    <col min="3" max="3" width="155.28515625" customWidth="1"/>
  </cols>
  <sheetData>
    <row r="2" spans="2:3" ht="15" customHeight="1" x14ac:dyDescent="0.25">
      <c r="B2" s="57">
        <v>1</v>
      </c>
      <c r="C2" s="59" t="s">
        <v>280</v>
      </c>
    </row>
    <row r="3" spans="2:3" x14ac:dyDescent="0.25">
      <c r="B3" s="57">
        <v>2</v>
      </c>
      <c r="C3" s="58" t="s">
        <v>281</v>
      </c>
    </row>
    <row r="4" spans="2:3" x14ac:dyDescent="0.25">
      <c r="B4" s="57">
        <v>3</v>
      </c>
      <c r="C4" s="57" t="s">
        <v>282</v>
      </c>
    </row>
    <row r="5" spans="2:3" x14ac:dyDescent="0.25">
      <c r="B5" s="57">
        <v>4</v>
      </c>
      <c r="C5" s="58" t="s">
        <v>283</v>
      </c>
    </row>
    <row r="6" spans="2:3" x14ac:dyDescent="0.25">
      <c r="B6" s="57">
        <v>5</v>
      </c>
      <c r="C6" s="57" t="s">
        <v>284</v>
      </c>
    </row>
    <row r="7" spans="2:3" ht="30" x14ac:dyDescent="0.25">
      <c r="B7" s="57">
        <v>6</v>
      </c>
      <c r="C7" s="58" t="s">
        <v>285</v>
      </c>
    </row>
    <row r="8" spans="2:3" ht="75" x14ac:dyDescent="0.25">
      <c r="B8" s="57">
        <v>7</v>
      </c>
      <c r="C8" s="58" t="s">
        <v>286</v>
      </c>
    </row>
    <row r="9" spans="2:3" x14ac:dyDescent="0.25">
      <c r="B9" s="57">
        <v>8</v>
      </c>
      <c r="C9" s="57" t="s">
        <v>287</v>
      </c>
    </row>
    <row r="10" spans="2:3" x14ac:dyDescent="0.25">
      <c r="B10" s="57">
        <v>9</v>
      </c>
      <c r="C10" s="57" t="s">
        <v>288</v>
      </c>
    </row>
    <row r="11" spans="2:3" x14ac:dyDescent="0.25">
      <c r="B11" s="57">
        <v>10</v>
      </c>
      <c r="C11" s="57" t="s">
        <v>289</v>
      </c>
    </row>
    <row r="12" spans="2:3" x14ac:dyDescent="0.25">
      <c r="B12" s="57">
        <v>11</v>
      </c>
      <c r="C12" s="57" t="s">
        <v>290</v>
      </c>
    </row>
    <row r="13" spans="2:3" x14ac:dyDescent="0.25">
      <c r="B13" s="57">
        <v>12</v>
      </c>
      <c r="C13" s="57" t="s">
        <v>291</v>
      </c>
    </row>
    <row r="14" spans="2:3" x14ac:dyDescent="0.25">
      <c r="B14" s="57">
        <v>13</v>
      </c>
      <c r="C14" s="57" t="s">
        <v>292</v>
      </c>
    </row>
    <row r="15" spans="2:3" x14ac:dyDescent="0.25">
      <c r="B15" s="57">
        <v>14</v>
      </c>
      <c r="C15" s="57" t="s">
        <v>282</v>
      </c>
    </row>
    <row r="16" spans="2:3" x14ac:dyDescent="0.25">
      <c r="B16" s="57">
        <v>15</v>
      </c>
      <c r="C16" s="57" t="s">
        <v>295</v>
      </c>
    </row>
    <row r="17" spans="2:3" x14ac:dyDescent="0.25">
      <c r="B17" s="78">
        <v>16</v>
      </c>
      <c r="C17" s="63" t="s">
        <v>296</v>
      </c>
    </row>
    <row r="18" spans="2:3" x14ac:dyDescent="0.25">
      <c r="B18" s="62">
        <v>17</v>
      </c>
      <c r="C18" s="63" t="s">
        <v>297</v>
      </c>
    </row>
    <row r="19" spans="2:3" x14ac:dyDescent="0.25">
      <c r="B19" s="61">
        <v>18</v>
      </c>
      <c r="C19" s="57" t="s">
        <v>298</v>
      </c>
    </row>
    <row r="20" spans="2:3" x14ac:dyDescent="0.25">
      <c r="B20" s="62">
        <v>19</v>
      </c>
      <c r="C20" s="57" t="s">
        <v>334</v>
      </c>
    </row>
    <row r="21" spans="2:3" x14ac:dyDescent="0.25">
      <c r="B21" s="57">
        <v>20</v>
      </c>
      <c r="C21" s="57" t="s">
        <v>299</v>
      </c>
    </row>
    <row r="22" spans="2:3" x14ac:dyDescent="0.25">
      <c r="B22" s="62">
        <v>21</v>
      </c>
      <c r="C22" s="57" t="s">
        <v>298</v>
      </c>
    </row>
    <row r="23" spans="2:3" s="73" customFormat="1" ht="29.25" customHeight="1" x14ac:dyDescent="0.25">
      <c r="B23" s="72">
        <v>22</v>
      </c>
      <c r="C23" s="59" t="s">
        <v>326</v>
      </c>
    </row>
    <row r="24" spans="2:3" s="73" customFormat="1" ht="30.75" customHeight="1" x14ac:dyDescent="0.25">
      <c r="B24" s="74">
        <v>23</v>
      </c>
      <c r="C24" s="59" t="s">
        <v>327</v>
      </c>
    </row>
    <row r="25" spans="2:3" x14ac:dyDescent="0.25">
      <c r="B25" s="57">
        <v>24</v>
      </c>
      <c r="C25" s="57" t="s">
        <v>330</v>
      </c>
    </row>
    <row r="26" spans="2:3" x14ac:dyDescent="0.25">
      <c r="B26" s="62">
        <v>25</v>
      </c>
      <c r="C26" s="57" t="s">
        <v>328</v>
      </c>
    </row>
    <row r="27" spans="2:3" x14ac:dyDescent="0.25">
      <c r="B27" s="74">
        <v>26</v>
      </c>
      <c r="C27" s="57" t="s">
        <v>329</v>
      </c>
    </row>
    <row r="28" spans="2:3" x14ac:dyDescent="0.25">
      <c r="B28" s="62">
        <v>27</v>
      </c>
      <c r="C28" s="57" t="s">
        <v>331</v>
      </c>
    </row>
    <row r="29" spans="2:3" ht="60" x14ac:dyDescent="0.25">
      <c r="B29" s="77">
        <v>28</v>
      </c>
      <c r="C29" s="58" t="s">
        <v>332</v>
      </c>
    </row>
    <row r="30" spans="2:3" x14ac:dyDescent="0.25">
      <c r="B30" s="74">
        <v>29</v>
      </c>
      <c r="C30" s="57" t="s">
        <v>333</v>
      </c>
    </row>
    <row r="31" spans="2:3" ht="30" x14ac:dyDescent="0.25">
      <c r="B31" s="74">
        <v>30</v>
      </c>
      <c r="C31" s="58" t="s">
        <v>335</v>
      </c>
    </row>
    <row r="32" spans="2:3" x14ac:dyDescent="0.25">
      <c r="B32" s="74">
        <v>31</v>
      </c>
      <c r="C32" s="57" t="s">
        <v>336</v>
      </c>
    </row>
    <row r="33" spans="2:4" x14ac:dyDescent="0.25">
      <c r="B33" s="74">
        <v>32</v>
      </c>
      <c r="C33" s="57" t="s">
        <v>337</v>
      </c>
    </row>
    <row r="34" spans="2:4" ht="36.75" customHeight="1" x14ac:dyDescent="0.25">
      <c r="B34" s="74">
        <v>33</v>
      </c>
      <c r="C34" s="63" t="s">
        <v>338</v>
      </c>
    </row>
    <row r="35" spans="2:4" x14ac:dyDescent="0.25">
      <c r="B35" s="72">
        <v>34</v>
      </c>
      <c r="C35" s="57" t="s">
        <v>346</v>
      </c>
    </row>
    <row r="36" spans="2:4" ht="60" x14ac:dyDescent="0.25">
      <c r="B36" s="72">
        <v>35</v>
      </c>
      <c r="C36" s="58" t="s">
        <v>349</v>
      </c>
    </row>
    <row r="37" spans="2:4" x14ac:dyDescent="0.25">
      <c r="B37" s="57">
        <v>36</v>
      </c>
      <c r="C37" s="58" t="s">
        <v>360</v>
      </c>
    </row>
    <row r="38" spans="2:4" x14ac:dyDescent="0.25">
      <c r="B38" s="57">
        <f t="shared" ref="B38:B44" si="0">B37+1</f>
        <v>37</v>
      </c>
      <c r="C38" s="57" t="s">
        <v>356</v>
      </c>
    </row>
    <row r="39" spans="2:4" x14ac:dyDescent="0.25">
      <c r="B39" s="57">
        <f t="shared" si="0"/>
        <v>38</v>
      </c>
      <c r="C39" s="57" t="s">
        <v>357</v>
      </c>
    </row>
    <row r="40" spans="2:4" x14ac:dyDescent="0.25">
      <c r="B40" s="57">
        <f t="shared" si="0"/>
        <v>39</v>
      </c>
      <c r="C40" s="57" t="s">
        <v>358</v>
      </c>
    </row>
    <row r="41" spans="2:4" x14ac:dyDescent="0.25">
      <c r="B41" s="57">
        <f t="shared" si="0"/>
        <v>40</v>
      </c>
      <c r="C41" s="57" t="s">
        <v>359</v>
      </c>
    </row>
    <row r="42" spans="2:4" ht="30.75" thickBot="1" x14ac:dyDescent="0.3">
      <c r="B42" s="81">
        <f t="shared" si="0"/>
        <v>41</v>
      </c>
      <c r="C42" s="82" t="s">
        <v>361</v>
      </c>
    </row>
    <row r="43" spans="2:4" ht="30" x14ac:dyDescent="0.25">
      <c r="B43" s="85">
        <f t="shared" si="0"/>
        <v>42</v>
      </c>
      <c r="C43" s="90" t="s">
        <v>366</v>
      </c>
      <c r="D43" t="s">
        <v>367</v>
      </c>
    </row>
    <row r="44" spans="2:4" ht="15.75" thickBot="1" x14ac:dyDescent="0.3">
      <c r="B44" s="87">
        <f t="shared" si="0"/>
        <v>43</v>
      </c>
      <c r="C44" s="89" t="s">
        <v>362</v>
      </c>
    </row>
    <row r="45" spans="2:4" ht="15.75" thickBot="1" x14ac:dyDescent="0.3">
      <c r="B45" s="83">
        <f t="shared" ref="B45:B54" si="1">B44+1</f>
        <v>44</v>
      </c>
      <c r="C45" s="84" t="s">
        <v>363</v>
      </c>
    </row>
    <row r="46" spans="2:4" ht="30" x14ac:dyDescent="0.25">
      <c r="B46" s="85">
        <f t="shared" si="1"/>
        <v>45</v>
      </c>
      <c r="C46" s="86" t="s">
        <v>364</v>
      </c>
    </row>
    <row r="47" spans="2:4" ht="15.75" thickBot="1" x14ac:dyDescent="0.3">
      <c r="B47" s="87">
        <f t="shared" si="1"/>
        <v>46</v>
      </c>
      <c r="C47" s="88" t="s">
        <v>365</v>
      </c>
    </row>
    <row r="48" spans="2:4" x14ac:dyDescent="0.25">
      <c r="B48" s="91">
        <f t="shared" si="1"/>
        <v>47</v>
      </c>
      <c r="C48" s="92" t="s">
        <v>368</v>
      </c>
    </row>
    <row r="49" spans="2:4" x14ac:dyDescent="0.25">
      <c r="B49" s="91">
        <f t="shared" si="1"/>
        <v>48</v>
      </c>
      <c r="C49" s="92" t="s">
        <v>369</v>
      </c>
    </row>
    <row r="50" spans="2:4" x14ac:dyDescent="0.25">
      <c r="B50" s="91">
        <f t="shared" si="1"/>
        <v>49</v>
      </c>
      <c r="C50" s="92" t="s">
        <v>371</v>
      </c>
      <c r="D50" t="s">
        <v>370</v>
      </c>
    </row>
    <row r="51" spans="2:4" ht="30" x14ac:dyDescent="0.25">
      <c r="B51" s="93">
        <f t="shared" si="1"/>
        <v>50</v>
      </c>
      <c r="C51" s="94" t="s">
        <v>372</v>
      </c>
    </row>
    <row r="52" spans="2:4" x14ac:dyDescent="0.25">
      <c r="B52" s="93">
        <f t="shared" si="1"/>
        <v>51</v>
      </c>
      <c r="C52" s="95" t="s">
        <v>374</v>
      </c>
      <c r="D52" t="s">
        <v>375</v>
      </c>
    </row>
    <row r="53" spans="2:4" x14ac:dyDescent="0.25">
      <c r="B53" s="93">
        <f t="shared" si="1"/>
        <v>52</v>
      </c>
      <c r="C53" s="95" t="s">
        <v>377</v>
      </c>
      <c r="D53" t="s">
        <v>378</v>
      </c>
    </row>
    <row r="54" spans="2:4" ht="45" x14ac:dyDescent="0.25">
      <c r="B54" s="93">
        <f t="shared" si="1"/>
        <v>53</v>
      </c>
      <c r="C54" s="63" t="s">
        <v>382</v>
      </c>
      <c r="D54" t="s">
        <v>381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6" t="s">
        <v>300</v>
      </c>
      <c r="C2" s="266"/>
      <c r="D2" s="266"/>
    </row>
    <row r="3" spans="1:12" x14ac:dyDescent="0.25">
      <c r="D3" s="67"/>
      <c r="E3" s="67"/>
      <c r="F3" s="67"/>
      <c r="G3" s="67"/>
      <c r="H3" s="67"/>
      <c r="I3" s="67"/>
    </row>
    <row r="4" spans="1:12" x14ac:dyDescent="0.25">
      <c r="A4" s="66" t="s">
        <v>65</v>
      </c>
      <c r="B4" s="68" t="s">
        <v>301</v>
      </c>
      <c r="C4" s="267" t="s">
        <v>302</v>
      </c>
      <c r="D4" s="267"/>
      <c r="E4" s="267"/>
      <c r="F4" s="68"/>
      <c r="G4" s="268" t="s">
        <v>303</v>
      </c>
      <c r="H4" s="268"/>
      <c r="I4" s="268"/>
      <c r="J4" s="269" t="s">
        <v>304</v>
      </c>
      <c r="K4" s="269"/>
      <c r="L4" s="269"/>
    </row>
    <row r="5" spans="1:12" x14ac:dyDescent="0.25">
      <c r="A5" s="66"/>
      <c r="B5" s="68"/>
      <c r="C5" s="68" t="s">
        <v>305</v>
      </c>
      <c r="D5" s="68" t="s">
        <v>306</v>
      </c>
      <c r="E5" s="68" t="s">
        <v>307</v>
      </c>
      <c r="F5" s="68"/>
      <c r="G5" s="68" t="s">
        <v>305</v>
      </c>
      <c r="H5" s="68" t="s">
        <v>306</v>
      </c>
      <c r="I5" s="68" t="s">
        <v>307</v>
      </c>
      <c r="J5" s="68" t="s">
        <v>305</v>
      </c>
      <c r="K5" s="68" t="s">
        <v>306</v>
      </c>
      <c r="L5" s="68" t="s">
        <v>307</v>
      </c>
    </row>
    <row r="6" spans="1:12" x14ac:dyDescent="0.25">
      <c r="B6" s="54" t="s">
        <v>308</v>
      </c>
      <c r="C6" s="54"/>
      <c r="D6" s="54"/>
      <c r="E6" s="54">
        <f>C6*D6</f>
        <v>0</v>
      </c>
      <c r="F6" s="54" t="s">
        <v>325</v>
      </c>
      <c r="G6" s="54"/>
      <c r="H6" s="54"/>
      <c r="I6" s="54">
        <f>G6*H6</f>
        <v>0</v>
      </c>
      <c r="J6" s="54"/>
      <c r="K6" s="54"/>
      <c r="L6" s="54">
        <f>J6*K6</f>
        <v>0</v>
      </c>
    </row>
    <row r="7" spans="1:12" x14ac:dyDescent="0.25">
      <c r="B7" s="54"/>
      <c r="C7" s="54"/>
      <c r="D7" s="54"/>
      <c r="E7" s="54">
        <f t="shared" ref="E7:E41" si="0">C7*D7</f>
        <v>0</v>
      </c>
      <c r="F7" s="54" t="s">
        <v>325</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309</v>
      </c>
      <c r="G9" s="54"/>
      <c r="H9" s="54"/>
      <c r="I9" s="54">
        <f t="shared" si="1"/>
        <v>0</v>
      </c>
      <c r="J9" s="54"/>
      <c r="K9" s="54"/>
      <c r="L9" s="54">
        <f t="shared" si="2"/>
        <v>0</v>
      </c>
    </row>
    <row r="10" spans="1:12" x14ac:dyDescent="0.25">
      <c r="B10" s="54" t="s">
        <v>310</v>
      </c>
      <c r="C10" s="54"/>
      <c r="D10" s="54"/>
      <c r="E10" s="54">
        <f t="shared" si="0"/>
        <v>0</v>
      </c>
      <c r="F10" s="54" t="s">
        <v>309</v>
      </c>
      <c r="G10" s="54"/>
      <c r="H10" s="54"/>
      <c r="I10" s="54">
        <f t="shared" si="1"/>
        <v>0</v>
      </c>
      <c r="J10" s="54"/>
      <c r="K10" s="54"/>
      <c r="L10" s="54">
        <f t="shared" si="2"/>
        <v>0</v>
      </c>
    </row>
    <row r="11" spans="1:12" x14ac:dyDescent="0.25">
      <c r="B11" s="54"/>
      <c r="C11" s="54"/>
      <c r="D11" s="54"/>
      <c r="E11" s="54">
        <f t="shared" si="0"/>
        <v>0</v>
      </c>
      <c r="F11" s="54" t="s">
        <v>311</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312</v>
      </c>
      <c r="C14" s="54"/>
      <c r="D14" s="54"/>
      <c r="E14" s="54">
        <f t="shared" si="0"/>
        <v>0</v>
      </c>
      <c r="F14" s="54" t="s">
        <v>309</v>
      </c>
      <c r="G14" s="54"/>
      <c r="H14" s="54"/>
      <c r="I14" s="54">
        <f t="shared" si="1"/>
        <v>0</v>
      </c>
      <c r="J14" s="54"/>
      <c r="K14" s="54"/>
      <c r="L14" s="54">
        <f t="shared" si="2"/>
        <v>0</v>
      </c>
    </row>
    <row r="15" spans="1:12" x14ac:dyDescent="0.25">
      <c r="B15" s="54"/>
      <c r="C15" s="54"/>
      <c r="D15" s="54"/>
      <c r="E15" s="54">
        <f t="shared" si="0"/>
        <v>0</v>
      </c>
      <c r="F15" s="54" t="s">
        <v>311</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313</v>
      </c>
      <c r="C18" s="54"/>
      <c r="D18" s="54"/>
      <c r="E18" s="54">
        <f t="shared" si="0"/>
        <v>0</v>
      </c>
      <c r="F18" s="54" t="s">
        <v>309</v>
      </c>
      <c r="G18" s="54"/>
      <c r="H18" s="54"/>
      <c r="I18" s="54">
        <f t="shared" si="1"/>
        <v>0</v>
      </c>
      <c r="J18" s="54"/>
      <c r="K18" s="54"/>
      <c r="L18" s="54">
        <f t="shared" si="2"/>
        <v>0</v>
      </c>
    </row>
    <row r="19" spans="2:12" x14ac:dyDescent="0.25">
      <c r="B19" s="54"/>
      <c r="C19" s="54"/>
      <c r="D19" s="54"/>
      <c r="E19" s="54">
        <f t="shared" si="0"/>
        <v>0</v>
      </c>
      <c r="F19" s="54" t="s">
        <v>311</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314</v>
      </c>
      <c r="C21" s="54"/>
      <c r="D21" s="54"/>
      <c r="E21" s="54">
        <f t="shared" si="0"/>
        <v>0</v>
      </c>
      <c r="F21" s="54" t="s">
        <v>309</v>
      </c>
      <c r="G21" s="54"/>
      <c r="H21" s="54"/>
      <c r="I21" s="54">
        <f t="shared" si="1"/>
        <v>0</v>
      </c>
      <c r="J21" s="54"/>
      <c r="K21" s="54"/>
      <c r="L21" s="54">
        <f t="shared" si="2"/>
        <v>0</v>
      </c>
    </row>
    <row r="22" spans="2:12" x14ac:dyDescent="0.25">
      <c r="B22" s="54"/>
      <c r="C22" s="54"/>
      <c r="D22" s="54"/>
      <c r="E22" s="54">
        <f t="shared" si="0"/>
        <v>0</v>
      </c>
      <c r="F22" s="54" t="s">
        <v>311</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315</v>
      </c>
      <c r="C24" s="54"/>
      <c r="D24" s="54"/>
      <c r="E24" s="54">
        <f t="shared" si="0"/>
        <v>0</v>
      </c>
      <c r="F24" s="54" t="s">
        <v>316</v>
      </c>
      <c r="G24" s="54"/>
      <c r="H24" s="54"/>
      <c r="I24" s="54">
        <f t="shared" si="1"/>
        <v>0</v>
      </c>
      <c r="J24" s="54"/>
      <c r="K24" s="54"/>
      <c r="L24" s="54">
        <f t="shared" si="2"/>
        <v>0</v>
      </c>
    </row>
    <row r="25" spans="2:12" x14ac:dyDescent="0.25">
      <c r="B25" s="54"/>
      <c r="C25" s="54"/>
      <c r="D25" s="54"/>
      <c r="E25" s="54">
        <f>C25*D25</f>
        <v>0</v>
      </c>
      <c r="F25" s="54" t="s">
        <v>316</v>
      </c>
      <c r="G25" s="54"/>
      <c r="H25" s="54"/>
      <c r="I25" s="54">
        <f>G25*H25</f>
        <v>0</v>
      </c>
      <c r="J25" s="54"/>
      <c r="K25" s="54"/>
      <c r="L25" s="54">
        <f>J25*K25</f>
        <v>0</v>
      </c>
    </row>
    <row r="26" spans="2:12" x14ac:dyDescent="0.25">
      <c r="B26" s="54"/>
      <c r="C26" s="54"/>
      <c r="D26" s="54"/>
      <c r="E26" s="54">
        <f>C26*D26</f>
        <v>0</v>
      </c>
      <c r="F26" s="54" t="s">
        <v>316</v>
      </c>
      <c r="G26" s="54"/>
      <c r="H26" s="54"/>
      <c r="I26" s="54">
        <f>G26*H26</f>
        <v>0</v>
      </c>
      <c r="J26" s="54"/>
      <c r="K26" s="54"/>
      <c r="L26" s="54">
        <f>J26*K26</f>
        <v>0</v>
      </c>
    </row>
    <row r="27" spans="2:12" x14ac:dyDescent="0.25">
      <c r="B27" s="54"/>
      <c r="C27" s="54"/>
      <c r="D27" s="54"/>
      <c r="E27" s="54">
        <f>C27*D27</f>
        <v>0</v>
      </c>
      <c r="F27" s="54" t="s">
        <v>316</v>
      </c>
      <c r="G27" s="54"/>
      <c r="H27" s="54"/>
      <c r="I27" s="54">
        <f>G27*H27</f>
        <v>0</v>
      </c>
      <c r="J27" s="54"/>
      <c r="K27" s="54"/>
      <c r="L27" s="54">
        <f>J27*K27</f>
        <v>0</v>
      </c>
    </row>
    <row r="28" spans="2:12" x14ac:dyDescent="0.25">
      <c r="B28" s="54" t="s">
        <v>317</v>
      </c>
      <c r="C28" s="54"/>
      <c r="D28" s="54"/>
      <c r="E28" s="54">
        <f t="shared" si="0"/>
        <v>0</v>
      </c>
      <c r="F28" s="54" t="s">
        <v>316</v>
      </c>
      <c r="G28" s="54"/>
      <c r="H28" s="54"/>
      <c r="I28" s="54">
        <f t="shared" si="1"/>
        <v>0</v>
      </c>
      <c r="J28" s="54"/>
      <c r="K28" s="54"/>
      <c r="L28" s="54">
        <f t="shared" si="2"/>
        <v>0</v>
      </c>
    </row>
    <row r="29" spans="2:12" x14ac:dyDescent="0.25">
      <c r="B29" s="54" t="s">
        <v>318</v>
      </c>
      <c r="C29" s="54"/>
      <c r="D29" s="54"/>
      <c r="E29" s="54">
        <f t="shared" si="0"/>
        <v>0</v>
      </c>
      <c r="F29" s="54" t="s">
        <v>316</v>
      </c>
      <c r="G29" s="54"/>
      <c r="H29" s="54"/>
      <c r="I29" s="54">
        <f t="shared" si="1"/>
        <v>0</v>
      </c>
      <c r="J29" s="54"/>
      <c r="K29" s="54"/>
      <c r="L29" s="54">
        <f t="shared" si="2"/>
        <v>0</v>
      </c>
    </row>
    <row r="30" spans="2:12" x14ac:dyDescent="0.25">
      <c r="B30" s="54" t="s">
        <v>322</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319</v>
      </c>
      <c r="C33" s="54"/>
      <c r="D33" s="54"/>
      <c r="E33" s="54">
        <f t="shared" si="0"/>
        <v>0</v>
      </c>
      <c r="F33" s="54"/>
      <c r="G33" s="54"/>
      <c r="H33" s="54"/>
      <c r="I33" s="54">
        <f t="shared" si="1"/>
        <v>0</v>
      </c>
      <c r="J33" s="54"/>
      <c r="K33" s="54"/>
      <c r="L33" s="54">
        <f t="shared" si="2"/>
        <v>0</v>
      </c>
    </row>
    <row r="34" spans="2:12" x14ac:dyDescent="0.25">
      <c r="B34" s="54" t="s">
        <v>323</v>
      </c>
      <c r="C34" s="54"/>
      <c r="D34" s="54"/>
      <c r="E34" s="54">
        <f t="shared" si="0"/>
        <v>0</v>
      </c>
      <c r="F34" s="54"/>
      <c r="G34" s="54"/>
      <c r="H34" s="54"/>
      <c r="I34" s="54">
        <f t="shared" si="1"/>
        <v>0</v>
      </c>
      <c r="J34" s="54"/>
      <c r="K34" s="54"/>
      <c r="L34" s="54">
        <f t="shared" si="2"/>
        <v>0</v>
      </c>
    </row>
    <row r="35" spans="2:12" x14ac:dyDescent="0.25">
      <c r="B35" s="54" t="s">
        <v>320</v>
      </c>
      <c r="C35" s="54"/>
      <c r="D35" s="54"/>
      <c r="E35" s="54">
        <f t="shared" si="0"/>
        <v>0</v>
      </c>
      <c r="F35" s="54"/>
      <c r="G35" s="54"/>
      <c r="H35" s="54"/>
      <c r="I35" s="54">
        <f t="shared" si="1"/>
        <v>0</v>
      </c>
      <c r="J35" s="54"/>
      <c r="K35" s="54"/>
      <c r="L35" s="54">
        <f t="shared" si="2"/>
        <v>0</v>
      </c>
    </row>
    <row r="36" spans="2:12" x14ac:dyDescent="0.25">
      <c r="B36" s="54" t="s">
        <v>321</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324</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146</v>
      </c>
      <c r="C42" s="54"/>
      <c r="D42" s="54">
        <f>E42*10.764</f>
        <v>0</v>
      </c>
      <c r="E42" s="71">
        <f>SUM(E6:E41)</f>
        <v>0</v>
      </c>
      <c r="F42" s="54"/>
      <c r="G42" s="54"/>
      <c r="H42" s="54">
        <f>I42*10.764</f>
        <v>0</v>
      </c>
      <c r="I42" s="70">
        <f>SUM(I6:I41)</f>
        <v>0</v>
      </c>
      <c r="J42" s="54"/>
      <c r="K42" s="54">
        <f>L42*10.764</f>
        <v>0</v>
      </c>
      <c r="L42" s="69">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2025-09-12T12:41:31Z</cp:lastPrinted>
  <dcterms:created xsi:type="dcterms:W3CDTF">2019-07-16T09:29:46Z</dcterms:created>
  <dcterms:modified xsi:type="dcterms:W3CDTF">2025-09-12T12:44:26Z</dcterms:modified>
</cp:coreProperties>
</file>