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15-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Report!$A$1:$H$573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9" i="1" l="1"/>
  <c r="B152" i="1" l="1"/>
  <c r="H152" i="1"/>
  <c r="J156" i="1" l="1"/>
  <c r="C155" i="1" s="1"/>
  <c r="J154" i="1"/>
  <c r="J151" i="1"/>
  <c r="J153" i="1" s="1"/>
  <c r="D164" i="1"/>
  <c r="D160" i="1"/>
  <c r="D161" i="1"/>
  <c r="D163" i="1"/>
  <c r="D158" i="1"/>
  <c r="D162" i="1"/>
  <c r="D159" i="1"/>
  <c r="J155" i="1"/>
  <c r="D157" i="1"/>
  <c r="J161" i="1"/>
  <c r="J157" i="1"/>
  <c r="J158" i="1" s="1"/>
  <c r="J163" i="1" s="1"/>
  <c r="J164" i="1" s="1"/>
  <c r="C156" i="1" s="1"/>
  <c r="J162" i="1"/>
  <c r="J159" i="1"/>
  <c r="J160" i="1"/>
  <c r="J370" i="1"/>
  <c r="E360" i="1"/>
  <c r="E328" i="1"/>
  <c r="E303" i="1"/>
  <c r="G292" i="1"/>
  <c r="G291" i="1"/>
  <c r="G276" i="1"/>
  <c r="D275" i="1"/>
  <c r="N275" i="1"/>
  <c r="L275" i="1"/>
  <c r="K275" i="1"/>
  <c r="I244" i="1"/>
  <c r="E155" i="1" l="1"/>
  <c r="D156" i="1"/>
  <c r="G155" i="1"/>
  <c r="D155" i="1"/>
  <c r="O275" i="1"/>
  <c r="G274" i="1"/>
  <c r="G290" i="1"/>
  <c r="G277" i="1"/>
  <c r="I152" i="1" l="1"/>
  <c r="I153" i="1" s="1"/>
  <c r="J152" i="1"/>
  <c r="E393" i="1"/>
  <c r="D393" i="1"/>
  <c r="E392" i="1"/>
  <c r="F392" i="1" s="1"/>
  <c r="H392" i="1" s="1"/>
  <c r="D392" i="1"/>
  <c r="E391" i="1"/>
  <c r="D391" i="1"/>
  <c r="E390" i="1"/>
  <c r="D390" i="1"/>
  <c r="E389" i="1"/>
  <c r="D389" i="1"/>
  <c r="E388" i="1"/>
  <c r="D388" i="1"/>
  <c r="D386" i="1"/>
  <c r="F386" i="1" s="1"/>
  <c r="H386" i="1" s="1"/>
  <c r="D385" i="1"/>
  <c r="F385" i="1" s="1"/>
  <c r="H385" i="1" s="1"/>
  <c r="D384" i="1"/>
  <c r="F384" i="1" s="1"/>
  <c r="H384" i="1" s="1"/>
  <c r="D383" i="1"/>
  <c r="F383" i="1" s="1"/>
  <c r="H383" i="1" s="1"/>
  <c r="D382" i="1"/>
  <c r="I384" i="1"/>
  <c r="I382" i="1"/>
  <c r="A389" i="1"/>
  <c r="A390" i="1" s="1"/>
  <c r="A391" i="1" s="1"/>
  <c r="A392" i="1" s="1"/>
  <c r="A393" i="1" s="1"/>
  <c r="E379" i="1"/>
  <c r="D379" i="1"/>
  <c r="E378" i="1"/>
  <c r="D378" i="1"/>
  <c r="E377" i="1"/>
  <c r="D377" i="1"/>
  <c r="E376" i="1"/>
  <c r="D376" i="1"/>
  <c r="E375" i="1"/>
  <c r="D375" i="1"/>
  <c r="E374" i="1"/>
  <c r="D374" i="1"/>
  <c r="E373" i="1"/>
  <c r="D373" i="1"/>
  <c r="E372" i="1"/>
  <c r="D372" i="1"/>
  <c r="E371" i="1"/>
  <c r="D371" i="1"/>
  <c r="E369" i="1"/>
  <c r="F369" i="1" s="1"/>
  <c r="H369" i="1" s="1"/>
  <c r="J369" i="1" s="1"/>
  <c r="D369" i="1"/>
  <c r="E368" i="1"/>
  <c r="D368" i="1"/>
  <c r="D367" i="1"/>
  <c r="F367" i="1" s="1"/>
  <c r="H367" i="1" s="1"/>
  <c r="J367" i="1" s="1"/>
  <c r="D366" i="1"/>
  <c r="F366" i="1" s="1"/>
  <c r="H366" i="1" s="1"/>
  <c r="J366" i="1" s="1"/>
  <c r="D365" i="1"/>
  <c r="F365" i="1" s="1"/>
  <c r="H365" i="1" s="1"/>
  <c r="J365" i="1" s="1"/>
  <c r="D364" i="1"/>
  <c r="F364" i="1" s="1"/>
  <c r="H364" i="1" s="1"/>
  <c r="J364" i="1" s="1"/>
  <c r="D363" i="1"/>
  <c r="F363" i="1" s="1"/>
  <c r="H363" i="1" s="1"/>
  <c r="J363" i="1" s="1"/>
  <c r="I366" i="1"/>
  <c r="I368" i="1"/>
  <c r="I363" i="1"/>
  <c r="A383" i="1"/>
  <c r="A384" i="1" s="1"/>
  <c r="A385" i="1" s="1"/>
  <c r="A386" i="1" s="1"/>
  <c r="F382" i="1"/>
  <c r="H382" i="1" s="1"/>
  <c r="A372" i="1"/>
  <c r="A373" i="1" s="1"/>
  <c r="A374" i="1" s="1"/>
  <c r="A375" i="1" s="1"/>
  <c r="A376" i="1" s="1"/>
  <c r="A377" i="1" s="1"/>
  <c r="A378" i="1" s="1"/>
  <c r="A379" i="1" s="1"/>
  <c r="D360" i="1"/>
  <c r="F360" i="1" s="1"/>
  <c r="H360" i="1" s="1"/>
  <c r="E359" i="1"/>
  <c r="D359" i="1"/>
  <c r="E358" i="1"/>
  <c r="D358" i="1"/>
  <c r="E357" i="1"/>
  <c r="D357" i="1"/>
  <c r="E356" i="1"/>
  <c r="D356" i="1"/>
  <c r="E355" i="1"/>
  <c r="D355" i="1"/>
  <c r="J360" i="1"/>
  <c r="I360" i="1"/>
  <c r="J351" i="1"/>
  <c r="I351" i="1"/>
  <c r="E351" i="1"/>
  <c r="D351" i="1"/>
  <c r="E350" i="1"/>
  <c r="D350" i="1"/>
  <c r="E349" i="1"/>
  <c r="D349" i="1"/>
  <c r="E348" i="1"/>
  <c r="D348" i="1"/>
  <c r="E347" i="1"/>
  <c r="D347" i="1"/>
  <c r="E346" i="1"/>
  <c r="D346" i="1"/>
  <c r="E345" i="1"/>
  <c r="D345" i="1"/>
  <c r="E340" i="1"/>
  <c r="D340" i="1"/>
  <c r="E339" i="1"/>
  <c r="D339" i="1"/>
  <c r="E338" i="1"/>
  <c r="D338" i="1"/>
  <c r="E337" i="1"/>
  <c r="D337" i="1"/>
  <c r="E336" i="1"/>
  <c r="D336" i="1"/>
  <c r="E335" i="1"/>
  <c r="D335" i="1"/>
  <c r="E333" i="1"/>
  <c r="D333" i="1"/>
  <c r="E332" i="1"/>
  <c r="D332" i="1"/>
  <c r="D331" i="1"/>
  <c r="A364" i="1"/>
  <c r="A365" i="1" s="1"/>
  <c r="A366" i="1" s="1"/>
  <c r="A367" i="1" s="1"/>
  <c r="A368" i="1" s="1"/>
  <c r="A369" i="1" s="1"/>
  <c r="A356" i="1"/>
  <c r="A357" i="1" s="1"/>
  <c r="A358" i="1" s="1"/>
  <c r="A359" i="1" s="1"/>
  <c r="A360" i="1" s="1"/>
  <c r="A346" i="1"/>
  <c r="A347" i="1" s="1"/>
  <c r="A348" i="1" s="1"/>
  <c r="A349" i="1" s="1"/>
  <c r="A350" i="1" s="1"/>
  <c r="A351" i="1" s="1"/>
  <c r="D328" i="1"/>
  <c r="F328" i="1" s="1"/>
  <c r="H328" i="1" s="1"/>
  <c r="E327" i="1"/>
  <c r="D327" i="1"/>
  <c r="E326" i="1"/>
  <c r="D326" i="1"/>
  <c r="E325" i="1"/>
  <c r="D325" i="1"/>
  <c r="E324" i="1"/>
  <c r="D324" i="1"/>
  <c r="E323" i="1"/>
  <c r="D323" i="1"/>
  <c r="E322" i="1"/>
  <c r="D322" i="1"/>
  <c r="D320" i="1"/>
  <c r="F320" i="1" s="1"/>
  <c r="H320" i="1" s="1"/>
  <c r="E319" i="1"/>
  <c r="D319" i="1"/>
  <c r="E318" i="1"/>
  <c r="D318" i="1"/>
  <c r="E317" i="1"/>
  <c r="D317" i="1"/>
  <c r="E313" i="1"/>
  <c r="D313" i="1"/>
  <c r="E312" i="1"/>
  <c r="D312" i="1"/>
  <c r="E311" i="1"/>
  <c r="D311" i="1"/>
  <c r="E310" i="1"/>
  <c r="D310" i="1"/>
  <c r="E309" i="1"/>
  <c r="D309" i="1"/>
  <c r="E308" i="1"/>
  <c r="D308" i="1"/>
  <c r="E307" i="1"/>
  <c r="D307" i="1"/>
  <c r="E305" i="1"/>
  <c r="D305" i="1"/>
  <c r="E304" i="1"/>
  <c r="D304" i="1"/>
  <c r="D303" i="1"/>
  <c r="F303" i="1" s="1"/>
  <c r="H303" i="1" s="1"/>
  <c r="D302" i="1"/>
  <c r="F302" i="1" s="1"/>
  <c r="H302" i="1" s="1"/>
  <c r="J309" i="1"/>
  <c r="I309" i="1"/>
  <c r="J307" i="1"/>
  <c r="I307" i="1"/>
  <c r="J305" i="1"/>
  <c r="I305" i="1"/>
  <c r="I302" i="1"/>
  <c r="A303" i="1"/>
  <c r="A304" i="1" s="1"/>
  <c r="A305" i="1" s="1"/>
  <c r="A336" i="1"/>
  <c r="A337" i="1" s="1"/>
  <c r="A338" i="1" s="1"/>
  <c r="A339" i="1" s="1"/>
  <c r="A340" i="1" s="1"/>
  <c r="A332" i="1"/>
  <c r="A333" i="1" s="1"/>
  <c r="A323" i="1"/>
  <c r="A324" i="1" s="1"/>
  <c r="A325" i="1" s="1"/>
  <c r="A326" i="1" s="1"/>
  <c r="A327" i="1" s="1"/>
  <c r="A328" i="1" s="1"/>
  <c r="A318" i="1"/>
  <c r="A319" i="1" s="1"/>
  <c r="A320" i="1" s="1"/>
  <c r="A308" i="1"/>
  <c r="A309" i="1" s="1"/>
  <c r="A310" i="1" s="1"/>
  <c r="A311" i="1" s="1"/>
  <c r="A312" i="1" s="1"/>
  <c r="A313" i="1" s="1"/>
  <c r="E299" i="1"/>
  <c r="D299" i="1"/>
  <c r="E298" i="1"/>
  <c r="D298" i="1"/>
  <c r="E297" i="1"/>
  <c r="D297" i="1"/>
  <c r="E296" i="1"/>
  <c r="D296" i="1"/>
  <c r="E295" i="1"/>
  <c r="D295" i="1"/>
  <c r="E293" i="1"/>
  <c r="D293" i="1"/>
  <c r="E292" i="1"/>
  <c r="D292" i="1"/>
  <c r="E291" i="1"/>
  <c r="D291" i="1"/>
  <c r="E290" i="1"/>
  <c r="D290" i="1"/>
  <c r="E289" i="1"/>
  <c r="D289" i="1"/>
  <c r="I289" i="1"/>
  <c r="J289" i="1"/>
  <c r="J293" i="1"/>
  <c r="I293" i="1"/>
  <c r="J291" i="1"/>
  <c r="I276" i="1"/>
  <c r="I291" i="1"/>
  <c r="A290" i="1"/>
  <c r="A291" i="1" s="1"/>
  <c r="A292" i="1" s="1"/>
  <c r="A293" i="1" s="1"/>
  <c r="E284" i="1"/>
  <c r="D284" i="1"/>
  <c r="E283" i="1"/>
  <c r="D283" i="1"/>
  <c r="E282" i="1"/>
  <c r="D282" i="1"/>
  <c r="E281" i="1"/>
  <c r="D281" i="1"/>
  <c r="E280" i="1"/>
  <c r="D280" i="1"/>
  <c r="E278" i="1"/>
  <c r="D278" i="1"/>
  <c r="E277" i="1"/>
  <c r="D277" i="1"/>
  <c r="E276" i="1"/>
  <c r="D276" i="1"/>
  <c r="E275" i="1"/>
  <c r="E274" i="1"/>
  <c r="D274" i="1"/>
  <c r="A281" i="1"/>
  <c r="A282" i="1" s="1"/>
  <c r="A283" i="1" s="1"/>
  <c r="A284" i="1" s="1"/>
  <c r="J276" i="1"/>
  <c r="J274" i="1"/>
  <c r="I274" i="1"/>
  <c r="A296" i="1"/>
  <c r="A297" i="1" s="1"/>
  <c r="A298" i="1" s="1"/>
  <c r="A299" i="1" s="1"/>
  <c r="D259" i="1"/>
  <c r="F259" i="1" s="1"/>
  <c r="H259" i="1" s="1"/>
  <c r="D258" i="1"/>
  <c r="F258" i="1" s="1"/>
  <c r="H258" i="1" s="1"/>
  <c r="D257" i="1"/>
  <c r="F257" i="1" s="1"/>
  <c r="H257" i="1" s="1"/>
  <c r="D256" i="1"/>
  <c r="F256" i="1" s="1"/>
  <c r="H256" i="1" s="1"/>
  <c r="D255" i="1"/>
  <c r="F255" i="1" s="1"/>
  <c r="H255" i="1" s="1"/>
  <c r="D254" i="1"/>
  <c r="F254" i="1" s="1"/>
  <c r="H254" i="1" s="1"/>
  <c r="D253" i="1"/>
  <c r="F253" i="1" s="1"/>
  <c r="H253" i="1" s="1"/>
  <c r="D252" i="1"/>
  <c r="F252" i="1" s="1"/>
  <c r="H252" i="1" s="1"/>
  <c r="D251" i="1"/>
  <c r="F251" i="1" s="1"/>
  <c r="H251" i="1" s="1"/>
  <c r="D250" i="1"/>
  <c r="F250" i="1" s="1"/>
  <c r="H250" i="1" s="1"/>
  <c r="D249" i="1"/>
  <c r="F249" i="1" s="1"/>
  <c r="H249" i="1" s="1"/>
  <c r="D248" i="1"/>
  <c r="F248" i="1" s="1"/>
  <c r="H248" i="1" s="1"/>
  <c r="D247" i="1"/>
  <c r="I256" i="1"/>
  <c r="I251" i="1"/>
  <c r="I247" i="1"/>
  <c r="F265" i="1"/>
  <c r="H265" i="1" s="1"/>
  <c r="F264" i="1"/>
  <c r="H264" i="1" s="1"/>
  <c r="F263" i="1"/>
  <c r="H263" i="1" s="1"/>
  <c r="F262" i="1"/>
  <c r="H262" i="1" s="1"/>
  <c r="A262" i="1"/>
  <c r="A263" i="1" s="1"/>
  <c r="A264" i="1" s="1"/>
  <c r="A265" i="1" s="1"/>
  <c r="F261" i="1"/>
  <c r="H261" i="1" s="1"/>
  <c r="A248" i="1"/>
  <c r="A249" i="1" s="1"/>
  <c r="A250" i="1" s="1"/>
  <c r="A251" i="1" s="1"/>
  <c r="A252" i="1" s="1"/>
  <c r="A253" i="1" s="1"/>
  <c r="A254" i="1" s="1"/>
  <c r="A255" i="1" s="1"/>
  <c r="A256" i="1" s="1"/>
  <c r="A257" i="1" s="1"/>
  <c r="A258" i="1" s="1"/>
  <c r="A259" i="1" s="1"/>
  <c r="D245" i="1"/>
  <c r="F245" i="1" s="1"/>
  <c r="H245" i="1" s="1"/>
  <c r="D244" i="1"/>
  <c r="F244" i="1" s="1"/>
  <c r="H244" i="1" s="1"/>
  <c r="D243" i="1"/>
  <c r="F243" i="1" s="1"/>
  <c r="H243" i="1" s="1"/>
  <c r="D242" i="1"/>
  <c r="F242" i="1" s="1"/>
  <c r="H242" i="1" s="1"/>
  <c r="D241" i="1"/>
  <c r="F241" i="1" s="1"/>
  <c r="H241" i="1" s="1"/>
  <c r="D240" i="1"/>
  <c r="F240" i="1" s="1"/>
  <c r="H240" i="1" s="1"/>
  <c r="D239" i="1"/>
  <c r="F239" i="1" s="1"/>
  <c r="H239" i="1" s="1"/>
  <c r="D238" i="1"/>
  <c r="F238" i="1" s="1"/>
  <c r="H238" i="1" s="1"/>
  <c r="D237" i="1"/>
  <c r="F237" i="1" s="1"/>
  <c r="H237" i="1" s="1"/>
  <c r="D236" i="1"/>
  <c r="F236" i="1" s="1"/>
  <c r="H236" i="1" s="1"/>
  <c r="D235" i="1"/>
  <c r="D234" i="1"/>
  <c r="D233" i="1"/>
  <c r="D232" i="1"/>
  <c r="I243" i="1"/>
  <c r="I238" i="1"/>
  <c r="I235" i="1"/>
  <c r="I232" i="1"/>
  <c r="C179" i="1"/>
  <c r="C165" i="1"/>
  <c r="B166" i="1" s="1"/>
  <c r="C123" i="1"/>
  <c r="C95" i="1"/>
  <c r="F390" i="1" l="1"/>
  <c r="H390" i="1" s="1"/>
  <c r="F336" i="1"/>
  <c r="H336" i="1" s="1"/>
  <c r="F340" i="1"/>
  <c r="H340" i="1" s="1"/>
  <c r="F312" i="1"/>
  <c r="H312" i="1" s="1"/>
  <c r="F368" i="1"/>
  <c r="H368" i="1" s="1"/>
  <c r="J368" i="1" s="1"/>
  <c r="I151" i="1"/>
  <c r="C153" i="1" s="1"/>
  <c r="F393" i="1"/>
  <c r="H393" i="1" s="1"/>
  <c r="F318" i="1"/>
  <c r="H318" i="1" s="1"/>
  <c r="F337" i="1"/>
  <c r="H337" i="1" s="1"/>
  <c r="F357" i="1"/>
  <c r="H357" i="1" s="1"/>
  <c r="F323" i="1"/>
  <c r="H323" i="1" s="1"/>
  <c r="F333" i="1"/>
  <c r="H333" i="1" s="1"/>
  <c r="F375" i="1"/>
  <c r="H375" i="1" s="1"/>
  <c r="J375" i="1" s="1"/>
  <c r="F332" i="1"/>
  <c r="H332" i="1" s="1"/>
  <c r="F339" i="1"/>
  <c r="H339" i="1" s="1"/>
  <c r="F347" i="1"/>
  <c r="H347" i="1" s="1"/>
  <c r="F372" i="1"/>
  <c r="H372" i="1" s="1"/>
  <c r="J372" i="1" s="1"/>
  <c r="F374" i="1"/>
  <c r="H374" i="1" s="1"/>
  <c r="J374" i="1" s="1"/>
  <c r="F376" i="1"/>
  <c r="H376" i="1" s="1"/>
  <c r="J376" i="1" s="1"/>
  <c r="F378" i="1"/>
  <c r="H378" i="1" s="1"/>
  <c r="J378" i="1" s="1"/>
  <c r="F291" i="1"/>
  <c r="H291" i="1" s="1"/>
  <c r="F351" i="1"/>
  <c r="H351" i="1" s="1"/>
  <c r="F391" i="1"/>
  <c r="H391" i="1" s="1"/>
  <c r="C219" i="1"/>
  <c r="C216" i="1"/>
  <c r="F349" i="1"/>
  <c r="H349" i="1" s="1"/>
  <c r="F322" i="1"/>
  <c r="H322" i="1" s="1"/>
  <c r="F338" i="1"/>
  <c r="H338" i="1" s="1"/>
  <c r="F346" i="1"/>
  <c r="H346" i="1" s="1"/>
  <c r="F350" i="1"/>
  <c r="H350" i="1" s="1"/>
  <c r="F359" i="1"/>
  <c r="H359" i="1" s="1"/>
  <c r="F389" i="1"/>
  <c r="H389" i="1" s="1"/>
  <c r="C218" i="1"/>
  <c r="F317" i="1"/>
  <c r="H317" i="1" s="1"/>
  <c r="F358" i="1"/>
  <c r="H358" i="1" s="1"/>
  <c r="F371" i="1"/>
  <c r="H371" i="1" s="1"/>
  <c r="F379" i="1"/>
  <c r="H379" i="1" s="1"/>
  <c r="J379" i="1" s="1"/>
  <c r="F388" i="1"/>
  <c r="H388" i="1" s="1"/>
  <c r="C208" i="1"/>
  <c r="F331" i="1"/>
  <c r="F355" i="1"/>
  <c r="H355" i="1" s="1"/>
  <c r="C221" i="1"/>
  <c r="C215" i="1"/>
  <c r="F319" i="1"/>
  <c r="H319" i="1" s="1"/>
  <c r="F348" i="1"/>
  <c r="H348" i="1" s="1"/>
  <c r="C222" i="1"/>
  <c r="C223" i="1"/>
  <c r="F247" i="1"/>
  <c r="C211" i="1"/>
  <c r="F325" i="1"/>
  <c r="H325" i="1" s="1"/>
  <c r="F335" i="1"/>
  <c r="H335" i="1" s="1"/>
  <c r="F356" i="1"/>
  <c r="H356" i="1" s="1"/>
  <c r="F373" i="1"/>
  <c r="H373" i="1" s="1"/>
  <c r="J373" i="1" s="1"/>
  <c r="F377" i="1"/>
  <c r="H377" i="1" s="1"/>
  <c r="J377" i="1" s="1"/>
  <c r="F345" i="1"/>
  <c r="C220" i="1"/>
  <c r="F304" i="1"/>
  <c r="H304" i="1" s="1"/>
  <c r="F324" i="1"/>
  <c r="H324" i="1" s="1"/>
  <c r="F326" i="1"/>
  <c r="H326" i="1" s="1"/>
  <c r="F327" i="1"/>
  <c r="H327" i="1" s="1"/>
  <c r="F278" i="1"/>
  <c r="H278" i="1" s="1"/>
  <c r="F280" i="1"/>
  <c r="H280" i="1" s="1"/>
  <c r="I280" i="1" s="1"/>
  <c r="F282" i="1"/>
  <c r="H282" i="1" s="1"/>
  <c r="F283" i="1"/>
  <c r="H283" i="1" s="1"/>
  <c r="F284" i="1"/>
  <c r="H284" i="1" s="1"/>
  <c r="F295" i="1"/>
  <c r="H295" i="1" s="1"/>
  <c r="F289" i="1"/>
  <c r="H289" i="1" s="1"/>
  <c r="F290" i="1"/>
  <c r="H290" i="1" s="1"/>
  <c r="F292" i="1"/>
  <c r="H292" i="1" s="1"/>
  <c r="F293" i="1"/>
  <c r="H293" i="1" s="1"/>
  <c r="F296" i="1"/>
  <c r="H296" i="1" s="1"/>
  <c r="F297" i="1"/>
  <c r="H297" i="1" s="1"/>
  <c r="F298" i="1"/>
  <c r="H298" i="1" s="1"/>
  <c r="F299" i="1"/>
  <c r="H299" i="1" s="1"/>
  <c r="F305" i="1"/>
  <c r="H305" i="1" s="1"/>
  <c r="F313" i="1"/>
  <c r="H313" i="1" s="1"/>
  <c r="C217" i="1"/>
  <c r="F281" i="1"/>
  <c r="H281" i="1" s="1"/>
  <c r="J176" i="1"/>
  <c r="J175" i="1"/>
  <c r="J174" i="1"/>
  <c r="J173" i="1"/>
  <c r="H166" i="1"/>
  <c r="E221" i="1" l="1"/>
  <c r="G223" i="1"/>
  <c r="E223" i="1"/>
  <c r="G221" i="1"/>
  <c r="G222" i="1"/>
  <c r="J371" i="1"/>
  <c r="E222" i="1"/>
  <c r="C224" i="1"/>
  <c r="H331" i="1"/>
  <c r="G219" i="1" s="1"/>
  <c r="E219" i="1"/>
  <c r="E216" i="1"/>
  <c r="C212" i="1"/>
  <c r="H345" i="1"/>
  <c r="G220" i="1" s="1"/>
  <c r="E220" i="1"/>
  <c r="H247" i="1"/>
  <c r="G211" i="1" s="1"/>
  <c r="E211" i="1"/>
  <c r="E218" i="1"/>
  <c r="G218" i="1"/>
  <c r="G216" i="1"/>
  <c r="D178" i="1"/>
  <c r="D177" i="1"/>
  <c r="D176" i="1"/>
  <c r="D175" i="1"/>
  <c r="D174" i="1"/>
  <c r="D173" i="1"/>
  <c r="D172" i="1"/>
  <c r="D171" i="1"/>
  <c r="J169" i="1"/>
  <c r="J170" i="1"/>
  <c r="C169" i="1" s="1"/>
  <c r="D169" i="1" s="1"/>
  <c r="J168" i="1"/>
  <c r="J165" i="1"/>
  <c r="J167" i="1" s="1"/>
  <c r="J171" i="1"/>
  <c r="J172" i="1" s="1"/>
  <c r="J177" i="1" s="1"/>
  <c r="F232" i="1"/>
  <c r="H232" i="1" l="1"/>
  <c r="J178" i="1"/>
  <c r="C170" i="1" s="1"/>
  <c r="E169" i="1" s="1"/>
  <c r="E31" i="1"/>
  <c r="E26" i="1"/>
  <c r="J166" i="1" l="1"/>
  <c r="D170" i="1"/>
  <c r="I166" i="1" s="1"/>
  <c r="I167" i="1" s="1"/>
  <c r="G169" i="1"/>
  <c r="F274" i="1"/>
  <c r="I165" i="1" l="1"/>
  <c r="C167" i="1" s="1"/>
  <c r="H274"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L42" i="7" s="1"/>
  <c r="K42" i="7" s="1"/>
  <c r="I6" i="7"/>
  <c r="E6" i="7"/>
  <c r="E42" i="7" l="1"/>
  <c r="I42" i="7"/>
  <c r="H42" i="7" s="1"/>
  <c r="D42" i="7"/>
  <c r="D44" i="7" s="1"/>
  <c r="E44" i="7"/>
  <c r="B414" i="1" l="1"/>
  <c r="F233" i="1" l="1"/>
  <c r="F234" i="1"/>
  <c r="H234" i="1" s="1"/>
  <c r="F235" i="1"/>
  <c r="H235" i="1" s="1"/>
  <c r="E208" i="1" l="1"/>
  <c r="E212" i="1" s="1"/>
  <c r="H233" i="1"/>
  <c r="G208" i="1" s="1"/>
  <c r="G212" i="1" s="1"/>
  <c r="G58" i="1"/>
  <c r="C58" i="1"/>
  <c r="G56" i="1"/>
  <c r="C56" i="1"/>
  <c r="C54" i="1"/>
  <c r="S33" i="1" l="1"/>
  <c r="F11" i="5" l="1"/>
  <c r="G11" i="5" s="1"/>
  <c r="F10" i="5"/>
  <c r="G10" i="5" s="1"/>
  <c r="F9" i="5"/>
  <c r="G9" i="5" s="1"/>
  <c r="F8" i="5"/>
  <c r="G8" i="5" s="1"/>
  <c r="F7" i="5"/>
  <c r="G7" i="5" s="1"/>
  <c r="G6" i="5"/>
  <c r="F6" i="5"/>
  <c r="F5" i="5"/>
  <c r="G5" i="5" s="1"/>
  <c r="G12" i="5" s="1"/>
  <c r="D445" i="1"/>
  <c r="B415" i="1"/>
  <c r="F411" i="1"/>
  <c r="H411" i="1" s="1"/>
  <c r="F410" i="1"/>
  <c r="H410" i="1" s="1"/>
  <c r="F409" i="1"/>
  <c r="H409" i="1" s="1"/>
  <c r="F408" i="1"/>
  <c r="H408" i="1" s="1"/>
  <c r="F407" i="1"/>
  <c r="H407" i="1" s="1"/>
  <c r="F405" i="1"/>
  <c r="H405" i="1" s="1"/>
  <c r="F404" i="1"/>
  <c r="H404" i="1" s="1"/>
  <c r="F403" i="1"/>
  <c r="H403" i="1" s="1"/>
  <c r="F402" i="1"/>
  <c r="H402" i="1" s="1"/>
  <c r="F401" i="1"/>
  <c r="H401" i="1" s="1"/>
  <c r="F399" i="1"/>
  <c r="H399" i="1" s="1"/>
  <c r="F398" i="1"/>
  <c r="H398" i="1" s="1"/>
  <c r="F397" i="1"/>
  <c r="H397" i="1" s="1"/>
  <c r="F396" i="1"/>
  <c r="H396" i="1" s="1"/>
  <c r="F395" i="1"/>
  <c r="H395" i="1" s="1"/>
  <c r="F311" i="1"/>
  <c r="H311" i="1" s="1"/>
  <c r="F310" i="1"/>
  <c r="H310" i="1" s="1"/>
  <c r="F309" i="1"/>
  <c r="H309" i="1" s="1"/>
  <c r="F308" i="1"/>
  <c r="H308" i="1" s="1"/>
  <c r="K308" i="1" s="1"/>
  <c r="F307" i="1"/>
  <c r="F277" i="1"/>
  <c r="H277" i="1" s="1"/>
  <c r="F276" i="1"/>
  <c r="H276" i="1" s="1"/>
  <c r="F275" i="1"/>
  <c r="A275" i="1"/>
  <c r="A276" i="1" s="1"/>
  <c r="A277" i="1" s="1"/>
  <c r="A278" i="1" s="1"/>
  <c r="A233" i="1"/>
  <c r="A234" i="1" s="1"/>
  <c r="A235" i="1" s="1"/>
  <c r="A236" i="1" s="1"/>
  <c r="A237" i="1" s="1"/>
  <c r="A238" i="1" s="1"/>
  <c r="A239" i="1" s="1"/>
  <c r="A240" i="1" s="1"/>
  <c r="A241" i="1" s="1"/>
  <c r="A242" i="1" s="1"/>
  <c r="A243" i="1" s="1"/>
  <c r="A244" i="1" s="1"/>
  <c r="A245" i="1" s="1"/>
  <c r="C225" i="1"/>
  <c r="F205" i="1"/>
  <c r="C81" i="1"/>
  <c r="B82" i="1" s="1"/>
  <c r="D62" i="1"/>
  <c r="C51" i="1"/>
  <c r="E44" i="1"/>
  <c r="E45" i="1" s="1"/>
  <c r="E28" i="1"/>
  <c r="C16" i="1"/>
  <c r="I15" i="1"/>
  <c r="Z13" i="1"/>
  <c r="E8" i="1"/>
  <c r="E3" i="1"/>
  <c r="D75" i="1" s="1"/>
  <c r="A401" i="1"/>
  <c r="A407" i="1"/>
  <c r="H82" i="1"/>
  <c r="A395" i="1"/>
  <c r="E215" i="1" l="1"/>
  <c r="E224" i="1" s="1"/>
  <c r="E225" i="1" s="1"/>
  <c r="H307" i="1"/>
  <c r="G217" i="1" s="1"/>
  <c r="E217" i="1"/>
  <c r="H275" i="1"/>
  <c r="J81" i="1"/>
  <c r="J83" i="1" s="1"/>
  <c r="J84" i="1"/>
  <c r="J85" i="1"/>
  <c r="J86" i="1"/>
  <c r="D89" i="1"/>
  <c r="D91" i="1"/>
  <c r="D90" i="1"/>
  <c r="D94" i="1"/>
  <c r="D88" i="1"/>
  <c r="D93" i="1"/>
  <c r="D87" i="1"/>
  <c r="D92" i="1"/>
  <c r="J87" i="1"/>
  <c r="A402" i="1"/>
  <c r="A396" i="1"/>
  <c r="A408" i="1"/>
  <c r="G215" i="1" l="1"/>
  <c r="G224" i="1" s="1"/>
  <c r="G225" i="1" s="1"/>
  <c r="B110" i="1"/>
  <c r="D85" i="1"/>
  <c r="J91" i="1"/>
  <c r="J89" i="1"/>
  <c r="J90" i="1"/>
  <c r="J88" i="1"/>
  <c r="J93" i="1" s="1"/>
  <c r="J94" i="1" s="1"/>
  <c r="J92" i="1"/>
  <c r="A409" i="1"/>
  <c r="A403" i="1"/>
  <c r="A397" i="1"/>
  <c r="H110" i="1"/>
  <c r="D122" i="1" l="1"/>
  <c r="D121" i="1"/>
  <c r="D120" i="1"/>
  <c r="D119" i="1"/>
  <c r="D118" i="1"/>
  <c r="D117" i="1"/>
  <c r="D116" i="1"/>
  <c r="D115" i="1"/>
  <c r="J113" i="1"/>
  <c r="J114" i="1"/>
  <c r="C113" i="1" s="1"/>
  <c r="D113" i="1" s="1"/>
  <c r="J112" i="1"/>
  <c r="J109" i="1"/>
  <c r="J111" i="1" s="1"/>
  <c r="J120" i="1"/>
  <c r="J119" i="1"/>
  <c r="J118" i="1"/>
  <c r="J117" i="1"/>
  <c r="J115" i="1"/>
  <c r="J116" i="1" s="1"/>
  <c r="J121" i="1" s="1"/>
  <c r="J122" i="1" s="1"/>
  <c r="C114" i="1" s="1"/>
  <c r="J82" i="1"/>
  <c r="E85" i="1"/>
  <c r="D86" i="1"/>
  <c r="G85" i="1"/>
  <c r="A410" i="1"/>
  <c r="A404" i="1"/>
  <c r="A398" i="1"/>
  <c r="E113" i="1" l="1"/>
  <c r="D114" i="1"/>
  <c r="I110" i="1" s="1"/>
  <c r="I111" i="1" s="1"/>
  <c r="G113" i="1"/>
  <c r="J110" i="1"/>
  <c r="I82" i="1"/>
  <c r="I83" i="1" s="1"/>
  <c r="I81" i="1" s="1"/>
  <c r="C83" i="1" s="1"/>
  <c r="A399" i="1"/>
  <c r="A411" i="1"/>
  <c r="A405" i="1"/>
  <c r="I109" i="1" l="1"/>
  <c r="C111" i="1" s="1"/>
  <c r="B124" i="1"/>
  <c r="B96" i="1"/>
  <c r="H124" i="1"/>
  <c r="H96" i="1"/>
  <c r="B180" i="1" l="1"/>
  <c r="J128" i="1"/>
  <c r="C127" i="1" s="1"/>
  <c r="D127" i="1" s="1"/>
  <c r="J126" i="1"/>
  <c r="J123" i="1"/>
  <c r="J125" i="1" s="1"/>
  <c r="D136" i="1"/>
  <c r="D135" i="1"/>
  <c r="D134" i="1"/>
  <c r="D133" i="1"/>
  <c r="D132" i="1"/>
  <c r="D131" i="1"/>
  <c r="D130" i="1"/>
  <c r="D129" i="1"/>
  <c r="J127" i="1"/>
  <c r="J134" i="1"/>
  <c r="J133" i="1"/>
  <c r="J132" i="1"/>
  <c r="J131" i="1"/>
  <c r="J129" i="1"/>
  <c r="J130" i="1" s="1"/>
  <c r="J135" i="1" s="1"/>
  <c r="J136" i="1" s="1"/>
  <c r="C128" i="1" s="1"/>
  <c r="J98" i="1"/>
  <c r="D107" i="1"/>
  <c r="J100" i="1"/>
  <c r="C99" i="1" s="1"/>
  <c r="D99" i="1" s="1"/>
  <c r="D106" i="1"/>
  <c r="D105" i="1"/>
  <c r="J99" i="1"/>
  <c r="J95" i="1"/>
  <c r="J97" i="1" s="1"/>
  <c r="D103" i="1"/>
  <c r="D108" i="1"/>
  <c r="D102" i="1"/>
  <c r="D101" i="1"/>
  <c r="D104" i="1"/>
  <c r="J105" i="1"/>
  <c r="J103" i="1"/>
  <c r="J101" i="1"/>
  <c r="J106" i="1"/>
  <c r="J104" i="1"/>
  <c r="H180" i="1"/>
  <c r="J102" i="1" l="1"/>
  <c r="J107" i="1" s="1"/>
  <c r="J108" i="1" s="1"/>
  <c r="C100" i="1" s="1"/>
  <c r="E99" i="1" s="1"/>
  <c r="J184" i="1"/>
  <c r="D183" i="1" s="1"/>
  <c r="J182" i="1"/>
  <c r="J179" i="1"/>
  <c r="J181" i="1" s="1"/>
  <c r="D192" i="1"/>
  <c r="D191" i="1"/>
  <c r="D190" i="1"/>
  <c r="D189" i="1"/>
  <c r="D188" i="1"/>
  <c r="D187" i="1"/>
  <c r="D186" i="1"/>
  <c r="D185" i="1"/>
  <c r="J183" i="1"/>
  <c r="J190" i="1"/>
  <c r="J189" i="1"/>
  <c r="J188" i="1"/>
  <c r="J187" i="1"/>
  <c r="J185" i="1"/>
  <c r="J186" i="1" s="1"/>
  <c r="J191" i="1" s="1"/>
  <c r="J192" i="1" s="1"/>
  <c r="B138" i="1"/>
  <c r="E127" i="1"/>
  <c r="D128" i="1"/>
  <c r="I124" i="1" s="1"/>
  <c r="I125" i="1" s="1"/>
  <c r="G127" i="1"/>
  <c r="J124" i="1"/>
  <c r="H138" i="1"/>
  <c r="G99" i="1" l="1"/>
  <c r="D79" i="1" s="1"/>
  <c r="D100" i="1"/>
  <c r="I96" i="1" s="1"/>
  <c r="I97" i="1" s="1"/>
  <c r="J96" i="1"/>
  <c r="E183" i="1"/>
  <c r="D184" i="1"/>
  <c r="I180" i="1" s="1"/>
  <c r="I181" i="1" s="1"/>
  <c r="G183" i="1"/>
  <c r="J180" i="1"/>
  <c r="I123" i="1"/>
  <c r="C125" i="1" s="1"/>
  <c r="D150" i="1"/>
  <c r="D149" i="1"/>
  <c r="D148" i="1"/>
  <c r="D147" i="1"/>
  <c r="D146" i="1"/>
  <c r="D145" i="1"/>
  <c r="D144" i="1"/>
  <c r="D143" i="1"/>
  <c r="J141" i="1"/>
  <c r="J142" i="1"/>
  <c r="C141" i="1" s="1"/>
  <c r="D141" i="1" s="1"/>
  <c r="J140" i="1"/>
  <c r="J137" i="1"/>
  <c r="J139" i="1" s="1"/>
  <c r="J148" i="1"/>
  <c r="J147" i="1"/>
  <c r="J146" i="1"/>
  <c r="J145" i="1"/>
  <c r="J143" i="1"/>
  <c r="J144" i="1" s="1"/>
  <c r="J149" i="1" s="1"/>
  <c r="F80" i="1" l="1"/>
  <c r="D80" i="1"/>
  <c r="I95" i="1"/>
  <c r="C97" i="1" s="1"/>
  <c r="J150" i="1"/>
  <c r="C142" i="1" s="1"/>
  <c r="D142" i="1" s="1"/>
  <c r="I138" i="1" s="1"/>
  <c r="I139" i="1" s="1"/>
  <c r="I179" i="1"/>
  <c r="C181" i="1" s="1"/>
  <c r="E141" i="1" l="1"/>
  <c r="G141" i="1"/>
  <c r="J138" i="1"/>
  <c r="I137" i="1" s="1"/>
  <c r="C139"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9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6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<sst xmlns="http://schemas.openxmlformats.org/spreadsheetml/2006/main" count="1038" uniqueCount="444">
  <si>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</si>
  <si>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</si>
  <si>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</si>
  <si>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</si>
  <si>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</si>
  <si>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</si>
  <si>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</si>
  <si>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</si>
  <si>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</si>
  <si>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</si>
  <si>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</si>
  <si>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</si>
  <si>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</si>
  <si>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</si>
  <si>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</si>
  <si>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</si>
  <si>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</si>
  <si>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</si>
  <si>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</si>
  <si>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</si>
  <si>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</si>
  <si>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</si>
  <si>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</si>
  <si>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</si>
  <si>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</si>
  <si>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</si>
  <si>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</si>
  <si>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</si>
  <si>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</si>
  <si>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</si>
  <si>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</si>
  <si>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</si>
  <si>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</si>
  <si>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</si>
  <si>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</si>
  <si>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</si>
  <si>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</si>
  <si>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</si>
  <si>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</si>
  <si>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</si>
  <si>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</si>
  <si>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</si>
  <si>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</si>
  <si>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</si>
  <si>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</si>
  <si>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</si>
  <si>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</si>
  <si>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</si>
  <si>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</si>
  <si>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</si>
  <si>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</si>
  <si>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</si>
  <si>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</si>
  <si>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</si>
  <si>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</si>
  <si>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</si>
  <si>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</si>
  <si>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</si>
  <si>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</si>
  <si>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</si>
  <si>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</si>
  <si>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</si>
  <si>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</si>
  <si>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</si>
  <si>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</si>
  <si>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</si>
  <si>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</si>
  <si>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</si>
  <si>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</si>
  <si>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</si>
  <si>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</si>
  <si>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</si>
  <si>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</si>
  <si>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</si>
  <si>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</si>
  <si>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</si>
  <si>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</si>
  <si>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</si>
  <si>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</si>
  <si>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</si>
  <si>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</si>
  <si>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</si>
  <si>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</si>
  <si>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</si>
  <si>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</si>
  <si>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</si>
  <si>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</si>
  <si>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</si>
  <si>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</si>
  <si>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</si>
  <si>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</si>
  <si>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</si>
  <si>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</si>
  <si>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</si>
  <si>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</si>
  <si>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</si>
  <si>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</si>
  <si>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</si>
  <si>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</si>
  <si>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</si>
  <si>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</si>
  <si>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</si>
  <si>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</si>
  <si>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</si>
  <si>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</si>
  <si>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</si>
  <si>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</si>
  <si>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</si>
  <si>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</si>
  <si>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</si>
  <si>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</si>
  <si>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</si>
  <si>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</si>
  <si>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</si>
  <si>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</si>
  <si>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</si>
  <si>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</si>
  <si>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</si>
  <si>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</si>
  <si>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</si>
  <si>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</si>
  <si>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</si>
  <si>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</si>
  <si>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</si>
  <si>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</si>
  <si>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</si>
  <si>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</si>
  <si>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</si>
  <si>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</si>
  <si>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</si>
  <si>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</si>
  <si>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</si>
  <si>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</si>
  <si>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</si>
  <si>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</si>
  <si>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</si>
  <si>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</si>
  <si>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</si>
  <si>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</si>
  <si>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</si>
  <si>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</si>
  <si>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</si>
  <si>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</si>
  <si>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</si>
  <si>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</si>
  <si>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</si>
  <si>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</si>
  <si>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</si>
  <si>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</si>
  <si>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</si>
  <si>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</si>
  <si>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</si>
  <si>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</si>
  <si>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</si>
  <si>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</si>
  <si>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</si>
  <si>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</si>
  <si>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</si>
  <si>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</si>
  <si>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</si>
  <si>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</si>
  <si>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</si>
  <si>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</si>
  <si>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</si>
  <si>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</si>
  <si>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</si>
  <si>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</si>
  <si>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</si>
  <si>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</si>
  <si>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</si>
  <si>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</si>
  <si>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</si>
  <si>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</si>
  <si>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</si>
  <si>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</si>
  <si>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</si>
  <si>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</si>
  <si>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</si>
  <si>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</si>
  <si>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</si>
  <si>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</si>
  <si>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</si>
  <si>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</si>
  <si>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</si>
  <si>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</si>
  <si>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</si>
  <si>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</si>
  <si>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</si>
  <si>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</si>
  <si>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</si>
  <si>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</si>
  <si>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</si>
  <si>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</si>
  <si>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</si>
  <si>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</si>
  <si>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</si>
  <si>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</si>
  <si>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</si>
  <si>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</si>
  <si>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</si>
  <si>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</si>
  <si>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</si>
  <si>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</si>
  <si>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</si>
  <si>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</si>
  <si>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</si>
  <si>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</si>
  <si>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</si>
  <si>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</si>
  <si>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</si>
  <si>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</si>
  <si>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</si>
  <si>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</si>
  <si>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</si>
  <si>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</si>
  <si>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</si>
  <si>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</si>
  <si>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</si>
  <si>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</si>
  <si>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</si>
  <si>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</si>
  <si>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</si>
  <si>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</si>
  <si>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</si>
  <si>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</si>
  <si>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</si>
  <si>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</si>
  <si>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</si>
  <si>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</si>
  <si>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</si>
  <si>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</si>
  <si>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</si>
  <si>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</si>
  <si>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</si>
  <si>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</si>
  <si>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</si>
  <si>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</si>
  <si>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</si>
  <si>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</si>
  <si>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</si>
  <si>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</si>
  <si>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</si>
  <si>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</si>
  <si>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</si>
  <si>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</si>
  <si>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</si>
  <si>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</si>
  <si>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</si>
  <si>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</si>
  <si>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</si>
  <si>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</si>
  <si>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</si>
  <si>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</si>
  <si>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</si>
  <si>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</si>
  <si>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</si>
  <si>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</si>
  <si>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</si>
  <si>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</si>
  <si>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</si>
  <si>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</si>
  <si>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</si>
  <si>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</si>
  <si>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</si>
  <si>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</si>
  <si>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</si>
  <si>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</si>
  <si>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</si>
  <si>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</si>
  <si>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</si>
  <si>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</si>
  <si>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</si>
  <si>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</si>
  <si>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</si>
  <si>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</si>
  <si>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</si>
  <si>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</si>
  <si>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</si>
  <si>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</si>
  <si>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</si>
  <si>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</si>
  <si>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</si>
  <si>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</si>
  <si>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</si>
  <si>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</si>
  <si>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</si>
  <si>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</si>
  <si>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</si>
  <si>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</si>
  <si>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</si>
  <si>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</si>
  <si>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</si>
  <si>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</si>
  <si>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</si>
  <si>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</si>
  <si>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</si>
  <si>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</si>
  <si>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</si>
  <si>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</si>
  <si>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</si>
  <si>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</si>
  <si>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</si>
  <si>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</si>
  <si>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</si>
  <si>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</si>
  <si>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</si>
  <si>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</si>
  <si>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</si>
  <si>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</si>
  <si>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</si>
  <si>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</si>
  <si>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</si>
  <si>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</si>
  <si>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</si>
  <si>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</si>
  <si>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</si>
  <si>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</si>
  <si>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</si>
  <si>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</si>
  <si>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</si>
  <si>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</si>
  <si>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</si>
  <si>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</si>
  <si>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</si>
  <si>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</si>
  <si>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</si>
  <si>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</si>
  <si>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</si>
  <si>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</si>
  <si>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</si>
  <si>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</si>
  <si>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</si>
  <si>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</si>
  <si>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</si>
  <si>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</si>
  <si>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P99000056103</t>
  </si>
  <si>
    <t>Rajlaxxmi Park</t>
  </si>
  <si>
    <t>Saphale Land Developers Llp</t>
  </si>
  <si>
    <t>8308036666 / 7774000939</t>
  </si>
  <si>
    <t>Gut No</t>
  </si>
  <si>
    <t>Mande</t>
  </si>
  <si>
    <t>Approved Plans, CC, Cost Sheet</t>
  </si>
  <si>
    <t>Mhasul/K-1/T-1/NAP/SR-32/2023</t>
  </si>
  <si>
    <t>As per RERA - 31/12/2030</t>
  </si>
  <si>
    <t>Building No.1 (Wing B) = G + 1st to 7th Floor</t>
  </si>
  <si>
    <t>Building No.4 (Wing B) = G + 1st to 7th Floor</t>
  </si>
  <si>
    <t>Housing For Affected People  =  Gr. + 1st to 4th Floor</t>
  </si>
  <si>
    <t>Amphitheatre/ Community Area, Swimming Pool, Kids Play Area, Game Zone, Out Door Gym, Jogging Track/ Walkway etc</t>
  </si>
  <si>
    <t>As per builder brochure</t>
  </si>
  <si>
    <t>Ground Floor For Commercial, Entrance Lobby &amp; Parking</t>
  </si>
  <si>
    <t>Shop</t>
  </si>
  <si>
    <t>1st Floor For Commercial</t>
  </si>
  <si>
    <t>Office</t>
  </si>
  <si>
    <t>RERA Carpet area</t>
  </si>
  <si>
    <t>Building No.1</t>
  </si>
  <si>
    <t>Wing A</t>
  </si>
  <si>
    <t>1BHK</t>
  </si>
  <si>
    <t>2BHK</t>
  </si>
  <si>
    <t>2nd For Residential</t>
  </si>
  <si>
    <t>3rd to 7th Floor</t>
  </si>
  <si>
    <t>Wing B</t>
  </si>
  <si>
    <t>Ground Floor For Commercial, Entrance Lobby, Driver Room, Society Office &amp; Parking</t>
  </si>
  <si>
    <t>2nd Floor For Residential</t>
  </si>
  <si>
    <t>Building No.1 Wing A</t>
  </si>
  <si>
    <t>Building No.1 Wing B</t>
  </si>
  <si>
    <t>Building No.2</t>
  </si>
  <si>
    <t xml:space="preserve">Ground Floor For Residential,Entrance Lobby,  Society Office &amp; Parking </t>
  </si>
  <si>
    <t>1st to 4th Floor</t>
  </si>
  <si>
    <t>Building No.3</t>
  </si>
  <si>
    <t xml:space="preserve">Ground Floor For Residential,Entrance Lobby,  Driver Room &amp; Parking </t>
  </si>
  <si>
    <t>Balcony + Encl. Balcony Area</t>
  </si>
  <si>
    <t>Building No.3 Wing A</t>
  </si>
  <si>
    <t>Building No.3 Wing B</t>
  </si>
  <si>
    <t>We considered Gross carpet area = Net carpet + Enclose balcony + Balcony Area.</t>
  </si>
  <si>
    <t>Ground Floor For Residential, Entrance Lobby &amp; Parking</t>
  </si>
  <si>
    <t>Building No.4 Wing A</t>
  </si>
  <si>
    <t>Building No.4</t>
  </si>
  <si>
    <t>Ground Floor For Entrance Lobby &amp; Parking</t>
  </si>
  <si>
    <t>1st to 7th Floor</t>
  </si>
  <si>
    <t>Building No.4 Wing B</t>
  </si>
  <si>
    <t>Building No.5</t>
  </si>
  <si>
    <t>Ground Floor For Entrance Lobby, Society Office &amp; Parking</t>
  </si>
  <si>
    <t>1st to 7th  Floor</t>
  </si>
  <si>
    <t>Ground Floor For Residential, Entrance Lobby, Driver Room &amp; Parking</t>
  </si>
  <si>
    <t>1RK</t>
  </si>
  <si>
    <t>Housing For Affected
People</t>
  </si>
  <si>
    <t>Housing For Affected People</t>
  </si>
  <si>
    <t>24.00 M Wide Road No-38(MDR)</t>
  </si>
  <si>
    <t>15.00 M Wide Village Road</t>
  </si>
  <si>
    <t>Gut No.84</t>
  </si>
  <si>
    <t>Gut No.84(pt)</t>
  </si>
  <si>
    <t>19.566489,72.797826</t>
  </si>
  <si>
    <t>https://maps.app.goo.gl/C3EapghQdHFBE3588</t>
  </si>
  <si>
    <t>Saphale</t>
  </si>
  <si>
    <t>Gurantara Bunglow</t>
  </si>
  <si>
    <t>Tembhikhodave Road</t>
  </si>
  <si>
    <t>2.7KM from Saphale Railway Station</t>
  </si>
  <si>
    <t>Open Plot</t>
  </si>
  <si>
    <t>Internal Road</t>
  </si>
  <si>
    <t>09 Building</t>
  </si>
  <si>
    <t>Building No.1(Wing A+B) Shops</t>
  </si>
  <si>
    <t>Building No.1(Wing A+B) Offices</t>
  </si>
  <si>
    <t>Building No.1 (Wing A &amp; B), 
Building No.2, 
Building No.3 (Wing A &amp; B), 
Building No.4 (Wing A &amp; B),
Building No.5 &amp; 
Building For Housing For Affected People</t>
  </si>
  <si>
    <t>84/B</t>
  </si>
  <si>
    <t>Mhasul/K-1/MJ1/BSP/SR/CR/32/2023</t>
  </si>
  <si>
    <t>Building No.1 (Wing A &amp; B) = Gr. + 1st to 7th Floors, 
Building No.2, 3( Wing A &amp; B) &amp; 5 = Gr. + 1st to 4th Floors, 
Building No.4( Wing A &amp; B) = Gr. + 1st to 7th Floors, 
Housing For Affected People = Gr. + 1st to 4th Floor. 
Total B.U.A For (Bldg 1 to 5) = 15656.88sqm &amp;
Housing For Affected People = 1490.84sqm.</t>
  </si>
  <si>
    <r>
      <t xml:space="preserve">Proposed Amenities :                                                                                                                                                                                                                         </t>
    </r>
    <r>
      <rPr>
        <b/>
        <sz val="12"/>
        <color theme="1"/>
        <rFont val="Times New Roman"/>
        <family val="1"/>
      </rPr>
      <t xml:space="preserve">                                               </t>
    </r>
  </si>
  <si>
    <r>
      <t xml:space="preserve">Shop No.
</t>
    </r>
    <r>
      <rPr>
        <b/>
        <sz val="11"/>
        <color theme="1"/>
        <rFont val="Times New Roman"/>
        <family val="1"/>
      </rPr>
      <t>(Approved Plan)</t>
    </r>
  </si>
  <si>
    <t>Ground Floor For Commercial, Entrance Lobby, Society Office, Drivers Room &amp; Parking</t>
  </si>
  <si>
    <r>
      <t xml:space="preserve">Flat No.
</t>
    </r>
    <r>
      <rPr>
        <b/>
        <sz val="11"/>
        <color theme="1"/>
        <rFont val="Times New Roman"/>
        <family val="1"/>
      </rPr>
      <t>(Approved Plan)</t>
    </r>
  </si>
  <si>
    <t>As Per Floor Plan</t>
  </si>
  <si>
    <t>As per Sale plan</t>
  </si>
  <si>
    <t>Oak</t>
  </si>
  <si>
    <t>Pine</t>
  </si>
  <si>
    <t>Acacia</t>
  </si>
  <si>
    <t>Teak</t>
  </si>
  <si>
    <t>Palm</t>
  </si>
  <si>
    <t>Tamarind</t>
  </si>
  <si>
    <t>Aminity Building No.6</t>
  </si>
  <si>
    <t>Sale Flats - 285, Housing For Affected People = 29, 
Shops - 14, Offices - 13</t>
  </si>
  <si>
    <t>Nomenclature of Buildings</t>
  </si>
  <si>
    <t>Building No.1(Acacia)</t>
  </si>
  <si>
    <t>Building No.1(Acacia) Wing A + B</t>
  </si>
  <si>
    <t>Building No.2(Teak)</t>
  </si>
  <si>
    <t>Building No.3(Pine)</t>
  </si>
  <si>
    <t>Building No.4(Oak)</t>
  </si>
  <si>
    <t>Building No.5(Palm)</t>
  </si>
  <si>
    <t>Building No.1(Acacia) (Wing A&amp;B) = G + 1st to 7th Floor</t>
  </si>
  <si>
    <t>Building No.2(Teak) = G + 1st to 4th Floor</t>
  </si>
  <si>
    <t>Building No.3(Pine) (Wing B) = G + 1st to 4th Floor</t>
  </si>
  <si>
    <t>Building No.4(Oak) (Wing A&amp;B) = G + 1st to 7th Floor</t>
  </si>
  <si>
    <t>Building No.1(Acacia) Wing A &amp; B = Gr. + 1st to 7th Floor
Building No.2(Teak) = Gr. + 1st to 4th Floor.
Building No.3(Pine) Wing A &amp; B = Gr. + 1st to 4th Floor
Building No.4(Oak) Wing A &amp; B = Gr. + 1st to 7th Floor
Building No.5(Palm) = Gr. + 1st to 4th Floor.
Housing For Affected People = Gr. + 1st to 4th Floor</t>
  </si>
  <si>
    <t>Building No.5(Palm) = G + 1st to 4th Floor</t>
  </si>
  <si>
    <t>Nalla Located between Building No.1 &amp; Building No.2 &amp; 3</t>
  </si>
  <si>
    <t>3K to 3200</t>
  </si>
  <si>
    <t>Club Charges + Development Charges</t>
  </si>
  <si>
    <t>Generator Charges</t>
  </si>
  <si>
    <t>Building No.4(Oak) (Wing A) = G + 1st to 7th Floor</t>
  </si>
  <si>
    <t>Building No.4(Oak) (Wing B) = G + 1st to 7th Floor</t>
  </si>
  <si>
    <t>Pooja Kawale</t>
  </si>
  <si>
    <t>Gaurav Naik</t>
  </si>
  <si>
    <t xml:space="preserve">Miss. Disha </t>
  </si>
  <si>
    <t>Building No.3(Pine) (Wing A &amp; B) = G + 1st to 4th Floor</t>
  </si>
  <si>
    <t>Building No. 2, 4 = Construction work is in process at the time of Visit (labour found).
Building No. 1 &amp; 6 =  Work not yet Started.
Bldg No. 3 &amp; 5 = All work Completed. Please provide 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</si>
</sst>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46">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9" fontId="9" fillId="0" borderId="16" xfId="8" applyFont="1" applyFill="1" applyBorder="1" applyAlignment="1" applyProtection="1">
      <alignment horizontal="center" vertical="top" wrapText="1"/>
      <protection locked="0"/>
    </xf>
    <xf numFmtId="164" fontId="6" fillId="0" borderId="0" xfId="1" applyNumberFormat="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6" fillId="0" borderId="5" xfId="1" applyFont="1" applyBorder="1" applyAlignment="1" applyProtection="1">
      <alignment horizontal="center" vertical="top"/>
      <protection locked="0"/>
    </xf>
    <xf numFmtId="0" fontId="6" fillId="0" borderId="1" xfId="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23" fillId="2" borderId="15" xfId="0" applyFont="1" applyFill="1" applyBorder="1"/>
    <xf numFmtId="0" fontId="24" fillId="0" borderId="9" xfId="0" applyFont="1" applyBorder="1"/>
    <xf numFmtId="0" fontId="6" fillId="0" borderId="3" xfId="1" applyFont="1" applyBorder="1" applyAlignment="1" applyProtection="1">
      <alignment horizontal="center" vertical="top" wrapText="1"/>
      <protection locked="0"/>
    </xf>
    <xf numFmtId="9" fontId="6" fillId="0" borderId="3" xfId="8" applyFont="1" applyFill="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9" fontId="9" fillId="0" borderId="1" xfId="8" applyFont="1" applyFill="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9" fillId="0" borderId="17" xfId="0" applyNumberFormat="1" applyFont="1" applyBorder="1" applyAlignment="1" applyProtection="1">
      <alignment horizontal="center" vertical="center" wrapText="1"/>
      <protection locked="0"/>
    </xf>
    <xf numFmtId="1" fontId="9" fillId="0" borderId="18" xfId="0" applyNumberFormat="1" applyFont="1" applyBorder="1" applyAlignment="1" applyProtection="1">
      <alignment horizontal="center" vertical="center" wrapText="1"/>
      <protection locked="0"/>
    </xf>
    <xf numFmtId="1" fontId="9" fillId="0" borderId="25" xfId="0" applyNumberFormat="1" applyFont="1" applyBorder="1" applyAlignment="1" applyProtection="1">
      <alignment horizontal="center" vertical="center" wrapText="1"/>
      <protection locked="0"/>
    </xf>
    <xf numFmtId="1" fontId="9" fillId="0" borderId="26" xfId="0" applyNumberFormat="1" applyFont="1" applyBorder="1" applyAlignment="1" applyProtection="1">
      <alignment horizontal="center" vertical="center" wrapText="1"/>
      <protection locked="0"/>
    </xf>
    <xf numFmtId="1" fontId="9" fillId="0" borderId="19" xfId="0" applyNumberFormat="1" applyFont="1" applyBorder="1" applyAlignment="1" applyProtection="1">
      <alignment horizontal="center" vertical="center" wrapText="1"/>
      <protection locked="0"/>
    </xf>
    <xf numFmtId="1" fontId="9" fillId="0" borderId="20" xfId="0" applyNumberFormat="1" applyFont="1" applyBorder="1" applyAlignment="1" applyProtection="1">
      <alignment horizontal="center" vertical="center"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9"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9" fillId="0" borderId="5"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9" fontId="6" fillId="0" borderId="1" xfId="8" applyFont="1" applyFill="1" applyBorder="1" applyAlignment="1" applyProtection="1">
      <alignment horizontal="center" vertical="center"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5" fillId="0" borderId="1" xfId="1" applyFont="1" applyBorder="1" applyAlignment="1" applyProtection="1">
      <alignment horizontal="left" vertical="top"/>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9" fillId="0" borderId="8" xfId="1" applyFont="1" applyBorder="1" applyAlignment="1" applyProtection="1">
      <alignment horizontal="left" vertical="top"/>
      <protection locked="0"/>
    </xf>
    <xf numFmtId="0" fontId="9" fillId="0" borderId="21" xfId="1" applyFont="1" applyBorder="1" applyAlignment="1" applyProtection="1">
      <alignment horizontal="left" vertical="top"/>
      <protection locked="0"/>
    </xf>
    <xf numFmtId="0" fontId="9" fillId="0" borderId="9"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14" fontId="5" fillId="0" borderId="8"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5"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67" fontId="6" fillId="0" borderId="1" xfId="9" applyNumberFormat="1" applyFont="1" applyFill="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5" fillId="0" borderId="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29" fillId="0" borderId="1" xfId="1" applyNumberFormat="1" applyFont="1" applyBorder="1" applyAlignment="1" applyProtection="1">
      <alignment horizontal="center"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5" fillId="0" borderId="21" xfId="1"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lef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9" fillId="0" borderId="35" xfId="1" applyFont="1" applyBorder="1" applyAlignment="1" applyProtection="1">
      <alignment horizontal="left" vertical="top" wrapText="1"/>
      <protection locked="0"/>
    </xf>
    <xf numFmtId="0" fontId="9" fillId="0" borderId="20" xfId="1" applyFont="1" applyBorder="1" applyAlignment="1" applyProtection="1">
      <alignment horizontal="left" vertical="top" wrapText="1"/>
      <protection locked="0"/>
    </xf>
    <xf numFmtId="0" fontId="9" fillId="0" borderId="19" xfId="1" applyFont="1" applyBorder="1" applyAlignment="1" applyProtection="1">
      <alignment horizontal="left" vertical="top" wrapText="1"/>
      <protection locked="0"/>
    </xf>
    <xf numFmtId="0" fontId="9" fillId="0" borderId="2" xfId="1" applyFont="1" applyBorder="1" applyAlignment="1" applyProtection="1">
      <alignment horizontal="left" vertical="top" wrapText="1"/>
      <protection locked="0"/>
    </xf>
    <xf numFmtId="0" fontId="9" fillId="0" borderId="36"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0" fontId="9"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6" fillId="0" borderId="37"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0" fontId="6" fillId="0" borderId="0" xfId="1" applyFont="1" applyAlignment="1">
      <alignment horizontal="center" vertical="center"/>
    </xf>
    <xf numFmtId="1" fontId="9" fillId="0" borderId="1" xfId="1" applyNumberFormat="1" applyFont="1" applyBorder="1" applyAlignment="1" applyProtection="1">
      <alignment horizontal="center" vertical="center" wrapText="1"/>
      <protection locked="0"/>
    </xf>
    <xf numFmtId="1" fontId="6" fillId="0" borderId="8" xfId="0" applyNumberFormat="1" applyFont="1" applyBorder="1" applyAlignment="1" applyProtection="1">
      <alignment horizontal="center" vertical="center"/>
      <protection locked="0"/>
    </xf>
    <xf numFmtId="1" fontId="6" fillId="0" borderId="9" xfId="0" applyNumberFormat="1" applyFont="1" applyBorder="1" applyAlignment="1" applyProtection="1">
      <alignment horizontal="center" vertical="center"/>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8" Type="http://schemas.openxmlformats.org/officeDocument/2006/relationships/image" Target="../media/image8.jpe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twoCellAnchor>
    <xdr:from>
      <xdr:col>8</xdr:col>
      <xdr:colOff>841375</xdr:colOff>
      <xdr:row>445</xdr:row>
      <xdr:rowOff>25400</xdr:rowOff>
    </xdr:from>
    <xdr:to>
      <xdr:col>16</xdr:col>
      <xdr:colOff>77271</xdr:colOff>
      <xdr:row>486</xdr:row>
      <xdr:rowOff>146050</xdr:rowOff>
    </xdr:to>
    <xdr:grpSp>
      <xdr:nvGrpSpPr>
        <xdr:cNvPr id="9" name="Group 8">
          <a:extLst>
            <a:ext uri="{FF2B5EF4-FFF2-40B4-BE49-F238E27FC236}">
              <a16:creationId xmlns:a16="http://schemas.microsoft.com/office/drawing/2014/main" id="{00000000-0008-0000-0000-000009000000}"/>
            </a:ext>
          </a:extLst>
        </xdr:cNvPr>
        <xdr:cNvGrpSpPr/>
      </xdr:nvGrpSpPr>
      <xdr:grpSpPr>
        <a:xfrm>
          <a:off x="7464425" y="83115150"/>
          <a:ext cx="6328846" cy="8185150"/>
          <a:chOff x="285745" y="288252"/>
          <a:chExt cx="6052621" cy="8023813"/>
        </a:xfrm>
      </xdr:grpSpPr>
      <xdr:grpSp>
        <xdr:nvGrpSpPr>
          <xdr:cNvPr id="10" name="Group 9">
            <a:extLst>
              <a:ext uri="{FF2B5EF4-FFF2-40B4-BE49-F238E27FC236}">
                <a16:creationId xmlns:a16="http://schemas.microsoft.com/office/drawing/2014/main" id="{00000000-0008-0000-0000-00000A000000}"/>
              </a:ext>
            </a:extLst>
          </xdr:cNvPr>
          <xdr:cNvGrpSpPr/>
        </xdr:nvGrpSpPr>
        <xdr:grpSpPr>
          <a:xfrm>
            <a:off x="578596" y="288252"/>
            <a:ext cx="5479840" cy="6386080"/>
            <a:chOff x="460567" y="1295775"/>
            <a:chExt cx="5479840" cy="6386080"/>
          </a:xfrm>
        </xdr:grpSpPr>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66946" y="1298764"/>
              <a:ext cx="2637555" cy="1980000"/>
            </a:xfrm>
            <a:prstGeom prst="rect">
              <a:avLst/>
            </a:prstGeom>
            <a:ln>
              <a:solidFill>
                <a:schemeClr val="tx1"/>
              </a:solidFill>
            </a:ln>
          </xdr:spPr>
        </xdr:pic>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3302852" y="1295775"/>
              <a:ext cx="2637555" cy="1980000"/>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302850" y="5692330"/>
              <a:ext cx="2637555" cy="1980000"/>
            </a:xfrm>
            <a:prstGeom prst="rect">
              <a:avLst/>
            </a:prstGeom>
            <a:ln>
              <a:solidFill>
                <a:schemeClr val="tx1"/>
              </a:solidFill>
            </a:ln>
          </xdr:spPr>
        </xdr:pic>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466945" y="3524122"/>
              <a:ext cx="2637555" cy="1980000"/>
            </a:xfrm>
            <a:prstGeom prst="rect">
              <a:avLst/>
            </a:prstGeom>
            <a:ln>
              <a:solidFill>
                <a:schemeClr val="tx1"/>
              </a:solidFill>
            </a:ln>
          </xdr:spPr>
        </xdr:pic>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460567" y="5701855"/>
              <a:ext cx="2637555" cy="1980000"/>
            </a:xfrm>
            <a:prstGeom prst="rect">
              <a:avLst/>
            </a:prstGeom>
            <a:ln>
              <a:solidFill>
                <a:schemeClr val="tx1"/>
              </a:solidFill>
            </a:ln>
          </xdr:spPr>
        </xdr:pic>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3302851" y="3524122"/>
              <a:ext cx="2637555" cy="1980000"/>
            </a:xfrm>
            <a:prstGeom prst="rect">
              <a:avLst/>
            </a:prstGeom>
            <a:ln>
              <a:solidFill>
                <a:schemeClr val="tx1"/>
              </a:solidFill>
            </a:ln>
          </xdr:spPr>
        </xdr:pic>
      </xdr:grpSp>
      <xdr:grpSp>
        <xdr:nvGrpSpPr>
          <xdr:cNvPr id="11" name="Group 10">
            <a:extLst>
              <a:ext uri="{FF2B5EF4-FFF2-40B4-BE49-F238E27FC236}">
                <a16:creationId xmlns:a16="http://schemas.microsoft.com/office/drawing/2014/main" id="{00000000-0008-0000-0000-00000B000000}"/>
              </a:ext>
            </a:extLst>
          </xdr:cNvPr>
          <xdr:cNvGrpSpPr/>
        </xdr:nvGrpSpPr>
        <xdr:grpSpPr>
          <a:xfrm>
            <a:off x="285745" y="6872065"/>
            <a:ext cx="6052621" cy="1440000"/>
            <a:chOff x="613549" y="6872065"/>
            <a:chExt cx="6052621" cy="1440000"/>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613549" y="6872065"/>
              <a:ext cx="1918222" cy="1440000"/>
            </a:xfrm>
            <a:prstGeom prst="rect">
              <a:avLst/>
            </a:prstGeom>
            <a:ln>
              <a:solidFill>
                <a:schemeClr val="tx1"/>
              </a:solidFill>
            </a:ln>
          </xdr:spPr>
        </xdr:pic>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2666461" y="6872065"/>
              <a:ext cx="1918222" cy="1440000"/>
            </a:xfrm>
            <a:prstGeom prst="rect">
              <a:avLst/>
            </a:prstGeom>
            <a:ln>
              <a:solidFill>
                <a:schemeClr val="tx1"/>
              </a:solidFill>
            </a:ln>
          </xdr:spPr>
        </xdr:pic>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4747948" y="6872065"/>
              <a:ext cx="1918222" cy="1440000"/>
            </a:xfrm>
            <a:prstGeom prst="rect">
              <a:avLst/>
            </a:prstGeom>
            <a:ln>
              <a:solidFill>
                <a:schemeClr val="tx1"/>
              </a:solidFill>
            </a:ln>
          </xdr:spPr>
        </xdr:pic>
      </xdr:grpSp>
    </xdr:grpSp>
    <xdr:clientData/>
  </xdr:twoCellAnchor>
  <xdr:twoCellAnchor>
    <xdr:from>
      <xdr:col>2</xdr:col>
      <xdr:colOff>28575</xdr:colOff>
      <xdr:row>488</xdr:row>
      <xdr:rowOff>28575</xdr:rowOff>
    </xdr:from>
    <xdr:to>
      <xdr:col>5</xdr:col>
      <xdr:colOff>365400</xdr:colOff>
      <xdr:row>528</xdr:row>
      <xdr:rowOff>184150</xdr:rowOff>
    </xdr:to>
    <xdr:grpSp>
      <xdr:nvGrpSpPr>
        <xdr:cNvPr id="21" name="Group 20">
          <a:extLst>
            <a:ext uri="{FF2B5EF4-FFF2-40B4-BE49-F238E27FC236}">
              <a16:creationId xmlns:a16="http://schemas.microsoft.com/office/drawing/2014/main" id="{00000000-0008-0000-0000-000015000000}"/>
            </a:ext>
          </a:extLst>
        </xdr:cNvPr>
        <xdr:cNvGrpSpPr/>
      </xdr:nvGrpSpPr>
      <xdr:grpSpPr>
        <a:xfrm>
          <a:off x="1666875" y="91576525"/>
          <a:ext cx="3003825" cy="8029575"/>
          <a:chOff x="1887559" y="365091"/>
          <a:chExt cx="2880000" cy="8288836"/>
        </a:xfrm>
      </xdr:grpSpPr>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0"/>
          <a:stretch>
            <a:fillRect/>
          </a:stretch>
        </xdr:blipFill>
        <xdr:spPr>
          <a:xfrm>
            <a:off x="1887559" y="365091"/>
            <a:ext cx="2880000" cy="2733559"/>
          </a:xfrm>
          <a:prstGeom prst="rect">
            <a:avLst/>
          </a:prstGeom>
          <a:ln>
            <a:solidFill>
              <a:schemeClr val="tx1"/>
            </a:solidFill>
          </a:ln>
        </xdr:spPr>
      </xdr:pic>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1"/>
          <a:stretch>
            <a:fillRect/>
          </a:stretch>
        </xdr:blipFill>
        <xdr:spPr>
          <a:xfrm rot="16200000">
            <a:off x="635791" y="4522159"/>
            <a:ext cx="5400000" cy="2863535"/>
          </a:xfrm>
          <a:prstGeom prst="rect">
            <a:avLst/>
          </a:prstGeom>
          <a:ln>
            <a:solidFill>
              <a:schemeClr val="tx1"/>
            </a:solidFill>
          </a:ln>
        </xdr:spPr>
      </xdr:pic>
    </xdr:grpSp>
    <xdr:clientData/>
  </xdr:twoCellAnchor>
  <xdr:twoCellAnchor editAs="oneCell">
    <xdr:from>
      <xdr:col>0</xdr:col>
      <xdr:colOff>695325</xdr:colOff>
      <xdr:row>532</xdr:row>
      <xdr:rowOff>76200</xdr:rowOff>
    </xdr:from>
    <xdr:to>
      <xdr:col>6</xdr:col>
      <xdr:colOff>707100</xdr:colOff>
      <xdr:row>544</xdr:row>
      <xdr:rowOff>116061</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12" cstate="screen">
          <a:extLst>
            <a:ext uri="{28A0092B-C50C-407E-A947-70E740481C1C}">
              <a14:useLocalDpi xmlns:a14="http://schemas.microsoft.com/office/drawing/2010/main"/>
            </a:ext>
          </a:extLst>
        </a:blip>
        <a:srcRect/>
        <a:stretch/>
      </xdr:blipFill>
      <xdr:spPr>
        <a:xfrm>
          <a:off x="695325" y="109708950"/>
          <a:ext cx="4860000" cy="2440161"/>
        </a:xfrm>
        <a:prstGeom prst="rect">
          <a:avLst/>
        </a:prstGeom>
        <a:ln>
          <a:solidFill>
            <a:schemeClr val="tx1"/>
          </a:solidFill>
        </a:ln>
      </xdr:spPr>
    </xdr:pic>
    <xdr:clientData/>
  </xdr:twoCellAnchor>
  <xdr:twoCellAnchor>
    <xdr:from>
      <xdr:col>1</xdr:col>
      <xdr:colOff>409575</xdr:colOff>
      <xdr:row>545</xdr:row>
      <xdr:rowOff>133350</xdr:rowOff>
    </xdr:from>
    <xdr:to>
      <xdr:col>6</xdr:col>
      <xdr:colOff>327251</xdr:colOff>
      <xdr:row>567</xdr:row>
      <xdr:rowOff>52800</xdr:rowOff>
    </xdr:to>
    <xdr:grpSp>
      <xdr:nvGrpSpPr>
        <xdr:cNvPr id="45" name="Group 44">
          <a:extLst>
            <a:ext uri="{FF2B5EF4-FFF2-40B4-BE49-F238E27FC236}">
              <a16:creationId xmlns:a16="http://schemas.microsoft.com/office/drawing/2014/main" id="{00000000-0008-0000-0000-00002D000000}"/>
            </a:ext>
          </a:extLst>
        </xdr:cNvPr>
        <xdr:cNvGrpSpPr/>
      </xdr:nvGrpSpPr>
      <xdr:grpSpPr>
        <a:xfrm>
          <a:off x="1209675" y="102901750"/>
          <a:ext cx="4203926" cy="4250150"/>
          <a:chOff x="1427049" y="2412000"/>
          <a:chExt cx="4003901" cy="4320000"/>
        </a:xfrm>
      </xdr:grpSpPr>
      <xdr:grpSp>
        <xdr:nvGrpSpPr>
          <xdr:cNvPr id="46" name="Group 45">
            <a:extLst>
              <a:ext uri="{FF2B5EF4-FFF2-40B4-BE49-F238E27FC236}">
                <a16:creationId xmlns:a16="http://schemas.microsoft.com/office/drawing/2014/main" id="{00000000-0008-0000-0000-00002E000000}"/>
              </a:ext>
            </a:extLst>
          </xdr:cNvPr>
          <xdr:cNvGrpSpPr/>
        </xdr:nvGrpSpPr>
        <xdr:grpSpPr>
          <a:xfrm>
            <a:off x="1427049" y="2412000"/>
            <a:ext cx="4003901" cy="4320000"/>
            <a:chOff x="1427049" y="2412000"/>
            <a:chExt cx="4003901" cy="4320000"/>
          </a:xfrm>
        </xdr:grpSpPr>
        <xdr:grpSp>
          <xdr:nvGrpSpPr>
            <xdr:cNvPr id="50" name="Group 49">
              <a:extLst>
                <a:ext uri="{FF2B5EF4-FFF2-40B4-BE49-F238E27FC236}">
                  <a16:creationId xmlns:a16="http://schemas.microsoft.com/office/drawing/2014/main" id="{00000000-0008-0000-0000-000032000000}"/>
                </a:ext>
              </a:extLst>
            </xdr:cNvPr>
            <xdr:cNvGrpSpPr/>
          </xdr:nvGrpSpPr>
          <xdr:grpSpPr>
            <a:xfrm>
              <a:off x="1427049" y="2412000"/>
              <a:ext cx="4003901" cy="4320000"/>
              <a:chOff x="0" y="0"/>
              <a:chExt cx="4003901" cy="4320000"/>
            </a:xfrm>
          </xdr:grpSpPr>
          <xdr:pic>
            <xdr:nvPicPr>
              <xdr:cNvPr id="52" name="Picture 51">
                <a:extLst>
                  <a:ext uri="{FF2B5EF4-FFF2-40B4-BE49-F238E27FC236}">
                    <a16:creationId xmlns:a16="http://schemas.microsoft.com/office/drawing/2014/main" id="{00000000-0008-0000-0000-000034000000}"/>
                  </a:ext>
                </a:extLst>
              </xdr:cNvPr>
              <xdr:cNvPicPr>
                <a:picLocks noChangeAspect="1"/>
              </xdr:cNvPicPr>
            </xdr:nvPicPr>
            <xdr:blipFill rotWithShape="1">
              <a:blip xmlns:r="http://schemas.openxmlformats.org/officeDocument/2006/relationships" r:embed="rId13" cstate="email">
                <a:extLst>
                  <a:ext uri="{28A0092B-C50C-407E-A947-70E740481C1C}">
                    <a14:useLocalDpi xmlns:a14="http://schemas.microsoft.com/office/drawing/2010/main"/>
                  </a:ext>
                </a:extLst>
              </a:blip>
              <a:srcRect/>
              <a:stretch/>
            </xdr:blipFill>
            <xdr:spPr>
              <a:xfrm>
                <a:off x="0" y="0"/>
                <a:ext cx="4003901" cy="4320000"/>
              </a:xfrm>
              <a:prstGeom prst="rect">
                <a:avLst/>
              </a:prstGeom>
              <a:ln>
                <a:solidFill>
                  <a:schemeClr val="tx1"/>
                </a:solidFill>
              </a:ln>
            </xdr:spPr>
          </xdr:pic>
          <xdr:sp macro="" textlink="">
            <xdr:nvSpPr>
              <xdr:cNvPr id="53" name="Freeform 52">
                <a:extLst>
                  <a:ext uri="{FF2B5EF4-FFF2-40B4-BE49-F238E27FC236}">
                    <a16:creationId xmlns:a16="http://schemas.microsoft.com/office/drawing/2014/main" id="{00000000-0008-0000-0000-000035000000}"/>
                  </a:ext>
                </a:extLst>
              </xdr:cNvPr>
              <xdr:cNvSpPr/>
            </xdr:nvSpPr>
            <xdr:spPr>
              <a:xfrm>
                <a:off x="1102633" y="1212262"/>
                <a:ext cx="1397000" cy="571500"/>
              </a:xfrm>
              <a:custGeom>
                <a:avLst/>
                <a:gdLst>
                  <a:gd name="connsiteX0" fmla="*/ 0 w 1397000"/>
                  <a:gd name="connsiteY0" fmla="*/ 571500 h 571500"/>
                  <a:gd name="connsiteX1" fmla="*/ 1352550 w 1397000"/>
                  <a:gd name="connsiteY1" fmla="*/ 101600 h 571500"/>
                  <a:gd name="connsiteX2" fmla="*/ 1397000 w 1397000"/>
                  <a:gd name="connsiteY2" fmla="*/ 0 h 571500"/>
                </a:gdLst>
                <a:ahLst/>
                <a:cxnLst>
                  <a:cxn ang="0">
                    <a:pos x="connsiteX0" y="connsiteY0"/>
                  </a:cxn>
                  <a:cxn ang="0">
                    <a:pos x="connsiteX1" y="connsiteY1"/>
                  </a:cxn>
                  <a:cxn ang="0">
                    <a:pos x="connsiteX2" y="connsiteY2"/>
                  </a:cxn>
                </a:cxnLst>
                <a:rect l="l" t="t" r="r" b="b"/>
                <a:pathLst>
                  <a:path w="1397000" h="571500">
                    <a:moveTo>
                      <a:pt x="0" y="571500"/>
                    </a:moveTo>
                    <a:lnTo>
                      <a:pt x="1352550" y="101600"/>
                    </a:lnTo>
                    <a:lnTo>
                      <a:pt x="1397000" y="0"/>
                    </a:lnTo>
                  </a:path>
                </a:pathLst>
              </a:cu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4" name="Freeform 53">
                <a:extLst>
                  <a:ext uri="{FF2B5EF4-FFF2-40B4-BE49-F238E27FC236}">
                    <a16:creationId xmlns:a16="http://schemas.microsoft.com/office/drawing/2014/main" id="{00000000-0008-0000-0000-000036000000}"/>
                  </a:ext>
                </a:extLst>
              </xdr:cNvPr>
              <xdr:cNvSpPr/>
            </xdr:nvSpPr>
            <xdr:spPr>
              <a:xfrm>
                <a:off x="1026433" y="1377362"/>
                <a:ext cx="1587500" cy="654050"/>
              </a:xfrm>
              <a:custGeom>
                <a:avLst/>
                <a:gdLst>
                  <a:gd name="connsiteX0" fmla="*/ 0 w 1587500"/>
                  <a:gd name="connsiteY0" fmla="*/ 654050 h 654050"/>
                  <a:gd name="connsiteX1" fmla="*/ 0 w 1587500"/>
                  <a:gd name="connsiteY1" fmla="*/ 654050 h 654050"/>
                  <a:gd name="connsiteX2" fmla="*/ 704850 w 1587500"/>
                  <a:gd name="connsiteY2" fmla="*/ 292100 h 654050"/>
                  <a:gd name="connsiteX3" fmla="*/ 1054100 w 1587500"/>
                  <a:gd name="connsiteY3" fmla="*/ 209550 h 654050"/>
                  <a:gd name="connsiteX4" fmla="*/ 1587500 w 1587500"/>
                  <a:gd name="connsiteY4" fmla="*/ 0 h 6540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87500" h="654050">
                    <a:moveTo>
                      <a:pt x="0" y="654050"/>
                    </a:moveTo>
                    <a:lnTo>
                      <a:pt x="0" y="654050"/>
                    </a:lnTo>
                    <a:lnTo>
                      <a:pt x="704850" y="292100"/>
                    </a:lnTo>
                    <a:lnTo>
                      <a:pt x="1054100" y="209550"/>
                    </a:lnTo>
                    <a:lnTo>
                      <a:pt x="1587500" y="0"/>
                    </a:lnTo>
                  </a:path>
                </a:pathLst>
              </a:cu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55" name="TextBox 50">
                <a:extLst>
                  <a:ext uri="{FF2B5EF4-FFF2-40B4-BE49-F238E27FC236}">
                    <a16:creationId xmlns:a16="http://schemas.microsoft.com/office/drawing/2014/main" id="{00000000-0008-0000-0000-000037000000}"/>
                  </a:ext>
                </a:extLst>
              </xdr:cNvPr>
              <xdr:cNvSpPr txBox="1"/>
            </xdr:nvSpPr>
            <xdr:spPr>
              <a:xfrm rot="20494161">
                <a:off x="2090453" y="1290623"/>
                <a:ext cx="471604" cy="2539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50" b="1">
                    <a:solidFill>
                      <a:srgbClr val="FFFF00"/>
                    </a:solidFill>
                  </a:rPr>
                  <a:t>Nalla</a:t>
                </a:r>
                <a:endParaRPr lang="en-IN" sz="1050" b="1">
                  <a:solidFill>
                    <a:srgbClr val="FFFF00"/>
                  </a:solidFill>
                </a:endParaRPr>
              </a:p>
            </xdr:txBody>
          </xdr:sp>
          <xdr:cxnSp macro="">
            <xdr:nvCxnSpPr>
              <xdr:cNvPr id="56" name="Straight Connector 55">
                <a:extLst>
                  <a:ext uri="{FF2B5EF4-FFF2-40B4-BE49-F238E27FC236}">
                    <a16:creationId xmlns:a16="http://schemas.microsoft.com/office/drawing/2014/main" id="{00000000-0008-0000-0000-000038000000}"/>
                  </a:ext>
                </a:extLst>
              </xdr:cNvPr>
              <xdr:cNvCxnSpPr>
                <a:endCxn id="54" idx="0"/>
              </xdr:cNvCxnSpPr>
            </xdr:nvCxnSpPr>
            <xdr:spPr>
              <a:xfrm flipH="1">
                <a:off x="1026433" y="1783762"/>
                <a:ext cx="76200" cy="247650"/>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57" name="Straight Connector 56">
                <a:extLst>
                  <a:ext uri="{FF2B5EF4-FFF2-40B4-BE49-F238E27FC236}">
                    <a16:creationId xmlns:a16="http://schemas.microsoft.com/office/drawing/2014/main" id="{00000000-0008-0000-0000-000039000000}"/>
                  </a:ext>
                </a:extLst>
              </xdr:cNvPr>
              <xdr:cNvCxnSpPr/>
            </xdr:nvCxnSpPr>
            <xdr:spPr>
              <a:xfrm>
                <a:off x="1237571" y="1736137"/>
                <a:ext cx="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58" name="Straight Connector 57">
                <a:extLst>
                  <a:ext uri="{FF2B5EF4-FFF2-40B4-BE49-F238E27FC236}">
                    <a16:creationId xmlns:a16="http://schemas.microsoft.com/office/drawing/2014/main" id="{00000000-0008-0000-0000-00003A000000}"/>
                  </a:ext>
                </a:extLst>
              </xdr:cNvPr>
              <xdr:cNvCxnSpPr/>
            </xdr:nvCxnSpPr>
            <xdr:spPr>
              <a:xfrm flipH="1">
                <a:off x="1183591" y="1726124"/>
                <a:ext cx="66675" cy="219075"/>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59" name="Straight Connector 58">
                <a:extLst>
                  <a:ext uri="{FF2B5EF4-FFF2-40B4-BE49-F238E27FC236}">
                    <a16:creationId xmlns:a16="http://schemas.microsoft.com/office/drawing/2014/main" id="{00000000-0008-0000-0000-00003B000000}"/>
                  </a:ext>
                </a:extLst>
              </xdr:cNvPr>
              <xdr:cNvCxnSpPr/>
            </xdr:nvCxnSpPr>
            <xdr:spPr>
              <a:xfrm flipH="1">
                <a:off x="1299485" y="1704387"/>
                <a:ext cx="61913" cy="203200"/>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a:extLst>
                  <a:ext uri="{FF2B5EF4-FFF2-40B4-BE49-F238E27FC236}">
                    <a16:creationId xmlns:a16="http://schemas.microsoft.com/office/drawing/2014/main" id="{00000000-0008-0000-0000-00003C000000}"/>
                  </a:ext>
                </a:extLst>
              </xdr:cNvPr>
              <xdr:cNvCxnSpPr/>
            </xdr:nvCxnSpPr>
            <xdr:spPr>
              <a:xfrm flipH="1">
                <a:off x="1437596" y="1655175"/>
                <a:ext cx="42862" cy="150812"/>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61" name="Straight Connector 60">
                <a:extLst>
                  <a:ext uri="{FF2B5EF4-FFF2-40B4-BE49-F238E27FC236}">
                    <a16:creationId xmlns:a16="http://schemas.microsoft.com/office/drawing/2014/main" id="{00000000-0008-0000-0000-00003D000000}"/>
                  </a:ext>
                </a:extLst>
              </xdr:cNvPr>
              <xdr:cNvCxnSpPr/>
            </xdr:nvCxnSpPr>
            <xdr:spPr>
              <a:xfrm flipH="1">
                <a:off x="1558246" y="1602256"/>
                <a:ext cx="48418" cy="168013"/>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a:extLst>
                  <a:ext uri="{FF2B5EF4-FFF2-40B4-BE49-F238E27FC236}">
                    <a16:creationId xmlns:a16="http://schemas.microsoft.com/office/drawing/2014/main" id="{00000000-0008-0000-0000-00003E000000}"/>
                  </a:ext>
                </a:extLst>
              </xdr:cNvPr>
              <xdr:cNvCxnSpPr/>
            </xdr:nvCxnSpPr>
            <xdr:spPr>
              <a:xfrm flipH="1">
                <a:off x="1682866" y="1571831"/>
                <a:ext cx="44847" cy="114431"/>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63" name="Straight Connector 62">
                <a:extLst>
                  <a:ext uri="{FF2B5EF4-FFF2-40B4-BE49-F238E27FC236}">
                    <a16:creationId xmlns:a16="http://schemas.microsoft.com/office/drawing/2014/main" id="{00000000-0008-0000-0000-00003F000000}"/>
                  </a:ext>
                </a:extLst>
              </xdr:cNvPr>
              <xdr:cNvCxnSpPr/>
            </xdr:nvCxnSpPr>
            <xdr:spPr>
              <a:xfrm flipH="1">
                <a:off x="1815423" y="1526587"/>
                <a:ext cx="41275" cy="128588"/>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a:extLst>
                  <a:ext uri="{FF2B5EF4-FFF2-40B4-BE49-F238E27FC236}">
                    <a16:creationId xmlns:a16="http://schemas.microsoft.com/office/drawing/2014/main" id="{00000000-0008-0000-0000-000040000000}"/>
                  </a:ext>
                </a:extLst>
              </xdr:cNvPr>
              <xdr:cNvCxnSpPr/>
            </xdr:nvCxnSpPr>
            <xdr:spPr>
              <a:xfrm flipH="1">
                <a:off x="1958845" y="1464675"/>
                <a:ext cx="41671" cy="137581"/>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a:extLst>
                  <a:ext uri="{FF2B5EF4-FFF2-40B4-BE49-F238E27FC236}">
                    <a16:creationId xmlns:a16="http://schemas.microsoft.com/office/drawing/2014/main" id="{00000000-0008-0000-0000-000041000000}"/>
                  </a:ext>
                </a:extLst>
              </xdr:cNvPr>
              <xdr:cNvCxnSpPr/>
            </xdr:nvCxnSpPr>
            <xdr:spPr>
              <a:xfrm flipH="1">
                <a:off x="2092838" y="1429221"/>
                <a:ext cx="41671" cy="137581"/>
              </a:xfrm>
              <a:prstGeom prst="line">
                <a:avLst/>
              </a:prstGeom>
              <a:ln>
                <a:solidFill>
                  <a:srgbClr val="C0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51" name="Freeform 50">
              <a:extLst>
                <a:ext uri="{FF2B5EF4-FFF2-40B4-BE49-F238E27FC236}">
                  <a16:creationId xmlns:a16="http://schemas.microsoft.com/office/drawing/2014/main" id="{00000000-0008-0000-0000-000033000000}"/>
                </a:ext>
              </a:extLst>
            </xdr:cNvPr>
            <xdr:cNvSpPr/>
          </xdr:nvSpPr>
          <xdr:spPr>
            <a:xfrm>
              <a:off x="2190750" y="2990850"/>
              <a:ext cx="1733550" cy="2870200"/>
            </a:xfrm>
            <a:custGeom>
              <a:avLst/>
              <a:gdLst>
                <a:gd name="connsiteX0" fmla="*/ 152400 w 1733550"/>
                <a:gd name="connsiteY0" fmla="*/ 355600 h 2870200"/>
                <a:gd name="connsiteX1" fmla="*/ 895350 w 1733550"/>
                <a:gd name="connsiteY1" fmla="*/ 0 h 2870200"/>
                <a:gd name="connsiteX2" fmla="*/ 1365250 w 1733550"/>
                <a:gd name="connsiteY2" fmla="*/ 1098550 h 2870200"/>
                <a:gd name="connsiteX3" fmla="*/ 1441450 w 1733550"/>
                <a:gd name="connsiteY3" fmla="*/ 1174750 h 2870200"/>
                <a:gd name="connsiteX4" fmla="*/ 1352550 w 1733550"/>
                <a:gd name="connsiteY4" fmla="*/ 1301750 h 2870200"/>
                <a:gd name="connsiteX5" fmla="*/ 1733550 w 1733550"/>
                <a:gd name="connsiteY5" fmla="*/ 2825750 h 2870200"/>
                <a:gd name="connsiteX6" fmla="*/ 1498600 w 1733550"/>
                <a:gd name="connsiteY6" fmla="*/ 2870200 h 2870200"/>
                <a:gd name="connsiteX7" fmla="*/ 1111250 w 1733550"/>
                <a:gd name="connsiteY7" fmla="*/ 2806700 h 2870200"/>
                <a:gd name="connsiteX8" fmla="*/ 1384300 w 1733550"/>
                <a:gd name="connsiteY8" fmla="*/ 2641600 h 2870200"/>
                <a:gd name="connsiteX9" fmla="*/ 1301750 w 1733550"/>
                <a:gd name="connsiteY9" fmla="*/ 2527300 h 2870200"/>
                <a:gd name="connsiteX10" fmla="*/ 990600 w 1733550"/>
                <a:gd name="connsiteY10" fmla="*/ 2673350 h 2870200"/>
                <a:gd name="connsiteX11" fmla="*/ 0 w 1733550"/>
                <a:gd name="connsiteY11" fmla="*/ 1168400 h 2870200"/>
                <a:gd name="connsiteX12" fmla="*/ 444500 w 1733550"/>
                <a:gd name="connsiteY12" fmla="*/ 952500 h 2870200"/>
                <a:gd name="connsiteX13" fmla="*/ 152400 w 1733550"/>
                <a:gd name="connsiteY13" fmla="*/ 355600 h 28702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733550" h="2870200">
                  <a:moveTo>
                    <a:pt x="152400" y="355600"/>
                  </a:moveTo>
                  <a:lnTo>
                    <a:pt x="895350" y="0"/>
                  </a:lnTo>
                  <a:lnTo>
                    <a:pt x="1365250" y="1098550"/>
                  </a:lnTo>
                  <a:lnTo>
                    <a:pt x="1441450" y="1174750"/>
                  </a:lnTo>
                  <a:lnTo>
                    <a:pt x="1352550" y="1301750"/>
                  </a:lnTo>
                  <a:lnTo>
                    <a:pt x="1733550" y="2825750"/>
                  </a:lnTo>
                  <a:lnTo>
                    <a:pt x="1498600" y="2870200"/>
                  </a:lnTo>
                  <a:lnTo>
                    <a:pt x="1111250" y="2806700"/>
                  </a:lnTo>
                  <a:lnTo>
                    <a:pt x="1384300" y="2641600"/>
                  </a:lnTo>
                  <a:lnTo>
                    <a:pt x="1301750" y="2527300"/>
                  </a:lnTo>
                  <a:lnTo>
                    <a:pt x="990600" y="2673350"/>
                  </a:lnTo>
                  <a:lnTo>
                    <a:pt x="0" y="1168400"/>
                  </a:lnTo>
                  <a:lnTo>
                    <a:pt x="444500" y="952500"/>
                  </a:lnTo>
                  <a:lnTo>
                    <a:pt x="152400" y="35560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xnSp macro="">
        <xdr:nvCxnSpPr>
          <xdr:cNvPr id="47" name="Straight Connector 46">
            <a:extLst>
              <a:ext uri="{FF2B5EF4-FFF2-40B4-BE49-F238E27FC236}">
                <a16:creationId xmlns:a16="http://schemas.microsoft.com/office/drawing/2014/main" id="{00000000-0008-0000-0000-00002F000000}"/>
              </a:ext>
            </a:extLst>
          </xdr:cNvPr>
          <xdr:cNvCxnSpPr/>
        </xdr:nvCxnSpPr>
        <xdr:spPr>
          <a:xfrm flipV="1">
            <a:off x="2250679" y="2968625"/>
            <a:ext cx="991791" cy="4635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a:extLst>
              <a:ext uri="{FF2B5EF4-FFF2-40B4-BE49-F238E27FC236}">
                <a16:creationId xmlns:a16="http://schemas.microsoft.com/office/drawing/2014/main" id="{00000000-0008-0000-0000-000030000000}"/>
              </a:ext>
            </a:extLst>
          </xdr:cNvPr>
          <xdr:cNvCxnSpPr/>
        </xdr:nvCxnSpPr>
        <xdr:spPr>
          <a:xfrm flipV="1">
            <a:off x="2195513" y="2955131"/>
            <a:ext cx="991791" cy="463550"/>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49" name="TextBox 101">
            <a:extLst>
              <a:ext uri="{FF2B5EF4-FFF2-40B4-BE49-F238E27FC236}">
                <a16:creationId xmlns:a16="http://schemas.microsoft.com/office/drawing/2014/main" id="{00000000-0008-0000-0000-000031000000}"/>
              </a:ext>
            </a:extLst>
          </xdr:cNvPr>
          <xdr:cNvSpPr txBox="1"/>
        </xdr:nvSpPr>
        <xdr:spPr>
          <a:xfrm rot="19862082">
            <a:off x="2095624" y="3137501"/>
            <a:ext cx="486030" cy="2616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100" b="1">
                <a:solidFill>
                  <a:srgbClr val="FFFF00"/>
                </a:solidFill>
              </a:rPr>
              <a:t>Nalla</a:t>
            </a:r>
            <a:endParaRPr lang="en-IN" sz="1100" b="1">
              <a:solidFill>
                <a:srgbClr val="FFFF00"/>
              </a:solidFill>
            </a:endParaRPr>
          </a:p>
        </xdr:txBody>
      </xdr:sp>
    </xdr:grpSp>
    <xdr:clientData/>
  </xdr:twoCellAnchor>
  <xdr:twoCellAnchor editAs="oneCell">
    <xdr:from>
      <xdr:col>8</xdr:col>
      <xdr:colOff>285750</xdr:colOff>
      <xdr:row>15</xdr:row>
      <xdr:rowOff>581025</xdr:rowOff>
    </xdr:from>
    <xdr:to>
      <xdr:col>14</xdr:col>
      <xdr:colOff>351769</xdr:colOff>
      <xdr:row>19</xdr:row>
      <xdr:rowOff>161855</xdr:rowOff>
    </xdr:to>
    <xdr:pic>
      <xdr:nvPicPr>
        <xdr:cNvPr id="66" name="Pictur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14"/>
        <a:stretch>
          <a:fillRect/>
        </a:stretch>
      </xdr:blipFill>
      <xdr:spPr>
        <a:xfrm>
          <a:off x="6600825" y="4638675"/>
          <a:ext cx="5247619" cy="561905"/>
        </a:xfrm>
        <a:prstGeom prst="rect">
          <a:avLst/>
        </a:prstGeom>
        <a:ln>
          <a:solidFill>
            <a:schemeClr val="tx1"/>
          </a:solidFill>
        </a:ln>
      </xdr:spPr>
    </xdr:pic>
    <xdr:clientData/>
  </xdr:twoCellAnchor>
  <xdr:twoCellAnchor editAs="oneCell">
    <xdr:from>
      <xdr:col>8</xdr:col>
      <xdr:colOff>457200</xdr:colOff>
      <xdr:row>40</xdr:row>
      <xdr:rowOff>171450</xdr:rowOff>
    </xdr:from>
    <xdr:to>
      <xdr:col>11</xdr:col>
      <xdr:colOff>675919</xdr:colOff>
      <xdr:row>49</xdr:row>
      <xdr:rowOff>95006</xdr:rowOff>
    </xdr:to>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5"/>
        <a:stretch>
          <a:fillRect/>
        </a:stretch>
      </xdr:blipFill>
      <xdr:spPr>
        <a:xfrm>
          <a:off x="6772275" y="9858375"/>
          <a:ext cx="2847619" cy="1952381"/>
        </a:xfrm>
        <a:prstGeom prst="rect">
          <a:avLst/>
        </a:prstGeom>
        <a:ln>
          <a:solidFill>
            <a:schemeClr val="tx1"/>
          </a:solidFill>
        </a:ln>
      </xdr:spPr>
    </xdr:pic>
    <xdr:clientData/>
  </xdr:twoCellAnchor>
  <xdr:twoCellAnchor editAs="oneCell">
    <xdr:from>
      <xdr:col>8</xdr:col>
      <xdr:colOff>571500</xdr:colOff>
      <xdr:row>49</xdr:row>
      <xdr:rowOff>190500</xdr:rowOff>
    </xdr:from>
    <xdr:to>
      <xdr:col>11</xdr:col>
      <xdr:colOff>656886</xdr:colOff>
      <xdr:row>52</xdr:row>
      <xdr:rowOff>523756</xdr:rowOff>
    </xdr:to>
    <xdr:pic>
      <xdr:nvPicPr>
        <xdr:cNvPr id="68" name="Picture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16"/>
        <a:stretch>
          <a:fillRect/>
        </a:stretch>
      </xdr:blipFill>
      <xdr:spPr>
        <a:xfrm>
          <a:off x="6886575" y="11906250"/>
          <a:ext cx="2714286" cy="952381"/>
        </a:xfrm>
        <a:prstGeom prst="rect">
          <a:avLst/>
        </a:prstGeom>
        <a:ln>
          <a:solidFill>
            <a:schemeClr val="tx1"/>
          </a:solidFill>
        </a:ln>
      </xdr:spPr>
    </xdr:pic>
    <xdr:clientData/>
  </xdr:twoCellAnchor>
  <xdr:twoCellAnchor editAs="oneCell">
    <xdr:from>
      <xdr:col>8</xdr:col>
      <xdr:colOff>714375</xdr:colOff>
      <xdr:row>62</xdr:row>
      <xdr:rowOff>161925</xdr:rowOff>
    </xdr:from>
    <xdr:to>
      <xdr:col>16</xdr:col>
      <xdr:colOff>256386</xdr:colOff>
      <xdr:row>75</xdr:row>
      <xdr:rowOff>75806</xdr:rowOff>
    </xdr:to>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17"/>
        <a:stretch>
          <a:fillRect/>
        </a:stretch>
      </xdr:blipFill>
      <xdr:spPr>
        <a:xfrm>
          <a:off x="7029450" y="14258925"/>
          <a:ext cx="6314286" cy="3152381"/>
        </a:xfrm>
        <a:prstGeom prst="rect">
          <a:avLst/>
        </a:prstGeom>
        <a:ln>
          <a:solidFill>
            <a:schemeClr val="tx1"/>
          </a:solidFill>
        </a:ln>
      </xdr:spPr>
    </xdr:pic>
    <xdr:clientData/>
  </xdr:twoCellAnchor>
  <xdr:twoCellAnchor editAs="oneCell">
    <xdr:from>
      <xdr:col>10</xdr:col>
      <xdr:colOff>114299</xdr:colOff>
      <xdr:row>227</xdr:row>
      <xdr:rowOff>485775</xdr:rowOff>
    </xdr:from>
    <xdr:to>
      <xdr:col>13</xdr:col>
      <xdr:colOff>27123</xdr:colOff>
      <xdr:row>243</xdr:row>
      <xdr:rowOff>125325</xdr:rowOff>
    </xdr:to>
    <xdr:pic>
      <xdr:nvPicPr>
        <xdr:cNvPr id="70" name="Pictur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18"/>
        <a:stretch>
          <a:fillRect/>
        </a:stretch>
      </xdr:blipFill>
      <xdr:spPr>
        <a:xfrm>
          <a:off x="8353424" y="53978175"/>
          <a:ext cx="2332174" cy="3240000"/>
        </a:xfrm>
        <a:prstGeom prst="rect">
          <a:avLst/>
        </a:prstGeom>
        <a:ln>
          <a:solidFill>
            <a:schemeClr val="tx1"/>
          </a:solidFill>
        </a:ln>
      </xdr:spPr>
    </xdr:pic>
    <xdr:clientData/>
  </xdr:twoCellAnchor>
  <xdr:twoCellAnchor editAs="oneCell">
    <xdr:from>
      <xdr:col>9</xdr:col>
      <xdr:colOff>752475</xdr:colOff>
      <xdr:row>245</xdr:row>
      <xdr:rowOff>57150</xdr:rowOff>
    </xdr:from>
    <xdr:to>
      <xdr:col>12</xdr:col>
      <xdr:colOff>493543</xdr:colOff>
      <xdr:row>265</xdr:row>
      <xdr:rowOff>136800</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19"/>
        <a:stretch>
          <a:fillRect/>
        </a:stretch>
      </xdr:blipFill>
      <xdr:spPr>
        <a:xfrm>
          <a:off x="8229600" y="57550050"/>
          <a:ext cx="2131843" cy="2880000"/>
        </a:xfrm>
        <a:prstGeom prst="rect">
          <a:avLst/>
        </a:prstGeom>
        <a:ln>
          <a:solidFill>
            <a:schemeClr val="tx1"/>
          </a:solidFill>
        </a:ln>
      </xdr:spPr>
    </xdr:pic>
    <xdr:clientData/>
  </xdr:twoCellAnchor>
  <xdr:twoCellAnchor editAs="oneCell">
    <xdr:from>
      <xdr:col>11</xdr:col>
      <xdr:colOff>638175</xdr:colOff>
      <xdr:row>273</xdr:row>
      <xdr:rowOff>38100</xdr:rowOff>
    </xdr:from>
    <xdr:to>
      <xdr:col>16</xdr:col>
      <xdr:colOff>161467</xdr:colOff>
      <xdr:row>284</xdr:row>
      <xdr:rowOff>18777</xdr:rowOff>
    </xdr:to>
    <xdr:pic>
      <xdr:nvPicPr>
        <xdr:cNvPr id="73" name="Pictur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20"/>
        <a:stretch>
          <a:fillRect/>
        </a:stretch>
      </xdr:blipFill>
      <xdr:spPr>
        <a:xfrm>
          <a:off x="9582150" y="54625875"/>
          <a:ext cx="3666667" cy="2180952"/>
        </a:xfrm>
        <a:prstGeom prst="rect">
          <a:avLst/>
        </a:prstGeom>
        <a:ln>
          <a:solidFill>
            <a:schemeClr val="tx2"/>
          </a:solidFill>
        </a:ln>
      </xdr:spPr>
    </xdr:pic>
    <xdr:clientData/>
  </xdr:twoCellAnchor>
  <xdr:twoCellAnchor editAs="oneCell">
    <xdr:from>
      <xdr:col>10</xdr:col>
      <xdr:colOff>9525</xdr:colOff>
      <xdr:row>285</xdr:row>
      <xdr:rowOff>9525</xdr:rowOff>
    </xdr:from>
    <xdr:to>
      <xdr:col>14</xdr:col>
      <xdr:colOff>475784</xdr:colOff>
      <xdr:row>295</xdr:row>
      <xdr:rowOff>114037</xdr:rowOff>
    </xdr:to>
    <xdr:pic>
      <xdr:nvPicPr>
        <xdr:cNvPr id="74" name="Pictur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21"/>
        <a:stretch>
          <a:fillRect/>
        </a:stretch>
      </xdr:blipFill>
      <xdr:spPr>
        <a:xfrm>
          <a:off x="8248650" y="64703325"/>
          <a:ext cx="3723809" cy="2104762"/>
        </a:xfrm>
        <a:prstGeom prst="rect">
          <a:avLst/>
        </a:prstGeom>
        <a:ln>
          <a:solidFill>
            <a:schemeClr val="tx1"/>
          </a:solidFill>
        </a:ln>
      </xdr:spPr>
    </xdr:pic>
    <xdr:clientData/>
  </xdr:twoCellAnchor>
  <xdr:twoCellAnchor editAs="oneCell">
    <xdr:from>
      <xdr:col>12</xdr:col>
      <xdr:colOff>38100</xdr:colOff>
      <xdr:row>296</xdr:row>
      <xdr:rowOff>57150</xdr:rowOff>
    </xdr:from>
    <xdr:to>
      <xdr:col>16</xdr:col>
      <xdr:colOff>571031</xdr:colOff>
      <xdr:row>305</xdr:row>
      <xdr:rowOff>171211</xdr:rowOff>
    </xdr:to>
    <xdr:pic>
      <xdr:nvPicPr>
        <xdr:cNvPr id="75" name="Pictur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22"/>
        <a:stretch>
          <a:fillRect/>
        </a:stretch>
      </xdr:blipFill>
      <xdr:spPr>
        <a:xfrm>
          <a:off x="9906000" y="59245500"/>
          <a:ext cx="3752381" cy="1914286"/>
        </a:xfrm>
        <a:prstGeom prst="rect">
          <a:avLst/>
        </a:prstGeom>
        <a:ln>
          <a:solidFill>
            <a:schemeClr val="tx1"/>
          </a:solidFill>
        </a:ln>
      </xdr:spPr>
    </xdr:pic>
    <xdr:clientData/>
  </xdr:twoCellAnchor>
  <xdr:twoCellAnchor editAs="oneCell">
    <xdr:from>
      <xdr:col>12</xdr:col>
      <xdr:colOff>209550</xdr:colOff>
      <xdr:row>307</xdr:row>
      <xdr:rowOff>47626</xdr:rowOff>
    </xdr:from>
    <xdr:to>
      <xdr:col>15</xdr:col>
      <xdr:colOff>651150</xdr:colOff>
      <xdr:row>316</xdr:row>
      <xdr:rowOff>99316</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23"/>
        <a:stretch>
          <a:fillRect/>
        </a:stretch>
      </xdr:blipFill>
      <xdr:spPr>
        <a:xfrm>
          <a:off x="10077450" y="61436251"/>
          <a:ext cx="2880000" cy="1851915"/>
        </a:xfrm>
        <a:prstGeom prst="rect">
          <a:avLst/>
        </a:prstGeom>
        <a:ln>
          <a:solidFill>
            <a:schemeClr val="tx1"/>
          </a:solidFill>
        </a:ln>
      </xdr:spPr>
    </xdr:pic>
    <xdr:clientData/>
  </xdr:twoCellAnchor>
  <xdr:twoCellAnchor editAs="oneCell">
    <xdr:from>
      <xdr:col>8</xdr:col>
      <xdr:colOff>666750</xdr:colOff>
      <xdr:row>316</xdr:row>
      <xdr:rowOff>114300</xdr:rowOff>
    </xdr:from>
    <xdr:to>
      <xdr:col>11</xdr:col>
      <xdr:colOff>737850</xdr:colOff>
      <xdr:row>323</xdr:row>
      <xdr:rowOff>176076</xdr:rowOff>
    </xdr:to>
    <xdr:pic>
      <xdr:nvPicPr>
        <xdr:cNvPr id="77" name="Pictur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24"/>
        <a:stretch>
          <a:fillRect/>
        </a:stretch>
      </xdr:blipFill>
      <xdr:spPr>
        <a:xfrm>
          <a:off x="6981825" y="71008875"/>
          <a:ext cx="2700000" cy="1461951"/>
        </a:xfrm>
        <a:prstGeom prst="rect">
          <a:avLst/>
        </a:prstGeom>
        <a:ln>
          <a:solidFill>
            <a:schemeClr val="tx1"/>
          </a:solidFill>
        </a:ln>
      </xdr:spPr>
    </xdr:pic>
    <xdr:clientData/>
  </xdr:twoCellAnchor>
  <xdr:twoCellAnchor editAs="oneCell">
    <xdr:from>
      <xdr:col>11</xdr:col>
      <xdr:colOff>876300</xdr:colOff>
      <xdr:row>316</xdr:row>
      <xdr:rowOff>85725</xdr:rowOff>
    </xdr:from>
    <xdr:to>
      <xdr:col>15</xdr:col>
      <xdr:colOff>213975</xdr:colOff>
      <xdr:row>324</xdr:row>
      <xdr:rowOff>88650</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25"/>
        <a:stretch>
          <a:fillRect/>
        </a:stretch>
      </xdr:blipFill>
      <xdr:spPr>
        <a:xfrm>
          <a:off x="9820275" y="70980300"/>
          <a:ext cx="2700000" cy="1603125"/>
        </a:xfrm>
        <a:prstGeom prst="rect">
          <a:avLst/>
        </a:prstGeom>
        <a:ln>
          <a:solidFill>
            <a:schemeClr val="tx1"/>
          </a:solidFill>
        </a:ln>
      </xdr:spPr>
    </xdr:pic>
    <xdr:clientData/>
  </xdr:twoCellAnchor>
  <xdr:twoCellAnchor editAs="oneCell">
    <xdr:from>
      <xdr:col>8</xdr:col>
      <xdr:colOff>533400</xdr:colOff>
      <xdr:row>325</xdr:row>
      <xdr:rowOff>142875</xdr:rowOff>
    </xdr:from>
    <xdr:to>
      <xdr:col>12</xdr:col>
      <xdr:colOff>400575</xdr:colOff>
      <xdr:row>332</xdr:row>
      <xdr:rowOff>79738</xdr:rowOff>
    </xdr:to>
    <xdr:pic>
      <xdr:nvPicPr>
        <xdr:cNvPr id="79" name="Pictur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26"/>
        <a:stretch>
          <a:fillRect/>
        </a:stretch>
      </xdr:blipFill>
      <xdr:spPr>
        <a:xfrm>
          <a:off x="6848475" y="72837675"/>
          <a:ext cx="3420000" cy="1337038"/>
        </a:xfrm>
        <a:prstGeom prst="rect">
          <a:avLst/>
        </a:prstGeom>
        <a:ln>
          <a:solidFill>
            <a:schemeClr val="tx1"/>
          </a:solidFill>
        </a:ln>
      </xdr:spPr>
    </xdr:pic>
    <xdr:clientData/>
  </xdr:twoCellAnchor>
  <xdr:twoCellAnchor editAs="oneCell">
    <xdr:from>
      <xdr:col>8</xdr:col>
      <xdr:colOff>704850</xdr:colOff>
      <xdr:row>332</xdr:row>
      <xdr:rowOff>161925</xdr:rowOff>
    </xdr:from>
    <xdr:to>
      <xdr:col>12</xdr:col>
      <xdr:colOff>392025</xdr:colOff>
      <xdr:row>341</xdr:row>
      <xdr:rowOff>87982</xdr:rowOff>
    </xdr:to>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27"/>
        <a:stretch>
          <a:fillRect/>
        </a:stretch>
      </xdr:blipFill>
      <xdr:spPr>
        <a:xfrm>
          <a:off x="7019925" y="74256900"/>
          <a:ext cx="3240000" cy="1726282"/>
        </a:xfrm>
        <a:prstGeom prst="rect">
          <a:avLst/>
        </a:prstGeom>
        <a:ln>
          <a:solidFill>
            <a:schemeClr val="tx1"/>
          </a:solidFill>
        </a:ln>
      </xdr:spPr>
    </xdr:pic>
    <xdr:clientData/>
  </xdr:twoCellAnchor>
  <xdr:twoCellAnchor editAs="oneCell">
    <xdr:from>
      <xdr:col>9</xdr:col>
      <xdr:colOff>542925</xdr:colOff>
      <xdr:row>341</xdr:row>
      <xdr:rowOff>142875</xdr:rowOff>
    </xdr:from>
    <xdr:to>
      <xdr:col>13</xdr:col>
      <xdr:colOff>781575</xdr:colOff>
      <xdr:row>352</xdr:row>
      <xdr:rowOff>10106</xdr:rowOff>
    </xdr:to>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28"/>
        <a:stretch>
          <a:fillRect/>
        </a:stretch>
      </xdr:blipFill>
      <xdr:spPr>
        <a:xfrm>
          <a:off x="8020050" y="76038075"/>
          <a:ext cx="3420000" cy="2067506"/>
        </a:xfrm>
        <a:prstGeom prst="rect">
          <a:avLst/>
        </a:prstGeom>
        <a:ln>
          <a:solidFill>
            <a:schemeClr val="tx1"/>
          </a:solidFill>
        </a:ln>
      </xdr:spPr>
    </xdr:pic>
    <xdr:clientData/>
  </xdr:twoCellAnchor>
  <xdr:twoCellAnchor editAs="oneCell">
    <xdr:from>
      <xdr:col>11</xdr:col>
      <xdr:colOff>657225</xdr:colOff>
      <xdr:row>352</xdr:row>
      <xdr:rowOff>47625</xdr:rowOff>
    </xdr:from>
    <xdr:to>
      <xdr:col>15</xdr:col>
      <xdr:colOff>354900</xdr:colOff>
      <xdr:row>360</xdr:row>
      <xdr:rowOff>155983</xdr:rowOff>
    </xdr:to>
    <xdr:pic>
      <xdr:nvPicPr>
        <xdr:cNvPr id="82" name="Pictur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29"/>
        <a:stretch>
          <a:fillRect/>
        </a:stretch>
      </xdr:blipFill>
      <xdr:spPr>
        <a:xfrm>
          <a:off x="9601200" y="70437375"/>
          <a:ext cx="3060000" cy="1708558"/>
        </a:xfrm>
        <a:prstGeom prst="rect">
          <a:avLst/>
        </a:prstGeom>
        <a:ln>
          <a:solidFill>
            <a:schemeClr val="tx1"/>
          </a:solidFill>
        </a:ln>
      </xdr:spPr>
    </xdr:pic>
    <xdr:clientData/>
  </xdr:twoCellAnchor>
  <xdr:twoCellAnchor editAs="oneCell">
    <xdr:from>
      <xdr:col>11</xdr:col>
      <xdr:colOff>533400</xdr:colOff>
      <xdr:row>361</xdr:row>
      <xdr:rowOff>85725</xdr:rowOff>
    </xdr:from>
    <xdr:to>
      <xdr:col>15</xdr:col>
      <xdr:colOff>231075</xdr:colOff>
      <xdr:row>371</xdr:row>
      <xdr:rowOff>1942</xdr:rowOff>
    </xdr:to>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30"/>
        <a:stretch>
          <a:fillRect/>
        </a:stretch>
      </xdr:blipFill>
      <xdr:spPr>
        <a:xfrm>
          <a:off x="9477375" y="72275700"/>
          <a:ext cx="3060000" cy="1913292"/>
        </a:xfrm>
        <a:prstGeom prst="rect">
          <a:avLst/>
        </a:prstGeom>
        <a:ln>
          <a:solidFill>
            <a:schemeClr val="tx1"/>
          </a:solidFill>
        </a:ln>
      </xdr:spPr>
    </xdr:pic>
    <xdr:clientData/>
  </xdr:twoCellAnchor>
  <xdr:twoCellAnchor editAs="oneCell">
    <xdr:from>
      <xdr:col>11</xdr:col>
      <xdr:colOff>838200</xdr:colOff>
      <xdr:row>371</xdr:row>
      <xdr:rowOff>95250</xdr:rowOff>
    </xdr:from>
    <xdr:to>
      <xdr:col>15</xdr:col>
      <xdr:colOff>535875</xdr:colOff>
      <xdr:row>382</xdr:row>
      <xdr:rowOff>35716</xdr:rowOff>
    </xdr:to>
    <xdr:pic>
      <xdr:nvPicPr>
        <xdr:cNvPr id="84" name="Pictur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31"/>
        <a:stretch>
          <a:fillRect/>
        </a:stretch>
      </xdr:blipFill>
      <xdr:spPr>
        <a:xfrm>
          <a:off x="9782175" y="74285475"/>
          <a:ext cx="3060000" cy="2140741"/>
        </a:xfrm>
        <a:prstGeom prst="rect">
          <a:avLst/>
        </a:prstGeom>
        <a:ln>
          <a:solidFill>
            <a:schemeClr val="tx1"/>
          </a:solidFill>
        </a:ln>
      </xdr:spPr>
    </xdr:pic>
    <xdr:clientData/>
  </xdr:twoCellAnchor>
  <xdr:twoCellAnchor editAs="oneCell">
    <xdr:from>
      <xdr:col>11</xdr:col>
      <xdr:colOff>762000</xdr:colOff>
      <xdr:row>382</xdr:row>
      <xdr:rowOff>152400</xdr:rowOff>
    </xdr:from>
    <xdr:to>
      <xdr:col>15</xdr:col>
      <xdr:colOff>279675</xdr:colOff>
      <xdr:row>390</xdr:row>
      <xdr:rowOff>130073</xdr:rowOff>
    </xdr:to>
    <xdr:pic>
      <xdr:nvPicPr>
        <xdr:cNvPr id="85" name="Pictur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32"/>
        <a:stretch>
          <a:fillRect/>
        </a:stretch>
      </xdr:blipFill>
      <xdr:spPr>
        <a:xfrm>
          <a:off x="9705975" y="76542900"/>
          <a:ext cx="2880000" cy="1577873"/>
        </a:xfrm>
        <a:prstGeom prst="rect">
          <a:avLst/>
        </a:prstGeom>
        <a:ln>
          <a:solidFill>
            <a:schemeClr val="tx1"/>
          </a:solidFill>
        </a:ln>
      </xdr:spPr>
    </xdr:pic>
    <xdr:clientData/>
  </xdr:twoCellAnchor>
  <xdr:twoCellAnchor editAs="oneCell">
    <xdr:from>
      <xdr:col>11</xdr:col>
      <xdr:colOff>542925</xdr:colOff>
      <xdr:row>391</xdr:row>
      <xdr:rowOff>47625</xdr:rowOff>
    </xdr:from>
    <xdr:to>
      <xdr:col>15</xdr:col>
      <xdr:colOff>420600</xdr:colOff>
      <xdr:row>417</xdr:row>
      <xdr:rowOff>5464</xdr:rowOff>
    </xdr:to>
    <xdr:pic>
      <xdr:nvPicPr>
        <xdr:cNvPr id="86" name="Picture 85">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33"/>
        <a:stretch>
          <a:fillRect/>
        </a:stretch>
      </xdr:blipFill>
      <xdr:spPr>
        <a:xfrm>
          <a:off x="9486900" y="78238350"/>
          <a:ext cx="3240000" cy="2005714"/>
        </a:xfrm>
        <a:prstGeom prst="rect">
          <a:avLst/>
        </a:prstGeom>
        <a:ln>
          <a:solidFill>
            <a:schemeClr val="tx1"/>
          </a:solidFill>
        </a:ln>
      </xdr:spPr>
    </xdr:pic>
    <xdr:clientData/>
  </xdr:twoCellAnchor>
  <xdr:twoCellAnchor>
    <xdr:from>
      <xdr:col>2</xdr:col>
      <xdr:colOff>504825</xdr:colOff>
      <xdr:row>510</xdr:row>
      <xdr:rowOff>0</xdr:rowOff>
    </xdr:from>
    <xdr:to>
      <xdr:col>5</xdr:col>
      <xdr:colOff>161925</xdr:colOff>
      <xdr:row>510</xdr:row>
      <xdr:rowOff>19050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2066925" y="105527475"/>
          <a:ext cx="2200275" cy="19050"/>
        </a:xfrm>
        <a:prstGeom prst="line">
          <a:avLst/>
        </a:prstGeom>
        <a:ln w="381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438150</xdr:colOff>
      <xdr:row>511</xdr:row>
      <xdr:rowOff>47625</xdr:rowOff>
    </xdr:from>
    <xdr:to>
      <xdr:col>5</xdr:col>
      <xdr:colOff>95250</xdr:colOff>
      <xdr:row>511</xdr:row>
      <xdr:rowOff>66675</xdr:rowOff>
    </xdr:to>
    <xdr:cxnSp macro="">
      <xdr:nvCxnSpPr>
        <xdr:cNvPr id="71" name="Straight Connector 70">
          <a:extLst>
            <a:ext uri="{FF2B5EF4-FFF2-40B4-BE49-F238E27FC236}">
              <a16:creationId xmlns:a16="http://schemas.microsoft.com/office/drawing/2014/main" id="{00000000-0008-0000-0000-000047000000}"/>
            </a:ext>
          </a:extLst>
        </xdr:cNvPr>
        <xdr:cNvCxnSpPr/>
      </xdr:nvCxnSpPr>
      <xdr:spPr>
        <a:xfrm>
          <a:off x="2000250" y="105775125"/>
          <a:ext cx="2200275" cy="19050"/>
        </a:xfrm>
        <a:prstGeom prst="line">
          <a:avLst/>
        </a:prstGeom>
        <a:ln w="381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428625</xdr:colOff>
      <xdr:row>509</xdr:row>
      <xdr:rowOff>142875</xdr:rowOff>
    </xdr:from>
    <xdr:to>
      <xdr:col>5</xdr:col>
      <xdr:colOff>381000</xdr:colOff>
      <xdr:row>514</xdr:row>
      <xdr:rowOff>9525</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2838450" y="105470325"/>
          <a:ext cx="1647825" cy="866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C00000"/>
              </a:solidFill>
            </a:rPr>
            <a:t>Nalla</a:t>
          </a:r>
        </a:p>
      </xdr:txBody>
    </xdr:sp>
    <xdr:clientData/>
  </xdr:twoCellAnchor>
  <xdr:twoCellAnchor>
    <xdr:from>
      <xdr:col>3</xdr:col>
      <xdr:colOff>809625</xdr:colOff>
      <xdr:row>507</xdr:row>
      <xdr:rowOff>85725</xdr:rowOff>
    </xdr:from>
    <xdr:to>
      <xdr:col>6</xdr:col>
      <xdr:colOff>19050</xdr:colOff>
      <xdr:row>511</xdr:row>
      <xdr:rowOff>152400</xdr:rowOff>
    </xdr:to>
    <xdr:sp macro="" textlink="">
      <xdr:nvSpPr>
        <xdr:cNvPr id="87" name="Rectangle 86">
          <a:extLst>
            <a:ext uri="{FF2B5EF4-FFF2-40B4-BE49-F238E27FC236}">
              <a16:creationId xmlns:a16="http://schemas.microsoft.com/office/drawing/2014/main" id="{00000000-0008-0000-0000-000057000000}"/>
            </a:ext>
          </a:extLst>
        </xdr:cNvPr>
        <xdr:cNvSpPr/>
      </xdr:nvSpPr>
      <xdr:spPr>
        <a:xfrm>
          <a:off x="3219450" y="105013125"/>
          <a:ext cx="1647825" cy="866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C00000"/>
              </a:solidFill>
            </a:rPr>
            <a:t>1</a:t>
          </a:r>
        </a:p>
      </xdr:txBody>
    </xdr:sp>
    <xdr:clientData/>
  </xdr:twoCellAnchor>
  <xdr:twoCellAnchor>
    <xdr:from>
      <xdr:col>3</xdr:col>
      <xdr:colOff>295275</xdr:colOff>
      <xdr:row>511</xdr:row>
      <xdr:rowOff>95250</xdr:rowOff>
    </xdr:from>
    <xdr:to>
      <xdr:col>5</xdr:col>
      <xdr:colOff>247650</xdr:colOff>
      <xdr:row>515</xdr:row>
      <xdr:rowOff>161925</xdr:rowOff>
    </xdr:to>
    <xdr:sp macro="" textlink="">
      <xdr:nvSpPr>
        <xdr:cNvPr id="88" name="Rectangle 87">
          <a:extLst>
            <a:ext uri="{FF2B5EF4-FFF2-40B4-BE49-F238E27FC236}">
              <a16:creationId xmlns:a16="http://schemas.microsoft.com/office/drawing/2014/main" id="{00000000-0008-0000-0000-000058000000}"/>
            </a:ext>
          </a:extLst>
        </xdr:cNvPr>
        <xdr:cNvSpPr/>
      </xdr:nvSpPr>
      <xdr:spPr>
        <a:xfrm>
          <a:off x="2705100" y="105822750"/>
          <a:ext cx="1647825" cy="866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C00000"/>
              </a:solidFill>
            </a:rPr>
            <a:t>2</a:t>
          </a:r>
        </a:p>
      </xdr:txBody>
    </xdr:sp>
    <xdr:clientData/>
  </xdr:twoCellAnchor>
  <xdr:twoCellAnchor>
    <xdr:from>
      <xdr:col>4</xdr:col>
      <xdr:colOff>114300</xdr:colOff>
      <xdr:row>514</xdr:row>
      <xdr:rowOff>85725</xdr:rowOff>
    </xdr:from>
    <xdr:to>
      <xdr:col>6</xdr:col>
      <xdr:colOff>238125</xdr:colOff>
      <xdr:row>518</xdr:row>
      <xdr:rowOff>152400</xdr:rowOff>
    </xdr:to>
    <xdr:sp macro="" textlink="">
      <xdr:nvSpPr>
        <xdr:cNvPr id="89" name="Rectangle 88">
          <a:extLst>
            <a:ext uri="{FF2B5EF4-FFF2-40B4-BE49-F238E27FC236}">
              <a16:creationId xmlns:a16="http://schemas.microsoft.com/office/drawing/2014/main" id="{00000000-0008-0000-0000-000059000000}"/>
            </a:ext>
          </a:extLst>
        </xdr:cNvPr>
        <xdr:cNvSpPr/>
      </xdr:nvSpPr>
      <xdr:spPr>
        <a:xfrm>
          <a:off x="3438525" y="106413300"/>
          <a:ext cx="1647825" cy="866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C00000"/>
              </a:solidFill>
            </a:rPr>
            <a:t>3</a:t>
          </a:r>
        </a:p>
      </xdr:txBody>
    </xdr:sp>
    <xdr:clientData/>
  </xdr:twoCellAnchor>
  <xdr:twoCellAnchor>
    <xdr:from>
      <xdr:col>3</xdr:col>
      <xdr:colOff>76200</xdr:colOff>
      <xdr:row>516</xdr:row>
      <xdr:rowOff>104775</xdr:rowOff>
    </xdr:from>
    <xdr:to>
      <xdr:col>5</xdr:col>
      <xdr:colOff>28575</xdr:colOff>
      <xdr:row>520</xdr:row>
      <xdr:rowOff>171450</xdr:rowOff>
    </xdr:to>
    <xdr:sp macro="" textlink="">
      <xdr:nvSpPr>
        <xdr:cNvPr id="90" name="Rectangle 89">
          <a:extLst>
            <a:ext uri="{FF2B5EF4-FFF2-40B4-BE49-F238E27FC236}">
              <a16:creationId xmlns:a16="http://schemas.microsoft.com/office/drawing/2014/main" id="{00000000-0008-0000-0000-00005A000000}"/>
            </a:ext>
          </a:extLst>
        </xdr:cNvPr>
        <xdr:cNvSpPr/>
      </xdr:nvSpPr>
      <xdr:spPr>
        <a:xfrm>
          <a:off x="2486025" y="106832400"/>
          <a:ext cx="1647825" cy="866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C00000"/>
              </a:solidFill>
            </a:rPr>
            <a:t>4</a:t>
          </a:r>
        </a:p>
      </xdr:txBody>
    </xdr:sp>
    <xdr:clientData/>
  </xdr:twoCellAnchor>
  <xdr:twoCellAnchor>
    <xdr:from>
      <xdr:col>4</xdr:col>
      <xdr:colOff>0</xdr:colOff>
      <xdr:row>520</xdr:row>
      <xdr:rowOff>190500</xdr:rowOff>
    </xdr:from>
    <xdr:to>
      <xdr:col>6</xdr:col>
      <xdr:colOff>123825</xdr:colOff>
      <xdr:row>525</xdr:row>
      <xdr:rowOff>57150</xdr:rowOff>
    </xdr:to>
    <xdr:sp macro="" textlink="">
      <xdr:nvSpPr>
        <xdr:cNvPr id="91" name="Rectangle 90">
          <a:extLst>
            <a:ext uri="{FF2B5EF4-FFF2-40B4-BE49-F238E27FC236}">
              <a16:creationId xmlns:a16="http://schemas.microsoft.com/office/drawing/2014/main" id="{00000000-0008-0000-0000-00005B000000}"/>
            </a:ext>
          </a:extLst>
        </xdr:cNvPr>
        <xdr:cNvSpPr/>
      </xdr:nvSpPr>
      <xdr:spPr>
        <a:xfrm>
          <a:off x="3324225" y="107718225"/>
          <a:ext cx="1647825" cy="866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800" b="1">
              <a:solidFill>
                <a:srgbClr val="FFFF00"/>
              </a:solidFill>
            </a:rPr>
            <a:t>5</a:t>
          </a:r>
        </a:p>
      </xdr:txBody>
    </xdr:sp>
    <xdr:clientData/>
  </xdr:twoCellAnchor>
  <xdr:twoCellAnchor>
    <xdr:from>
      <xdr:col>3</xdr:col>
      <xdr:colOff>266700</xdr:colOff>
      <xdr:row>526</xdr:row>
      <xdr:rowOff>0</xdr:rowOff>
    </xdr:from>
    <xdr:to>
      <xdr:col>5</xdr:col>
      <xdr:colOff>219075</xdr:colOff>
      <xdr:row>530</xdr:row>
      <xdr:rowOff>0</xdr:rowOff>
    </xdr:to>
    <xdr:sp macro="" textlink="">
      <xdr:nvSpPr>
        <xdr:cNvPr id="92" name="Rectangle 91">
          <a:extLst>
            <a:ext uri="{FF2B5EF4-FFF2-40B4-BE49-F238E27FC236}">
              <a16:creationId xmlns:a16="http://schemas.microsoft.com/office/drawing/2014/main" id="{00000000-0008-0000-0000-00005C000000}"/>
            </a:ext>
          </a:extLst>
        </xdr:cNvPr>
        <xdr:cNvSpPr/>
      </xdr:nvSpPr>
      <xdr:spPr>
        <a:xfrm>
          <a:off x="2676525" y="108727875"/>
          <a:ext cx="1647825" cy="866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100" b="1">
              <a:solidFill>
                <a:srgbClr val="C00000"/>
              </a:solidFill>
            </a:rPr>
            <a:t>Housing</a:t>
          </a:r>
          <a:r>
            <a:rPr lang="en-IN" sz="1100" b="1" baseline="0">
              <a:solidFill>
                <a:srgbClr val="C00000"/>
              </a:solidFill>
            </a:rPr>
            <a:t> for aff</a:t>
          </a:r>
          <a:r>
            <a:rPr lang="en-IN" sz="1100" b="1">
              <a:solidFill>
                <a:srgbClr val="C00000"/>
              </a:solidFill>
            </a:rPr>
            <a:t>ected People</a:t>
          </a:r>
        </a:p>
      </xdr:txBody>
    </xdr:sp>
    <xdr:clientData/>
  </xdr:twoCellAnchor>
  <xdr:twoCellAnchor editAs="oneCell">
    <xdr:from>
      <xdr:col>8</xdr:col>
      <xdr:colOff>171451</xdr:colOff>
      <xdr:row>7</xdr:row>
      <xdr:rowOff>104775</xdr:rowOff>
    </xdr:from>
    <xdr:to>
      <xdr:col>16</xdr:col>
      <xdr:colOff>410801</xdr:colOff>
      <xdr:row>11</xdr:row>
      <xdr:rowOff>1114200</xdr:rowOff>
    </xdr:to>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rotWithShape="1">
        <a:blip xmlns:r="http://schemas.openxmlformats.org/officeDocument/2006/relationships" r:embed="rId34"/>
        <a:srcRect l="27358" t="49057" r="28221" b="30660"/>
        <a:stretch/>
      </xdr:blipFill>
      <xdr:spPr>
        <a:xfrm>
          <a:off x="6486526" y="1895475"/>
          <a:ext cx="7011625" cy="1800000"/>
        </a:xfrm>
        <a:prstGeom prst="rect">
          <a:avLst/>
        </a:prstGeom>
        <a:ln>
          <a:solidFill>
            <a:schemeClr val="tx1"/>
          </a:solidFill>
        </a:ln>
      </xdr:spPr>
    </xdr:pic>
    <xdr:clientData/>
  </xdr:twoCellAnchor>
  <xdr:oneCellAnchor>
    <xdr:from>
      <xdr:col>10</xdr:col>
      <xdr:colOff>342900</xdr:colOff>
      <xdr:row>439</xdr:row>
      <xdr:rowOff>0</xdr:rowOff>
    </xdr:from>
    <xdr:ext cx="789127" cy="280205"/>
    <xdr:sp macro="" textlink="">
      <xdr:nvSpPr>
        <xdr:cNvPr id="2" name="TextBox 1"/>
        <xdr:cNvSpPr txBox="1"/>
      </xdr:nvSpPr>
      <xdr:spPr>
        <a:xfrm>
          <a:off x="8985250" y="85337650"/>
          <a:ext cx="78912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Bldg No.2</a:t>
          </a:r>
        </a:p>
      </xdr:txBody>
    </xdr:sp>
    <xdr:clientData/>
  </xdr:oneCellAnchor>
  <xdr:twoCellAnchor>
    <xdr:from>
      <xdr:col>0</xdr:col>
      <xdr:colOff>120650</xdr:colOff>
      <xdr:row>445</xdr:row>
      <xdr:rowOff>82550</xdr:rowOff>
    </xdr:from>
    <xdr:to>
      <xdr:col>7</xdr:col>
      <xdr:colOff>662803</xdr:colOff>
      <xdr:row>486</xdr:row>
      <xdr:rowOff>38100</xdr:rowOff>
    </xdr:to>
    <xdr:grpSp>
      <xdr:nvGrpSpPr>
        <xdr:cNvPr id="5" name="Group 4"/>
        <xdr:cNvGrpSpPr/>
      </xdr:nvGrpSpPr>
      <xdr:grpSpPr>
        <a:xfrm>
          <a:off x="120650" y="83172300"/>
          <a:ext cx="6396853" cy="8020050"/>
          <a:chOff x="120650" y="83388200"/>
          <a:chExt cx="6396853" cy="8020050"/>
        </a:xfrm>
      </xdr:grpSpPr>
      <xdr:pic>
        <xdr:nvPicPr>
          <xdr:cNvPr id="94" name="Picture 93"/>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a:ext>
            </a:extLst>
          </a:blip>
          <a:stretch>
            <a:fillRect/>
          </a:stretch>
        </xdr:blipFill>
        <xdr:spPr>
          <a:xfrm>
            <a:off x="4224893" y="89875697"/>
            <a:ext cx="1348594" cy="1532553"/>
          </a:xfrm>
          <a:prstGeom prst="rect">
            <a:avLst/>
          </a:prstGeom>
          <a:ln>
            <a:solidFill>
              <a:schemeClr val="tx1"/>
            </a:solidFill>
          </a:ln>
        </xdr:spPr>
      </xdr:pic>
      <xdr:pic>
        <xdr:nvPicPr>
          <xdr:cNvPr id="95" name="Picture 94"/>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a:ext>
            </a:extLst>
          </a:blip>
          <a:stretch>
            <a:fillRect/>
          </a:stretch>
        </xdr:blipFill>
        <xdr:spPr>
          <a:xfrm>
            <a:off x="4899190" y="87953198"/>
            <a:ext cx="1348594" cy="1800000"/>
          </a:xfrm>
          <a:prstGeom prst="rect">
            <a:avLst/>
          </a:prstGeom>
          <a:ln>
            <a:solidFill>
              <a:schemeClr val="tx1"/>
            </a:solidFill>
          </a:ln>
        </xdr:spPr>
      </xdr:pic>
      <xdr:pic>
        <xdr:nvPicPr>
          <xdr:cNvPr id="117" name="Picture 116"/>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a:ext>
            </a:extLst>
          </a:blip>
          <a:stretch>
            <a:fillRect/>
          </a:stretch>
        </xdr:blipFill>
        <xdr:spPr>
          <a:xfrm>
            <a:off x="120650" y="83388200"/>
            <a:ext cx="2877677" cy="2160000"/>
          </a:xfrm>
          <a:prstGeom prst="rect">
            <a:avLst/>
          </a:prstGeom>
          <a:ln>
            <a:solidFill>
              <a:schemeClr val="tx1"/>
            </a:solidFill>
          </a:ln>
        </xdr:spPr>
      </xdr:pic>
      <xdr:pic>
        <xdr:nvPicPr>
          <xdr:cNvPr id="118" name="Picture 117"/>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a:ext>
            </a:extLst>
          </a:blip>
          <a:stretch>
            <a:fillRect/>
          </a:stretch>
        </xdr:blipFill>
        <xdr:spPr>
          <a:xfrm>
            <a:off x="3139602" y="83388200"/>
            <a:ext cx="1618313" cy="2160000"/>
          </a:xfrm>
          <a:prstGeom prst="rect">
            <a:avLst/>
          </a:prstGeom>
          <a:ln>
            <a:solidFill>
              <a:schemeClr val="tx1"/>
            </a:solidFill>
          </a:ln>
        </xdr:spPr>
      </xdr:pic>
      <xdr:pic>
        <xdr:nvPicPr>
          <xdr:cNvPr id="119" name="Picture 118"/>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a:ext>
            </a:extLst>
          </a:blip>
          <a:stretch>
            <a:fillRect/>
          </a:stretch>
        </xdr:blipFill>
        <xdr:spPr>
          <a:xfrm>
            <a:off x="472577" y="87953198"/>
            <a:ext cx="1348594" cy="1800000"/>
          </a:xfrm>
          <a:prstGeom prst="rect">
            <a:avLst/>
          </a:prstGeom>
          <a:ln>
            <a:solidFill>
              <a:schemeClr val="tx1"/>
            </a:solidFill>
          </a:ln>
        </xdr:spPr>
      </xdr:pic>
      <xdr:pic>
        <xdr:nvPicPr>
          <xdr:cNvPr id="120" name="Picture 119"/>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a:ext>
            </a:extLst>
          </a:blip>
          <a:stretch>
            <a:fillRect/>
          </a:stretch>
        </xdr:blipFill>
        <xdr:spPr>
          <a:xfrm>
            <a:off x="1947646" y="87953198"/>
            <a:ext cx="1348594" cy="1800000"/>
          </a:xfrm>
          <a:prstGeom prst="rect">
            <a:avLst/>
          </a:prstGeom>
          <a:ln>
            <a:solidFill>
              <a:schemeClr val="tx1"/>
            </a:solidFill>
          </a:ln>
        </xdr:spPr>
      </xdr:pic>
      <xdr:pic>
        <xdr:nvPicPr>
          <xdr:cNvPr id="121" name="Picture 120"/>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a:ext>
            </a:extLst>
          </a:blip>
          <a:stretch>
            <a:fillRect/>
          </a:stretch>
        </xdr:blipFill>
        <xdr:spPr>
          <a:xfrm>
            <a:off x="4899190" y="83388200"/>
            <a:ext cx="1618313" cy="2160000"/>
          </a:xfrm>
          <a:prstGeom prst="rect">
            <a:avLst/>
          </a:prstGeom>
          <a:ln>
            <a:solidFill>
              <a:schemeClr val="tx1"/>
            </a:solidFill>
          </a:ln>
        </xdr:spPr>
      </xdr:pic>
      <xdr:pic>
        <xdr:nvPicPr>
          <xdr:cNvPr id="123" name="Picture 122"/>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a:ext>
            </a:extLst>
          </a:blip>
          <a:stretch>
            <a:fillRect/>
          </a:stretch>
        </xdr:blipFill>
        <xdr:spPr>
          <a:xfrm>
            <a:off x="120650" y="85670699"/>
            <a:ext cx="1618313" cy="2160000"/>
          </a:xfrm>
          <a:prstGeom prst="rect">
            <a:avLst/>
          </a:prstGeom>
          <a:ln>
            <a:solidFill>
              <a:schemeClr val="tx1"/>
            </a:solidFill>
          </a:ln>
        </xdr:spPr>
      </xdr:pic>
      <xdr:pic>
        <xdr:nvPicPr>
          <xdr:cNvPr id="124" name="Picture 123"/>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a:ext>
            </a:extLst>
          </a:blip>
          <a:stretch>
            <a:fillRect/>
          </a:stretch>
        </xdr:blipFill>
        <xdr:spPr>
          <a:xfrm>
            <a:off x="1880238" y="85670699"/>
            <a:ext cx="1618313" cy="2160000"/>
          </a:xfrm>
          <a:prstGeom prst="rect">
            <a:avLst/>
          </a:prstGeom>
          <a:ln>
            <a:solidFill>
              <a:schemeClr val="tx1"/>
            </a:solidFill>
          </a:ln>
        </xdr:spPr>
      </xdr:pic>
      <xdr:pic>
        <xdr:nvPicPr>
          <xdr:cNvPr id="125" name="Picture 124"/>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a:ext>
            </a:extLst>
          </a:blip>
          <a:stretch>
            <a:fillRect/>
          </a:stretch>
        </xdr:blipFill>
        <xdr:spPr>
          <a:xfrm>
            <a:off x="1288149" y="89875697"/>
            <a:ext cx="1348594" cy="1532553"/>
          </a:xfrm>
          <a:prstGeom prst="rect">
            <a:avLst/>
          </a:prstGeom>
          <a:ln>
            <a:solidFill>
              <a:schemeClr val="tx1"/>
            </a:solidFill>
          </a:ln>
        </xdr:spPr>
      </xdr:pic>
      <xdr:pic>
        <xdr:nvPicPr>
          <xdr:cNvPr id="126" name="Picture 125"/>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a:ext>
            </a:extLst>
          </a:blip>
          <a:stretch>
            <a:fillRect/>
          </a:stretch>
        </xdr:blipFill>
        <xdr:spPr>
          <a:xfrm>
            <a:off x="3639826" y="85670699"/>
            <a:ext cx="2877677" cy="2160000"/>
          </a:xfrm>
          <a:prstGeom prst="rect">
            <a:avLst/>
          </a:prstGeom>
          <a:ln>
            <a:solidFill>
              <a:schemeClr val="tx1"/>
            </a:solidFill>
          </a:ln>
        </xdr:spPr>
      </xdr:pic>
      <xdr:pic>
        <xdr:nvPicPr>
          <xdr:cNvPr id="127" name="Picture 126"/>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a:ext>
            </a:extLst>
          </a:blip>
          <a:stretch>
            <a:fillRect/>
          </a:stretch>
        </xdr:blipFill>
        <xdr:spPr>
          <a:xfrm>
            <a:off x="3422715" y="87953198"/>
            <a:ext cx="1350000" cy="1800000"/>
          </a:xfrm>
          <a:prstGeom prst="rect">
            <a:avLst/>
          </a:prstGeom>
          <a:ln>
            <a:solidFill>
              <a:schemeClr val="tx1"/>
            </a:solidFill>
          </a:ln>
        </xdr:spPr>
      </xdr:pic>
      <xdr:pic>
        <xdr:nvPicPr>
          <xdr:cNvPr id="128" name="Picture 127"/>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a:ext>
            </a:extLst>
          </a:blip>
          <a:stretch>
            <a:fillRect/>
          </a:stretch>
        </xdr:blipFill>
        <xdr:spPr>
          <a:xfrm>
            <a:off x="2763218" y="89875697"/>
            <a:ext cx="1348594" cy="1532553"/>
          </a:xfrm>
          <a:prstGeom prst="rect">
            <a:avLst/>
          </a:prstGeom>
          <a:ln>
            <a:solidFill>
              <a:schemeClr val="tx1"/>
            </a:solidFill>
          </a:ln>
        </xdr:spPr>
      </xdr:pic>
      <xdr:sp macro="" textlink="">
        <xdr:nvSpPr>
          <xdr:cNvPr id="129" name="TextBox 128"/>
          <xdr:cNvSpPr txBox="1"/>
        </xdr:nvSpPr>
        <xdr:spPr>
          <a:xfrm>
            <a:off x="694827" y="89318448"/>
            <a:ext cx="78912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Bldg No.3</a:t>
            </a:r>
          </a:p>
        </xdr:txBody>
      </xdr:sp>
      <xdr:sp macro="" textlink="">
        <xdr:nvSpPr>
          <xdr:cNvPr id="130" name="TextBox 129"/>
          <xdr:cNvSpPr txBox="1"/>
        </xdr:nvSpPr>
        <xdr:spPr>
          <a:xfrm>
            <a:off x="3530665" y="89102548"/>
            <a:ext cx="78912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Bldg No.5</a:t>
            </a:r>
          </a:p>
        </xdr:txBody>
      </xdr:sp>
      <xdr:sp macro="" textlink="">
        <xdr:nvSpPr>
          <xdr:cNvPr id="131" name="TextBox 130"/>
          <xdr:cNvSpPr txBox="1"/>
        </xdr:nvSpPr>
        <xdr:spPr>
          <a:xfrm>
            <a:off x="2227046" y="89267648"/>
            <a:ext cx="789127"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0" cap="none" spc="0">
                <a:ln w="0"/>
                <a:solidFill>
                  <a:srgbClr val="FFFF00"/>
                </a:solidFill>
                <a:effectLst>
                  <a:outerShdw blurRad="38100" dist="25400" dir="5400000" algn="ctr" rotWithShape="0">
                    <a:srgbClr val="6E747A">
                      <a:alpha val="43000"/>
                    </a:srgbClr>
                  </a:outerShdw>
                </a:effectLst>
              </a:rPr>
              <a:t>Bldg No.3</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C3EapghQdHFBE358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531"/>
  <sheetViews>
    <sheetView tabSelected="1" view="pageBreakPreview" topLeftCell="A164" zoomScaleNormal="100" zoomScaleSheetLayoutView="100" zoomScalePageLayoutView="85" workbookViewId="0">
      <selection activeCell="E169" sqref="E169:F178"/>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89" t="s">
        <v>161</v>
      </c>
      <c r="B1" s="189"/>
      <c r="C1" s="189"/>
      <c r="D1" s="189"/>
      <c r="E1" s="189"/>
      <c r="F1" s="189"/>
      <c r="G1" s="189"/>
      <c r="H1" s="189"/>
    </row>
    <row r="2" spans="1:26" ht="16.5" customHeight="1" x14ac:dyDescent="0.35">
      <c r="A2" s="190" t="s">
        <v>0</v>
      </c>
      <c r="B2" s="190"/>
      <c r="C2" s="190"/>
      <c r="D2" s="190"/>
      <c r="E2" s="190"/>
      <c r="F2" s="190"/>
      <c r="G2" s="190"/>
      <c r="H2" s="190"/>
    </row>
    <row r="3" spans="1:26" x14ac:dyDescent="0.35">
      <c r="A3" s="179" t="s">
        <v>1</v>
      </c>
      <c r="B3" s="179"/>
      <c r="C3" s="179"/>
      <c r="D3" s="179"/>
      <c r="E3" s="179" t="str">
        <f ca="1">TEXT(TODAY(),"DD/MM/YYYY")</f>
        <v>15/07/2025</v>
      </c>
      <c r="F3" s="179"/>
      <c r="G3" s="179"/>
      <c r="H3" s="179"/>
      <c r="K3" s="48" t="s">
        <v>233</v>
      </c>
      <c r="L3" s="47" t="s">
        <v>231</v>
      </c>
      <c r="M3" s="47" t="s">
        <v>236</v>
      </c>
      <c r="N3" s="47" t="s">
        <v>234</v>
      </c>
      <c r="O3" s="47" t="s">
        <v>235</v>
      </c>
      <c r="P3" s="47" t="s">
        <v>237</v>
      </c>
    </row>
    <row r="4" spans="1:26" ht="15" customHeight="1" x14ac:dyDescent="0.35">
      <c r="A4" s="179" t="s">
        <v>230</v>
      </c>
      <c r="B4" s="179"/>
      <c r="C4" s="179"/>
      <c r="D4" s="179"/>
      <c r="E4" s="145" t="s">
        <v>236</v>
      </c>
      <c r="F4" s="145"/>
      <c r="G4" s="145"/>
      <c r="H4" s="145"/>
      <c r="K4" s="46" t="s">
        <v>232</v>
      </c>
      <c r="L4" s="47" t="s">
        <v>167</v>
      </c>
      <c r="M4" s="47" t="s">
        <v>241</v>
      </c>
      <c r="N4" s="47" t="s">
        <v>243</v>
      </c>
      <c r="O4" s="47" t="s">
        <v>245</v>
      </c>
      <c r="P4" s="47"/>
    </row>
    <row r="5" spans="1:26" ht="15" customHeight="1" x14ac:dyDescent="0.35">
      <c r="A5" s="179" t="s">
        <v>2</v>
      </c>
      <c r="B5" s="179"/>
      <c r="C5" s="179"/>
      <c r="D5" s="179"/>
      <c r="E5" s="145" t="s">
        <v>241</v>
      </c>
      <c r="F5" s="145"/>
      <c r="G5" s="145"/>
      <c r="H5" s="145"/>
      <c r="K5" s="46"/>
      <c r="L5" s="47" t="s">
        <v>238</v>
      </c>
      <c r="M5" s="47" t="s">
        <v>242</v>
      </c>
      <c r="N5" s="47" t="s">
        <v>244</v>
      </c>
      <c r="O5" s="47" t="s">
        <v>246</v>
      </c>
      <c r="P5" s="47"/>
    </row>
    <row r="6" spans="1:26" x14ac:dyDescent="0.35">
      <c r="A6" s="179" t="s">
        <v>3</v>
      </c>
      <c r="B6" s="179"/>
      <c r="C6" s="179"/>
      <c r="D6" s="179"/>
      <c r="E6" s="192">
        <v>45853</v>
      </c>
      <c r="F6" s="179"/>
      <c r="G6" s="179"/>
      <c r="H6" s="179"/>
      <c r="K6" s="46"/>
      <c r="L6" s="47" t="s">
        <v>239</v>
      </c>
      <c r="M6" s="47"/>
      <c r="N6" s="47"/>
      <c r="O6" s="47" t="s">
        <v>247</v>
      </c>
      <c r="P6" s="47"/>
    </row>
    <row r="7" spans="1:26" ht="16.5" customHeight="1" x14ac:dyDescent="0.35">
      <c r="A7" s="179" t="s">
        <v>4</v>
      </c>
      <c r="B7" s="179"/>
      <c r="C7" s="179"/>
      <c r="D7" s="179"/>
      <c r="E7" s="179" t="s">
        <v>337</v>
      </c>
      <c r="F7" s="179"/>
      <c r="G7" s="179"/>
      <c r="H7" s="179"/>
      <c r="K7" s="46"/>
      <c r="L7" s="47" t="s">
        <v>240</v>
      </c>
      <c r="M7" s="47"/>
      <c r="N7" s="47"/>
      <c r="O7" s="47" t="s">
        <v>247</v>
      </c>
      <c r="P7" s="47"/>
    </row>
    <row r="8" spans="1:26" ht="15" customHeight="1" x14ac:dyDescent="0.35">
      <c r="A8" s="179" t="s">
        <v>5</v>
      </c>
      <c r="B8" s="179"/>
      <c r="C8" s="179"/>
      <c r="D8" s="179"/>
      <c r="E8" s="179" t="str">
        <f>E7</f>
        <v>Saphale Land Developers Llp</v>
      </c>
      <c r="F8" s="179"/>
      <c r="G8" s="179"/>
      <c r="H8" s="179"/>
      <c r="K8" s="46"/>
      <c r="L8" s="47"/>
      <c r="M8" s="47"/>
      <c r="N8" s="47"/>
      <c r="O8" s="47" t="s">
        <v>248</v>
      </c>
      <c r="P8" s="47"/>
    </row>
    <row r="9" spans="1:26" x14ac:dyDescent="0.35">
      <c r="A9" s="179" t="s">
        <v>6</v>
      </c>
      <c r="B9" s="179"/>
      <c r="C9" s="179"/>
      <c r="D9" s="179"/>
      <c r="E9" s="191" t="s">
        <v>336</v>
      </c>
      <c r="F9" s="191"/>
      <c r="G9" s="191"/>
      <c r="H9" s="191"/>
      <c r="K9" s="46"/>
      <c r="L9" s="47"/>
      <c r="M9" s="47"/>
      <c r="N9" s="47"/>
      <c r="O9" s="47" t="s">
        <v>249</v>
      </c>
      <c r="P9" s="47"/>
    </row>
    <row r="10" spans="1:26" x14ac:dyDescent="0.35">
      <c r="A10" s="179" t="s">
        <v>164</v>
      </c>
      <c r="B10" s="179"/>
      <c r="C10" s="179"/>
      <c r="D10" s="179"/>
      <c r="E10" s="179" t="s">
        <v>338</v>
      </c>
      <c r="F10" s="179"/>
      <c r="G10" s="179"/>
      <c r="H10" s="179"/>
      <c r="K10" s="46"/>
      <c r="L10" s="47"/>
      <c r="M10" s="47"/>
      <c r="N10" s="47"/>
      <c r="O10" s="47"/>
      <c r="P10" s="47"/>
    </row>
    <row r="11" spans="1:26" x14ac:dyDescent="0.35">
      <c r="A11" s="179" t="s">
        <v>165</v>
      </c>
      <c r="B11" s="179"/>
      <c r="C11" s="179"/>
      <c r="D11" s="179"/>
      <c r="E11" s="179" t="s">
        <v>441</v>
      </c>
      <c r="F11" s="179"/>
      <c r="G11" s="179"/>
      <c r="H11" s="179"/>
    </row>
    <row r="12" spans="1:26" ht="94.5" customHeight="1" x14ac:dyDescent="0.35">
      <c r="A12" s="179" t="s">
        <v>7</v>
      </c>
      <c r="B12" s="179"/>
      <c r="C12" s="179"/>
      <c r="D12" s="179"/>
      <c r="E12" s="160" t="s">
        <v>402</v>
      </c>
      <c r="F12" s="179"/>
      <c r="G12" s="179"/>
      <c r="H12" s="179"/>
    </row>
    <row r="13" spans="1:26" x14ac:dyDescent="0.35">
      <c r="A13" s="179" t="s">
        <v>168</v>
      </c>
      <c r="B13" s="179"/>
      <c r="C13" s="179"/>
      <c r="D13" s="179"/>
      <c r="E13" s="179" t="s">
        <v>28</v>
      </c>
      <c r="F13" s="179"/>
      <c r="G13" s="179"/>
      <c r="H13" s="179"/>
      <c r="S13" s="47" t="s">
        <v>177</v>
      </c>
      <c r="T13" s="47" t="s">
        <v>186</v>
      </c>
      <c r="U13" s="47" t="s">
        <v>169</v>
      </c>
      <c r="V13" s="47" t="s">
        <v>191</v>
      </c>
      <c r="W13" s="47" t="s">
        <v>209</v>
      </c>
      <c r="X13"/>
      <c r="Y13" t="s">
        <v>191</v>
      </c>
      <c r="Z13" t="e">
        <f ca="1">OFFSET($S$13,1,MATCH($G20,$S$13:$W$13,0)-1,15,1)</f>
        <v>#VALUE!</v>
      </c>
    </row>
    <row r="14" spans="1:26" ht="19.5" customHeight="1" x14ac:dyDescent="0.35">
      <c r="A14" s="128" t="s">
        <v>276</v>
      </c>
      <c r="B14" s="128"/>
      <c r="C14" s="128"/>
      <c r="D14" s="128"/>
      <c r="E14" s="187" t="s">
        <v>341</v>
      </c>
      <c r="F14" s="187"/>
      <c r="G14" s="187"/>
      <c r="H14" s="187"/>
      <c r="S14" s="47" t="s">
        <v>177</v>
      </c>
      <c r="T14" s="47" t="s">
        <v>184</v>
      </c>
      <c r="U14" s="47" t="s">
        <v>206</v>
      </c>
      <c r="V14" s="47" t="s">
        <v>192</v>
      </c>
      <c r="W14" s="47" t="s">
        <v>210</v>
      </c>
      <c r="X14"/>
      <c r="Y14"/>
      <c r="Z14"/>
    </row>
    <row r="15" spans="1:26" x14ac:dyDescent="0.35">
      <c r="A15" s="128" t="s">
        <v>8</v>
      </c>
      <c r="B15" s="128"/>
      <c r="C15" s="128"/>
      <c r="D15" s="128"/>
      <c r="E15" s="187" t="s">
        <v>335</v>
      </c>
      <c r="F15" s="145"/>
      <c r="G15" s="145"/>
      <c r="H15" s="145"/>
      <c r="I15" s="231" t="e">
        <f ca="1">OFFSET($D$5,1,MATCH($J13,$D$5:$H$5,0)-1,15,1)</f>
        <v>#N/A</v>
      </c>
      <c r="J15" s="232"/>
      <c r="K15" s="232"/>
      <c r="L15" s="232"/>
      <c r="M15" s="232"/>
      <c r="N15" s="232"/>
      <c r="O15" s="232"/>
      <c r="P15" s="232"/>
      <c r="S15" s="47" t="s">
        <v>178</v>
      </c>
      <c r="T15" s="47" t="s">
        <v>185</v>
      </c>
      <c r="U15" s="47" t="s">
        <v>207</v>
      </c>
      <c r="V15" s="47" t="s">
        <v>193</v>
      </c>
      <c r="W15" s="47" t="s">
        <v>223</v>
      </c>
      <c r="X15"/>
      <c r="Y15"/>
      <c r="Z15"/>
    </row>
    <row r="16" spans="1:26" ht="32.25" customHeight="1" x14ac:dyDescent="0.35">
      <c r="A16" s="168" t="s">
        <v>9</v>
      </c>
      <c r="B16" s="168"/>
      <c r="C16" s="168" t="str">
        <f>CONCATENATE((IF(OR(E9="",E9="NA"),"",E9)),", ",(IF(OR(A17="",A17="NA"),"",A17)),".",(IF(OR(C17="",C17="NA"),"",C17)),", near ",(IF(OR(C22="",C22="NA"),"",C22)),", ",(IF(OR(C19="",C19="NA"),"",C19)),", ",(IF(OR(C18="",C18="NA"),"",C18)),", ",(IF(OR(G19="",G19="NA"),"",G19)),", ",(IF(OR(C20="",C20="NA"),"",C20)),", ",(IF(OR(C21="",C21="NA"),"",C21)),", ",(IF(OR(G20="",G20="NA"),"",G20))," - ",(IF(OR(G21="",G21="NA"),"",G21)),".")</f>
        <v>Rajlaxxmi Park, Gut No.84/B, near Gurantara Bunglow, Tembhikhodave Road, , Mande, Saphale, Palghar, Palghar - 401102.</v>
      </c>
      <c r="D16" s="168"/>
      <c r="E16" s="168"/>
      <c r="F16" s="168"/>
      <c r="G16" s="168"/>
      <c r="H16" s="168"/>
      <c r="S16" s="47" t="s">
        <v>179</v>
      </c>
      <c r="T16" s="47" t="s">
        <v>187</v>
      </c>
      <c r="U16" s="47" t="s">
        <v>208</v>
      </c>
      <c r="V16" s="47" t="s">
        <v>194</v>
      </c>
      <c r="W16" s="47" t="s">
        <v>211</v>
      </c>
      <c r="X16"/>
      <c r="Y16"/>
      <c r="Z16"/>
    </row>
    <row r="17" spans="1:26" x14ac:dyDescent="0.35">
      <c r="A17" s="187" t="s">
        <v>339</v>
      </c>
      <c r="B17" s="187"/>
      <c r="C17" s="187" t="s">
        <v>403</v>
      </c>
      <c r="D17" s="187"/>
      <c r="E17" s="187"/>
      <c r="F17" s="187"/>
      <c r="G17" s="187"/>
      <c r="H17" s="187"/>
      <c r="S17" s="47" t="s">
        <v>180</v>
      </c>
      <c r="T17" s="47" t="s">
        <v>188</v>
      </c>
      <c r="U17" s="47" t="s">
        <v>169</v>
      </c>
      <c r="V17" s="47" t="s">
        <v>195</v>
      </c>
      <c r="W17" s="47" t="s">
        <v>212</v>
      </c>
      <c r="X17"/>
      <c r="Y17"/>
      <c r="Z17"/>
    </row>
    <row r="18" spans="1:26" ht="15.75" hidden="1" customHeight="1" x14ac:dyDescent="0.35">
      <c r="A18" s="187" t="s">
        <v>159</v>
      </c>
      <c r="B18" s="187"/>
      <c r="C18" s="187" t="s">
        <v>28</v>
      </c>
      <c r="D18" s="187"/>
      <c r="E18" s="187"/>
      <c r="F18" s="187"/>
      <c r="G18" s="187"/>
      <c r="H18" s="187"/>
      <c r="S18" s="47" t="s">
        <v>181</v>
      </c>
      <c r="T18" s="47" t="s">
        <v>186</v>
      </c>
      <c r="U18" s="47"/>
      <c r="V18" s="47" t="s">
        <v>196</v>
      </c>
      <c r="W18" s="47" t="s">
        <v>213</v>
      </c>
      <c r="X18"/>
      <c r="Y18"/>
      <c r="Z18"/>
    </row>
    <row r="19" spans="1:26" ht="15.75" customHeight="1" x14ac:dyDescent="0.35">
      <c r="A19" s="187" t="s">
        <v>10</v>
      </c>
      <c r="B19" s="187"/>
      <c r="C19" s="145" t="s">
        <v>395</v>
      </c>
      <c r="D19" s="145"/>
      <c r="E19" s="187" t="s">
        <v>70</v>
      </c>
      <c r="F19" s="187"/>
      <c r="G19" s="187" t="s">
        <v>340</v>
      </c>
      <c r="H19" s="187"/>
      <c r="S19" s="47" t="s">
        <v>182</v>
      </c>
      <c r="T19" s="47" t="s">
        <v>189</v>
      </c>
      <c r="U19" s="47"/>
      <c r="V19" s="47" t="s">
        <v>197</v>
      </c>
      <c r="W19" s="47" t="s">
        <v>214</v>
      </c>
      <c r="X19"/>
      <c r="Y19"/>
      <c r="Z19"/>
    </row>
    <row r="20" spans="1:26" x14ac:dyDescent="0.35">
      <c r="A20" s="145" t="s">
        <v>12</v>
      </c>
      <c r="B20" s="145"/>
      <c r="C20" s="187" t="s">
        <v>393</v>
      </c>
      <c r="D20" s="187"/>
      <c r="E20" s="187" t="s">
        <v>11</v>
      </c>
      <c r="F20" s="187"/>
      <c r="G20" s="188" t="s">
        <v>186</v>
      </c>
      <c r="H20" s="188"/>
      <c r="S20" s="47" t="s">
        <v>183</v>
      </c>
      <c r="T20" s="47" t="s">
        <v>190</v>
      </c>
      <c r="U20" s="47"/>
      <c r="V20" s="47" t="s">
        <v>198</v>
      </c>
      <c r="W20" s="47" t="s">
        <v>215</v>
      </c>
      <c r="X20"/>
      <c r="Y20"/>
      <c r="Z20"/>
    </row>
    <row r="21" spans="1:26" x14ac:dyDescent="0.35">
      <c r="A21" s="145" t="s">
        <v>71</v>
      </c>
      <c r="B21" s="145"/>
      <c r="C21" s="187" t="s">
        <v>186</v>
      </c>
      <c r="D21" s="187"/>
      <c r="E21" s="187" t="s">
        <v>13</v>
      </c>
      <c r="F21" s="187"/>
      <c r="G21" s="187">
        <v>401102</v>
      </c>
      <c r="H21" s="187"/>
      <c r="S21" s="47"/>
      <c r="T21" s="47"/>
      <c r="U21" s="47"/>
      <c r="V21" s="47" t="s">
        <v>199</v>
      </c>
      <c r="W21" s="47" t="s">
        <v>216</v>
      </c>
      <c r="X21"/>
      <c r="Y21"/>
      <c r="Z21"/>
    </row>
    <row r="22" spans="1:26" ht="32.25" customHeight="1" x14ac:dyDescent="0.35">
      <c r="A22" s="145" t="s">
        <v>115</v>
      </c>
      <c r="B22" s="145"/>
      <c r="C22" s="187" t="s">
        <v>394</v>
      </c>
      <c r="D22" s="187"/>
      <c r="E22" s="187" t="s">
        <v>14</v>
      </c>
      <c r="F22" s="187"/>
      <c r="G22" s="187" t="s">
        <v>396</v>
      </c>
      <c r="H22" s="187"/>
      <c r="S22" s="47"/>
      <c r="T22" s="47"/>
      <c r="U22" s="47"/>
      <c r="V22" s="47" t="s">
        <v>200</v>
      </c>
      <c r="W22" s="47" t="s">
        <v>217</v>
      </c>
      <c r="X22"/>
      <c r="Y22"/>
      <c r="Z22"/>
    </row>
    <row r="23" spans="1:26" ht="15" customHeight="1" x14ac:dyDescent="0.35">
      <c r="A23" s="168" t="s">
        <v>73</v>
      </c>
      <c r="B23" s="168"/>
      <c r="C23" s="168"/>
      <c r="D23" s="168"/>
      <c r="E23" s="179" t="s">
        <v>15</v>
      </c>
      <c r="F23" s="179"/>
      <c r="G23" s="179"/>
      <c r="H23" s="179"/>
      <c r="S23" s="47"/>
      <c r="T23" s="47"/>
      <c r="U23" s="47"/>
      <c r="V23" s="47" t="s">
        <v>201</v>
      </c>
      <c r="W23" s="47" t="s">
        <v>218</v>
      </c>
      <c r="X23"/>
      <c r="Y23"/>
      <c r="Z23"/>
    </row>
    <row r="24" spans="1:26" ht="18.75" customHeight="1" x14ac:dyDescent="0.35">
      <c r="A24" s="168"/>
      <c r="B24" s="168"/>
      <c r="C24" s="168"/>
      <c r="D24" s="168"/>
      <c r="E24" s="179"/>
      <c r="F24" s="179"/>
      <c r="G24" s="179"/>
      <c r="H24" s="179"/>
      <c r="S24" s="47"/>
      <c r="T24" s="47"/>
      <c r="U24" s="47"/>
      <c r="V24" s="47" t="s">
        <v>202</v>
      </c>
      <c r="W24" s="47" t="s">
        <v>219</v>
      </c>
      <c r="X24"/>
      <c r="Y24"/>
      <c r="Z24"/>
    </row>
    <row r="25" spans="1:26" ht="15" customHeight="1" x14ac:dyDescent="0.35">
      <c r="A25" s="168" t="s">
        <v>16</v>
      </c>
      <c r="B25" s="168"/>
      <c r="C25" s="168"/>
      <c r="D25" s="168"/>
      <c r="E25" s="160" t="s">
        <v>17</v>
      </c>
      <c r="F25" s="160"/>
      <c r="G25" s="160"/>
      <c r="H25" s="160"/>
      <c r="S25" s="47"/>
      <c r="T25" s="47"/>
      <c r="U25" s="47"/>
      <c r="V25" s="47" t="s">
        <v>203</v>
      </c>
      <c r="W25" s="47" t="s">
        <v>220</v>
      </c>
      <c r="X25"/>
      <c r="Y25"/>
      <c r="Z25"/>
    </row>
    <row r="26" spans="1:26" ht="15" customHeight="1" x14ac:dyDescent="0.35">
      <c r="A26" s="128" t="s">
        <v>18</v>
      </c>
      <c r="B26" s="128"/>
      <c r="C26" s="128"/>
      <c r="D26" s="128"/>
      <c r="E26" s="160" t="str">
        <f>IF(AND(G20="Mumbai"),"Upper Class","Middle Class")</f>
        <v>Middle Class</v>
      </c>
      <c r="F26" s="160"/>
      <c r="G26" s="160"/>
      <c r="H26" s="160"/>
      <c r="S26" s="47"/>
      <c r="T26" s="47"/>
      <c r="U26" s="47"/>
      <c r="V26" s="47" t="s">
        <v>204</v>
      </c>
      <c r="W26" s="47" t="s">
        <v>221</v>
      </c>
      <c r="X26"/>
      <c r="Y26"/>
      <c r="Z26"/>
    </row>
    <row r="27" spans="1:26" x14ac:dyDescent="0.35">
      <c r="A27" s="128" t="s">
        <v>19</v>
      </c>
      <c r="B27" s="128"/>
      <c r="C27" s="128"/>
      <c r="D27" s="128"/>
      <c r="E27" s="160" t="s">
        <v>20</v>
      </c>
      <c r="F27" s="160"/>
      <c r="G27" s="160"/>
      <c r="H27" s="160"/>
      <c r="S27" s="47"/>
      <c r="T27" s="47"/>
      <c r="U27" s="47"/>
      <c r="V27" s="47" t="s">
        <v>205</v>
      </c>
      <c r="W27" s="47" t="s">
        <v>222</v>
      </c>
      <c r="X27"/>
      <c r="Y27"/>
      <c r="Z27"/>
    </row>
    <row r="28" spans="1:26" ht="15.75" customHeight="1" x14ac:dyDescent="0.35">
      <c r="A28" s="128" t="s">
        <v>21</v>
      </c>
      <c r="B28" s="128"/>
      <c r="C28" s="128"/>
      <c r="D28" s="128"/>
      <c r="E28" s="160" t="str">
        <f>IF(AND(G20="Mumbai"),"Developed","Developing")</f>
        <v>Developing</v>
      </c>
      <c r="F28" s="160"/>
      <c r="G28" s="160"/>
      <c r="H28" s="160"/>
    </row>
    <row r="29" spans="1:26" x14ac:dyDescent="0.35">
      <c r="A29" s="128" t="s">
        <v>22</v>
      </c>
      <c r="B29" s="128"/>
      <c r="C29" s="128"/>
      <c r="D29" s="128"/>
      <c r="E29" s="160" t="s">
        <v>23</v>
      </c>
      <c r="F29" s="160"/>
      <c r="G29" s="160"/>
      <c r="H29" s="160"/>
    </row>
    <row r="30" spans="1:26" ht="15.75" customHeight="1" x14ac:dyDescent="0.35">
      <c r="A30" s="128" t="s">
        <v>78</v>
      </c>
      <c r="B30" s="128"/>
      <c r="C30" s="128"/>
      <c r="D30" s="128"/>
      <c r="E30" s="160" t="s">
        <v>79</v>
      </c>
      <c r="F30" s="160"/>
      <c r="G30" s="160"/>
      <c r="H30" s="160"/>
    </row>
    <row r="31" spans="1:26" ht="15" customHeight="1" x14ac:dyDescent="0.35">
      <c r="A31" s="128" t="s">
        <v>30</v>
      </c>
      <c r="B31" s="128"/>
      <c r="C31" s="128"/>
      <c r="D31" s="128"/>
      <c r="E31" s="160"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60"/>
      <c r="G31" s="160"/>
      <c r="H31" s="160"/>
    </row>
    <row r="32" spans="1:26" ht="15.75" customHeight="1" x14ac:dyDescent="0.35">
      <c r="A32" s="128" t="s">
        <v>90</v>
      </c>
      <c r="B32" s="128"/>
      <c r="C32" s="128"/>
      <c r="D32" s="128"/>
      <c r="E32" s="160" t="s">
        <v>31</v>
      </c>
      <c r="F32" s="160"/>
      <c r="G32" s="160"/>
      <c r="H32" s="160"/>
    </row>
    <row r="33" spans="1:19" s="19" customFormat="1" x14ac:dyDescent="0.35">
      <c r="A33" s="185" t="s">
        <v>91</v>
      </c>
      <c r="B33" s="185"/>
      <c r="C33" s="184" t="s">
        <v>170</v>
      </c>
      <c r="D33" s="184"/>
      <c r="E33" s="184"/>
      <c r="F33" s="184" t="s">
        <v>29</v>
      </c>
      <c r="G33" s="184"/>
      <c r="H33" s="184"/>
      <c r="S33" s="19" t="e">
        <f ca="1">OFFSET($S$13,1,MATCH($G20,$S$13:$W$13,0)-1,15,1)</f>
        <v>#VALUE!</v>
      </c>
    </row>
    <row r="34" spans="1:19" s="19" customFormat="1" x14ac:dyDescent="0.35">
      <c r="A34" s="183" t="s">
        <v>24</v>
      </c>
      <c r="B34" s="183" t="s">
        <v>28</v>
      </c>
      <c r="C34" s="169" t="s">
        <v>390</v>
      </c>
      <c r="D34" s="169"/>
      <c r="E34" s="169"/>
      <c r="F34" s="169" t="s">
        <v>397</v>
      </c>
      <c r="G34" s="169"/>
      <c r="H34" s="169"/>
    </row>
    <row r="35" spans="1:19" x14ac:dyDescent="0.35">
      <c r="A35" s="183" t="s">
        <v>25</v>
      </c>
      <c r="B35" s="183" t="s">
        <v>28</v>
      </c>
      <c r="C35" s="169" t="s">
        <v>388</v>
      </c>
      <c r="D35" s="169"/>
      <c r="E35" s="169"/>
      <c r="F35" s="169" t="s">
        <v>398</v>
      </c>
      <c r="G35" s="169"/>
      <c r="H35" s="169"/>
    </row>
    <row r="36" spans="1:19" s="19" customFormat="1" x14ac:dyDescent="0.35">
      <c r="A36" s="183" t="s">
        <v>27</v>
      </c>
      <c r="B36" s="183" t="s">
        <v>28</v>
      </c>
      <c r="C36" s="169" t="s">
        <v>387</v>
      </c>
      <c r="D36" s="169"/>
      <c r="E36" s="169"/>
      <c r="F36" s="169" t="s">
        <v>395</v>
      </c>
      <c r="G36" s="169"/>
      <c r="H36" s="169"/>
    </row>
    <row r="37" spans="1:19" x14ac:dyDescent="0.35">
      <c r="A37" s="183" t="s">
        <v>26</v>
      </c>
      <c r="B37" s="183" t="s">
        <v>28</v>
      </c>
      <c r="C37" s="169" t="s">
        <v>389</v>
      </c>
      <c r="D37" s="169"/>
      <c r="E37" s="169"/>
      <c r="F37" s="169" t="s">
        <v>397</v>
      </c>
      <c r="G37" s="169"/>
      <c r="H37" s="169"/>
    </row>
    <row r="38" spans="1:19" x14ac:dyDescent="0.35">
      <c r="A38" s="128" t="s">
        <v>277</v>
      </c>
      <c r="B38" s="128"/>
      <c r="C38" s="128"/>
      <c r="D38" s="128"/>
      <c r="E38" s="128"/>
      <c r="F38" s="128"/>
      <c r="G38" s="128"/>
      <c r="H38" s="128"/>
    </row>
    <row r="39" spans="1:19" ht="15.75" customHeight="1" x14ac:dyDescent="0.35">
      <c r="A39" s="128" t="s">
        <v>162</v>
      </c>
      <c r="B39" s="128"/>
      <c r="C39" s="167" t="s">
        <v>391</v>
      </c>
      <c r="D39" s="167"/>
      <c r="E39" s="167"/>
      <c r="F39" s="167"/>
      <c r="G39" s="167"/>
      <c r="H39" s="167"/>
    </row>
    <row r="40" spans="1:19" x14ac:dyDescent="0.35">
      <c r="A40" s="128" t="s">
        <v>158</v>
      </c>
      <c r="B40" s="128"/>
      <c r="C40" s="159" t="s">
        <v>392</v>
      </c>
      <c r="D40" s="160"/>
      <c r="E40" s="160"/>
      <c r="F40" s="160"/>
      <c r="G40" s="160"/>
      <c r="H40" s="160"/>
    </row>
    <row r="41" spans="1:19" x14ac:dyDescent="0.35">
      <c r="A41" s="167" t="s">
        <v>32</v>
      </c>
      <c r="B41" s="167"/>
      <c r="C41" s="167"/>
      <c r="D41" s="167"/>
      <c r="E41" s="167"/>
      <c r="F41" s="167"/>
      <c r="G41" s="167"/>
      <c r="H41" s="167"/>
    </row>
    <row r="42" spans="1:19" x14ac:dyDescent="0.35">
      <c r="A42" s="128" t="s">
        <v>33</v>
      </c>
      <c r="B42" s="128"/>
      <c r="C42" s="128"/>
      <c r="D42" s="128"/>
      <c r="E42" s="186">
        <v>8338.61</v>
      </c>
      <c r="F42" s="186"/>
      <c r="G42" s="186"/>
      <c r="H42" s="186"/>
    </row>
    <row r="43" spans="1:19" x14ac:dyDescent="0.35">
      <c r="A43" s="128" t="s">
        <v>34</v>
      </c>
      <c r="B43" s="128"/>
      <c r="C43" s="128"/>
      <c r="D43" s="128"/>
      <c r="E43" s="157">
        <v>1</v>
      </c>
      <c r="F43" s="157"/>
      <c r="G43" s="157"/>
      <c r="H43" s="157"/>
    </row>
    <row r="44" spans="1:19" x14ac:dyDescent="0.35">
      <c r="A44" s="128" t="s">
        <v>35</v>
      </c>
      <c r="B44" s="128"/>
      <c r="C44" s="128"/>
      <c r="D44" s="128"/>
      <c r="E44" s="157">
        <f>E46/E42-E43</f>
        <v>0.87763668045393639</v>
      </c>
      <c r="F44" s="157"/>
      <c r="G44" s="157"/>
      <c r="H44" s="157"/>
    </row>
    <row r="45" spans="1:19" x14ac:dyDescent="0.35">
      <c r="A45" s="128" t="s">
        <v>36</v>
      </c>
      <c r="B45" s="128"/>
      <c r="C45" s="128"/>
      <c r="D45" s="128"/>
      <c r="E45" s="157">
        <f>E43+E44</f>
        <v>1.8776366804539364</v>
      </c>
      <c r="F45" s="157"/>
      <c r="G45" s="157"/>
      <c r="H45" s="157"/>
    </row>
    <row r="46" spans="1:19" x14ac:dyDescent="0.35">
      <c r="A46" s="128" t="s">
        <v>89</v>
      </c>
      <c r="B46" s="128"/>
      <c r="C46" s="128"/>
      <c r="D46" s="128"/>
      <c r="E46" s="158">
        <v>15656.88</v>
      </c>
      <c r="F46" s="158"/>
      <c r="G46" s="158"/>
      <c r="H46" s="158"/>
    </row>
    <row r="47" spans="1:19" x14ac:dyDescent="0.35">
      <c r="A47" s="179" t="s">
        <v>37</v>
      </c>
      <c r="B47" s="179"/>
      <c r="C47" s="179"/>
      <c r="D47" s="179"/>
      <c r="E47" s="145" t="s">
        <v>399</v>
      </c>
      <c r="F47" s="145"/>
      <c r="G47" s="145"/>
      <c r="H47" s="145"/>
    </row>
    <row r="48" spans="1:19" x14ac:dyDescent="0.35">
      <c r="A48" s="167" t="s">
        <v>38</v>
      </c>
      <c r="B48" s="167"/>
      <c r="C48" s="167"/>
      <c r="D48" s="167"/>
      <c r="E48" s="167"/>
      <c r="F48" s="167"/>
      <c r="G48" s="167"/>
      <c r="H48" s="167"/>
    </row>
    <row r="49" spans="1:24" ht="33.75" customHeight="1" x14ac:dyDescent="0.35">
      <c r="A49" s="146" t="s">
        <v>147</v>
      </c>
      <c r="B49" s="148"/>
      <c r="C49" s="164" t="s">
        <v>273</v>
      </c>
      <c r="D49" s="165"/>
      <c r="E49" s="165"/>
      <c r="F49" s="165"/>
      <c r="G49" s="165"/>
      <c r="H49" s="166"/>
      <c r="R49" t="s">
        <v>250</v>
      </c>
      <c r="S49" s="49" t="s">
        <v>169</v>
      </c>
      <c r="T49" s="49" t="s">
        <v>177</v>
      </c>
      <c r="U49" s="49" t="s">
        <v>191</v>
      </c>
      <c r="V49" s="49" t="s">
        <v>186</v>
      </c>
    </row>
    <row r="50" spans="1:24" ht="15.75" customHeight="1" x14ac:dyDescent="0.35">
      <c r="A50" s="146" t="s">
        <v>39</v>
      </c>
      <c r="B50" s="148"/>
      <c r="C50" s="146" t="s">
        <v>404</v>
      </c>
      <c r="D50" s="147"/>
      <c r="E50" s="148"/>
      <c r="F50" s="15" t="s">
        <v>40</v>
      </c>
      <c r="G50" s="170">
        <v>45239</v>
      </c>
      <c r="H50" s="148"/>
      <c r="R50"/>
      <c r="S50" s="49" t="s">
        <v>251</v>
      </c>
      <c r="T50" s="49" t="s">
        <v>256</v>
      </c>
      <c r="U50" s="49" t="s">
        <v>267</v>
      </c>
      <c r="V50" s="49" t="s">
        <v>272</v>
      </c>
    </row>
    <row r="51" spans="1:24" x14ac:dyDescent="0.35">
      <c r="A51" s="146" t="s">
        <v>41</v>
      </c>
      <c r="B51" s="148"/>
      <c r="C51" s="146" t="str">
        <f>C50</f>
        <v>Mhasul/K-1/MJ1/BSP/SR/CR/32/2023</v>
      </c>
      <c r="D51" s="147"/>
      <c r="E51" s="148"/>
      <c r="F51" s="15" t="s">
        <v>40</v>
      </c>
      <c r="G51" s="170">
        <v>45239</v>
      </c>
      <c r="H51" s="148"/>
      <c r="R51"/>
      <c r="S51" s="49" t="s">
        <v>252</v>
      </c>
      <c r="T51" s="49" t="s">
        <v>257</v>
      </c>
      <c r="U51" s="49" t="s">
        <v>265</v>
      </c>
      <c r="V51" s="49" t="s">
        <v>273</v>
      </c>
    </row>
    <row r="52" spans="1:24" s="20" customFormat="1" ht="17.25" customHeight="1" x14ac:dyDescent="0.35">
      <c r="A52" s="175" t="s">
        <v>151</v>
      </c>
      <c r="B52" s="176"/>
      <c r="C52" s="146" t="s">
        <v>342</v>
      </c>
      <c r="D52" s="147"/>
      <c r="E52" s="148"/>
      <c r="F52" s="15" t="s">
        <v>40</v>
      </c>
      <c r="G52" s="170">
        <v>45239</v>
      </c>
      <c r="H52" s="148"/>
      <c r="R52"/>
      <c r="S52" s="49" t="s">
        <v>253</v>
      </c>
      <c r="T52" s="49" t="s">
        <v>258</v>
      </c>
      <c r="U52" s="49" t="s">
        <v>255</v>
      </c>
      <c r="V52" s="49" t="s">
        <v>274</v>
      </c>
    </row>
    <row r="53" spans="1:24" s="20" customFormat="1" ht="94.5" customHeight="1" x14ac:dyDescent="0.35">
      <c r="A53" s="177"/>
      <c r="B53" s="178"/>
      <c r="C53" s="146" t="s">
        <v>405</v>
      </c>
      <c r="D53" s="147"/>
      <c r="E53" s="147"/>
      <c r="F53" s="147"/>
      <c r="G53" s="147"/>
      <c r="H53" s="148"/>
      <c r="R53"/>
      <c r="S53" s="49" t="s">
        <v>254</v>
      </c>
      <c r="T53" s="49" t="s">
        <v>261</v>
      </c>
      <c r="U53" s="49" t="s">
        <v>268</v>
      </c>
      <c r="V53" s="64"/>
    </row>
    <row r="54" spans="1:24" s="20" customFormat="1" hidden="1" x14ac:dyDescent="0.35">
      <c r="A54" s="171" t="s">
        <v>278</v>
      </c>
      <c r="B54" s="172"/>
      <c r="C54" s="146" t="str">
        <f>C53</f>
        <v>Building No.1 (Wing A &amp; B) = Gr. + 1st to 7th Floors, 
Building No.2, 3( Wing A &amp; B) &amp; 5 = Gr. + 1st to 4th Floors, 
Building No.4( Wing A &amp; B) = Gr. + 1st to 7th Floors, 
Housing For Affected People = Gr. + 1st to 4th Floor. 
Total B.U.A For (Bldg 1 to 5) = 15656.88sqm &amp;
Housing For Affected People = 1490.84sqm.</v>
      </c>
      <c r="D54" s="147"/>
      <c r="E54" s="148"/>
      <c r="F54" s="15" t="s">
        <v>40</v>
      </c>
      <c r="G54" s="146"/>
      <c r="H54" s="148"/>
      <c r="R54"/>
      <c r="S54" s="49" t="s">
        <v>253</v>
      </c>
      <c r="T54" s="49" t="s">
        <v>258</v>
      </c>
      <c r="U54" s="49" t="s">
        <v>255</v>
      </c>
      <c r="V54" s="49" t="s">
        <v>274</v>
      </c>
    </row>
    <row r="55" spans="1:24" s="20" customFormat="1" ht="32.25" hidden="1" customHeight="1" x14ac:dyDescent="0.35">
      <c r="A55" s="173"/>
      <c r="B55" s="174"/>
      <c r="C55" s="161"/>
      <c r="D55" s="162"/>
      <c r="E55" s="162"/>
      <c r="F55" s="162"/>
      <c r="G55" s="162"/>
      <c r="H55" s="163"/>
      <c r="R55"/>
      <c r="S55" s="49" t="s">
        <v>255</v>
      </c>
      <c r="T55" s="49" t="s">
        <v>259</v>
      </c>
      <c r="U55" s="49" t="s">
        <v>269</v>
      </c>
      <c r="V55" s="65"/>
      <c r="W55" s="18"/>
      <c r="X55" s="18"/>
    </row>
    <row r="56" spans="1:24" s="20" customFormat="1" ht="34.5" hidden="1" customHeight="1" x14ac:dyDescent="0.35">
      <c r="A56" s="171" t="s">
        <v>279</v>
      </c>
      <c r="B56" s="172"/>
      <c r="C56" s="146">
        <f>C55</f>
        <v>0</v>
      </c>
      <c r="D56" s="147"/>
      <c r="E56" s="148"/>
      <c r="F56" s="15" t="s">
        <v>40</v>
      </c>
      <c r="G56" s="146">
        <f>G55</f>
        <v>0</v>
      </c>
      <c r="H56" s="148"/>
      <c r="R56"/>
      <c r="S56" s="65"/>
      <c r="T56" s="49" t="s">
        <v>260</v>
      </c>
      <c r="U56" s="49" t="s">
        <v>270</v>
      </c>
      <c r="V56" s="65"/>
      <c r="W56" s="18"/>
      <c r="X56" s="18"/>
    </row>
    <row r="57" spans="1:24" s="20" customFormat="1" ht="41.25" hidden="1" customHeight="1" x14ac:dyDescent="0.35">
      <c r="A57" s="173"/>
      <c r="B57" s="174"/>
      <c r="C57" s="146"/>
      <c r="D57" s="147"/>
      <c r="E57" s="147"/>
      <c r="F57" s="147"/>
      <c r="G57" s="147"/>
      <c r="H57" s="148"/>
      <c r="R57"/>
      <c r="S57" s="65"/>
      <c r="T57" s="49" t="s">
        <v>262</v>
      </c>
      <c r="U57" s="49" t="s">
        <v>271</v>
      </c>
      <c r="V57" s="65"/>
      <c r="W57" s="18"/>
      <c r="X57" s="18"/>
    </row>
    <row r="58" spans="1:24" s="20" customFormat="1" ht="15.75" hidden="1" customHeight="1" x14ac:dyDescent="0.35">
      <c r="A58" s="171" t="s">
        <v>280</v>
      </c>
      <c r="B58" s="172"/>
      <c r="C58" s="146">
        <f>C57</f>
        <v>0</v>
      </c>
      <c r="D58" s="147"/>
      <c r="E58" s="148"/>
      <c r="F58" s="15" t="s">
        <v>40</v>
      </c>
      <c r="G58" s="146">
        <f>G57</f>
        <v>0</v>
      </c>
      <c r="H58" s="148"/>
      <c r="R58"/>
      <c r="S58" s="65"/>
      <c r="T58" s="49" t="s">
        <v>263</v>
      </c>
      <c r="U58" s="65" t="s">
        <v>294</v>
      </c>
      <c r="V58" s="65"/>
      <c r="W58" s="18"/>
      <c r="X58" s="18"/>
    </row>
    <row r="59" spans="1:24" s="20" customFormat="1" ht="33.75" hidden="1" customHeight="1" x14ac:dyDescent="0.35">
      <c r="A59" s="173"/>
      <c r="B59" s="174"/>
      <c r="C59" s="146"/>
      <c r="D59" s="147"/>
      <c r="E59" s="147"/>
      <c r="F59" s="147"/>
      <c r="G59" s="147"/>
      <c r="H59" s="148"/>
      <c r="R59"/>
      <c r="S59" s="65"/>
      <c r="T59" s="49" t="s">
        <v>264</v>
      </c>
      <c r="U59" s="65"/>
      <c r="V59" s="65"/>
      <c r="W59" s="18"/>
      <c r="X59" s="18"/>
    </row>
    <row r="60" spans="1:24" ht="39.75" hidden="1" customHeight="1" x14ac:dyDescent="0.35">
      <c r="A60" s="227" t="s">
        <v>42</v>
      </c>
      <c r="B60" s="228"/>
      <c r="C60" s="227" t="s">
        <v>101</v>
      </c>
      <c r="D60" s="229"/>
      <c r="E60" s="228"/>
      <c r="F60" s="40" t="s">
        <v>40</v>
      </c>
      <c r="G60" s="233" t="s">
        <v>28</v>
      </c>
      <c r="H60" s="234"/>
      <c r="R60"/>
      <c r="S60" s="65"/>
      <c r="T60" s="49" t="s">
        <v>266</v>
      </c>
      <c r="U60" s="65"/>
      <c r="V60" s="65"/>
    </row>
    <row r="61" spans="1:24" x14ac:dyDescent="0.35">
      <c r="A61" s="199" t="s">
        <v>44</v>
      </c>
      <c r="B61" s="199"/>
      <c r="C61" s="199"/>
      <c r="D61" s="199"/>
      <c r="E61" s="199"/>
      <c r="F61" s="199"/>
      <c r="G61" s="199"/>
      <c r="H61" s="199"/>
      <c r="S61" s="65"/>
      <c r="T61" s="49" t="s">
        <v>275</v>
      </c>
      <c r="U61" s="65"/>
      <c r="V61" s="65"/>
    </row>
    <row r="62" spans="1:24" x14ac:dyDescent="0.35">
      <c r="A62" s="168" t="s">
        <v>88</v>
      </c>
      <c r="B62" s="168"/>
      <c r="C62" s="168"/>
      <c r="D62" s="128">
        <f>E46</f>
        <v>15656.88</v>
      </c>
      <c r="E62" s="128"/>
      <c r="F62" s="128"/>
      <c r="G62" s="128"/>
      <c r="H62" s="128"/>
      <c r="R62"/>
    </row>
    <row r="63" spans="1:24" ht="31.5" customHeight="1" x14ac:dyDescent="0.35">
      <c r="A63" s="160" t="s">
        <v>45</v>
      </c>
      <c r="B63" s="179"/>
      <c r="C63" s="179"/>
      <c r="D63" s="187" t="s">
        <v>419</v>
      </c>
      <c r="E63" s="145"/>
      <c r="F63" s="145"/>
      <c r="G63" s="145"/>
      <c r="H63" s="145"/>
      <c r="I63" s="21"/>
      <c r="R63"/>
    </row>
    <row r="64" spans="1:24" ht="97.5" customHeight="1" x14ac:dyDescent="0.35">
      <c r="A64" s="154" t="s">
        <v>46</v>
      </c>
      <c r="B64" s="155"/>
      <c r="C64" s="156"/>
      <c r="D64" s="152" t="s">
        <v>431</v>
      </c>
      <c r="E64" s="153"/>
      <c r="F64" s="153"/>
      <c r="G64" s="153"/>
      <c r="H64" s="153"/>
      <c r="R64"/>
    </row>
    <row r="65" spans="1:19" ht="15.75" customHeight="1" x14ac:dyDescent="0.35">
      <c r="A65" s="187" t="s">
        <v>86</v>
      </c>
      <c r="B65" s="187"/>
      <c r="C65" s="187"/>
      <c r="D65" s="145" t="s">
        <v>427</v>
      </c>
      <c r="E65" s="145"/>
      <c r="F65" s="145"/>
      <c r="G65" s="145"/>
      <c r="H65" s="145"/>
      <c r="R65"/>
    </row>
    <row r="66" spans="1:19" ht="15.75" hidden="1" customHeight="1" x14ac:dyDescent="0.35">
      <c r="A66" s="187"/>
      <c r="B66" s="187"/>
      <c r="C66" s="187"/>
      <c r="D66" s="145" t="s">
        <v>344</v>
      </c>
      <c r="E66" s="145"/>
      <c r="F66" s="145"/>
      <c r="G66" s="145"/>
      <c r="H66" s="145"/>
      <c r="R66"/>
    </row>
    <row r="67" spans="1:19" ht="15.75" customHeight="1" x14ac:dyDescent="0.35">
      <c r="A67" s="187"/>
      <c r="B67" s="187"/>
      <c r="C67" s="187"/>
      <c r="D67" s="145" t="s">
        <v>428</v>
      </c>
      <c r="E67" s="145"/>
      <c r="F67" s="145"/>
      <c r="G67" s="145"/>
      <c r="H67" s="145"/>
      <c r="S67"/>
    </row>
    <row r="68" spans="1:19" ht="15.75" customHeight="1" x14ac:dyDescent="0.35">
      <c r="A68" s="187"/>
      <c r="B68" s="187"/>
      <c r="C68" s="187"/>
      <c r="D68" s="145" t="s">
        <v>442</v>
      </c>
      <c r="E68" s="145"/>
      <c r="F68" s="145"/>
      <c r="G68" s="145"/>
      <c r="H68" s="145"/>
      <c r="S68"/>
    </row>
    <row r="69" spans="1:19" ht="15.75" hidden="1" customHeight="1" x14ac:dyDescent="0.35">
      <c r="A69" s="187"/>
      <c r="B69" s="187"/>
      <c r="C69" s="187"/>
      <c r="D69" s="145" t="s">
        <v>429</v>
      </c>
      <c r="E69" s="145"/>
      <c r="F69" s="145"/>
      <c r="G69" s="145"/>
      <c r="H69" s="145"/>
      <c r="S69"/>
    </row>
    <row r="70" spans="1:19" ht="15.75" customHeight="1" x14ac:dyDescent="0.35">
      <c r="A70" s="187"/>
      <c r="B70" s="187"/>
      <c r="C70" s="187"/>
      <c r="D70" s="145" t="s">
        <v>430</v>
      </c>
      <c r="E70" s="145"/>
      <c r="F70" s="145"/>
      <c r="G70" s="145"/>
      <c r="H70" s="145"/>
      <c r="S70"/>
    </row>
    <row r="71" spans="1:19" ht="15.75" hidden="1" customHeight="1" x14ac:dyDescent="0.35">
      <c r="A71" s="187"/>
      <c r="B71" s="187"/>
      <c r="C71" s="187"/>
      <c r="D71" s="145" t="s">
        <v>345</v>
      </c>
      <c r="E71" s="145"/>
      <c r="F71" s="145"/>
      <c r="G71" s="145"/>
      <c r="H71" s="145"/>
      <c r="S71"/>
    </row>
    <row r="72" spans="1:19" ht="15.75" customHeight="1" x14ac:dyDescent="0.35">
      <c r="A72" s="187"/>
      <c r="B72" s="187"/>
      <c r="C72" s="187"/>
      <c r="D72" s="145" t="s">
        <v>432</v>
      </c>
      <c r="E72" s="145"/>
      <c r="F72" s="145"/>
      <c r="G72" s="145"/>
      <c r="H72" s="145"/>
      <c r="S72"/>
    </row>
    <row r="73" spans="1:19" ht="15.75" customHeight="1" x14ac:dyDescent="0.35">
      <c r="A73" s="187"/>
      <c r="B73" s="187"/>
      <c r="C73" s="187"/>
      <c r="D73" s="145" t="s">
        <v>346</v>
      </c>
      <c r="E73" s="145"/>
      <c r="F73" s="145"/>
      <c r="G73" s="145"/>
      <c r="H73" s="145"/>
      <c r="S73"/>
    </row>
    <row r="74" spans="1:19" ht="15.75" customHeight="1" x14ac:dyDescent="0.35">
      <c r="A74" s="128" t="s">
        <v>43</v>
      </c>
      <c r="B74" s="128"/>
      <c r="C74" s="128"/>
      <c r="D74" s="168" t="s">
        <v>343</v>
      </c>
      <c r="E74" s="168"/>
      <c r="F74" s="168"/>
      <c r="G74" s="168"/>
      <c r="H74" s="168"/>
      <c r="J74" s="22"/>
      <c r="K74" s="21"/>
      <c r="N74" s="21"/>
      <c r="S74"/>
    </row>
    <row r="75" spans="1:19" ht="15.75" customHeight="1" x14ac:dyDescent="0.35">
      <c r="A75" s="128" t="s">
        <v>84</v>
      </c>
      <c r="B75" s="128"/>
      <c r="C75" s="128"/>
      <c r="D75" s="182" t="str">
        <f>(IF(G60="NA","60 Years After Completion",IF(G60&lt;&gt;"NA",""&amp;60-ROUNDDOWN((E3-G60)/360,0)&amp;" Years"," ")))</f>
        <v>60 Years After Completion</v>
      </c>
      <c r="E75" s="182"/>
      <c r="F75" s="182"/>
      <c r="G75" s="182"/>
      <c r="H75" s="182"/>
      <c r="N75" s="21"/>
      <c r="S75"/>
    </row>
    <row r="76" spans="1:19" ht="15.75" customHeight="1" x14ac:dyDescent="0.35">
      <c r="A76" s="128" t="s">
        <v>85</v>
      </c>
      <c r="B76" s="128"/>
      <c r="C76" s="128"/>
      <c r="D76" s="168" t="s">
        <v>23</v>
      </c>
      <c r="E76" s="168"/>
      <c r="F76" s="168"/>
      <c r="G76" s="168"/>
      <c r="H76" s="168"/>
      <c r="J76" s="23"/>
      <c r="K76" s="23"/>
      <c r="S76"/>
    </row>
    <row r="77" spans="1:19" ht="33.75" customHeight="1" x14ac:dyDescent="0.35">
      <c r="A77" s="145" t="s">
        <v>406</v>
      </c>
      <c r="B77" s="145"/>
      <c r="C77" s="145"/>
      <c r="D77" s="160" t="s">
        <v>347</v>
      </c>
      <c r="E77" s="168"/>
      <c r="F77" s="168"/>
      <c r="G77" s="168"/>
      <c r="H77" s="168"/>
      <c r="I77" s="18" t="s">
        <v>348</v>
      </c>
      <c r="S77"/>
    </row>
    <row r="78" spans="1:19" x14ac:dyDescent="0.35">
      <c r="A78" s="168" t="s">
        <v>143</v>
      </c>
      <c r="B78" s="168"/>
      <c r="C78" s="168"/>
      <c r="D78" s="168" t="s">
        <v>28</v>
      </c>
      <c r="E78" s="168"/>
      <c r="F78" s="168"/>
      <c r="G78" s="168"/>
      <c r="H78" s="168"/>
      <c r="I78" s="24"/>
      <c r="J78" s="24"/>
      <c r="K78" s="24"/>
      <c r="L78" s="24"/>
      <c r="M78" s="24"/>
      <c r="N78" s="24"/>
    </row>
    <row r="79" spans="1:19" ht="15.75" customHeight="1" x14ac:dyDescent="0.35">
      <c r="A79" s="230" t="s">
        <v>83</v>
      </c>
      <c r="B79" s="230"/>
      <c r="C79" s="230"/>
      <c r="D79" s="181" t="str">
        <f ca="1">(IF(G99&gt;95%,"Nothing",IF(G99&gt;0%,"Cement, Aggregate, Steel, etc",IF(G99=0%,"Work not yet Started"))))</f>
        <v>Cement, Aggregate, Steel, etc</v>
      </c>
      <c r="E79" s="181"/>
      <c r="F79" s="181"/>
      <c r="G79" s="181"/>
      <c r="H79" s="181"/>
      <c r="J79" s="23"/>
      <c r="S79"/>
    </row>
    <row r="80" spans="1:19" ht="33.75" customHeight="1" thickBot="1" x14ac:dyDescent="0.4">
      <c r="A80" s="180" t="s">
        <v>114</v>
      </c>
      <c r="B80" s="180"/>
      <c r="C80" s="180"/>
      <c r="D80" s="181" t="str">
        <f ca="1">(IF(D79="Nothing","Yes",IF(D79="Cement, Aggregate, Steel, etc","Under Construction",IF(D79="Work not yet Started","Work not yet Started"))))</f>
        <v>Under Construction</v>
      </c>
      <c r="E80" s="181"/>
      <c r="F80" s="181" t="str">
        <f ca="1">(IF(D79="Nothing","Yes",IF(D79="Cement, Aggregate, Steel, etc","Under Construction",IF(D79="Work not yet Started","Work not yet Started"))))</f>
        <v>Under Construction</v>
      </c>
      <c r="G80" s="181"/>
      <c r="H80" s="181"/>
      <c r="S80"/>
    </row>
    <row r="81" spans="1:19" ht="15.75" customHeight="1" x14ac:dyDescent="0.35">
      <c r="A81" s="115" t="s">
        <v>133</v>
      </c>
      <c r="B81" s="116"/>
      <c r="C81" s="117" t="str">
        <f>D65</f>
        <v>Building No.1(Acacia) (Wing A&amp;B) = G + 1st to 7th Floor</v>
      </c>
      <c r="D81" s="118"/>
      <c r="E81" s="118"/>
      <c r="F81" s="118"/>
      <c r="G81" s="118"/>
      <c r="H81" s="119"/>
      <c r="I81" s="42" t="str">
        <f ca="1">IF(D94=100%,"All work Completed. Possession granted to the Building.",IF(D93=100%,"All work Completed, Waiting for OC",I82&amp;""&amp;I83&amp;""&amp;J82&amp;""&amp;J81&amp;" "&amp;J83))</f>
        <v xml:space="preserve">Work not yet Started. </v>
      </c>
      <c r="J81" s="43" t="str">
        <f ca="1">(IF(C87=(D82+F82+H82),"",IF(C87&gt;0,", RCC upto "&amp;C87&amp;" Slab","")))&amp;(IF(C88=H82,"",IF(C88&gt;0,", Brickwork upto "&amp;C88&amp;" Floor","")))&amp;(IF(C89=H82,"",IF(C89&gt;0,", Internal Plaster upto "&amp;C89&amp;" Floor","")))&amp;(IF(C90=H82,"",IF(C90&gt;0,", External Plaster upto "&amp;C90&amp;" Floor","")))&amp;(IF(C91=H82,"",IF(C91&gt;0,", Flooring upto "&amp;C91&amp;" Floor","")))&amp;(IF(C92=H82,"",IF(C92&gt;0,", Painting upto "&amp;C92&amp;" Floor","")))&amp;(IF(C93=H82,"",IF(C93&gt;0,", Finishing upto "&amp;C93&amp;" Floor","")))&amp;(IF(C94=H82,"",IF(C94&gt;0,", Possession upto "&amp;C94&amp;" Floor","")))</f>
        <v/>
      </c>
      <c r="S81"/>
    </row>
    <row r="82" spans="1:19" x14ac:dyDescent="0.35">
      <c r="A82" s="75" t="s">
        <v>135</v>
      </c>
      <c r="B82" s="76">
        <f>IF(AND(ISNUMBER(SEARCH("1B",C81))),1,IF(AND(ISNUMBER(SEARCH("2B",C81))),2,IF(AND(ISNUMBER(SEARCH("3B",C81))),3,IF(AND(ISNUMBER(SEARCH("4B",C81))),4,IF(ISNUMBER(SEARCH("5B",C81)),5,0)))))</f>
        <v>0</v>
      </c>
      <c r="C82" s="76" t="s">
        <v>69</v>
      </c>
      <c r="D82" s="76">
        <v>1</v>
      </c>
      <c r="E82" s="76" t="s">
        <v>68</v>
      </c>
      <c r="F82" s="76">
        <v>0</v>
      </c>
      <c r="G82" s="76" t="s">
        <v>77</v>
      </c>
      <c r="H82" s="77">
        <f ca="1">--TRIM(RIGHT(SUBSTITUTE(LEFT(C81,_xlfn.AGGREGATE(16,6,FIND({0,1,2,3,4,5,6,7,8,9},C81,ROW(INDIRECT("1:"&amp;LEN(C81)))),1))," ",REPT(" ",LEN(C81))),LEN(C81)))</f>
        <v>7</v>
      </c>
      <c r="I82" s="44" t="str">
        <f ca="1">IF(D85=100%,"Excavation","")&amp;IF(D86=100%,", Plinth","")&amp;IF(D87=100%,", RCC Slab","")&amp;IF(D88=100%,", Brickwork","")&amp;IF(D89=100%,", Internal Plaster","")&amp;IF(D90=100%,", External Plaster","")&amp;IF(D91=100%,", Flooring","")&amp;IF(D92=100%,", Painting","")&amp;IF(D93=100%,", Building common Amenities","")</f>
        <v/>
      </c>
      <c r="J82" s="45" t="str">
        <f>(IF(C85=0,"Work not yet Started.",IF(D85=25%,"Piling work in process",IF(D85=50%,"Excavation work in process",IF(D85=100%,"","0")))))&amp;(IF(C86=0%,"",IF(C86=J87,", Footing work is process",IF(C86=J88,", Footing work Completed",IF(C86=J89,", 1st Basement Completed",IF(C86=J90,", 1st &amp; 2nd Basement Completed",IF(C86=J91,", 1st to 3rd Basement Completed",IF(C86=J92,", 1st to 4th Basement Completed",IF(C86=J93,", Plinth work is process",IF(C86=J94,"","0"))))))))))</f>
        <v>Work not yet Started.</v>
      </c>
      <c r="S82"/>
    </row>
    <row r="83" spans="1:19" x14ac:dyDescent="0.35">
      <c r="A83" s="120" t="s">
        <v>87</v>
      </c>
      <c r="B83" s="121"/>
      <c r="C83" s="122" t="str">
        <f ca="1">I81</f>
        <v xml:space="preserve">Work not yet Started. </v>
      </c>
      <c r="D83" s="122"/>
      <c r="E83" s="122"/>
      <c r="F83" s="122"/>
      <c r="G83" s="122"/>
      <c r="H83" s="123"/>
      <c r="I83" s="44" t="str">
        <f ca="1">IF(I82&lt;&gt;""," Completed","")</f>
        <v/>
      </c>
      <c r="J83" s="45" t="str">
        <f ca="1">IF(J81&lt;&gt;"","Completed","")</f>
        <v/>
      </c>
      <c r="S83"/>
    </row>
    <row r="84" spans="1:19" ht="15.75" customHeight="1" x14ac:dyDescent="0.35">
      <c r="A84" s="93" t="s">
        <v>47</v>
      </c>
      <c r="B84" s="94"/>
      <c r="C84" s="69" t="s">
        <v>132</v>
      </c>
      <c r="D84" s="69" t="s">
        <v>80</v>
      </c>
      <c r="E84" s="94" t="s">
        <v>82</v>
      </c>
      <c r="F84" s="94"/>
      <c r="G84" s="94" t="s">
        <v>81</v>
      </c>
      <c r="H84" s="124"/>
      <c r="I84" s="13" t="s">
        <v>134</v>
      </c>
      <c r="J84" s="25">
        <f ca="1">H82*25%</f>
        <v>1.75</v>
      </c>
      <c r="S84"/>
    </row>
    <row r="85" spans="1:19" x14ac:dyDescent="0.35">
      <c r="A85" s="93" t="s">
        <v>121</v>
      </c>
      <c r="B85" s="94"/>
      <c r="C85" s="69">
        <v>0</v>
      </c>
      <c r="D85" s="16">
        <f ca="1">((100/H82)*C85)/100</f>
        <v>0</v>
      </c>
      <c r="E85" s="87">
        <f ca="1">(((C86/H82*10)+(40/(D82+F82+H82)*C87)+(7.5/(H82)*C88)+(7.5/(H82)*C89)+(10/H82*C90)+(10/H82*C91)+(5/H82*C92)+(5/H82*C93)+(5/H82*C94))/100)</f>
        <v>0</v>
      </c>
      <c r="F85" s="149"/>
      <c r="G85" s="87">
        <f ca="1">((((C85/H82)*20)+((C86/H82)*25)+(30/(H82+F82+D82)*C87)+(5/H82*C88)+(5/H82*C89)+(5/H82*C90)+(5/H82*C91)+(0/H82*C92)+(0/H82*C93)+(5/H82*C94))/100)</f>
        <v>0</v>
      </c>
      <c r="H85" s="88"/>
      <c r="I85" s="13" t="s">
        <v>96</v>
      </c>
      <c r="J85" s="26">
        <f ca="1">H82*50%</f>
        <v>3.5</v>
      </c>
    </row>
    <row r="86" spans="1:19" x14ac:dyDescent="0.35">
      <c r="A86" s="93" t="s">
        <v>48</v>
      </c>
      <c r="B86" s="94"/>
      <c r="C86" s="69">
        <v>0</v>
      </c>
      <c r="D86" s="16">
        <f ca="1">((100/H82)*C86)/100</f>
        <v>0</v>
      </c>
      <c r="E86" s="89"/>
      <c r="F86" s="150"/>
      <c r="G86" s="89"/>
      <c r="H86" s="90"/>
      <c r="I86" s="13" t="s">
        <v>97</v>
      </c>
      <c r="J86" s="26">
        <f ca="1">H82</f>
        <v>7</v>
      </c>
      <c r="S86"/>
    </row>
    <row r="87" spans="1:19" ht="15.75" customHeight="1" x14ac:dyDescent="0.35">
      <c r="A87" s="93" t="s">
        <v>122</v>
      </c>
      <c r="B87" s="94"/>
      <c r="C87" s="69">
        <v>0</v>
      </c>
      <c r="D87" s="16">
        <f ca="1">((100/(D82+F82+H82))*C87)/100</f>
        <v>0</v>
      </c>
      <c r="E87" s="89"/>
      <c r="F87" s="150"/>
      <c r="G87" s="89"/>
      <c r="H87" s="90"/>
      <c r="I87" s="13" t="s">
        <v>98</v>
      </c>
      <c r="J87" s="27">
        <f ca="1">(IF(B82&gt;1,(H82/(B82+2)),H82/4))</f>
        <v>1.75</v>
      </c>
      <c r="S87"/>
    </row>
    <row r="88" spans="1:19" ht="15.75" customHeight="1" x14ac:dyDescent="0.35">
      <c r="A88" s="93" t="s">
        <v>129</v>
      </c>
      <c r="B88" s="94" t="s">
        <v>123</v>
      </c>
      <c r="C88" s="69">
        <v>0</v>
      </c>
      <c r="D88" s="16">
        <f ca="1">((100/H82)*C88)/100</f>
        <v>0</v>
      </c>
      <c r="E88" s="89"/>
      <c r="F88" s="150"/>
      <c r="G88" s="89"/>
      <c r="H88" s="90"/>
      <c r="I88" s="13" t="s">
        <v>99</v>
      </c>
      <c r="J88" s="27">
        <f ca="1">(IF(B82&gt;1,(H82/(B82+2)+J87),H82/4+J87))</f>
        <v>3.5</v>
      </c>
    </row>
    <row r="89" spans="1:19" ht="15.75" customHeight="1" x14ac:dyDescent="0.35">
      <c r="A89" s="93" t="s">
        <v>130</v>
      </c>
      <c r="B89" s="94" t="s">
        <v>123</v>
      </c>
      <c r="C89" s="69">
        <v>0</v>
      </c>
      <c r="D89" s="16">
        <f ca="1">((100/H82)*C89)/100</f>
        <v>0</v>
      </c>
      <c r="E89" s="89"/>
      <c r="F89" s="150"/>
      <c r="G89" s="89"/>
      <c r="H89" s="90"/>
      <c r="I89" s="13" t="s">
        <v>141</v>
      </c>
      <c r="J89" s="27">
        <f>(IF(B82&gt;1,(H82/(B82+2)+J88),0))</f>
        <v>0</v>
      </c>
    </row>
    <row r="90" spans="1:19" ht="15" customHeight="1" x14ac:dyDescent="0.35">
      <c r="A90" s="93" t="s">
        <v>128</v>
      </c>
      <c r="B90" s="94" t="s">
        <v>125</v>
      </c>
      <c r="C90" s="69">
        <v>0</v>
      </c>
      <c r="D90" s="16">
        <f ca="1">((100/(H82))*C90)/100</f>
        <v>0</v>
      </c>
      <c r="E90" s="89"/>
      <c r="F90" s="150"/>
      <c r="G90" s="89"/>
      <c r="H90" s="90"/>
      <c r="I90" s="13" t="s">
        <v>136</v>
      </c>
      <c r="J90" s="27">
        <f>(IF(B82&gt;2,(H82/(B82+2)+J89),0))</f>
        <v>0</v>
      </c>
    </row>
    <row r="91" spans="1:19" ht="15.75" customHeight="1" x14ac:dyDescent="0.35">
      <c r="A91" s="93" t="s">
        <v>124</v>
      </c>
      <c r="B91" s="94" t="s">
        <v>124</v>
      </c>
      <c r="C91" s="69">
        <v>0</v>
      </c>
      <c r="D91" s="16">
        <f ca="1">((100/H82)*C91)/100</f>
        <v>0</v>
      </c>
      <c r="E91" s="89"/>
      <c r="F91" s="150"/>
      <c r="G91" s="89"/>
      <c r="H91" s="90"/>
      <c r="I91" s="13" t="s">
        <v>137</v>
      </c>
      <c r="J91" s="28">
        <f>(IF(B82&gt;3,(H82/(B82+2)+J90),0))</f>
        <v>0</v>
      </c>
    </row>
    <row r="92" spans="1:19" ht="15.75" customHeight="1" x14ac:dyDescent="0.35">
      <c r="A92" s="93" t="s">
        <v>131</v>
      </c>
      <c r="B92" s="94"/>
      <c r="C92" s="69">
        <v>0</v>
      </c>
      <c r="D92" s="16">
        <f ca="1">((100/H82)*C92)/100</f>
        <v>0</v>
      </c>
      <c r="E92" s="89"/>
      <c r="F92" s="150"/>
      <c r="G92" s="89"/>
      <c r="H92" s="90"/>
      <c r="I92" s="13" t="s">
        <v>138</v>
      </c>
      <c r="J92" s="27">
        <f>(IF(B82&gt;4,(H82/(B82+2)+J91),0))</f>
        <v>0</v>
      </c>
    </row>
    <row r="93" spans="1:19" ht="15.75" customHeight="1" x14ac:dyDescent="0.35">
      <c r="A93" s="93" t="s">
        <v>126</v>
      </c>
      <c r="B93" s="94" t="s">
        <v>126</v>
      </c>
      <c r="C93" s="69">
        <v>0</v>
      </c>
      <c r="D93" s="16">
        <f ca="1">((100/(H82))*C93)/100</f>
        <v>0</v>
      </c>
      <c r="E93" s="89"/>
      <c r="F93" s="150"/>
      <c r="G93" s="89"/>
      <c r="H93" s="90"/>
      <c r="I93" s="13" t="s">
        <v>142</v>
      </c>
      <c r="J93" s="27">
        <f ca="1">(IF(B82=1,(H82/(B82+3)+J88),IF(B82=0,(H82/4+J88),IF(B82&gt;1,0))))</f>
        <v>5.25</v>
      </c>
    </row>
    <row r="94" spans="1:19" ht="16" thickBot="1" x14ac:dyDescent="0.4">
      <c r="A94" s="95" t="s">
        <v>127</v>
      </c>
      <c r="B94" s="96"/>
      <c r="C94" s="68">
        <v>0</v>
      </c>
      <c r="D94" s="17">
        <f ca="1">((100/(H82))*C94)/100</f>
        <v>0</v>
      </c>
      <c r="E94" s="91"/>
      <c r="F94" s="151"/>
      <c r="G94" s="91"/>
      <c r="H94" s="92"/>
      <c r="I94" s="14" t="s">
        <v>100</v>
      </c>
      <c r="J94" s="29">
        <f ca="1">(IF(B82&gt;1.5,(H82/(B82+2)+J88+MAX(0,J89-J88)+MAX(0,J90-J89)+MAX(0,J91-J90)+MAX(0,J92-J91)+MAX(0,J93-J92)),IF(B82=1,(H82/(B82+3)+J93),IF(B82=0,H82/4+J93))))</f>
        <v>7</v>
      </c>
    </row>
    <row r="95" spans="1:19" ht="15.75" customHeight="1" x14ac:dyDescent="0.35">
      <c r="A95" s="115" t="s">
        <v>133</v>
      </c>
      <c r="B95" s="116"/>
      <c r="C95" s="117" t="str">
        <f>D67</f>
        <v>Building No.2(Teak) = G + 1st to 4th Floor</v>
      </c>
      <c r="D95" s="118"/>
      <c r="E95" s="118"/>
      <c r="F95" s="118"/>
      <c r="G95" s="118"/>
      <c r="H95" s="119"/>
      <c r="I95" s="42" t="str">
        <f ca="1">IF(D108=100%,"All work Completed. Possession granted to the Building.",IF(D107=100%,"All work Completed, Waiting for OC",I96&amp;""&amp;I97&amp;""&amp;J96&amp;""&amp;J95&amp;" "&amp;J97))</f>
        <v>Excavation, Plinth Completed, RCC upto 3 Slab Completed</v>
      </c>
      <c r="J95" s="43" t="str">
        <f ca="1">(IF(C101=(D96+F96+H96),"",IF(C101&gt;0,", RCC upto "&amp;C101&amp;" Slab","")))&amp;(IF(C102=H96,"",IF(C102&gt;0,", Brickwork upto "&amp;C102&amp;" Floor","")))&amp;(IF(C103=H96,"",IF(C103&gt;0,", Internal Plaster upto "&amp;C103&amp;" Floor","")))&amp;(IF(C104=H96,"",IF(C104&gt;0,", External Plaster upto "&amp;C104&amp;" Floor","")))&amp;(IF(C105=H96,"",IF(C105&gt;0,", Flooring upto "&amp;C105&amp;" Floor","")))&amp;(IF(C106=H96,"",IF(C106&gt;0,", Painting upto "&amp;C106&amp;" Floor","")))&amp;(IF(C107=H96,"",IF(C107&gt;0,", Finishing upto "&amp;C107&amp;" Floor","")))&amp;(IF(C108=H96,"",IF(C108&gt;0,", Possession upto "&amp;C108&amp;" Floor","")))</f>
        <v>, RCC upto 3 Slab</v>
      </c>
      <c r="S95"/>
    </row>
    <row r="96" spans="1:19" x14ac:dyDescent="0.35">
      <c r="A96" s="75" t="s">
        <v>135</v>
      </c>
      <c r="B96" s="76">
        <f>IF(AND(ISNUMBER(SEARCH("1B",C95))),1,IF(AND(ISNUMBER(SEARCH("2B",C95))),2,IF(AND(ISNUMBER(SEARCH("3B",C95))),3,IF(AND(ISNUMBER(SEARCH("4B",C95))),4,IF(ISNUMBER(SEARCH("5B",C95)),5,0)))))</f>
        <v>0</v>
      </c>
      <c r="C96" s="76" t="s">
        <v>69</v>
      </c>
      <c r="D96" s="76">
        <v>1</v>
      </c>
      <c r="E96" s="76" t="s">
        <v>68</v>
      </c>
      <c r="F96" s="76">
        <v>0</v>
      </c>
      <c r="G96" s="76" t="s">
        <v>77</v>
      </c>
      <c r="H96" s="77">
        <f ca="1">--TRIM(RIGHT(SUBSTITUTE(LEFT(C95,_xlfn.AGGREGATE(16,6,FIND({0,1,2,3,4,5,6,7,8,9},C95,ROW(INDIRECT("1:"&amp;LEN(C95)))),1))," ",REPT(" ",LEN(C95))),LEN(C95)))</f>
        <v>4</v>
      </c>
      <c r="I96" s="44" t="str">
        <f ca="1">IF(D99=100%,"Excavation","")&amp;IF(D100=100%,", Plinth","")&amp;IF(D101=100%,", RCC Slab","")&amp;IF(D102=100%,", Brickwork","")&amp;IF(D103=100%,", Internal Plaster","")&amp;IF(D104=100%,", External Plaster","")&amp;IF(D105=100%,", Flooring","")&amp;IF(D106=100%,", Painting","")&amp;IF(D107=100%,", Building common Amenities","")</f>
        <v>Excavation, Plinth</v>
      </c>
      <c r="J96" s="45" t="str">
        <f ca="1">(IF(C99=0,"Work not yet Started.",IF(D99=25%,"Piling work in process",IF(D99=50%,"Excavation work in process",IF(D99=100%,"","0")))))&amp;(IF(C100=0%,"",IF(C100=J101,", Footing work is process",IF(C100=J102,", Footing work Completed",IF(C100=J103,", 1st Basement Completed",IF(C100=J104,", 1st &amp; 2nd Basement Completed",IF(C100=J105,", 1st to 3rd Basement Completed",IF(C100=J106,", 1st to 4th Basement Completed",IF(C100=J107,", Plinth work is process",IF(C100=J108,"","0"))))))))))</f>
        <v/>
      </c>
      <c r="S96"/>
    </row>
    <row r="97" spans="1:19" x14ac:dyDescent="0.35">
      <c r="A97" s="120" t="s">
        <v>87</v>
      </c>
      <c r="B97" s="121"/>
      <c r="C97" s="122" t="str">
        <f ca="1">I95</f>
        <v>Excavation, Plinth Completed, RCC upto 3 Slab Completed</v>
      </c>
      <c r="D97" s="122"/>
      <c r="E97" s="122"/>
      <c r="F97" s="122"/>
      <c r="G97" s="122"/>
      <c r="H97" s="123"/>
      <c r="I97" s="44" t="str">
        <f ca="1">IF(I96&lt;&gt;""," Completed","")</f>
        <v xml:space="preserve"> Completed</v>
      </c>
      <c r="J97" s="45" t="str">
        <f ca="1">IF(J95&lt;&gt;"","Completed","")</f>
        <v>Completed</v>
      </c>
      <c r="S97"/>
    </row>
    <row r="98" spans="1:19" ht="15.75" customHeight="1" x14ac:dyDescent="0.35">
      <c r="A98" s="93" t="s">
        <v>47</v>
      </c>
      <c r="B98" s="94"/>
      <c r="C98" s="69" t="s">
        <v>132</v>
      </c>
      <c r="D98" s="69" t="s">
        <v>80</v>
      </c>
      <c r="E98" s="94" t="s">
        <v>82</v>
      </c>
      <c r="F98" s="94"/>
      <c r="G98" s="94" t="s">
        <v>81</v>
      </c>
      <c r="H98" s="124"/>
      <c r="I98" s="13" t="s">
        <v>134</v>
      </c>
      <c r="J98" s="25">
        <f ca="1">H96*25%</f>
        <v>1</v>
      </c>
      <c r="S98"/>
    </row>
    <row r="99" spans="1:19" x14ac:dyDescent="0.35">
      <c r="A99" s="94" t="s">
        <v>121</v>
      </c>
      <c r="B99" s="94"/>
      <c r="C99" s="78">
        <f ca="1">J100</f>
        <v>4</v>
      </c>
      <c r="D99" s="16">
        <f ca="1">((100/H96)*C99)/100</f>
        <v>1</v>
      </c>
      <c r="E99" s="125">
        <f ca="1">(((C100/H96*10)+(40/(D96+F96+H96)*C101)+(7.5/(H96)*C102)+(7.5/(H96)*C103)+(10/H96*C104)+(10/H96*C105)+(5/H96*C106)+(5/H96*C107)+(5/H96*C108))/100)</f>
        <v>0.34</v>
      </c>
      <c r="F99" s="125"/>
      <c r="G99" s="125">
        <f ca="1">((((C99/H96)*20)+((C100/H96)*25)+(30/(H96+F96+D96)*C101)+(5/H96*C102)+(5/H96*C103)+(5/H96*C104)+(5/H96*C105)+(0/H96*C106)+(0/H96*C107)+(5/H96*C108))/100)</f>
        <v>0.63</v>
      </c>
      <c r="H99" s="125"/>
      <c r="I99" s="13" t="s">
        <v>96</v>
      </c>
      <c r="J99" s="26">
        <f ca="1">H96*50%</f>
        <v>2</v>
      </c>
    </row>
    <row r="100" spans="1:19" x14ac:dyDescent="0.35">
      <c r="A100" s="94" t="s">
        <v>48</v>
      </c>
      <c r="B100" s="94"/>
      <c r="C100" s="70">
        <f ca="1">J108</f>
        <v>4</v>
      </c>
      <c r="D100" s="16">
        <f ca="1">((100/H96)*C100)/100</f>
        <v>1</v>
      </c>
      <c r="E100" s="125"/>
      <c r="F100" s="125"/>
      <c r="G100" s="125"/>
      <c r="H100" s="125"/>
      <c r="I100" s="13" t="s">
        <v>97</v>
      </c>
      <c r="J100" s="26">
        <f ca="1">H96</f>
        <v>4</v>
      </c>
      <c r="S100"/>
    </row>
    <row r="101" spans="1:19" ht="15.75" customHeight="1" x14ac:dyDescent="0.35">
      <c r="A101" s="94" t="s">
        <v>122</v>
      </c>
      <c r="B101" s="94"/>
      <c r="C101" s="78">
        <v>3</v>
      </c>
      <c r="D101" s="16">
        <f ca="1">((100/(D96+F96+H96))*C101)/100</f>
        <v>0.6</v>
      </c>
      <c r="E101" s="125"/>
      <c r="F101" s="125"/>
      <c r="G101" s="125"/>
      <c r="H101" s="125"/>
      <c r="I101" s="13" t="s">
        <v>98</v>
      </c>
      <c r="J101" s="27">
        <f ca="1">(IF(B96&gt;1,(H96/(B96+2)),H96/4))</f>
        <v>1</v>
      </c>
      <c r="S101"/>
    </row>
    <row r="102" spans="1:19" ht="15.75" customHeight="1" x14ac:dyDescent="0.35">
      <c r="A102" s="94" t="s">
        <v>129</v>
      </c>
      <c r="B102" s="94" t="s">
        <v>123</v>
      </c>
      <c r="C102" s="78">
        <v>0</v>
      </c>
      <c r="D102" s="16">
        <f ca="1">((100/H96)*C102)/100</f>
        <v>0</v>
      </c>
      <c r="E102" s="125"/>
      <c r="F102" s="125"/>
      <c r="G102" s="125"/>
      <c r="H102" s="125"/>
      <c r="I102" s="13" t="s">
        <v>99</v>
      </c>
      <c r="J102" s="27">
        <f ca="1">(IF(B96&gt;1,(H96/(B96+2)+J101),H96/4+J101))</f>
        <v>2</v>
      </c>
    </row>
    <row r="103" spans="1:19" ht="15.75" customHeight="1" x14ac:dyDescent="0.35">
      <c r="A103" s="94" t="s">
        <v>130</v>
      </c>
      <c r="B103" s="94" t="s">
        <v>123</v>
      </c>
      <c r="C103" s="78">
        <v>0</v>
      </c>
      <c r="D103" s="16">
        <f ca="1">((100/H96)*C103)/100</f>
        <v>0</v>
      </c>
      <c r="E103" s="125"/>
      <c r="F103" s="125"/>
      <c r="G103" s="125"/>
      <c r="H103" s="125"/>
      <c r="I103" s="13" t="s">
        <v>141</v>
      </c>
      <c r="J103" s="27">
        <f>(IF(B96&gt;1,(H96/(B96+2)+J102),0))</f>
        <v>0</v>
      </c>
    </row>
    <row r="104" spans="1:19" ht="15" customHeight="1" x14ac:dyDescent="0.35">
      <c r="A104" s="94" t="s">
        <v>128</v>
      </c>
      <c r="B104" s="94" t="s">
        <v>125</v>
      </c>
      <c r="C104" s="78">
        <v>0</v>
      </c>
      <c r="D104" s="16">
        <f ca="1">((100/(H96))*C104)/100</f>
        <v>0</v>
      </c>
      <c r="E104" s="125"/>
      <c r="F104" s="125"/>
      <c r="G104" s="125"/>
      <c r="H104" s="125"/>
      <c r="I104" s="13" t="s">
        <v>136</v>
      </c>
      <c r="J104" s="27">
        <f>(IF(B96&gt;2,(H96/(B96+2)+J103),0))</f>
        <v>0</v>
      </c>
    </row>
    <row r="105" spans="1:19" ht="15.75" customHeight="1" x14ac:dyDescent="0.35">
      <c r="A105" s="94" t="s">
        <v>124</v>
      </c>
      <c r="B105" s="94" t="s">
        <v>124</v>
      </c>
      <c r="C105" s="78">
        <v>0</v>
      </c>
      <c r="D105" s="16">
        <f ca="1">((100/H96)*C105)/100</f>
        <v>0</v>
      </c>
      <c r="E105" s="125"/>
      <c r="F105" s="125"/>
      <c r="G105" s="125"/>
      <c r="H105" s="125"/>
      <c r="I105" s="13" t="s">
        <v>137</v>
      </c>
      <c r="J105" s="28">
        <f>(IF(B96&gt;3,(H96/(B96+2)+J104),0))</f>
        <v>0</v>
      </c>
    </row>
    <row r="106" spans="1:19" ht="15.75" customHeight="1" x14ac:dyDescent="0.35">
      <c r="A106" s="94" t="s">
        <v>131</v>
      </c>
      <c r="B106" s="94"/>
      <c r="C106" s="78">
        <v>0</v>
      </c>
      <c r="D106" s="16">
        <f ca="1">((100/H96)*C106)/100</f>
        <v>0</v>
      </c>
      <c r="E106" s="125"/>
      <c r="F106" s="125"/>
      <c r="G106" s="125"/>
      <c r="H106" s="125"/>
      <c r="I106" s="13" t="s">
        <v>138</v>
      </c>
      <c r="J106" s="27">
        <f>(IF(B96&gt;4,(H96/(B96+2)+J105),0))</f>
        <v>0</v>
      </c>
    </row>
    <row r="107" spans="1:19" ht="15.75" customHeight="1" x14ac:dyDescent="0.35">
      <c r="A107" s="94" t="s">
        <v>126</v>
      </c>
      <c r="B107" s="94" t="s">
        <v>126</v>
      </c>
      <c r="C107" s="78">
        <v>0</v>
      </c>
      <c r="D107" s="16">
        <f ca="1">((100/(H96))*C107)/100</f>
        <v>0</v>
      </c>
      <c r="E107" s="125"/>
      <c r="F107" s="125"/>
      <c r="G107" s="125"/>
      <c r="H107" s="125"/>
      <c r="I107" s="13" t="s">
        <v>142</v>
      </c>
      <c r="J107" s="27">
        <f ca="1">(IF(B96=1,(H96/(B96+3)+J102),IF(B96=0,(H96/4+J102),IF(B96&gt;1,0))))</f>
        <v>3</v>
      </c>
    </row>
    <row r="108" spans="1:19" ht="16" thickBot="1" x14ac:dyDescent="0.4">
      <c r="A108" s="94" t="s">
        <v>127</v>
      </c>
      <c r="B108" s="94"/>
      <c r="C108" s="78">
        <v>0</v>
      </c>
      <c r="D108" s="16">
        <f ca="1">((100/(H96))*C108)/100</f>
        <v>0</v>
      </c>
      <c r="E108" s="125"/>
      <c r="F108" s="125"/>
      <c r="G108" s="125"/>
      <c r="H108" s="125"/>
      <c r="I108" s="14" t="s">
        <v>100</v>
      </c>
      <c r="J108" s="29">
        <f ca="1">(IF(B96&gt;1.5,(H96/(B96+2)+J102+MAX(0,J103-J102)+MAX(0,J104-J103)+MAX(0,J105-J104)+MAX(0,J106-J105)+MAX(0,J107-J106)),IF(B96=1,(H96/(B96+3)+J107),IF(B96=0,H96/4+J107))))</f>
        <v>4</v>
      </c>
    </row>
    <row r="109" spans="1:19" ht="15.75" customHeight="1" x14ac:dyDescent="0.35">
      <c r="A109" s="122" t="s">
        <v>133</v>
      </c>
      <c r="B109" s="122"/>
      <c r="C109" s="122" t="str">
        <f>D68</f>
        <v>Building No.3(Pine) (Wing A &amp; B) = G + 1st to 4th Floor</v>
      </c>
      <c r="D109" s="122"/>
      <c r="E109" s="122"/>
      <c r="F109" s="122"/>
      <c r="G109" s="122"/>
      <c r="H109" s="122"/>
      <c r="I109" s="81" t="str">
        <f ca="1">IF(D122=100%,"All work Completed. Possession granted to the Building.",IF(D121=100%,"All work Completed, Waiting for OC",I110&amp;""&amp;I111&amp;""&amp;J110&amp;""&amp;J109&amp;" "&amp;J111))</f>
        <v>All work Completed. Possession granted to the Building.</v>
      </c>
      <c r="J109" s="43" t="str">
        <f ca="1">(IF(C115=(D110+F110+H110),"",IF(C115&gt;0,", RCC upto "&amp;C115&amp;" Slab","")))&amp;(IF(C116=H110,"",IF(C116&gt;0,", Brickwork upto "&amp;C116&amp;" Floor","")))&amp;(IF(C117=H110,"",IF(C117&gt;0,", Internal Plaster upto "&amp;C117&amp;" Floor","")))&amp;(IF(C118=H110,"",IF(C118&gt;0,", External Plaster upto "&amp;C118&amp;" Floor","")))&amp;(IF(C119=H110,"",IF(C119&gt;0,", Flooring upto "&amp;C119&amp;" Floor","")))&amp;(IF(C120=H110,"",IF(C120&gt;0,", Painting upto "&amp;C120&amp;" Floor","")))&amp;(IF(C121=H110,"",IF(C121&gt;0,", Finishing upto "&amp;C121&amp;" Floor","")))&amp;(IF(C122=H110,"",IF(C122&gt;0,", Possession upto "&amp;C122&amp;" Floor","")))</f>
        <v/>
      </c>
      <c r="S109"/>
    </row>
    <row r="110" spans="1:19" x14ac:dyDescent="0.35">
      <c r="A110" s="76" t="s">
        <v>135</v>
      </c>
      <c r="B110" s="76">
        <f>IF(AND(ISNUMBER(SEARCH("1B",C109))),1,IF(AND(ISNUMBER(SEARCH("2B",C109))),2,IF(AND(ISNUMBER(SEARCH("3B",C109))),3,IF(AND(ISNUMBER(SEARCH("4B",C109))),4,IF(ISNUMBER(SEARCH("5B",C109)),5,0)))))</f>
        <v>0</v>
      </c>
      <c r="C110" s="76" t="s">
        <v>69</v>
      </c>
      <c r="D110" s="76">
        <v>1</v>
      </c>
      <c r="E110" s="76" t="s">
        <v>68</v>
      </c>
      <c r="F110" s="76">
        <v>0</v>
      </c>
      <c r="G110" s="76" t="s">
        <v>77</v>
      </c>
      <c r="H110" s="76">
        <f ca="1">--TRIM(RIGHT(SUBSTITUTE(LEFT(C109,_xlfn.AGGREGATE(16,6,FIND({0,1,2,3,4,5,6,7,8,9},C109,ROW(INDIRECT("1:"&amp;LEN(C109)))),1))," ",REPT(" ",LEN(C109))),LEN(C109)))</f>
        <v>4</v>
      </c>
      <c r="I110" s="82" t="str">
        <f ca="1">IF(D113=100%,"Excavation","")&amp;IF(D114=100%,", Plinth","")&amp;IF(D115=100%,", RCC Slab","")&amp;IF(D116=100%,", Brickwork","")&amp;IF(D117=100%,", Internal Plaster","")&amp;IF(D118=100%,", External Plaster","")&amp;IF(D119=100%,", Flooring","")&amp;IF(D120=100%,", Painting","")&amp;IF(D121=100%,", Building common Amenities","")</f>
        <v>Excavation, Plinth, RCC Slab, Brickwork, Internal Plaster, External Plaster, Flooring, Painting, Building common Amenities</v>
      </c>
      <c r="J110" s="45" t="str">
        <f ca="1">(IF(C113=0,"Work not yet Started.",IF(D113=25%,"Piling work in process",IF(D113=50%,"Excavation work in process",IF(D113=100%,"","0")))))&amp;(IF(C114=0%,"",IF(C114=J115,", Footing work is process",IF(C114=J116,", Footing work Completed",IF(C114=J117,", 1st Basement Completed",IF(C114=J118,", 1st &amp; 2nd Basement Completed",IF(C114=J119,", 1st to 3rd Basement Completed",IF(C114=J120,", 1st to 4th Basement Completed",IF(C114=J121,", Plinth work is process",IF(C114=J122,"","0"))))))))))</f>
        <v/>
      </c>
      <c r="S110"/>
    </row>
    <row r="111" spans="1:19" x14ac:dyDescent="0.35">
      <c r="A111" s="121" t="s">
        <v>87</v>
      </c>
      <c r="B111" s="121"/>
      <c r="C111" s="122" t="str">
        <f ca="1">I109</f>
        <v>All work Completed. Possession granted to the Building.</v>
      </c>
      <c r="D111" s="122"/>
      <c r="E111" s="122"/>
      <c r="F111" s="122"/>
      <c r="G111" s="122"/>
      <c r="H111" s="122"/>
      <c r="I111" s="82" t="str">
        <f ca="1">IF(I110&lt;&gt;""," Completed","")</f>
        <v xml:space="preserve"> Completed</v>
      </c>
      <c r="J111" s="45" t="str">
        <f ca="1">IF(J109&lt;&gt;"","Completed","")</f>
        <v/>
      </c>
      <c r="S111"/>
    </row>
    <row r="112" spans="1:19" ht="15.75" customHeight="1" x14ac:dyDescent="0.35">
      <c r="A112" s="94" t="s">
        <v>47</v>
      </c>
      <c r="B112" s="94"/>
      <c r="C112" s="78" t="s">
        <v>132</v>
      </c>
      <c r="D112" s="78" t="s">
        <v>80</v>
      </c>
      <c r="E112" s="94" t="s">
        <v>82</v>
      </c>
      <c r="F112" s="94"/>
      <c r="G112" s="94" t="s">
        <v>81</v>
      </c>
      <c r="H112" s="94"/>
      <c r="I112" s="13" t="s">
        <v>134</v>
      </c>
      <c r="J112" s="25">
        <f ca="1">H110*25%</f>
        <v>1</v>
      </c>
      <c r="S112"/>
    </row>
    <row r="113" spans="1:19" x14ac:dyDescent="0.35">
      <c r="A113" s="94" t="s">
        <v>121</v>
      </c>
      <c r="B113" s="94"/>
      <c r="C113" s="78">
        <f ca="1">J114</f>
        <v>4</v>
      </c>
      <c r="D113" s="16">
        <f ca="1">((100/H110)*C113)/100</f>
        <v>1</v>
      </c>
      <c r="E113" s="125">
        <f ca="1">(((C114/H110*10)+(40/(D110+F110+H110)*C115)+(7.5/(H110)*C116)+(7.5/(H110)*C117)+(10/H110*C118)+(10/H110*C119)+(5/H110*C120)+(5/H110*C121)+(5/H110*C122))/100)</f>
        <v>1</v>
      </c>
      <c r="F113" s="125"/>
      <c r="G113" s="125">
        <f ca="1">((((C113/H110)*20)+((C114/H110)*25)+(30/(H110+F110+D110)*C115)+(5/H110*C116)+(5/H110*C117)+(5/H110*C118)+(5/H110*C119)+(0/H110*C120)+(0/H110*C121)+(5/H110*C122))/100)</f>
        <v>1</v>
      </c>
      <c r="H113" s="125"/>
      <c r="I113" s="13" t="s">
        <v>96</v>
      </c>
      <c r="J113" s="26">
        <f ca="1">H110*50%</f>
        <v>2</v>
      </c>
    </row>
    <row r="114" spans="1:19" x14ac:dyDescent="0.35">
      <c r="A114" s="94" t="s">
        <v>48</v>
      </c>
      <c r="B114" s="94"/>
      <c r="C114" s="78">
        <f ca="1">J122</f>
        <v>4</v>
      </c>
      <c r="D114" s="16">
        <f ca="1">((100/H110)*C114)/100</f>
        <v>1</v>
      </c>
      <c r="E114" s="125"/>
      <c r="F114" s="125"/>
      <c r="G114" s="125"/>
      <c r="H114" s="125"/>
      <c r="I114" s="13" t="s">
        <v>97</v>
      </c>
      <c r="J114" s="26">
        <f ca="1">H110</f>
        <v>4</v>
      </c>
      <c r="S114"/>
    </row>
    <row r="115" spans="1:19" ht="15.75" customHeight="1" x14ac:dyDescent="0.35">
      <c r="A115" s="94" t="s">
        <v>122</v>
      </c>
      <c r="B115" s="94"/>
      <c r="C115" s="78">
        <v>5</v>
      </c>
      <c r="D115" s="16">
        <f ca="1">((100/(D110+F110+H110))*C115)/100</f>
        <v>1</v>
      </c>
      <c r="E115" s="125"/>
      <c r="F115" s="125"/>
      <c r="G115" s="125"/>
      <c r="H115" s="125"/>
      <c r="I115" s="13" t="s">
        <v>98</v>
      </c>
      <c r="J115" s="27">
        <f ca="1">(IF(B110&gt;1,(H110/(B110+2)),H110/4))</f>
        <v>1</v>
      </c>
      <c r="S115"/>
    </row>
    <row r="116" spans="1:19" ht="15.75" customHeight="1" x14ac:dyDescent="0.35">
      <c r="A116" s="94" t="s">
        <v>129</v>
      </c>
      <c r="B116" s="94" t="s">
        <v>123</v>
      </c>
      <c r="C116" s="78">
        <v>4</v>
      </c>
      <c r="D116" s="16">
        <f ca="1">((100/H110)*C116)/100</f>
        <v>1</v>
      </c>
      <c r="E116" s="125"/>
      <c r="F116" s="125"/>
      <c r="G116" s="125"/>
      <c r="H116" s="125"/>
      <c r="I116" s="13" t="s">
        <v>99</v>
      </c>
      <c r="J116" s="27">
        <f ca="1">(IF(B110&gt;1,(H110/(B110+2)+J115),H110/4+J115))</f>
        <v>2</v>
      </c>
    </row>
    <row r="117" spans="1:19" ht="15.75" customHeight="1" x14ac:dyDescent="0.35">
      <c r="A117" s="94" t="s">
        <v>130</v>
      </c>
      <c r="B117" s="94" t="s">
        <v>123</v>
      </c>
      <c r="C117" s="78">
        <v>4</v>
      </c>
      <c r="D117" s="16">
        <f ca="1">((100/H110)*C117)/100</f>
        <v>1</v>
      </c>
      <c r="E117" s="125"/>
      <c r="F117" s="125"/>
      <c r="G117" s="125"/>
      <c r="H117" s="125"/>
      <c r="I117" s="13" t="s">
        <v>141</v>
      </c>
      <c r="J117" s="27">
        <f>(IF(B110&gt;1,(H110/(B110+2)+J116),0))</f>
        <v>0</v>
      </c>
    </row>
    <row r="118" spans="1:19" ht="15" customHeight="1" x14ac:dyDescent="0.35">
      <c r="A118" s="94" t="s">
        <v>128</v>
      </c>
      <c r="B118" s="94" t="s">
        <v>125</v>
      </c>
      <c r="C118" s="78">
        <v>4</v>
      </c>
      <c r="D118" s="16">
        <f ca="1">((100/(H110))*C118)/100</f>
        <v>1</v>
      </c>
      <c r="E118" s="125"/>
      <c r="F118" s="125"/>
      <c r="G118" s="125"/>
      <c r="H118" s="125"/>
      <c r="I118" s="13" t="s">
        <v>136</v>
      </c>
      <c r="J118" s="27">
        <f>(IF(B110&gt;2,(H110/(B110+2)+J117),0))</f>
        <v>0</v>
      </c>
    </row>
    <row r="119" spans="1:19" ht="15.75" customHeight="1" x14ac:dyDescent="0.35">
      <c r="A119" s="94" t="s">
        <v>124</v>
      </c>
      <c r="B119" s="94" t="s">
        <v>124</v>
      </c>
      <c r="C119" s="78">
        <v>4</v>
      </c>
      <c r="D119" s="16">
        <f ca="1">((100/H110)*C119)/100</f>
        <v>1</v>
      </c>
      <c r="E119" s="125"/>
      <c r="F119" s="125"/>
      <c r="G119" s="125"/>
      <c r="H119" s="125"/>
      <c r="I119" s="13" t="s">
        <v>137</v>
      </c>
      <c r="J119" s="28">
        <f>(IF(B110&gt;3,(H110/(B110+2)+J118),0))</f>
        <v>0</v>
      </c>
    </row>
    <row r="120" spans="1:19" ht="15.75" customHeight="1" x14ac:dyDescent="0.35">
      <c r="A120" s="94" t="s">
        <v>131</v>
      </c>
      <c r="B120" s="94"/>
      <c r="C120" s="78">
        <v>4</v>
      </c>
      <c r="D120" s="16">
        <f ca="1">((100/H110)*C120)/100</f>
        <v>1</v>
      </c>
      <c r="E120" s="125"/>
      <c r="F120" s="125"/>
      <c r="G120" s="125"/>
      <c r="H120" s="125"/>
      <c r="I120" s="13" t="s">
        <v>138</v>
      </c>
      <c r="J120" s="27">
        <f>(IF(B110&gt;4,(H110/(B110+2)+J119),0))</f>
        <v>0</v>
      </c>
    </row>
    <row r="121" spans="1:19" ht="15.75" customHeight="1" x14ac:dyDescent="0.35">
      <c r="A121" s="94" t="s">
        <v>126</v>
      </c>
      <c r="B121" s="94" t="s">
        <v>126</v>
      </c>
      <c r="C121" s="78">
        <v>4</v>
      </c>
      <c r="D121" s="16">
        <f ca="1">((100/(H110))*C121)/100</f>
        <v>1</v>
      </c>
      <c r="E121" s="125"/>
      <c r="F121" s="125"/>
      <c r="G121" s="125"/>
      <c r="H121" s="125"/>
      <c r="I121" s="13" t="s">
        <v>142</v>
      </c>
      <c r="J121" s="27">
        <f ca="1">(IF(B110=1,(H110/(B110+3)+J116),IF(B110=0,(H110/4+J116),IF(B110&gt;1,0))))</f>
        <v>3</v>
      </c>
    </row>
    <row r="122" spans="1:19" ht="16" thickBot="1" x14ac:dyDescent="0.4">
      <c r="A122" s="94" t="s">
        <v>127</v>
      </c>
      <c r="B122" s="94"/>
      <c r="C122" s="78">
        <v>4</v>
      </c>
      <c r="D122" s="16">
        <f ca="1">((100/(H110))*C122)/100</f>
        <v>1</v>
      </c>
      <c r="E122" s="125"/>
      <c r="F122" s="125"/>
      <c r="G122" s="125"/>
      <c r="H122" s="125"/>
      <c r="I122" s="14" t="s">
        <v>100</v>
      </c>
      <c r="J122" s="29">
        <f ca="1">(IF(B110&gt;1.5,(H110/(B110+2)+J116+MAX(0,J117-J116)+MAX(0,J118-J117)+MAX(0,J119-J118)+MAX(0,J120-J119)+MAX(0,J121-J120)),IF(B110=1,(H110/(B110+3)+J121),IF(B110=0,H110/4+J121))))</f>
        <v>4</v>
      </c>
    </row>
    <row r="123" spans="1:19" ht="15.75" hidden="1" customHeight="1" x14ac:dyDescent="0.35">
      <c r="A123" s="220" t="s">
        <v>133</v>
      </c>
      <c r="B123" s="221"/>
      <c r="C123" s="222" t="str">
        <f>D69</f>
        <v>Building No.3(Pine) (Wing B) = G + 1st to 4th Floor</v>
      </c>
      <c r="D123" s="223"/>
      <c r="E123" s="223"/>
      <c r="F123" s="223"/>
      <c r="G123" s="223"/>
      <c r="H123" s="224"/>
      <c r="I123" s="42" t="str">
        <f ca="1">IF(D136=100%,"All work Completed. Possession granted to the Building.",IF(D135=100%,"All work Completed, Waiting for OC",I124&amp;""&amp;I125&amp;""&amp;J124&amp;""&amp;J123&amp;" "&amp;J125))</f>
        <v xml:space="preserve">Excavation, Plinth, RCC Slab, Brickwork, Internal Plaster, External Plaster, Flooring, Painting Completed </v>
      </c>
      <c r="J123" s="43" t="str">
        <f ca="1">(IF(C129=(D124+F124+H124),"",IF(C129&gt;0,", RCC upto "&amp;C129&amp;" Slab","")))&amp;(IF(C130=H124,"",IF(C130&gt;0,", Brickwork upto "&amp;C130&amp;" Floor","")))&amp;(IF(C131=H124,"",IF(C131&gt;0,", Internal Plaster upto "&amp;C131&amp;" Floor","")))&amp;(IF(C132=H124,"",IF(C132&gt;0,", External Plaster upto "&amp;C132&amp;" Floor","")))&amp;(IF(C133=H124,"",IF(C133&gt;0,", Flooring upto "&amp;C133&amp;" Floor","")))&amp;(IF(C134=H124,"",IF(C134&gt;0,", Painting upto "&amp;C134&amp;" Floor","")))&amp;(IF(C135=H124,"",IF(C135&gt;0,", Finishing upto "&amp;C135&amp;" Floor","")))&amp;(IF(C136=H124,"",IF(C136&gt;0,", Possession upto "&amp;C136&amp;" Floor","")))</f>
        <v/>
      </c>
      <c r="S123"/>
    </row>
    <row r="124" spans="1:19" hidden="1" x14ac:dyDescent="0.35">
      <c r="A124" s="75" t="s">
        <v>135</v>
      </c>
      <c r="B124" s="76">
        <f>IF(AND(ISNUMBER(SEARCH("1B",C123))),1,IF(AND(ISNUMBER(SEARCH("2B",C123))),2,IF(AND(ISNUMBER(SEARCH("3B",C123))),3,IF(AND(ISNUMBER(SEARCH("4B",C123))),4,IF(ISNUMBER(SEARCH("5B",C123)),5,0)))))</f>
        <v>0</v>
      </c>
      <c r="C124" s="76" t="s">
        <v>69</v>
      </c>
      <c r="D124" s="76">
        <v>1</v>
      </c>
      <c r="E124" s="76" t="s">
        <v>68</v>
      </c>
      <c r="F124" s="76">
        <v>0</v>
      </c>
      <c r="G124" s="76" t="s">
        <v>77</v>
      </c>
      <c r="H124" s="77">
        <f ca="1">--TRIM(RIGHT(SUBSTITUTE(LEFT(C123,_xlfn.AGGREGATE(16,6,FIND({0,1,2,3,4,5,6,7,8,9},C123,ROW(INDIRECT("1:"&amp;LEN(C123)))),1))," ",REPT(" ",LEN(C123))),LEN(C123)))</f>
        <v>4</v>
      </c>
      <c r="I124" s="44" t="str">
        <f ca="1">IF(D127=100%,"Excavation","")&amp;IF(D128=100%,", Plinth","")&amp;IF(D129=100%,", RCC Slab","")&amp;IF(D130=100%,", Brickwork","")&amp;IF(D131=100%,", Internal Plaster","")&amp;IF(D132=100%,", External Plaster","")&amp;IF(D133=100%,", Flooring","")&amp;IF(D134=100%,", Painting","")&amp;IF(D135=100%,", Building common Amenities","")</f>
        <v>Excavation, Plinth, RCC Slab, Brickwork, Internal Plaster, External Plaster, Flooring, Painting</v>
      </c>
      <c r="J124" s="45" t="str">
        <f ca="1">(IF(C127=0,"Work not yet Started.",IF(D127=25%,"Piling work in process",IF(D127=50%,"Excavation work in process",IF(D127=100%,"","0")))))&amp;(IF(C128=0%,"",IF(C128=J129,", Footing work is process",IF(C128=J130,", Footing work Completed",IF(C128=J131,", 1st Basement Completed",IF(C128=J132,", 1st &amp; 2nd Basement Completed",IF(C128=J133,", 1st to 3rd Basement Completed",IF(C128=J134,", 1st to 4th Basement Completed",IF(C128=J135,", Plinth work is process",IF(C128=J136,"","0"))))))))))</f>
        <v/>
      </c>
      <c r="S124"/>
    </row>
    <row r="125" spans="1:19" ht="31" hidden="1" customHeight="1" x14ac:dyDescent="0.35">
      <c r="A125" s="120" t="s">
        <v>87</v>
      </c>
      <c r="B125" s="121"/>
      <c r="C125" s="122" t="str">
        <f ca="1">I123</f>
        <v xml:space="preserve">Excavation, Plinth, RCC Slab, Brickwork, Internal Plaster, External Plaster, Flooring, Painting Completed </v>
      </c>
      <c r="D125" s="122"/>
      <c r="E125" s="122"/>
      <c r="F125" s="122"/>
      <c r="G125" s="122"/>
      <c r="H125" s="123"/>
      <c r="I125" s="44" t="str">
        <f ca="1">IF(I124&lt;&gt;""," Completed","")</f>
        <v xml:space="preserve"> Completed</v>
      </c>
      <c r="J125" s="45" t="str">
        <f ca="1">IF(J123&lt;&gt;"","Completed","")</f>
        <v/>
      </c>
      <c r="S125"/>
    </row>
    <row r="126" spans="1:19" ht="15.75" hidden="1" customHeight="1" x14ac:dyDescent="0.35">
      <c r="A126" s="93" t="s">
        <v>47</v>
      </c>
      <c r="B126" s="94"/>
      <c r="C126" s="69" t="s">
        <v>132</v>
      </c>
      <c r="D126" s="69" t="s">
        <v>80</v>
      </c>
      <c r="E126" s="94" t="s">
        <v>82</v>
      </c>
      <c r="F126" s="94"/>
      <c r="G126" s="94" t="s">
        <v>81</v>
      </c>
      <c r="H126" s="124"/>
      <c r="I126" s="13" t="s">
        <v>134</v>
      </c>
      <c r="J126" s="25">
        <f ca="1">H124*25%</f>
        <v>1</v>
      </c>
      <c r="S126"/>
    </row>
    <row r="127" spans="1:19" hidden="1" x14ac:dyDescent="0.35">
      <c r="A127" s="93" t="s">
        <v>121</v>
      </c>
      <c r="B127" s="94"/>
      <c r="C127" s="69">
        <f ca="1">J128</f>
        <v>4</v>
      </c>
      <c r="D127" s="16">
        <f ca="1">((100/H124)*C127)/100</f>
        <v>1</v>
      </c>
      <c r="E127" s="87">
        <f ca="1">(((C128/H124*10)+(40/(D124+F124+H124)*C129)+(7.5/(H124)*C130)+(7.5/(H124)*C131)+(10/H124*C132)+(10/H124*C133)+(5/H124*C134)+(5/H124*C135)+(5/H124*C136))/100)</f>
        <v>0.9</v>
      </c>
      <c r="F127" s="149"/>
      <c r="G127" s="87">
        <f ca="1">((((C127/H124)*20)+((C128/H124)*25)+(30/(H124+F124+D124)*C129)+(5/H124*C130)+(5/H124*C131)+(5/H124*C132)+(5/H124*C133)+(0/H124*C134)+(0/H124*C135)+(5/H124*C136))/100)</f>
        <v>0.95</v>
      </c>
      <c r="H127" s="88"/>
      <c r="I127" s="13" t="s">
        <v>96</v>
      </c>
      <c r="J127" s="26">
        <f ca="1">H124*50%</f>
        <v>2</v>
      </c>
    </row>
    <row r="128" spans="1:19" hidden="1" x14ac:dyDescent="0.35">
      <c r="A128" s="93" t="s">
        <v>48</v>
      </c>
      <c r="B128" s="94"/>
      <c r="C128" s="69">
        <f ca="1">J136</f>
        <v>4</v>
      </c>
      <c r="D128" s="16">
        <f ca="1">((100/H124)*C128)/100</f>
        <v>1</v>
      </c>
      <c r="E128" s="89"/>
      <c r="F128" s="150"/>
      <c r="G128" s="89"/>
      <c r="H128" s="90"/>
      <c r="I128" s="13" t="s">
        <v>97</v>
      </c>
      <c r="J128" s="26">
        <f ca="1">H124</f>
        <v>4</v>
      </c>
      <c r="S128"/>
    </row>
    <row r="129" spans="1:19" ht="15.75" hidden="1" customHeight="1" x14ac:dyDescent="0.35">
      <c r="A129" s="93" t="s">
        <v>122</v>
      </c>
      <c r="B129" s="94"/>
      <c r="C129" s="69">
        <v>5</v>
      </c>
      <c r="D129" s="16">
        <f ca="1">((100/(D124+F124+H124))*C129)/100</f>
        <v>1</v>
      </c>
      <c r="E129" s="89"/>
      <c r="F129" s="150"/>
      <c r="G129" s="89"/>
      <c r="H129" s="90"/>
      <c r="I129" s="13" t="s">
        <v>98</v>
      </c>
      <c r="J129" s="27">
        <f ca="1">(IF(B124&gt;1,(H124/(B124+2)),H124/4))</f>
        <v>1</v>
      </c>
      <c r="S129"/>
    </row>
    <row r="130" spans="1:19" ht="15.75" hidden="1" customHeight="1" x14ac:dyDescent="0.35">
      <c r="A130" s="93" t="s">
        <v>129</v>
      </c>
      <c r="B130" s="94" t="s">
        <v>123</v>
      </c>
      <c r="C130" s="69">
        <v>4</v>
      </c>
      <c r="D130" s="16">
        <f ca="1">((100/H124)*C130)/100</f>
        <v>1</v>
      </c>
      <c r="E130" s="89"/>
      <c r="F130" s="150"/>
      <c r="G130" s="89"/>
      <c r="H130" s="90"/>
      <c r="I130" s="13" t="s">
        <v>99</v>
      </c>
      <c r="J130" s="27">
        <f ca="1">(IF(B124&gt;1,(H124/(B124+2)+J129),H124/4+J129))</f>
        <v>2</v>
      </c>
    </row>
    <row r="131" spans="1:19" ht="15.75" hidden="1" customHeight="1" x14ac:dyDescent="0.35">
      <c r="A131" s="93" t="s">
        <v>130</v>
      </c>
      <c r="B131" s="94" t="s">
        <v>123</v>
      </c>
      <c r="C131" s="69">
        <v>4</v>
      </c>
      <c r="D131" s="16">
        <f ca="1">((100/H124)*C131)/100</f>
        <v>1</v>
      </c>
      <c r="E131" s="89"/>
      <c r="F131" s="150"/>
      <c r="G131" s="89"/>
      <c r="H131" s="90"/>
      <c r="I131" s="13" t="s">
        <v>141</v>
      </c>
      <c r="J131" s="27">
        <f>(IF(B124&gt;1,(H124/(B124+2)+J130),0))</f>
        <v>0</v>
      </c>
    </row>
    <row r="132" spans="1:19" ht="15" hidden="1" customHeight="1" x14ac:dyDescent="0.35">
      <c r="A132" s="93" t="s">
        <v>128</v>
      </c>
      <c r="B132" s="94" t="s">
        <v>125</v>
      </c>
      <c r="C132" s="69">
        <v>4</v>
      </c>
      <c r="D132" s="16">
        <f ca="1">((100/(H124))*C132)/100</f>
        <v>1</v>
      </c>
      <c r="E132" s="89"/>
      <c r="F132" s="150"/>
      <c r="G132" s="89"/>
      <c r="H132" s="90"/>
      <c r="I132" s="13" t="s">
        <v>136</v>
      </c>
      <c r="J132" s="27">
        <f>(IF(B124&gt;2,(H124/(B124+2)+J131),0))</f>
        <v>0</v>
      </c>
    </row>
    <row r="133" spans="1:19" ht="15.75" hidden="1" customHeight="1" x14ac:dyDescent="0.35">
      <c r="A133" s="93" t="s">
        <v>124</v>
      </c>
      <c r="B133" s="94" t="s">
        <v>124</v>
      </c>
      <c r="C133" s="69">
        <v>4</v>
      </c>
      <c r="D133" s="16">
        <f ca="1">((100/H124)*C133)/100</f>
        <v>1</v>
      </c>
      <c r="E133" s="89"/>
      <c r="F133" s="150"/>
      <c r="G133" s="89"/>
      <c r="H133" s="90"/>
      <c r="I133" s="13" t="s">
        <v>137</v>
      </c>
      <c r="J133" s="28">
        <f>(IF(B124&gt;3,(H124/(B124+2)+J132),0))</f>
        <v>0</v>
      </c>
    </row>
    <row r="134" spans="1:19" ht="15.75" hidden="1" customHeight="1" x14ac:dyDescent="0.35">
      <c r="A134" s="93" t="s">
        <v>131</v>
      </c>
      <c r="B134" s="94"/>
      <c r="C134" s="69">
        <v>4</v>
      </c>
      <c r="D134" s="16">
        <f ca="1">((100/H124)*C134)/100</f>
        <v>1</v>
      </c>
      <c r="E134" s="89"/>
      <c r="F134" s="150"/>
      <c r="G134" s="89"/>
      <c r="H134" s="90"/>
      <c r="I134" s="13" t="s">
        <v>138</v>
      </c>
      <c r="J134" s="27">
        <f>(IF(B124&gt;4,(H124/(B124+2)+J133),0))</f>
        <v>0</v>
      </c>
    </row>
    <row r="135" spans="1:19" ht="15.75" hidden="1" customHeight="1" x14ac:dyDescent="0.35">
      <c r="A135" s="93" t="s">
        <v>126</v>
      </c>
      <c r="B135" s="94" t="s">
        <v>126</v>
      </c>
      <c r="C135" s="69">
        <v>0</v>
      </c>
      <c r="D135" s="16">
        <f ca="1">((100/(H124))*C135)/100</f>
        <v>0</v>
      </c>
      <c r="E135" s="89"/>
      <c r="F135" s="150"/>
      <c r="G135" s="89"/>
      <c r="H135" s="90"/>
      <c r="I135" s="13" t="s">
        <v>142</v>
      </c>
      <c r="J135" s="27">
        <f ca="1">(IF(B124=1,(H124/(B124+3)+J130),IF(B124=0,(H124/4+J130),IF(B124&gt;1,0))))</f>
        <v>3</v>
      </c>
    </row>
    <row r="136" spans="1:19" ht="16" hidden="1" thickBot="1" x14ac:dyDescent="0.4">
      <c r="A136" s="95" t="s">
        <v>127</v>
      </c>
      <c r="B136" s="96"/>
      <c r="C136" s="68">
        <v>0</v>
      </c>
      <c r="D136" s="17">
        <f ca="1">((100/(H124))*C136)/100</f>
        <v>0</v>
      </c>
      <c r="E136" s="91"/>
      <c r="F136" s="151"/>
      <c r="G136" s="91"/>
      <c r="H136" s="92"/>
      <c r="I136" s="14" t="s">
        <v>100</v>
      </c>
      <c r="J136" s="29">
        <f ca="1">(IF(B124&gt;1.5,(H124/(B124+2)+J130+MAX(0,J131-J130)+MAX(0,J132-J131)+MAX(0,J133-J132)+MAX(0,J134-J133)+MAX(0,J135-J134)),IF(B124=1,(H124/(B124+3)+J135),IF(B124=0,H124/4+J135))))</f>
        <v>4</v>
      </c>
    </row>
    <row r="137" spans="1:19" ht="15.75" customHeight="1" x14ac:dyDescent="0.35">
      <c r="A137" s="115" t="s">
        <v>133</v>
      </c>
      <c r="B137" s="116"/>
      <c r="C137" s="117" t="s">
        <v>437</v>
      </c>
      <c r="D137" s="118"/>
      <c r="E137" s="118"/>
      <c r="F137" s="118"/>
      <c r="G137" s="118"/>
      <c r="H137" s="119"/>
      <c r="I137" s="42" t="str">
        <f ca="1">IF(D150=100%,"All work Completed. Possession granted to the Building.",IF(D149=100%,"All work Completed, Waiting for OC",I138&amp;""&amp;I139&amp;""&amp;J138&amp;""&amp;J137&amp;" "&amp;J139))</f>
        <v>Excavation, Plinth, RCC Slab Completed, Brickwork upto 6 Floor, Internal Plaster upto 2 Floor Completed</v>
      </c>
      <c r="J137" s="43" t="str">
        <f ca="1">(IF(C143=(D138+F138+H138),"",IF(C143&gt;0,", RCC upto "&amp;C143&amp;" Slab","")))&amp;(IF(C144=H138,"",IF(C144&gt;0,", Brickwork upto "&amp;C144&amp;" Floor","")))&amp;(IF(C145=H138,"",IF(C145&gt;0,", Internal Plaster upto "&amp;C145&amp;" Floor","")))&amp;(IF(C146=H138,"",IF(C146&gt;0,", External Plaster upto "&amp;C146&amp;" Floor","")))&amp;(IF(C147=H138,"",IF(C147&gt;0,", Flooring upto "&amp;C147&amp;" Floor","")))&amp;(IF(C148=H138,"",IF(C148&gt;0,", Painting upto "&amp;C148&amp;" Floor","")))&amp;(IF(C149=H138,"",IF(C149&gt;0,", Finishing upto "&amp;C149&amp;" Floor","")))&amp;(IF(C150=H138,"",IF(C150&gt;0,", Possession upto "&amp;C150&amp;" Floor","")))</f>
        <v>, Brickwork upto 6 Floor, Internal Plaster upto 2 Floor</v>
      </c>
      <c r="S137"/>
    </row>
    <row r="138" spans="1:19" x14ac:dyDescent="0.35">
      <c r="A138" s="75" t="s">
        <v>135</v>
      </c>
      <c r="B138" s="76">
        <f>IF(AND(ISNUMBER(SEARCH("1B",C137))),1,IF(AND(ISNUMBER(SEARCH("2B",C137))),2,IF(AND(ISNUMBER(SEARCH("3B",C137))),3,IF(AND(ISNUMBER(SEARCH("4B",C137))),4,IF(ISNUMBER(SEARCH("5B",C137)),5,0)))))</f>
        <v>0</v>
      </c>
      <c r="C138" s="76" t="s">
        <v>69</v>
      </c>
      <c r="D138" s="76">
        <v>1</v>
      </c>
      <c r="E138" s="76" t="s">
        <v>68</v>
      </c>
      <c r="F138" s="76">
        <v>0</v>
      </c>
      <c r="G138" s="76" t="s">
        <v>77</v>
      </c>
      <c r="H138" s="77">
        <f ca="1">--TRIM(RIGHT(SUBSTITUTE(LEFT(C137,_xlfn.AGGREGATE(16,6,FIND({0,1,2,3,4,5,6,7,8,9},C137,ROW(INDIRECT("1:"&amp;LEN(C137)))),1))," ",REPT(" ",LEN(C137))),LEN(C137)))</f>
        <v>7</v>
      </c>
      <c r="I138" s="44" t="str">
        <f ca="1">IF(D141=100%,"Excavation","")&amp;IF(D142=100%,", Plinth","")&amp;IF(D143=100%,", RCC Slab","")&amp;IF(D144=100%,", Brickwork","")&amp;IF(D145=100%,", Internal Plaster","")&amp;IF(D146=100%,", External Plaster","")&amp;IF(D147=100%,", Flooring","")&amp;IF(D148=100%,", Painting","")&amp;IF(D149=100%,", Building common Amenities","")</f>
        <v>Excavation, Plinth, RCC Slab</v>
      </c>
      <c r="J138" s="45" t="str">
        <f ca="1">(IF(C141=0,"Work not yet Started.",IF(D141=25%,"Piling work in process",IF(D141=50%,"Excavation work in process",IF(D141=100%,"","0")))))&amp;(IF(C142=0%,"",IF(C142=J143,", Footing work is process",IF(C142=J144,", Footing work Completed",IF(C142=J145,", 1st Basement Completed",IF(C142=J146,", 1st &amp; 2nd Basement Completed",IF(C142=J147,", 1st to 3rd Basement Completed",IF(C142=J148,", 1st to 4th Basement Completed",IF(C142=J149,", Plinth work is process",IF(C142=J150,"","0"))))))))))</f>
        <v/>
      </c>
      <c r="S138"/>
    </row>
    <row r="139" spans="1:19" ht="31" customHeight="1" x14ac:dyDescent="0.35">
      <c r="A139" s="120" t="s">
        <v>87</v>
      </c>
      <c r="B139" s="121"/>
      <c r="C139" s="122" t="str">
        <f ca="1">I137</f>
        <v>Excavation, Plinth, RCC Slab Completed, Brickwork upto 6 Floor, Internal Plaster upto 2 Floor Completed</v>
      </c>
      <c r="D139" s="122"/>
      <c r="E139" s="122"/>
      <c r="F139" s="122"/>
      <c r="G139" s="122"/>
      <c r="H139" s="123"/>
      <c r="I139" s="44" t="str">
        <f ca="1">IF(I138&lt;&gt;""," Completed","")</f>
        <v xml:space="preserve"> Completed</v>
      </c>
      <c r="J139" s="45" t="str">
        <f ca="1">IF(J137&lt;&gt;"","Completed","")</f>
        <v>Completed</v>
      </c>
      <c r="S139"/>
    </row>
    <row r="140" spans="1:19" ht="15.75" customHeight="1" x14ac:dyDescent="0.35">
      <c r="A140" s="93" t="s">
        <v>47</v>
      </c>
      <c r="B140" s="94"/>
      <c r="C140" s="69" t="s">
        <v>132</v>
      </c>
      <c r="D140" s="69" t="s">
        <v>80</v>
      </c>
      <c r="E140" s="94" t="s">
        <v>82</v>
      </c>
      <c r="F140" s="94"/>
      <c r="G140" s="94" t="s">
        <v>81</v>
      </c>
      <c r="H140" s="124"/>
      <c r="I140" s="13" t="s">
        <v>134</v>
      </c>
      <c r="J140" s="25">
        <f ca="1">H138*25%</f>
        <v>1.75</v>
      </c>
      <c r="S140"/>
    </row>
    <row r="141" spans="1:19" x14ac:dyDescent="0.35">
      <c r="A141" s="94" t="s">
        <v>121</v>
      </c>
      <c r="B141" s="94"/>
      <c r="C141" s="78">
        <f ca="1">J142</f>
        <v>7</v>
      </c>
      <c r="D141" s="16">
        <f ca="1">((100/H138)*C141)/100</f>
        <v>1</v>
      </c>
      <c r="E141" s="125">
        <f ca="1">(((C142/H138*10)+(40/(D138+F138+H138)*C143)+(7.5/(H138)*C144)+(7.5/(H138)*C145)+(10/H138*C146)+(10/H138*C147)+(5/H138*C148)+(5/H138*C149)+(5/H138*C150))/100)</f>
        <v>0.58571428571428574</v>
      </c>
      <c r="F141" s="125"/>
      <c r="G141" s="125">
        <f ca="1">((((C141/H138)*20)+((C142/H138)*25)+(30/(H138+F138+D138)*C143)+(5/H138*C144)+(5/H138*C145)+(5/H138*C146)+(5/H138*C147)+(0/H138*C148)+(0/H138*C149)+(5/H138*C150))/100)</f>
        <v>0.80714285714285727</v>
      </c>
      <c r="H141" s="125"/>
      <c r="I141" s="13" t="s">
        <v>96</v>
      </c>
      <c r="J141" s="26">
        <f ca="1">H138*50%</f>
        <v>3.5</v>
      </c>
    </row>
    <row r="142" spans="1:19" x14ac:dyDescent="0.35">
      <c r="A142" s="94" t="s">
        <v>48</v>
      </c>
      <c r="B142" s="94"/>
      <c r="C142" s="70">
        <f ca="1">J150</f>
        <v>7</v>
      </c>
      <c r="D142" s="16">
        <f ca="1">((100/H138)*C142)/100</f>
        <v>1</v>
      </c>
      <c r="E142" s="125"/>
      <c r="F142" s="125"/>
      <c r="G142" s="125"/>
      <c r="H142" s="125"/>
      <c r="I142" s="13" t="s">
        <v>97</v>
      </c>
      <c r="J142" s="26">
        <f ca="1">H138</f>
        <v>7</v>
      </c>
      <c r="S142"/>
    </row>
    <row r="143" spans="1:19" ht="15.75" customHeight="1" x14ac:dyDescent="0.35">
      <c r="A143" s="94" t="s">
        <v>122</v>
      </c>
      <c r="B143" s="94"/>
      <c r="C143" s="78">
        <v>8</v>
      </c>
      <c r="D143" s="16">
        <f ca="1">((100/(D138+F138+H138))*C143)/100</f>
        <v>1</v>
      </c>
      <c r="E143" s="125"/>
      <c r="F143" s="125"/>
      <c r="G143" s="125"/>
      <c r="H143" s="125"/>
      <c r="I143" s="13" t="s">
        <v>98</v>
      </c>
      <c r="J143" s="27">
        <f ca="1">(IF(B138&gt;1,(H138/(B138+2)),H138/4))</f>
        <v>1.75</v>
      </c>
      <c r="S143"/>
    </row>
    <row r="144" spans="1:19" ht="15.75" customHeight="1" x14ac:dyDescent="0.35">
      <c r="A144" s="94" t="s">
        <v>129</v>
      </c>
      <c r="B144" s="94" t="s">
        <v>123</v>
      </c>
      <c r="C144" s="78">
        <v>6</v>
      </c>
      <c r="D144" s="16">
        <f ca="1">((100/H138)*C144)/100</f>
        <v>0.85714285714285721</v>
      </c>
      <c r="E144" s="125"/>
      <c r="F144" s="125"/>
      <c r="G144" s="125"/>
      <c r="H144" s="125"/>
      <c r="I144" s="13" t="s">
        <v>99</v>
      </c>
      <c r="J144" s="27">
        <f ca="1">(IF(B138&gt;1,(H138/(B138+2)+J143),H138/4+J143))</f>
        <v>3.5</v>
      </c>
    </row>
    <row r="145" spans="1:19" ht="15.75" customHeight="1" x14ac:dyDescent="0.35">
      <c r="A145" s="94" t="s">
        <v>130</v>
      </c>
      <c r="B145" s="94" t="s">
        <v>123</v>
      </c>
      <c r="C145" s="78">
        <v>2</v>
      </c>
      <c r="D145" s="16">
        <f ca="1">((100/H138)*C145)/100</f>
        <v>0.28571428571428575</v>
      </c>
      <c r="E145" s="125"/>
      <c r="F145" s="125"/>
      <c r="G145" s="125"/>
      <c r="H145" s="125"/>
      <c r="I145" s="13" t="s">
        <v>141</v>
      </c>
      <c r="J145" s="27">
        <f>(IF(B138&gt;1,(H138/(B138+2)+J144),0))</f>
        <v>0</v>
      </c>
    </row>
    <row r="146" spans="1:19" ht="15" customHeight="1" x14ac:dyDescent="0.35">
      <c r="A146" s="94" t="s">
        <v>128</v>
      </c>
      <c r="B146" s="94" t="s">
        <v>125</v>
      </c>
      <c r="C146" s="78">
        <v>0</v>
      </c>
      <c r="D146" s="16">
        <f ca="1">((100/(H138))*C146)/100</f>
        <v>0</v>
      </c>
      <c r="E146" s="125"/>
      <c r="F146" s="125"/>
      <c r="G146" s="125"/>
      <c r="H146" s="125"/>
      <c r="I146" s="13" t="s">
        <v>136</v>
      </c>
      <c r="J146" s="27">
        <f>(IF(B138&gt;2,(H138/(B138+2)+J145),0))</f>
        <v>0</v>
      </c>
    </row>
    <row r="147" spans="1:19" ht="15.75" customHeight="1" x14ac:dyDescent="0.35">
      <c r="A147" s="94" t="s">
        <v>124</v>
      </c>
      <c r="B147" s="94" t="s">
        <v>124</v>
      </c>
      <c r="C147" s="78">
        <v>0</v>
      </c>
      <c r="D147" s="16">
        <f ca="1">((100/H138)*C147)/100</f>
        <v>0</v>
      </c>
      <c r="E147" s="125"/>
      <c r="F147" s="125"/>
      <c r="G147" s="125"/>
      <c r="H147" s="125"/>
      <c r="I147" s="13" t="s">
        <v>137</v>
      </c>
      <c r="J147" s="28">
        <f>(IF(B138&gt;3,(H138/(B138+2)+J146),0))</f>
        <v>0</v>
      </c>
    </row>
    <row r="148" spans="1:19" ht="15.75" customHeight="1" x14ac:dyDescent="0.35">
      <c r="A148" s="94" t="s">
        <v>131</v>
      </c>
      <c r="B148" s="94"/>
      <c r="C148" s="78">
        <v>0</v>
      </c>
      <c r="D148" s="16">
        <f ca="1">((100/H138)*C148)/100</f>
        <v>0</v>
      </c>
      <c r="E148" s="125"/>
      <c r="F148" s="125"/>
      <c r="G148" s="125"/>
      <c r="H148" s="125"/>
      <c r="I148" s="13" t="s">
        <v>138</v>
      </c>
      <c r="J148" s="27">
        <f>(IF(B138&gt;4,(H138/(B138+2)+J147),0))</f>
        <v>0</v>
      </c>
    </row>
    <row r="149" spans="1:19" ht="15.75" customHeight="1" x14ac:dyDescent="0.35">
      <c r="A149" s="94" t="s">
        <v>126</v>
      </c>
      <c r="B149" s="94" t="s">
        <v>126</v>
      </c>
      <c r="C149" s="78">
        <v>0</v>
      </c>
      <c r="D149" s="16">
        <f ca="1">((100/(H138))*C149)/100</f>
        <v>0</v>
      </c>
      <c r="E149" s="125"/>
      <c r="F149" s="125"/>
      <c r="G149" s="125"/>
      <c r="H149" s="125"/>
      <c r="I149" s="13" t="s">
        <v>142</v>
      </c>
      <c r="J149" s="27">
        <f ca="1">(IF(B138=1,(H138/(B138+3)+J144),IF(B138=0,(H138/4+J144),IF(B138&gt;1,0))))</f>
        <v>5.25</v>
      </c>
    </row>
    <row r="150" spans="1:19" ht="16" thickBot="1" x14ac:dyDescent="0.4">
      <c r="A150" s="94" t="s">
        <v>127</v>
      </c>
      <c r="B150" s="94"/>
      <c r="C150" s="78">
        <v>0</v>
      </c>
      <c r="D150" s="16">
        <f ca="1">((100/(H138))*C150)/100</f>
        <v>0</v>
      </c>
      <c r="E150" s="125"/>
      <c r="F150" s="125"/>
      <c r="G150" s="125"/>
      <c r="H150" s="125"/>
      <c r="I150" s="14" t="s">
        <v>100</v>
      </c>
      <c r="J150" s="29">
        <f ca="1">(IF(B138&gt;1.5,(H138/(B138+2)+J144+MAX(0,J145-J144)+MAX(0,J146-J145)+MAX(0,J147-J146)+MAX(0,J148-J147)+MAX(0,J149-J148)),IF(B138=1,(H138/(B138+3)+J149),IF(B138=0,H138/4+J149))))</f>
        <v>7</v>
      </c>
    </row>
    <row r="151" spans="1:19" ht="15.75" customHeight="1" x14ac:dyDescent="0.35">
      <c r="A151" s="122" t="s">
        <v>133</v>
      </c>
      <c r="B151" s="122"/>
      <c r="C151" s="122" t="s">
        <v>438</v>
      </c>
      <c r="D151" s="122"/>
      <c r="E151" s="122"/>
      <c r="F151" s="122"/>
      <c r="G151" s="122"/>
      <c r="H151" s="122"/>
      <c r="I151" s="81" t="str">
        <f ca="1">IF(D164=100%,"All work Completed. Possession granted to the Building.",IF(D163=100%,"All work Completed, Waiting for OC",I152&amp;""&amp;I153&amp;""&amp;J152&amp;""&amp;J151&amp;" "&amp;J153))</f>
        <v>Excavation, Plinth Completed, RCC upto 7 Slab, Brickwork upto 6 Floor, Internal Plaster upto 2 Floor Completed</v>
      </c>
      <c r="J151" s="43" t="str">
        <f ca="1">(IF(C157=(D152+F152+H152),"",IF(C157&gt;0,", RCC upto "&amp;C157&amp;" Slab","")))&amp;(IF(C158=H152,"",IF(C158&gt;0,", Brickwork upto "&amp;C158&amp;" Floor","")))&amp;(IF(C159=H152,"",IF(C159&gt;0,", Internal Plaster upto "&amp;C159&amp;" Floor","")))&amp;(IF(C160=H152,"",IF(C160&gt;0,", External Plaster upto "&amp;C160&amp;" Floor","")))&amp;(IF(C161=H152,"",IF(C161&gt;0,", Flooring upto "&amp;C161&amp;" Floor","")))&amp;(IF(C162=H152,"",IF(C162&gt;0,", Painting upto "&amp;C162&amp;" Floor","")))&amp;(IF(C163=H152,"",IF(C163&gt;0,", Finishing upto "&amp;C163&amp;" Floor","")))&amp;(IF(C164=H152,"",IF(C164&gt;0,", Possession upto "&amp;C164&amp;" Floor","")))</f>
        <v>, RCC upto 7 Slab, Brickwork upto 6 Floor, Internal Plaster upto 2 Floor</v>
      </c>
      <c r="S151"/>
    </row>
    <row r="152" spans="1:19" x14ac:dyDescent="0.35">
      <c r="A152" s="76" t="s">
        <v>135</v>
      </c>
      <c r="B152" s="76">
        <f>IF(AND(ISNUMBER(SEARCH("1B",C151))),1,IF(AND(ISNUMBER(SEARCH("2B",C151))),2,IF(AND(ISNUMBER(SEARCH("3B",C151))),3,IF(AND(ISNUMBER(SEARCH("4B",C151))),4,IF(ISNUMBER(SEARCH("5B",C151)),5,0)))))</f>
        <v>0</v>
      </c>
      <c r="C152" s="76" t="s">
        <v>69</v>
      </c>
      <c r="D152" s="76">
        <v>1</v>
      </c>
      <c r="E152" s="76" t="s">
        <v>68</v>
      </c>
      <c r="F152" s="76">
        <v>0</v>
      </c>
      <c r="G152" s="76" t="s">
        <v>77</v>
      </c>
      <c r="H152" s="76">
        <f ca="1">--TRIM(RIGHT(SUBSTITUTE(LEFT(C151,_xlfn.AGGREGATE(16,6,FIND({0,1,2,3,4,5,6,7,8,9},C151,ROW(INDIRECT("1:"&amp;LEN(C151)))),1))," ",REPT(" ",LEN(C151))),LEN(C151)))</f>
        <v>7</v>
      </c>
      <c r="I152" s="82" t="str">
        <f ca="1">IF(D155=100%,"Excavation","")&amp;IF(D156=100%,", Plinth","")&amp;IF(D157=100%,", RCC Slab","")&amp;IF(D158=100%,", Brickwork","")&amp;IF(D159=100%,", Internal Plaster","")&amp;IF(D160=100%,", External Plaster","")&amp;IF(D161=100%,", Flooring","")&amp;IF(D162=100%,", Painting","")&amp;IF(D163=100%,", Building common Amenities","")</f>
        <v>Excavation, Plinth</v>
      </c>
      <c r="J152" s="45" t="str">
        <f ca="1">(IF(C155=0,"Work not yet Started.",IF(D155=25%,"Piling work in process",IF(D155=50%,"Excavation work in process",IF(D155=100%,"","0")))))&amp;(IF(C156=0%,"",IF(C156=J157,", Footing work is process",IF(C156=J158,", Footing work Completed",IF(C156=J159,", 1st Basement Completed",IF(C156=J160,", 1st &amp; 2nd Basement Completed",IF(C156=J161,", 1st to 3rd Basement Completed",IF(C156=J162,", 1st to 4th Basement Completed",IF(C156=J163,", Plinth work is process",IF(C156=J164,"","0"))))))))))</f>
        <v/>
      </c>
      <c r="S152"/>
    </row>
    <row r="153" spans="1:19" ht="31" customHeight="1" x14ac:dyDescent="0.35">
      <c r="A153" s="121" t="s">
        <v>87</v>
      </c>
      <c r="B153" s="121"/>
      <c r="C153" s="122" t="str">
        <f ca="1">I151</f>
        <v>Excavation, Plinth Completed, RCC upto 7 Slab, Brickwork upto 6 Floor, Internal Plaster upto 2 Floor Completed</v>
      </c>
      <c r="D153" s="122"/>
      <c r="E153" s="122"/>
      <c r="F153" s="122"/>
      <c r="G153" s="122"/>
      <c r="H153" s="122"/>
      <c r="I153" s="82" t="str">
        <f ca="1">IF(I152&lt;&gt;""," Completed","")</f>
        <v xml:space="preserve"> Completed</v>
      </c>
      <c r="J153" s="45" t="str">
        <f ca="1">IF(J151&lt;&gt;"","Completed","")</f>
        <v>Completed</v>
      </c>
      <c r="S153"/>
    </row>
    <row r="154" spans="1:19" ht="15.75" customHeight="1" x14ac:dyDescent="0.35">
      <c r="A154" s="94" t="s">
        <v>47</v>
      </c>
      <c r="B154" s="94"/>
      <c r="C154" s="80" t="s">
        <v>132</v>
      </c>
      <c r="D154" s="80" t="s">
        <v>80</v>
      </c>
      <c r="E154" s="94" t="s">
        <v>82</v>
      </c>
      <c r="F154" s="94"/>
      <c r="G154" s="94" t="s">
        <v>81</v>
      </c>
      <c r="H154" s="94"/>
      <c r="I154" s="13" t="s">
        <v>134</v>
      </c>
      <c r="J154" s="25">
        <f ca="1">H152*25%</f>
        <v>1.75</v>
      </c>
      <c r="S154"/>
    </row>
    <row r="155" spans="1:19" x14ac:dyDescent="0.35">
      <c r="A155" s="94" t="s">
        <v>121</v>
      </c>
      <c r="B155" s="94"/>
      <c r="C155" s="80">
        <f ca="1">J156</f>
        <v>7</v>
      </c>
      <c r="D155" s="16">
        <f ca="1">((100/H152)*C155)/100</f>
        <v>1</v>
      </c>
      <c r="E155" s="125">
        <f ca="1">(((C156/H152*10)+(40/(D152+F152+H152)*C157)+(7.5/(H152)*C158)+(7.5/(H152)*C159)+(10/H152*C160)+(10/H152*C161)+(5/H152*C162)+(5/H152*C163)+(5/H152*C164))/100)</f>
        <v>0.53571428571428581</v>
      </c>
      <c r="F155" s="125"/>
      <c r="G155" s="125">
        <f ca="1">((((C155/H152)*20)+((C156/H152)*25)+(30/(H152+F152+D152)*C157)+(5/H152*C158)+(5/H152*C159)+(5/H152*C160)+(5/H152*C161)+(0/H152*C162)+(0/H152*C163)+(5/H152*C164))/100)</f>
        <v>0.76964285714285718</v>
      </c>
      <c r="H155" s="125"/>
      <c r="I155" s="13" t="s">
        <v>96</v>
      </c>
      <c r="J155" s="26">
        <f ca="1">H152*50%</f>
        <v>3.5</v>
      </c>
    </row>
    <row r="156" spans="1:19" x14ac:dyDescent="0.35">
      <c r="A156" s="94" t="s">
        <v>48</v>
      </c>
      <c r="B156" s="94"/>
      <c r="C156" s="70">
        <f ca="1">J164</f>
        <v>7</v>
      </c>
      <c r="D156" s="16">
        <f ca="1">((100/H152)*C156)/100</f>
        <v>1</v>
      </c>
      <c r="E156" s="125"/>
      <c r="F156" s="125"/>
      <c r="G156" s="125"/>
      <c r="H156" s="125"/>
      <c r="I156" s="13" t="s">
        <v>97</v>
      </c>
      <c r="J156" s="26">
        <f ca="1">H152</f>
        <v>7</v>
      </c>
      <c r="S156"/>
    </row>
    <row r="157" spans="1:19" ht="15.75" customHeight="1" x14ac:dyDescent="0.35">
      <c r="A157" s="94" t="s">
        <v>122</v>
      </c>
      <c r="B157" s="94"/>
      <c r="C157" s="80">
        <v>7</v>
      </c>
      <c r="D157" s="16">
        <f ca="1">((100/(D152+F152+H152))*C157)/100</f>
        <v>0.875</v>
      </c>
      <c r="E157" s="125"/>
      <c r="F157" s="125"/>
      <c r="G157" s="125"/>
      <c r="H157" s="125"/>
      <c r="I157" s="13" t="s">
        <v>98</v>
      </c>
      <c r="J157" s="27">
        <f ca="1">(IF(B152&gt;1,(H152/(B152+2)),H152/4))</f>
        <v>1.75</v>
      </c>
      <c r="S157"/>
    </row>
    <row r="158" spans="1:19" ht="15.75" customHeight="1" x14ac:dyDescent="0.35">
      <c r="A158" s="94" t="s">
        <v>129</v>
      </c>
      <c r="B158" s="94" t="s">
        <v>123</v>
      </c>
      <c r="C158" s="80">
        <v>6</v>
      </c>
      <c r="D158" s="16">
        <f ca="1">((100/H152)*C158)/100</f>
        <v>0.85714285714285721</v>
      </c>
      <c r="E158" s="125"/>
      <c r="F158" s="125"/>
      <c r="G158" s="125"/>
      <c r="H158" s="125"/>
      <c r="I158" s="13" t="s">
        <v>99</v>
      </c>
      <c r="J158" s="27">
        <f ca="1">(IF(B152&gt;1,(H152/(B152+2)+J157),H152/4+J157))</f>
        <v>3.5</v>
      </c>
    </row>
    <row r="159" spans="1:19" ht="15.75" customHeight="1" x14ac:dyDescent="0.35">
      <c r="A159" s="94" t="s">
        <v>130</v>
      </c>
      <c r="B159" s="94" t="s">
        <v>123</v>
      </c>
      <c r="C159" s="80">
        <v>2</v>
      </c>
      <c r="D159" s="16">
        <f ca="1">((100/H152)*C159)/100</f>
        <v>0.28571428571428575</v>
      </c>
      <c r="E159" s="125"/>
      <c r="F159" s="125"/>
      <c r="G159" s="125"/>
      <c r="H159" s="125"/>
      <c r="I159" s="13" t="s">
        <v>141</v>
      </c>
      <c r="J159" s="27">
        <f>(IF(B152&gt;1,(H152/(B152+2)+J158),0))</f>
        <v>0</v>
      </c>
    </row>
    <row r="160" spans="1:19" ht="15" customHeight="1" x14ac:dyDescent="0.35">
      <c r="A160" s="94" t="s">
        <v>128</v>
      </c>
      <c r="B160" s="94" t="s">
        <v>125</v>
      </c>
      <c r="C160" s="80">
        <v>0</v>
      </c>
      <c r="D160" s="16">
        <f ca="1">((100/(H152))*C160)/100</f>
        <v>0</v>
      </c>
      <c r="E160" s="125"/>
      <c r="F160" s="125"/>
      <c r="G160" s="125"/>
      <c r="H160" s="125"/>
      <c r="I160" s="13" t="s">
        <v>136</v>
      </c>
      <c r="J160" s="27">
        <f>(IF(B152&gt;2,(H152/(B152+2)+J159),0))</f>
        <v>0</v>
      </c>
    </row>
    <row r="161" spans="1:19" ht="15.75" customHeight="1" x14ac:dyDescent="0.35">
      <c r="A161" s="94" t="s">
        <v>124</v>
      </c>
      <c r="B161" s="94" t="s">
        <v>124</v>
      </c>
      <c r="C161" s="80">
        <v>0</v>
      </c>
      <c r="D161" s="16">
        <f ca="1">((100/H152)*C161)/100</f>
        <v>0</v>
      </c>
      <c r="E161" s="125"/>
      <c r="F161" s="125"/>
      <c r="G161" s="125"/>
      <c r="H161" s="125"/>
      <c r="I161" s="13" t="s">
        <v>137</v>
      </c>
      <c r="J161" s="28">
        <f>(IF(B152&gt;3,(H152/(B152+2)+J160),0))</f>
        <v>0</v>
      </c>
    </row>
    <row r="162" spans="1:19" ht="15.75" customHeight="1" x14ac:dyDescent="0.35">
      <c r="A162" s="94" t="s">
        <v>131</v>
      </c>
      <c r="B162" s="94"/>
      <c r="C162" s="80">
        <v>0</v>
      </c>
      <c r="D162" s="16">
        <f ca="1">((100/H152)*C162)/100</f>
        <v>0</v>
      </c>
      <c r="E162" s="125"/>
      <c r="F162" s="125"/>
      <c r="G162" s="125"/>
      <c r="H162" s="125"/>
      <c r="I162" s="13" t="s">
        <v>138</v>
      </c>
      <c r="J162" s="27">
        <f>(IF(B152&gt;4,(H152/(B152+2)+J161),0))</f>
        <v>0</v>
      </c>
    </row>
    <row r="163" spans="1:19" ht="15.75" customHeight="1" x14ac:dyDescent="0.35">
      <c r="A163" s="94" t="s">
        <v>126</v>
      </c>
      <c r="B163" s="94" t="s">
        <v>126</v>
      </c>
      <c r="C163" s="80">
        <v>0</v>
      </c>
      <c r="D163" s="16">
        <f ca="1">((100/(H152))*C163)/100</f>
        <v>0</v>
      </c>
      <c r="E163" s="125"/>
      <c r="F163" s="125"/>
      <c r="G163" s="125"/>
      <c r="H163" s="125"/>
      <c r="I163" s="13" t="s">
        <v>142</v>
      </c>
      <c r="J163" s="27">
        <f ca="1">(IF(B152=1,(H152/(B152+3)+J158),IF(B152=0,(H152/4+J158),IF(B152&gt;1,0))))</f>
        <v>5.25</v>
      </c>
    </row>
    <row r="164" spans="1:19" ht="16" thickBot="1" x14ac:dyDescent="0.4">
      <c r="A164" s="94" t="s">
        <v>127</v>
      </c>
      <c r="B164" s="94"/>
      <c r="C164" s="80">
        <v>0</v>
      </c>
      <c r="D164" s="16">
        <f ca="1">((100/(H152))*C164)/100</f>
        <v>0</v>
      </c>
      <c r="E164" s="125"/>
      <c r="F164" s="125"/>
      <c r="G164" s="125"/>
      <c r="H164" s="125"/>
      <c r="I164" s="14" t="s">
        <v>100</v>
      </c>
      <c r="J164" s="29">
        <f ca="1">(IF(B152&gt;1.5,(H152/(B152+2)+J158+MAX(0,J159-J158)+MAX(0,J160-J159)+MAX(0,J161-J160)+MAX(0,J162-J161)+MAX(0,J163-J162)),IF(B152=1,(H152/(B152+3)+J163),IF(B152=0,H152/4+J163))))</f>
        <v>7</v>
      </c>
    </row>
    <row r="165" spans="1:19" ht="15.75" customHeight="1" x14ac:dyDescent="0.35">
      <c r="A165" s="220" t="s">
        <v>133</v>
      </c>
      <c r="B165" s="221"/>
      <c r="C165" s="222" t="str">
        <f>D72</f>
        <v>Building No.5(Palm) = G + 1st to 4th Floor</v>
      </c>
      <c r="D165" s="223"/>
      <c r="E165" s="223"/>
      <c r="F165" s="223"/>
      <c r="G165" s="223"/>
      <c r="H165" s="224"/>
      <c r="I165" s="42" t="str">
        <f ca="1">IF(D178=100%,"All work Completed. Possession granted to the Building.",IF(D177=100%,"All work Completed, Waiting for OC",I166&amp;""&amp;I167&amp;""&amp;J166&amp;""&amp;J165&amp;" "&amp;J167))</f>
        <v>All work Completed. Possession granted to the Building.</v>
      </c>
      <c r="J165" s="43" t="str">
        <f ca="1">(IF(C171=(D166+F166+H166),"",IF(C171&gt;0,", RCC upto "&amp;C171&amp;" Slab","")))&amp;(IF(C172=H166,"",IF(C172&gt;0,", Brickwork upto "&amp;C172&amp;" Floor","")))&amp;(IF(C173=H166,"",IF(C173&gt;0,", Internal Plaster upto "&amp;C173&amp;" Floor","")))&amp;(IF(C174=H166,"",IF(C174&gt;0,", External Plaster upto "&amp;C174&amp;" Floor","")))&amp;(IF(C175=H166,"",IF(C175&gt;0,", Flooring upto "&amp;C175&amp;" Floor","")))&amp;(IF(C176=H166,"",IF(C176&gt;0,", Painting upto "&amp;C176&amp;" Floor","")))&amp;(IF(C177=H166,"",IF(C177&gt;0,", Finishing upto "&amp;C177&amp;" Floor","")))&amp;(IF(C178=H166,"",IF(C178&gt;0,", Possession upto "&amp;C178&amp;" Floor","")))</f>
        <v/>
      </c>
      <c r="S165"/>
    </row>
    <row r="166" spans="1:19" x14ac:dyDescent="0.35">
      <c r="A166" s="75" t="s">
        <v>135</v>
      </c>
      <c r="B166" s="76">
        <f>IF(AND(ISNUMBER(SEARCH("1B",C165))),1,IF(AND(ISNUMBER(SEARCH("2B",C165))),2,IF(AND(ISNUMBER(SEARCH("3B",C165))),3,IF(AND(ISNUMBER(SEARCH("4B",C165))),4,IF(ISNUMBER(SEARCH("5B",C165)),5,0)))))</f>
        <v>0</v>
      </c>
      <c r="C166" s="76" t="s">
        <v>69</v>
      </c>
      <c r="D166" s="76">
        <v>1</v>
      </c>
      <c r="E166" s="76" t="s">
        <v>68</v>
      </c>
      <c r="F166" s="76">
        <v>0</v>
      </c>
      <c r="G166" s="76" t="s">
        <v>77</v>
      </c>
      <c r="H166" s="77">
        <f ca="1">--TRIM(RIGHT(SUBSTITUTE(LEFT(C165,_xlfn.AGGREGATE(16,6,FIND({0,1,2,3,4,5,6,7,8,9},C165,ROW(INDIRECT("1:"&amp;LEN(C165)))),1))," ",REPT(" ",LEN(C165))),LEN(C165)))</f>
        <v>4</v>
      </c>
      <c r="I166" s="44" t="str">
        <f ca="1">IF(D169=100%,"Excavation","")&amp;IF(D170=100%,", Plinth","")&amp;IF(D171=100%,", RCC Slab","")&amp;IF(D172=100%,", Brickwork","")&amp;IF(D173=100%,", Internal Plaster","")&amp;IF(D174=100%,", External Plaster","")&amp;IF(D175=100%,", Flooring","")&amp;IF(D176=100%,", Painting","")&amp;IF(D177=100%,", Building common Amenities","")</f>
        <v>Excavation, Plinth, RCC Slab, Brickwork, Internal Plaster, External Plaster, Flooring, Painting, Building common Amenities</v>
      </c>
      <c r="J166" s="45" t="str">
        <f ca="1">(IF(C169=0,"Work not yet Started.",IF(D169=25%,"Piling work in process",IF(D169=50%,"Excavation work in process",IF(D169=100%,"","0")))))&amp;(IF(C170=0%,"",IF(C170=J171,", Footing work is process",IF(C170=J172,", Footing work Completed",IF(C170=J173,", 1st Basement Completed",IF(C170=J174,", 1st &amp; 2nd Basement Completed",IF(C170=J175,", 1st to 3rd Basement Completed",IF(C170=J176,", 1st to 4th Basement Completed",IF(C170=J177,", Plinth work is process",IF(C170=J178,"","0"))))))))))</f>
        <v/>
      </c>
      <c r="S166"/>
    </row>
    <row r="167" spans="1:19" x14ac:dyDescent="0.35">
      <c r="A167" s="120" t="s">
        <v>87</v>
      </c>
      <c r="B167" s="121"/>
      <c r="C167" s="122" t="str">
        <f ca="1">I165</f>
        <v>All work Completed. Possession granted to the Building.</v>
      </c>
      <c r="D167" s="122"/>
      <c r="E167" s="122"/>
      <c r="F167" s="122"/>
      <c r="G167" s="122"/>
      <c r="H167" s="123"/>
      <c r="I167" s="44" t="str">
        <f ca="1">IF(I166&lt;&gt;""," Completed","")</f>
        <v xml:space="preserve"> Completed</v>
      </c>
      <c r="J167" s="45" t="str">
        <f ca="1">IF(J165&lt;&gt;"","Completed","")</f>
        <v/>
      </c>
      <c r="S167"/>
    </row>
    <row r="168" spans="1:19" ht="15.75" customHeight="1" x14ac:dyDescent="0.35">
      <c r="A168" s="93" t="s">
        <v>47</v>
      </c>
      <c r="B168" s="94"/>
      <c r="C168" s="69" t="s">
        <v>132</v>
      </c>
      <c r="D168" s="69" t="s">
        <v>80</v>
      </c>
      <c r="E168" s="94" t="s">
        <v>82</v>
      </c>
      <c r="F168" s="94"/>
      <c r="G168" s="94" t="s">
        <v>81</v>
      </c>
      <c r="H168" s="124"/>
      <c r="I168" s="13" t="s">
        <v>134</v>
      </c>
      <c r="J168" s="25">
        <f ca="1">H166*25%</f>
        <v>1</v>
      </c>
      <c r="S168"/>
    </row>
    <row r="169" spans="1:19" x14ac:dyDescent="0.35">
      <c r="A169" s="93" t="s">
        <v>121</v>
      </c>
      <c r="B169" s="94"/>
      <c r="C169" s="69">
        <f ca="1">J170</f>
        <v>4</v>
      </c>
      <c r="D169" s="16">
        <f ca="1">((100/H166)*C169)/100</f>
        <v>1</v>
      </c>
      <c r="E169" s="87">
        <f ca="1">(((C170/H166*10)+(40/(D166+F166+H166)*C171)+(7.5/(H166)*C172)+(7.5/(H166)*C173)+(10/H166*C174)+(10/H166*C175)+(5/H166*C176)+(5/H166*C177)+(5/H166*C178))/100)</f>
        <v>1</v>
      </c>
      <c r="F169" s="149"/>
      <c r="G169" s="87">
        <f ca="1">((((C169/H166)*20)+((C170/H166)*25)+(30/(H166+F166+D166)*C171)+(5/H166*C172)+(5/H166*C173)+(5/H166*C174)+(5/H166*C175)+(0/H166*C176)+(0/H166*C177)+(5/H166*C178))/100)</f>
        <v>1</v>
      </c>
      <c r="H169" s="88"/>
      <c r="I169" s="13" t="s">
        <v>96</v>
      </c>
      <c r="J169" s="26">
        <f ca="1">H166*50%</f>
        <v>2</v>
      </c>
    </row>
    <row r="170" spans="1:19" x14ac:dyDescent="0.35">
      <c r="A170" s="93" t="s">
        <v>48</v>
      </c>
      <c r="B170" s="94"/>
      <c r="C170" s="70">
        <f ca="1">J178</f>
        <v>4</v>
      </c>
      <c r="D170" s="16">
        <f ca="1">((100/H166)*C170)/100</f>
        <v>1</v>
      </c>
      <c r="E170" s="89"/>
      <c r="F170" s="150"/>
      <c r="G170" s="89"/>
      <c r="H170" s="90"/>
      <c r="I170" s="13" t="s">
        <v>97</v>
      </c>
      <c r="J170" s="26">
        <f ca="1">H166</f>
        <v>4</v>
      </c>
      <c r="S170"/>
    </row>
    <row r="171" spans="1:19" ht="15.75" customHeight="1" x14ac:dyDescent="0.35">
      <c r="A171" s="93" t="s">
        <v>122</v>
      </c>
      <c r="B171" s="94"/>
      <c r="C171" s="69">
        <v>5</v>
      </c>
      <c r="D171" s="16">
        <f ca="1">((100/(D166+F166+H166))*C171)/100</f>
        <v>1</v>
      </c>
      <c r="E171" s="89"/>
      <c r="F171" s="150"/>
      <c r="G171" s="89"/>
      <c r="H171" s="90"/>
      <c r="I171" s="13" t="s">
        <v>98</v>
      </c>
      <c r="J171" s="27">
        <f ca="1">(IF(B166&gt;1,(H166/(B166+2)),H166/4))</f>
        <v>1</v>
      </c>
      <c r="S171"/>
    </row>
    <row r="172" spans="1:19" ht="15.75" customHeight="1" x14ac:dyDescent="0.35">
      <c r="A172" s="93" t="s">
        <v>129</v>
      </c>
      <c r="B172" s="94" t="s">
        <v>123</v>
      </c>
      <c r="C172" s="69">
        <v>4</v>
      </c>
      <c r="D172" s="16">
        <f ca="1">((100/H166)*C172)/100</f>
        <v>1</v>
      </c>
      <c r="E172" s="89"/>
      <c r="F172" s="150"/>
      <c r="G172" s="89"/>
      <c r="H172" s="90"/>
      <c r="I172" s="13" t="s">
        <v>99</v>
      </c>
      <c r="J172" s="27">
        <f ca="1">(IF(B166&gt;1,(H166/(B166+2)+J171),H166/4+J171))</f>
        <v>2</v>
      </c>
    </row>
    <row r="173" spans="1:19" ht="15.75" customHeight="1" x14ac:dyDescent="0.35">
      <c r="A173" s="93" t="s">
        <v>130</v>
      </c>
      <c r="B173" s="94" t="s">
        <v>123</v>
      </c>
      <c r="C173" s="69">
        <v>4</v>
      </c>
      <c r="D173" s="16">
        <f ca="1">((100/H166)*C173)/100</f>
        <v>1</v>
      </c>
      <c r="E173" s="89"/>
      <c r="F173" s="150"/>
      <c r="G173" s="89"/>
      <c r="H173" s="90"/>
      <c r="I173" s="13" t="s">
        <v>141</v>
      </c>
      <c r="J173" s="27">
        <f>(IF(B166&gt;1,(H166/(B166+2)+J172),0))</f>
        <v>0</v>
      </c>
    </row>
    <row r="174" spans="1:19" ht="15" customHeight="1" x14ac:dyDescent="0.35">
      <c r="A174" s="93" t="s">
        <v>128</v>
      </c>
      <c r="B174" s="94" t="s">
        <v>125</v>
      </c>
      <c r="C174" s="69">
        <v>4</v>
      </c>
      <c r="D174" s="16">
        <f ca="1">((100/(H166))*C174)/100</f>
        <v>1</v>
      </c>
      <c r="E174" s="89"/>
      <c r="F174" s="150"/>
      <c r="G174" s="89"/>
      <c r="H174" s="90"/>
      <c r="I174" s="13" t="s">
        <v>136</v>
      </c>
      <c r="J174" s="27">
        <f>(IF(B166&gt;2,(H166/(B166+2)+J173),0))</f>
        <v>0</v>
      </c>
    </row>
    <row r="175" spans="1:19" ht="15.75" customHeight="1" x14ac:dyDescent="0.35">
      <c r="A175" s="93" t="s">
        <v>124</v>
      </c>
      <c r="B175" s="94" t="s">
        <v>124</v>
      </c>
      <c r="C175" s="69">
        <v>4</v>
      </c>
      <c r="D175" s="16">
        <f ca="1">((100/H166)*C175)/100</f>
        <v>1</v>
      </c>
      <c r="E175" s="89"/>
      <c r="F175" s="150"/>
      <c r="G175" s="89"/>
      <c r="H175" s="90"/>
      <c r="I175" s="13" t="s">
        <v>137</v>
      </c>
      <c r="J175" s="28">
        <f>(IF(B166&gt;3,(H166/(B166+2)+J174),0))</f>
        <v>0</v>
      </c>
    </row>
    <row r="176" spans="1:19" ht="15.75" customHeight="1" x14ac:dyDescent="0.35">
      <c r="A176" s="93" t="s">
        <v>131</v>
      </c>
      <c r="B176" s="94"/>
      <c r="C176" s="69">
        <v>4</v>
      </c>
      <c r="D176" s="16">
        <f ca="1">((100/H166)*C176)/100</f>
        <v>1</v>
      </c>
      <c r="E176" s="89"/>
      <c r="F176" s="150"/>
      <c r="G176" s="89"/>
      <c r="H176" s="90"/>
      <c r="I176" s="13" t="s">
        <v>138</v>
      </c>
      <c r="J176" s="27">
        <f>(IF(B166&gt;4,(H166/(B166+2)+J175),0))</f>
        <v>0</v>
      </c>
    </row>
    <row r="177" spans="1:19" ht="15.75" customHeight="1" x14ac:dyDescent="0.35">
      <c r="A177" s="93" t="s">
        <v>126</v>
      </c>
      <c r="B177" s="94" t="s">
        <v>126</v>
      </c>
      <c r="C177" s="69">
        <v>4</v>
      </c>
      <c r="D177" s="16">
        <f ca="1">((100/(H166))*C177)/100</f>
        <v>1</v>
      </c>
      <c r="E177" s="89"/>
      <c r="F177" s="150"/>
      <c r="G177" s="89"/>
      <c r="H177" s="90"/>
      <c r="I177" s="13" t="s">
        <v>142</v>
      </c>
      <c r="J177" s="27">
        <f ca="1">(IF(B166=1,(H166/(B166+3)+J172),IF(B166=0,(H166/4+J172),IF(B166&gt;1,0))))</f>
        <v>3</v>
      </c>
    </row>
    <row r="178" spans="1:19" ht="16" thickBot="1" x14ac:dyDescent="0.4">
      <c r="A178" s="235" t="s">
        <v>127</v>
      </c>
      <c r="B178" s="236"/>
      <c r="C178" s="83">
        <v>4</v>
      </c>
      <c r="D178" s="84">
        <f ca="1">((100/(H166))*C178)/100</f>
        <v>1</v>
      </c>
      <c r="E178" s="89"/>
      <c r="F178" s="150"/>
      <c r="G178" s="89"/>
      <c r="H178" s="90"/>
      <c r="I178" s="14" t="s">
        <v>100</v>
      </c>
      <c r="J178" s="29">
        <f ca="1">(IF(B166&gt;1.5,(H166/(B166+2)+J172+MAX(0,J173-J172)+MAX(0,J174-J173)+MAX(0,J175-J174)+MAX(0,J176-J175)+MAX(0,J177-J176)),IF(B166=1,(H166/(B166+3)+J177),IF(B166=0,H166/4+J177))))</f>
        <v>4</v>
      </c>
    </row>
    <row r="179" spans="1:19" ht="15.75" customHeight="1" x14ac:dyDescent="0.35">
      <c r="A179" s="122" t="s">
        <v>133</v>
      </c>
      <c r="B179" s="122"/>
      <c r="C179" s="122" t="str">
        <f>D73</f>
        <v>Housing For Affected People  =  Gr. + 1st to 4th Floor</v>
      </c>
      <c r="D179" s="122"/>
      <c r="E179" s="122"/>
      <c r="F179" s="122"/>
      <c r="G179" s="122"/>
      <c r="H179" s="122"/>
      <c r="I179" s="81" t="str">
        <f ca="1">IF(D192=100%,"All work Completed. Possession granted to the Building.",IF(D191=100%,"All work Completed, Waiting for OC",I180&amp;""&amp;I181&amp;""&amp;J180&amp;""&amp;J179&amp;" "&amp;J181))</f>
        <v xml:space="preserve">Work not yet Started. </v>
      </c>
      <c r="J179" s="43" t="str">
        <f ca="1">(IF(C185=(D180+F180+H180),"",IF(C185&gt;0,", RCC upto "&amp;C185&amp;" Slab","")))&amp;(IF(C186=H180,"",IF(C186&gt;0,", Brickwork upto "&amp;C186&amp;" Floor","")))&amp;(IF(C187=H180,"",IF(C187&gt;0,", Internal Plaster upto "&amp;C187&amp;" Floor","")))&amp;(IF(C188=H180,"",IF(C188&gt;0,", External Plaster upto "&amp;C188&amp;" Floor","")))&amp;(IF(C189=H180,"",IF(C189&gt;0,", Flooring upto "&amp;C189&amp;" Floor","")))&amp;(IF(C190=H180,"",IF(C190&gt;0,", Painting upto "&amp;C190&amp;" Floor","")))&amp;(IF(C191=H180,"",IF(C191&gt;0,", Finishing upto "&amp;C191&amp;" Floor","")))&amp;(IF(C192=H180,"",IF(C192&gt;0,", Possession upto "&amp;C192&amp;" Floor","")))</f>
        <v/>
      </c>
      <c r="S179"/>
    </row>
    <row r="180" spans="1:19" x14ac:dyDescent="0.35">
      <c r="A180" s="76" t="s">
        <v>135</v>
      </c>
      <c r="B180" s="76">
        <f>IF(AND(ISNUMBER(SEARCH("1B",C179))),1,IF(AND(ISNUMBER(SEARCH("2B",C179))),2,IF(AND(ISNUMBER(SEARCH("3B",C179))),3,IF(AND(ISNUMBER(SEARCH("4B",C179))),4,IF(ISNUMBER(SEARCH("5B",C179)),5,0)))))</f>
        <v>0</v>
      </c>
      <c r="C180" s="76" t="s">
        <v>69</v>
      </c>
      <c r="D180" s="76">
        <v>1</v>
      </c>
      <c r="E180" s="76" t="s">
        <v>68</v>
      </c>
      <c r="F180" s="76">
        <v>0</v>
      </c>
      <c r="G180" s="76" t="s">
        <v>77</v>
      </c>
      <c r="H180" s="76">
        <f ca="1">--TRIM(RIGHT(SUBSTITUTE(LEFT(C179,_xlfn.AGGREGATE(16,6,FIND({0,1,2,3,4,5,6,7,8,9},C179,ROW(INDIRECT("1:"&amp;LEN(C179)))),1))," ",REPT(" ",LEN(C179))),LEN(C179)))</f>
        <v>4</v>
      </c>
      <c r="I180" s="82" t="str">
        <f ca="1">IF(D183=100%,"Excavation","")&amp;IF(D184=100%,", Plinth","")&amp;IF(D185=100%,", RCC Slab","")&amp;IF(D186=100%,", Brickwork","")&amp;IF(D187=100%,", Internal Plaster","")&amp;IF(D188=100%,", External Plaster","")&amp;IF(D189=100%,", Flooring","")&amp;IF(D190=100%,", Painting","")&amp;IF(D191=100%,", Building common Amenities","")</f>
        <v/>
      </c>
      <c r="J180" s="45" t="str">
        <f>(IF(C183=0,"Work not yet Started.",IF(D183=25%,"Piling work in process",IF(D183=50%,"Excavation work in process",IF(D183=100%,"","0")))))&amp;(IF(C184=0%,"",IF(C184=J185,", Footing work is process",IF(C184=J186,", Footing work Completed",IF(C184=J187,", 1st Basement Completed",IF(C184=J188,", 1st &amp; 2nd Basement Completed",IF(C184=J189,", 1st to 3rd Basement Completed",IF(C184=J190,", 1st to 4th Basement Completed",IF(C184=J191,", Plinth work is process",IF(C184=J192,"","0"))))))))))</f>
        <v>Work not yet Started.</v>
      </c>
      <c r="S180"/>
    </row>
    <row r="181" spans="1:19" x14ac:dyDescent="0.35">
      <c r="A181" s="121" t="s">
        <v>87</v>
      </c>
      <c r="B181" s="121"/>
      <c r="C181" s="122" t="str">
        <f ca="1">I179</f>
        <v xml:space="preserve">Work not yet Started. </v>
      </c>
      <c r="D181" s="122"/>
      <c r="E181" s="122"/>
      <c r="F181" s="122"/>
      <c r="G181" s="122"/>
      <c r="H181" s="122"/>
      <c r="I181" s="82" t="str">
        <f ca="1">IF(I180&lt;&gt;""," Completed","")</f>
        <v/>
      </c>
      <c r="J181" s="45" t="str">
        <f ca="1">IF(J179&lt;&gt;"","Completed","")</f>
        <v/>
      </c>
      <c r="S181"/>
    </row>
    <row r="182" spans="1:19" ht="15.75" customHeight="1" x14ac:dyDescent="0.35">
      <c r="A182" s="94" t="s">
        <v>47</v>
      </c>
      <c r="B182" s="94"/>
      <c r="C182" s="78" t="s">
        <v>132</v>
      </c>
      <c r="D182" s="78" t="s">
        <v>80</v>
      </c>
      <c r="E182" s="94" t="s">
        <v>82</v>
      </c>
      <c r="F182" s="94"/>
      <c r="G182" s="94" t="s">
        <v>81</v>
      </c>
      <c r="H182" s="94"/>
      <c r="I182" s="13" t="s">
        <v>134</v>
      </c>
      <c r="J182" s="25">
        <f ca="1">H180*25%</f>
        <v>1</v>
      </c>
      <c r="S182"/>
    </row>
    <row r="183" spans="1:19" x14ac:dyDescent="0.35">
      <c r="A183" s="94" t="s">
        <v>121</v>
      </c>
      <c r="B183" s="94"/>
      <c r="C183" s="78">
        <v>0</v>
      </c>
      <c r="D183" s="16">
        <f ca="1">((100/H180)*C183)/100</f>
        <v>0</v>
      </c>
      <c r="E183" s="125">
        <f ca="1">(((C184/H180*10)+(40/(D180+F180+H180)*C185)+(7.5/(H180)*C186)+(7.5/(H180)*C187)+(10/H180*C188)+(10/H180*C189)+(5/H180*C190)+(5/H180*C191)+(5/H180*C192))/100)</f>
        <v>0</v>
      </c>
      <c r="F183" s="125"/>
      <c r="G183" s="125">
        <f ca="1">((((C183/H180)*20)+((C184/H180)*25)+(30/(H180+F180+D180)*C185)+(5/H180*C186)+(5/H180*C187)+(5/H180*C188)+(5/H180*C189)+(0/H180*C190)+(0/H180*C191)+(5/H180*C192))/100)</f>
        <v>0</v>
      </c>
      <c r="H183" s="125"/>
      <c r="I183" s="13" t="s">
        <v>96</v>
      </c>
      <c r="J183" s="26">
        <f ca="1">H180*50%</f>
        <v>2</v>
      </c>
    </row>
    <row r="184" spans="1:19" x14ac:dyDescent="0.35">
      <c r="A184" s="94" t="s">
        <v>48</v>
      </c>
      <c r="B184" s="94"/>
      <c r="C184" s="78">
        <v>0</v>
      </c>
      <c r="D184" s="16">
        <f ca="1">((100/H180)*C184)/100</f>
        <v>0</v>
      </c>
      <c r="E184" s="125"/>
      <c r="F184" s="125"/>
      <c r="G184" s="125"/>
      <c r="H184" s="125"/>
      <c r="I184" s="13" t="s">
        <v>97</v>
      </c>
      <c r="J184" s="26">
        <f ca="1">H180</f>
        <v>4</v>
      </c>
      <c r="S184"/>
    </row>
    <row r="185" spans="1:19" ht="15.75" customHeight="1" x14ac:dyDescent="0.35">
      <c r="A185" s="94" t="s">
        <v>122</v>
      </c>
      <c r="B185" s="94"/>
      <c r="C185" s="78">
        <v>0</v>
      </c>
      <c r="D185" s="16">
        <f ca="1">((100/(D180+F180+H180))*C185)/100</f>
        <v>0</v>
      </c>
      <c r="E185" s="125"/>
      <c r="F185" s="125"/>
      <c r="G185" s="125"/>
      <c r="H185" s="125"/>
      <c r="I185" s="13" t="s">
        <v>98</v>
      </c>
      <c r="J185" s="27">
        <f ca="1">(IF(B180&gt;1,(H180/(B180+2)),H180/4))</f>
        <v>1</v>
      </c>
      <c r="S185"/>
    </row>
    <row r="186" spans="1:19" ht="15.75" customHeight="1" x14ac:dyDescent="0.35">
      <c r="A186" s="94" t="s">
        <v>129</v>
      </c>
      <c r="B186" s="94" t="s">
        <v>123</v>
      </c>
      <c r="C186" s="78">
        <v>0</v>
      </c>
      <c r="D186" s="16">
        <f ca="1">((100/H180)*C186)/100</f>
        <v>0</v>
      </c>
      <c r="E186" s="125"/>
      <c r="F186" s="125"/>
      <c r="G186" s="125"/>
      <c r="H186" s="125"/>
      <c r="I186" s="13" t="s">
        <v>99</v>
      </c>
      <c r="J186" s="27">
        <f ca="1">(IF(B180&gt;1,(H180/(B180+2)+J185),H180/4+J185))</f>
        <v>2</v>
      </c>
    </row>
    <row r="187" spans="1:19" ht="15.75" customHeight="1" x14ac:dyDescent="0.35">
      <c r="A187" s="94" t="s">
        <v>130</v>
      </c>
      <c r="B187" s="94" t="s">
        <v>123</v>
      </c>
      <c r="C187" s="78">
        <v>0</v>
      </c>
      <c r="D187" s="16">
        <f ca="1">((100/H180)*C187)/100</f>
        <v>0</v>
      </c>
      <c r="E187" s="125"/>
      <c r="F187" s="125"/>
      <c r="G187" s="125"/>
      <c r="H187" s="125"/>
      <c r="I187" s="13" t="s">
        <v>141</v>
      </c>
      <c r="J187" s="27">
        <f>(IF(B180&gt;1,(H180/(B180+2)+J186),0))</f>
        <v>0</v>
      </c>
    </row>
    <row r="188" spans="1:19" ht="15" customHeight="1" x14ac:dyDescent="0.35">
      <c r="A188" s="94" t="s">
        <v>128</v>
      </c>
      <c r="B188" s="94" t="s">
        <v>125</v>
      </c>
      <c r="C188" s="78">
        <v>0</v>
      </c>
      <c r="D188" s="16">
        <f ca="1">((100/(H180))*C188)/100</f>
        <v>0</v>
      </c>
      <c r="E188" s="125"/>
      <c r="F188" s="125"/>
      <c r="G188" s="125"/>
      <c r="H188" s="125"/>
      <c r="I188" s="13" t="s">
        <v>136</v>
      </c>
      <c r="J188" s="27">
        <f>(IF(B180&gt;2,(H180/(B180+2)+J187),0))</f>
        <v>0</v>
      </c>
    </row>
    <row r="189" spans="1:19" ht="15.75" customHeight="1" x14ac:dyDescent="0.35">
      <c r="A189" s="94" t="s">
        <v>124</v>
      </c>
      <c r="B189" s="94" t="s">
        <v>124</v>
      </c>
      <c r="C189" s="78">
        <v>0</v>
      </c>
      <c r="D189" s="16">
        <f ca="1">((100/H180)*C189)/100</f>
        <v>0</v>
      </c>
      <c r="E189" s="125"/>
      <c r="F189" s="125"/>
      <c r="G189" s="125"/>
      <c r="H189" s="125"/>
      <c r="I189" s="13" t="s">
        <v>137</v>
      </c>
      <c r="J189" s="28">
        <f>(IF(B180&gt;3,(H180/(B180+2)+J188),0))</f>
        <v>0</v>
      </c>
    </row>
    <row r="190" spans="1:19" ht="15.75" customHeight="1" x14ac:dyDescent="0.35">
      <c r="A190" s="94" t="s">
        <v>131</v>
      </c>
      <c r="B190" s="94"/>
      <c r="C190" s="78">
        <v>0</v>
      </c>
      <c r="D190" s="16">
        <f ca="1">((100/H180)*C190)/100</f>
        <v>0</v>
      </c>
      <c r="E190" s="125"/>
      <c r="F190" s="125"/>
      <c r="G190" s="125"/>
      <c r="H190" s="125"/>
      <c r="I190" s="13" t="s">
        <v>138</v>
      </c>
      <c r="J190" s="27">
        <f>(IF(B180&gt;4,(H180/(B180+2)+J189),0))</f>
        <v>0</v>
      </c>
    </row>
    <row r="191" spans="1:19" ht="15.75" customHeight="1" x14ac:dyDescent="0.35">
      <c r="A191" s="94" t="s">
        <v>126</v>
      </c>
      <c r="B191" s="94" t="s">
        <v>126</v>
      </c>
      <c r="C191" s="78">
        <v>0</v>
      </c>
      <c r="D191" s="16">
        <f ca="1">((100/(H180))*C191)/100</f>
        <v>0</v>
      </c>
      <c r="E191" s="125"/>
      <c r="F191" s="125"/>
      <c r="G191" s="125"/>
      <c r="H191" s="125"/>
      <c r="I191" s="13" t="s">
        <v>142</v>
      </c>
      <c r="J191" s="27">
        <f ca="1">(IF(B180=1,(H180/(B180+3)+J186),IF(B180=0,(H180/4+J186),IF(B180&gt;1,0))))</f>
        <v>3</v>
      </c>
    </row>
    <row r="192" spans="1:19" ht="16" thickBot="1" x14ac:dyDescent="0.4">
      <c r="A192" s="94" t="s">
        <v>127</v>
      </c>
      <c r="B192" s="94"/>
      <c r="C192" s="78">
        <v>0</v>
      </c>
      <c r="D192" s="16">
        <f ca="1">((100/(H180))*C192)/100</f>
        <v>0</v>
      </c>
      <c r="E192" s="125"/>
      <c r="F192" s="125"/>
      <c r="G192" s="125"/>
      <c r="H192" s="125"/>
      <c r="I192" s="14" t="s">
        <v>100</v>
      </c>
      <c r="J192" s="29">
        <f ca="1">(IF(B180&gt;1.5,(H180/(B180+2)+J186+MAX(0,J187-J186)+MAX(0,J188-J187)+MAX(0,J189-J188)+MAX(0,J190-J189)+MAX(0,J191-J190)),IF(B180=1,(H180/(B180+3)+J191),IF(B180=0,H180/4+J191))))</f>
        <v>4</v>
      </c>
    </row>
    <row r="193" spans="1:22" x14ac:dyDescent="0.35">
      <c r="A193" s="202" t="s">
        <v>153</v>
      </c>
      <c r="B193" s="202"/>
      <c r="C193" s="202"/>
      <c r="D193" s="202"/>
      <c r="E193" s="202"/>
      <c r="F193" s="211" t="s">
        <v>157</v>
      </c>
      <c r="G193" s="211"/>
      <c r="H193" s="211"/>
      <c r="R193" t="s">
        <v>250</v>
      </c>
      <c r="S193" t="s">
        <v>169</v>
      </c>
      <c r="T193" t="s">
        <v>176</v>
      </c>
      <c r="U193" t="s">
        <v>191</v>
      </c>
      <c r="V193" t="s">
        <v>186</v>
      </c>
    </row>
    <row r="194" spans="1:22" x14ac:dyDescent="0.35">
      <c r="A194" s="128" t="s">
        <v>155</v>
      </c>
      <c r="B194" s="128"/>
      <c r="C194" s="128"/>
      <c r="D194" s="128"/>
      <c r="E194" s="128"/>
      <c r="F194" s="197">
        <v>3300</v>
      </c>
      <c r="G194" s="197"/>
      <c r="H194" s="197"/>
      <c r="I194" s="18" t="s">
        <v>434</v>
      </c>
      <c r="R194"/>
      <c r="S194">
        <v>800000</v>
      </c>
      <c r="T194">
        <v>150000</v>
      </c>
      <c r="U194">
        <v>100000</v>
      </c>
      <c r="V194">
        <v>100000</v>
      </c>
    </row>
    <row r="195" spans="1:22" hidden="1" x14ac:dyDescent="0.35">
      <c r="A195" s="128" t="s">
        <v>154</v>
      </c>
      <c r="B195" s="128"/>
      <c r="C195" s="128"/>
      <c r="D195" s="128"/>
      <c r="E195" s="128"/>
      <c r="F195" s="197">
        <v>6000</v>
      </c>
      <c r="G195" s="197"/>
      <c r="H195" s="197"/>
      <c r="R195"/>
      <c r="S195">
        <v>900000</v>
      </c>
      <c r="T195">
        <v>200000</v>
      </c>
      <c r="U195">
        <v>150000</v>
      </c>
      <c r="V195">
        <v>150000</v>
      </c>
    </row>
    <row r="196" spans="1:22" hidden="1" x14ac:dyDescent="0.35">
      <c r="A196" s="128" t="s">
        <v>156</v>
      </c>
      <c r="B196" s="128"/>
      <c r="C196" s="128"/>
      <c r="D196" s="128"/>
      <c r="E196" s="128"/>
      <c r="F196" s="197">
        <v>5000</v>
      </c>
      <c r="G196" s="197"/>
      <c r="H196" s="197"/>
      <c r="R196"/>
      <c r="S196">
        <v>1000000</v>
      </c>
      <c r="T196">
        <v>250000</v>
      </c>
      <c r="U196">
        <v>200000</v>
      </c>
      <c r="V196">
        <v>200000</v>
      </c>
    </row>
    <row r="197" spans="1:22" s="30" customFormat="1" hidden="1" x14ac:dyDescent="0.35">
      <c r="A197" s="128" t="s">
        <v>172</v>
      </c>
      <c r="B197" s="128"/>
      <c r="C197" s="128"/>
      <c r="D197" s="128"/>
      <c r="E197" s="128"/>
      <c r="F197" s="197"/>
      <c r="G197" s="197"/>
      <c r="H197" s="197"/>
      <c r="R197"/>
      <c r="S197">
        <v>1100000</v>
      </c>
      <c r="T197">
        <v>300000</v>
      </c>
      <c r="U197">
        <v>250000</v>
      </c>
      <c r="V197" s="20">
        <v>250000</v>
      </c>
    </row>
    <row r="198" spans="1:22" s="30" customFormat="1" hidden="1" x14ac:dyDescent="0.35">
      <c r="A198" s="128" t="s">
        <v>92</v>
      </c>
      <c r="B198" s="128"/>
      <c r="C198" s="128"/>
      <c r="D198" s="128"/>
      <c r="E198" s="128"/>
      <c r="F198" s="197"/>
      <c r="G198" s="197"/>
      <c r="H198" s="197"/>
      <c r="R198"/>
      <c r="S198">
        <v>1200000</v>
      </c>
      <c r="T198">
        <v>350000</v>
      </c>
      <c r="U198">
        <v>300000</v>
      </c>
      <c r="V198">
        <v>300000</v>
      </c>
    </row>
    <row r="199" spans="1:22" s="30" customFormat="1" x14ac:dyDescent="0.35">
      <c r="A199" s="128" t="s">
        <v>435</v>
      </c>
      <c r="B199" s="128"/>
      <c r="C199" s="128"/>
      <c r="D199" s="128"/>
      <c r="E199" s="128"/>
      <c r="F199" s="197">
        <v>80000</v>
      </c>
      <c r="G199" s="197"/>
      <c r="H199" s="197"/>
      <c r="R199"/>
      <c r="S199">
        <v>1300000</v>
      </c>
      <c r="T199">
        <v>400000</v>
      </c>
      <c r="U199">
        <v>350000</v>
      </c>
      <c r="V199" s="20">
        <v>400000</v>
      </c>
    </row>
    <row r="200" spans="1:22" s="30" customFormat="1" x14ac:dyDescent="0.35">
      <c r="A200" s="128" t="s">
        <v>436</v>
      </c>
      <c r="B200" s="128"/>
      <c r="C200" s="128"/>
      <c r="D200" s="128"/>
      <c r="E200" s="128"/>
      <c r="F200" s="197">
        <v>20000</v>
      </c>
      <c r="G200" s="197"/>
      <c r="H200" s="197"/>
      <c r="R200"/>
      <c r="S200">
        <v>1400000</v>
      </c>
      <c r="T200">
        <v>500000</v>
      </c>
      <c r="U200">
        <v>400000</v>
      </c>
      <c r="V200"/>
    </row>
    <row r="201" spans="1:22" s="30" customFormat="1" hidden="1" x14ac:dyDescent="0.35">
      <c r="A201" s="128" t="s">
        <v>93</v>
      </c>
      <c r="B201" s="128"/>
      <c r="C201" s="128"/>
      <c r="D201" s="128"/>
      <c r="E201" s="128"/>
      <c r="F201" s="197"/>
      <c r="G201" s="197"/>
      <c r="H201" s="197"/>
      <c r="R201"/>
      <c r="S201">
        <v>1500000</v>
      </c>
      <c r="T201">
        <v>600000</v>
      </c>
      <c r="U201">
        <v>500000</v>
      </c>
      <c r="V201" s="20"/>
    </row>
    <row r="202" spans="1:22" s="30" customFormat="1" x14ac:dyDescent="0.35">
      <c r="A202" s="128" t="s">
        <v>94</v>
      </c>
      <c r="B202" s="128"/>
      <c r="C202" s="128"/>
      <c r="D202" s="128"/>
      <c r="E202" s="128"/>
      <c r="F202" s="197">
        <v>25000</v>
      </c>
      <c r="G202" s="197"/>
      <c r="H202" s="197"/>
      <c r="R202"/>
      <c r="S202">
        <v>1600000</v>
      </c>
      <c r="T202">
        <v>700000</v>
      </c>
      <c r="U202">
        <v>600000</v>
      </c>
      <c r="V202"/>
    </row>
    <row r="203" spans="1:22" s="30" customFormat="1" x14ac:dyDescent="0.35">
      <c r="A203" s="128" t="s">
        <v>95</v>
      </c>
      <c r="B203" s="128"/>
      <c r="C203" s="128"/>
      <c r="D203" s="128"/>
      <c r="E203" s="128"/>
      <c r="F203" s="197">
        <v>25000</v>
      </c>
      <c r="G203" s="197"/>
      <c r="H203" s="197"/>
      <c r="R203"/>
      <c r="S203">
        <v>1700000</v>
      </c>
      <c r="T203">
        <v>800000</v>
      </c>
      <c r="U203"/>
      <c r="V203" s="20"/>
    </row>
    <row r="204" spans="1:22" x14ac:dyDescent="0.35">
      <c r="A204" s="128" t="s">
        <v>49</v>
      </c>
      <c r="B204" s="128"/>
      <c r="C204" s="128"/>
      <c r="D204" s="128"/>
      <c r="E204" s="128"/>
      <c r="F204" s="196">
        <v>100000</v>
      </c>
      <c r="G204" s="196"/>
      <c r="H204" s="196"/>
      <c r="R204"/>
      <c r="S204">
        <v>1800000</v>
      </c>
      <c r="T204">
        <v>900000</v>
      </c>
      <c r="U204"/>
    </row>
    <row r="205" spans="1:22" s="31" customFormat="1" x14ac:dyDescent="0.35">
      <c r="A205" s="167" t="s">
        <v>50</v>
      </c>
      <c r="B205" s="167"/>
      <c r="C205" s="167"/>
      <c r="D205" s="167"/>
      <c r="E205" s="167"/>
      <c r="F205" s="197">
        <f>F194*0.8</f>
        <v>2640</v>
      </c>
      <c r="G205" s="197"/>
      <c r="H205" s="197"/>
      <c r="R205" s="18"/>
      <c r="S205" s="18"/>
      <c r="T205">
        <v>1000000</v>
      </c>
      <c r="U205"/>
      <c r="V205" s="18"/>
    </row>
    <row r="206" spans="1:22" s="32" customFormat="1" ht="15.75" customHeight="1" x14ac:dyDescent="0.35">
      <c r="A206" s="135" t="s">
        <v>72</v>
      </c>
      <c r="B206" s="135"/>
      <c r="C206" s="135"/>
      <c r="D206" s="135"/>
      <c r="E206" s="135"/>
      <c r="F206" s="135"/>
      <c r="G206" s="135"/>
      <c r="H206" s="135"/>
      <c r="R206"/>
      <c r="S206" s="18"/>
      <c r="T206"/>
      <c r="U206"/>
      <c r="V206" s="18"/>
    </row>
    <row r="207" spans="1:22" s="32" customFormat="1" ht="15.75" customHeight="1" x14ac:dyDescent="0.35">
      <c r="A207" s="200" t="s">
        <v>51</v>
      </c>
      <c r="B207" s="200"/>
      <c r="C207" s="137" t="s">
        <v>75</v>
      </c>
      <c r="D207" s="137"/>
      <c r="E207" s="213" t="s">
        <v>52</v>
      </c>
      <c r="F207" s="213"/>
      <c r="G207" s="200" t="s">
        <v>53</v>
      </c>
      <c r="H207" s="200"/>
      <c r="R207"/>
      <c r="S207" s="18"/>
      <c r="T207"/>
      <c r="U207" s="18"/>
      <c r="V207" s="18"/>
    </row>
    <row r="208" spans="1:22" s="32" customFormat="1" ht="30.75" customHeight="1" x14ac:dyDescent="0.35">
      <c r="A208" s="138" t="s">
        <v>400</v>
      </c>
      <c r="B208" s="138"/>
      <c r="C208" s="139">
        <f>COUNT(D232:D245)</f>
        <v>14</v>
      </c>
      <c r="D208" s="132"/>
      <c r="E208" s="139">
        <f t="shared" ref="E208" si="0">SUM(F232:F245)</f>
        <v>2789.2753199999993</v>
      </c>
      <c r="F208" s="132"/>
      <c r="G208" s="139">
        <f t="shared" ref="G208" si="1">SUM(H232:H245)</f>
        <v>4183.9129799999992</v>
      </c>
      <c r="H208" s="132"/>
      <c r="R208"/>
      <c r="S208" s="18"/>
      <c r="T208"/>
      <c r="U208" s="18"/>
      <c r="V208" s="18"/>
    </row>
    <row r="209" spans="1:22" s="32" customFormat="1" hidden="1" x14ac:dyDescent="0.35">
      <c r="A209" s="138"/>
      <c r="B209" s="138"/>
      <c r="C209" s="132"/>
      <c r="D209" s="132"/>
      <c r="E209" s="133"/>
      <c r="F209" s="133"/>
      <c r="G209" s="134"/>
      <c r="H209" s="134"/>
      <c r="R209"/>
      <c r="S209" s="18"/>
      <c r="T209"/>
      <c r="U209" s="18"/>
      <c r="V209" s="18"/>
    </row>
    <row r="210" spans="1:22" s="32" customFormat="1" hidden="1" x14ac:dyDescent="0.35">
      <c r="A210" s="138"/>
      <c r="B210" s="138"/>
      <c r="C210" s="132"/>
      <c r="D210" s="132"/>
      <c r="E210" s="133"/>
      <c r="F210" s="133"/>
      <c r="G210" s="134"/>
      <c r="H210" s="134"/>
      <c r="R210"/>
      <c r="S210" s="18"/>
      <c r="T210"/>
      <c r="U210" s="18"/>
      <c r="V210" s="18"/>
    </row>
    <row r="211" spans="1:22" s="32" customFormat="1" ht="30.75" customHeight="1" x14ac:dyDescent="0.35">
      <c r="A211" s="138" t="s">
        <v>401</v>
      </c>
      <c r="B211" s="138"/>
      <c r="C211" s="139">
        <f>COUNT(D247:D259)</f>
        <v>13</v>
      </c>
      <c r="D211" s="132"/>
      <c r="E211" s="139">
        <f t="shared" ref="E211" si="2">SUM(F247:F259)</f>
        <v>4457.4800399999995</v>
      </c>
      <c r="F211" s="132"/>
      <c r="G211" s="139">
        <f t="shared" ref="G211" si="3">SUM(H247:H259)</f>
        <v>6686.2200599999996</v>
      </c>
      <c r="H211" s="132"/>
      <c r="R211"/>
      <c r="S211" s="18"/>
      <c r="T211"/>
      <c r="U211" s="18"/>
      <c r="V211" s="18"/>
    </row>
    <row r="212" spans="1:22" s="32" customFormat="1" x14ac:dyDescent="0.35">
      <c r="A212" s="135" t="s">
        <v>146</v>
      </c>
      <c r="B212" s="135"/>
      <c r="C212" s="136">
        <f>C211+C208</f>
        <v>27</v>
      </c>
      <c r="D212" s="137"/>
      <c r="E212" s="136">
        <f t="shared" ref="E212" si="4">E211+E208</f>
        <v>7246.7553599999992</v>
      </c>
      <c r="F212" s="137"/>
      <c r="G212" s="136">
        <f t="shared" ref="G212" si="5">G211+G208</f>
        <v>10870.133039999999</v>
      </c>
      <c r="H212" s="137"/>
      <c r="R212"/>
      <c r="S212" s="18"/>
      <c r="T212"/>
      <c r="U212" s="18"/>
      <c r="V212" s="18"/>
    </row>
    <row r="213" spans="1:22" s="32" customFormat="1" x14ac:dyDescent="0.35">
      <c r="A213" s="135" t="s">
        <v>67</v>
      </c>
      <c r="B213" s="135"/>
      <c r="C213" s="135"/>
      <c r="D213" s="135"/>
      <c r="E213" s="135"/>
      <c r="F213" s="135"/>
      <c r="G213" s="135"/>
      <c r="H213" s="135"/>
      <c r="T213"/>
    </row>
    <row r="214" spans="1:22" s="32" customFormat="1" ht="15.75" customHeight="1" x14ac:dyDescent="0.35">
      <c r="A214" s="200" t="s">
        <v>51</v>
      </c>
      <c r="B214" s="200"/>
      <c r="C214" s="137" t="s">
        <v>75</v>
      </c>
      <c r="D214" s="137"/>
      <c r="E214" s="213" t="s">
        <v>52</v>
      </c>
      <c r="F214" s="213"/>
      <c r="G214" s="200" t="s">
        <v>53</v>
      </c>
      <c r="H214" s="200"/>
      <c r="T214"/>
    </row>
    <row r="215" spans="1:22" s="32" customFormat="1" x14ac:dyDescent="0.35">
      <c r="A215" s="138" t="s">
        <v>363</v>
      </c>
      <c r="B215" s="138"/>
      <c r="C215" s="139">
        <f>COUNT(D274:D278)+COUNT(D280:D284)*5</f>
        <v>30</v>
      </c>
      <c r="D215" s="139"/>
      <c r="E215" s="239">
        <f t="shared" ref="E215" si="6">SUM(F274:F278)+SUM(F280:F284)*5</f>
        <v>14180.924159999999</v>
      </c>
      <c r="F215" s="240"/>
      <c r="G215" s="239">
        <f t="shared" ref="G215" si="7">SUM(H274:H278)+SUM(H280:H284)*5</f>
        <v>20780.311031999998</v>
      </c>
      <c r="H215" s="240"/>
      <c r="T215"/>
    </row>
    <row r="216" spans="1:22" s="32" customFormat="1" x14ac:dyDescent="0.35">
      <c r="A216" s="138" t="s">
        <v>364</v>
      </c>
      <c r="B216" s="138"/>
      <c r="C216" s="139">
        <f>COUNT(D289:D293)+COUNT(D295:D299)*5</f>
        <v>30</v>
      </c>
      <c r="D216" s="139"/>
      <c r="E216" s="139">
        <f t="shared" ref="E216" si="8">SUM(F289:F293)+SUM(F295:F299)*5</f>
        <v>14173.604639999998</v>
      </c>
      <c r="F216" s="139"/>
      <c r="G216" s="139">
        <f t="shared" ref="G216" si="9">SUM(H289:H293)+SUM(H295:H299)*5</f>
        <v>20769.697727999999</v>
      </c>
      <c r="H216" s="139"/>
      <c r="T216"/>
    </row>
    <row r="217" spans="1:22" s="32" customFormat="1" x14ac:dyDescent="0.35">
      <c r="A217" s="138" t="s">
        <v>365</v>
      </c>
      <c r="B217" s="138"/>
      <c r="C217" s="139">
        <f>COUNT(D302:D305)+COUNT(D307:D313)*4</f>
        <v>32</v>
      </c>
      <c r="D217" s="139"/>
      <c r="E217" s="139">
        <f t="shared" ref="E217" si="10">SUM(F302:F305)+SUM(F307:F313)*4</f>
        <v>14225.164199999999</v>
      </c>
      <c r="F217" s="139"/>
      <c r="G217" s="139">
        <f t="shared" ref="G217" si="11">SUM(H302:H305)+SUM(H307:H313)*4</f>
        <v>20626.488089999995</v>
      </c>
      <c r="H217" s="139"/>
      <c r="T217"/>
    </row>
    <row r="218" spans="1:22" s="32" customFormat="1" x14ac:dyDescent="0.35">
      <c r="A218" s="138" t="s">
        <v>371</v>
      </c>
      <c r="B218" s="138"/>
      <c r="C218" s="139">
        <f>COUNT(D317:D320)+COUNT(D322:D328)*4</f>
        <v>32</v>
      </c>
      <c r="D218" s="139"/>
      <c r="E218" s="139">
        <f t="shared" ref="E218" si="12">SUM(F317:F320)+SUM(F322:F328)*4</f>
        <v>14350.24188</v>
      </c>
      <c r="F218" s="139"/>
      <c r="G218" s="139">
        <f t="shared" ref="G218" si="13">SUM(H317:H320)+SUM(H322:H328)*4</f>
        <v>20807.850725999993</v>
      </c>
      <c r="H218" s="139"/>
      <c r="T218"/>
    </row>
    <row r="219" spans="1:22" s="32" customFormat="1" x14ac:dyDescent="0.35">
      <c r="A219" s="138" t="s">
        <v>372</v>
      </c>
      <c r="B219" s="138"/>
      <c r="C219" s="139">
        <f>COUNT(D331:D333)+COUNT(D335:D340)*4</f>
        <v>27</v>
      </c>
      <c r="D219" s="139"/>
      <c r="E219" s="139">
        <f t="shared" ref="E219" si="14">SUM(F331:F333)+SUM(F335:F340)*4</f>
        <v>11887.546319999999</v>
      </c>
      <c r="F219" s="139"/>
      <c r="G219" s="139">
        <f t="shared" ref="G219" si="15">SUM(H331:H333)+SUM(H335:H340)*4</f>
        <v>17236.942163999996</v>
      </c>
      <c r="H219" s="139"/>
      <c r="T219"/>
    </row>
    <row r="220" spans="1:22" s="32" customFormat="1" x14ac:dyDescent="0.35">
      <c r="A220" s="138" t="s">
        <v>375</v>
      </c>
      <c r="B220" s="138"/>
      <c r="C220" s="139">
        <f>COUNT(D345:D351)*7</f>
        <v>49</v>
      </c>
      <c r="D220" s="139"/>
      <c r="E220" s="139">
        <f t="shared" ref="E220" si="16">SUM(F345:F351)*7</f>
        <v>22333.147199999999</v>
      </c>
      <c r="F220" s="139"/>
      <c r="G220" s="139">
        <f t="shared" ref="G220" si="17">SUM(H345:H351)*7</f>
        <v>32383.063439999991</v>
      </c>
      <c r="H220" s="139"/>
      <c r="T220"/>
    </row>
    <row r="221" spans="1:22" s="32" customFormat="1" x14ac:dyDescent="0.35">
      <c r="A221" s="138" t="s">
        <v>379</v>
      </c>
      <c r="B221" s="138"/>
      <c r="C221" s="139">
        <f>COUNT(D355:D360)*7</f>
        <v>42</v>
      </c>
      <c r="D221" s="139"/>
      <c r="E221" s="139">
        <f t="shared" ref="E221" si="18">SUM(F355:F360)*7</f>
        <v>18731.512799999997</v>
      </c>
      <c r="F221" s="139"/>
      <c r="G221" s="139">
        <f t="shared" ref="G221" si="19">SUM(H355:H360)*7</f>
        <v>27160.693559999992</v>
      </c>
      <c r="H221" s="139"/>
      <c r="T221"/>
    </row>
    <row r="222" spans="1:22" s="32" customFormat="1" x14ac:dyDescent="0.35">
      <c r="A222" s="138" t="s">
        <v>380</v>
      </c>
      <c r="B222" s="138"/>
      <c r="C222" s="139">
        <f>COUNT(D363:D369)+COUNT(D371:D379)*4</f>
        <v>43</v>
      </c>
      <c r="D222" s="139"/>
      <c r="E222" s="139">
        <f t="shared" ref="E222" si="20">SUM(F363:F369)+SUM(F371:F379)*4</f>
        <v>16011.557639999999</v>
      </c>
      <c r="F222" s="139"/>
      <c r="G222" s="139">
        <f t="shared" ref="G222" si="21">SUM(H363:H369)+SUM(H371:H379)*4</f>
        <v>23216.758578000001</v>
      </c>
      <c r="H222" s="139"/>
      <c r="T222"/>
    </row>
    <row r="223" spans="1:22" s="32" customFormat="1" ht="30.75" customHeight="1" x14ac:dyDescent="0.35">
      <c r="A223" s="138" t="s">
        <v>385</v>
      </c>
      <c r="B223" s="138"/>
      <c r="C223" s="139">
        <f>COUNT(D382:D386)+COUNT(D388:D393)*4</f>
        <v>29</v>
      </c>
      <c r="D223" s="139"/>
      <c r="E223" s="139">
        <f t="shared" ref="E223" si="22">SUM(F382:F386)+SUM(F388:F393)*4</f>
        <v>12680.314919999999</v>
      </c>
      <c r="F223" s="139"/>
      <c r="G223" s="139">
        <f t="shared" ref="G223" si="23">SUM(H382:H386)+SUM(H388:H393)*4</f>
        <v>18386.456633999995</v>
      </c>
      <c r="H223" s="139"/>
      <c r="T223"/>
    </row>
    <row r="224" spans="1:22" s="32" customFormat="1" ht="16" thickBot="1" x14ac:dyDescent="0.4">
      <c r="A224" s="129" t="s">
        <v>146</v>
      </c>
      <c r="B224" s="129"/>
      <c r="C224" s="130">
        <f>C223+C222+C221+C220+C219+C218+C217+C216+C215</f>
        <v>314</v>
      </c>
      <c r="D224" s="131"/>
      <c r="E224" s="130">
        <f t="shared" ref="E224" si="24">E223+E222+E221+E220+E219+E218+E217+E216+E215</f>
        <v>138574.01375999997</v>
      </c>
      <c r="F224" s="131"/>
      <c r="G224" s="130">
        <f t="shared" ref="G224" si="25">G223+G222+G221+G220+G219+G218+G217+G216+G215</f>
        <v>201368.26195199997</v>
      </c>
      <c r="H224" s="131"/>
      <c r="T224"/>
    </row>
    <row r="225" spans="1:20" s="32" customFormat="1" ht="16" thickBot="1" x14ac:dyDescent="0.4">
      <c r="A225" s="126" t="s">
        <v>163</v>
      </c>
      <c r="B225" s="127"/>
      <c r="C225" s="143">
        <f>C212+C224</f>
        <v>341</v>
      </c>
      <c r="D225" s="143"/>
      <c r="E225" s="144">
        <f>E212+E224</f>
        <v>145820.76911999998</v>
      </c>
      <c r="F225" s="144"/>
      <c r="G225" s="209">
        <f>G212+G224</f>
        <v>212238.39499199996</v>
      </c>
      <c r="H225" s="210"/>
      <c r="T225"/>
    </row>
    <row r="226" spans="1:20" s="31" customFormat="1" x14ac:dyDescent="0.35">
      <c r="A226" s="211" t="s">
        <v>54</v>
      </c>
      <c r="B226" s="211"/>
      <c r="C226" s="211"/>
      <c r="D226" s="211"/>
      <c r="E226" s="211"/>
      <c r="F226" s="211"/>
      <c r="G226" s="211"/>
      <c r="H226" s="211"/>
      <c r="T226" s="32"/>
    </row>
    <row r="227" spans="1:20" x14ac:dyDescent="0.35">
      <c r="A227" s="226" t="s">
        <v>171</v>
      </c>
      <c r="B227" s="226"/>
      <c r="C227" s="226"/>
      <c r="D227" s="226"/>
      <c r="E227" s="226"/>
      <c r="F227" s="226"/>
      <c r="G227" s="226"/>
      <c r="H227" s="226"/>
      <c r="T227" s="32"/>
    </row>
    <row r="228" spans="1:20" ht="47.25" customHeight="1" x14ac:dyDescent="0.35">
      <c r="A228" s="109" t="s">
        <v>407</v>
      </c>
      <c r="B228" s="109" t="s">
        <v>173</v>
      </c>
      <c r="C228" s="109" t="s">
        <v>55</v>
      </c>
      <c r="D228" s="109" t="s">
        <v>353</v>
      </c>
      <c r="E228" s="206" t="s">
        <v>152</v>
      </c>
      <c r="F228" s="109" t="s">
        <v>56</v>
      </c>
      <c r="G228" s="206" t="s">
        <v>57</v>
      </c>
      <c r="H228" s="85" t="s">
        <v>144</v>
      </c>
      <c r="T228" s="32"/>
    </row>
    <row r="229" spans="1:20" s="34" customFormat="1" x14ac:dyDescent="0.35">
      <c r="A229" s="109"/>
      <c r="B229" s="109"/>
      <c r="C229" s="109"/>
      <c r="D229" s="109"/>
      <c r="E229" s="206"/>
      <c r="F229" s="109"/>
      <c r="G229" s="206"/>
      <c r="H229" s="86">
        <v>0.5</v>
      </c>
      <c r="T229" s="32"/>
    </row>
    <row r="230" spans="1:20" s="34" customFormat="1" x14ac:dyDescent="0.35">
      <c r="A230" s="238" t="s">
        <v>422</v>
      </c>
      <c r="B230" s="238"/>
      <c r="C230" s="238"/>
      <c r="D230" s="238"/>
      <c r="E230" s="238"/>
      <c r="F230" s="238"/>
      <c r="G230" s="238"/>
      <c r="H230" s="238"/>
      <c r="J230" s="33"/>
      <c r="T230" s="32"/>
    </row>
    <row r="231" spans="1:20" s="34" customFormat="1" x14ac:dyDescent="0.35">
      <c r="A231" s="198" t="s">
        <v>408</v>
      </c>
      <c r="B231" s="198"/>
      <c r="C231" s="198"/>
      <c r="D231" s="198"/>
      <c r="E231" s="198"/>
      <c r="F231" s="198"/>
      <c r="G231" s="198"/>
      <c r="H231" s="198"/>
      <c r="J231" s="33"/>
      <c r="T231" s="32"/>
    </row>
    <row r="232" spans="1:20" s="34" customFormat="1" ht="15.75" customHeight="1" x14ac:dyDescent="0.35">
      <c r="A232" s="201">
        <v>1</v>
      </c>
      <c r="B232" s="201"/>
      <c r="C232" s="79" t="s">
        <v>350</v>
      </c>
      <c r="D232" s="79">
        <f>(30.15)*10.764</f>
        <v>324.53459999999995</v>
      </c>
      <c r="E232" s="79">
        <v>0</v>
      </c>
      <c r="F232" s="79">
        <f>D232+(IF(E232&lt;201,E232,IF(E232&lt;301,E232/2,E232/3)))</f>
        <v>324.53459999999995</v>
      </c>
      <c r="G232" s="79">
        <v>0</v>
      </c>
      <c r="H232" s="79">
        <f>(F232+(IF(G232&lt;101,G232,IF(G232&lt;201,G232/2,IF(G232&lt;=301,G232/3,G232/4)))))*(($H$229)+1)</f>
        <v>486.80189999999993</v>
      </c>
      <c r="I232" s="33">
        <f>4.85*6</f>
        <v>29.099999999999998</v>
      </c>
      <c r="J232" s="39">
        <v>10.763999999999999</v>
      </c>
      <c r="L232" s="237"/>
      <c r="M232" s="237"/>
      <c r="N232" s="33"/>
      <c r="T232" s="32"/>
    </row>
    <row r="233" spans="1:20" s="34" customFormat="1" ht="15.75" customHeight="1" x14ac:dyDescent="0.35">
      <c r="A233" s="201">
        <f>A232+1</f>
        <v>2</v>
      </c>
      <c r="B233" s="201"/>
      <c r="C233" s="79" t="s">
        <v>350</v>
      </c>
      <c r="D233" s="79">
        <f>(24.36)*10.764</f>
        <v>262.21103999999997</v>
      </c>
      <c r="E233" s="79">
        <v>0</v>
      </c>
      <c r="F233" s="79">
        <f t="shared" ref="F233:F235" si="26">D233+(IF(E233&lt;201,E233,IF(E233&lt;301,E233/2,E233/3)))</f>
        <v>262.21103999999997</v>
      </c>
      <c r="G233" s="79">
        <v>0</v>
      </c>
      <c r="H233" s="79">
        <f t="shared" ref="H233:H235" si="27">(F233+(IF(G233&lt;101,G233,IF(G233&lt;201,G233/2,IF(G233&lt;=301,G233/3,G233/4)))))*(($H$229)+1)</f>
        <v>393.31655999999998</v>
      </c>
      <c r="I233" s="33"/>
      <c r="L233" s="237"/>
      <c r="M233" s="237"/>
      <c r="N233" s="33"/>
      <c r="T233" s="31"/>
    </row>
    <row r="234" spans="1:20" s="34" customFormat="1" ht="15.75" customHeight="1" x14ac:dyDescent="0.35">
      <c r="A234" s="201">
        <f>A233+1</f>
        <v>3</v>
      </c>
      <c r="B234" s="201"/>
      <c r="C234" s="79" t="s">
        <v>350</v>
      </c>
      <c r="D234" s="79">
        <f>(13.82)*10.764</f>
        <v>148.75847999999999</v>
      </c>
      <c r="E234" s="79">
        <v>0</v>
      </c>
      <c r="F234" s="79">
        <f t="shared" si="26"/>
        <v>148.75847999999999</v>
      </c>
      <c r="G234" s="79">
        <v>0</v>
      </c>
      <c r="H234" s="79">
        <f t="shared" si="27"/>
        <v>223.13772</v>
      </c>
      <c r="I234" s="33"/>
      <c r="L234" s="237"/>
      <c r="M234" s="237"/>
      <c r="N234" s="33"/>
      <c r="T234" s="18"/>
    </row>
    <row r="235" spans="1:20" s="34" customFormat="1" ht="15.75" customHeight="1" x14ac:dyDescent="0.35">
      <c r="A235" s="201">
        <f>A234+1</f>
        <v>4</v>
      </c>
      <c r="B235" s="201"/>
      <c r="C235" s="79" t="s">
        <v>350</v>
      </c>
      <c r="D235" s="79">
        <f>(16.82)*10.764</f>
        <v>181.05047999999999</v>
      </c>
      <c r="E235" s="79">
        <v>0</v>
      </c>
      <c r="F235" s="79">
        <f t="shared" si="26"/>
        <v>181.05047999999999</v>
      </c>
      <c r="G235" s="79">
        <v>0</v>
      </c>
      <c r="H235" s="79">
        <f t="shared" si="27"/>
        <v>271.57571999999999</v>
      </c>
      <c r="I235" s="33">
        <f>2.75*6</f>
        <v>16.5</v>
      </c>
      <c r="L235" s="237"/>
      <c r="M235" s="237"/>
      <c r="N235" s="33"/>
      <c r="T235" s="18"/>
    </row>
    <row r="236" spans="1:20" s="34" customFormat="1" ht="15.75" customHeight="1" x14ac:dyDescent="0.35">
      <c r="A236" s="107">
        <f t="shared" ref="A236:A245" si="28">A235+1</f>
        <v>5</v>
      </c>
      <c r="B236" s="108"/>
      <c r="C236" s="39" t="s">
        <v>350</v>
      </c>
      <c r="D236" s="39">
        <f>(18.37)*10.764</f>
        <v>197.73468</v>
      </c>
      <c r="E236" s="39">
        <v>0</v>
      </c>
      <c r="F236" s="39">
        <f>D236+(IF(E236&lt;201,E236,IF(E236&lt;301,E236/2,E236/3)))</f>
        <v>197.73468</v>
      </c>
      <c r="G236" s="39">
        <v>0</v>
      </c>
      <c r="H236" s="39">
        <f>(F236+(IF(G236&lt;101,G236,IF(G236&lt;201,G236/2,IF(G236&lt;=301,G236/3,G236/4)))))*(($H$229)+1)</f>
        <v>296.60201999999998</v>
      </c>
      <c r="I236" s="33"/>
      <c r="L236" s="237"/>
      <c r="M236" s="237"/>
      <c r="N236" s="33"/>
      <c r="T236" s="32"/>
    </row>
    <row r="237" spans="1:20" s="34" customFormat="1" ht="15.75" customHeight="1" x14ac:dyDescent="0.35">
      <c r="A237" s="107">
        <f t="shared" si="28"/>
        <v>6</v>
      </c>
      <c r="B237" s="108"/>
      <c r="C237" s="39" t="s">
        <v>350</v>
      </c>
      <c r="D237" s="39">
        <f>(13.48)*10.764</f>
        <v>145.09871999999999</v>
      </c>
      <c r="E237" s="39">
        <v>0</v>
      </c>
      <c r="F237" s="39">
        <f t="shared" ref="F237:F239" si="29">D237+(IF(E237&lt;201,E237,IF(E237&lt;301,E237/2,E237/3)))</f>
        <v>145.09871999999999</v>
      </c>
      <c r="G237" s="39">
        <v>0</v>
      </c>
      <c r="H237" s="39">
        <f t="shared" ref="H237:H239" si="30">(F237+(IF(G237&lt;101,G237,IF(G237&lt;201,G237/2,IF(G237&lt;=301,G237/3,G237/4)))))*(($H$229)+1)</f>
        <v>217.64807999999999</v>
      </c>
      <c r="I237" s="33"/>
      <c r="L237" s="237"/>
      <c r="M237" s="237"/>
      <c r="N237" s="33"/>
      <c r="T237" s="31"/>
    </row>
    <row r="238" spans="1:20" s="34" customFormat="1" ht="15.75" customHeight="1" x14ac:dyDescent="0.35">
      <c r="A238" s="107">
        <f t="shared" si="28"/>
        <v>7</v>
      </c>
      <c r="B238" s="108"/>
      <c r="C238" s="39" t="s">
        <v>350</v>
      </c>
      <c r="D238" s="39">
        <f>(18.05)*10.764</f>
        <v>194.2902</v>
      </c>
      <c r="E238" s="39">
        <v>0</v>
      </c>
      <c r="F238" s="39">
        <f t="shared" si="29"/>
        <v>194.2902</v>
      </c>
      <c r="G238" s="39">
        <v>0</v>
      </c>
      <c r="H238" s="39">
        <f t="shared" si="30"/>
        <v>291.43529999999998</v>
      </c>
      <c r="I238" s="33">
        <f>2.96*6</f>
        <v>17.759999999999998</v>
      </c>
      <c r="L238" s="237"/>
      <c r="M238" s="237"/>
      <c r="N238" s="33"/>
      <c r="T238" s="18"/>
    </row>
    <row r="239" spans="1:20" s="34" customFormat="1" ht="15.75" customHeight="1" x14ac:dyDescent="0.35">
      <c r="A239" s="107">
        <f t="shared" si="28"/>
        <v>8</v>
      </c>
      <c r="B239" s="108"/>
      <c r="C239" s="39" t="s">
        <v>350</v>
      </c>
      <c r="D239" s="39">
        <f>(18.05)*10.764</f>
        <v>194.2902</v>
      </c>
      <c r="E239" s="39">
        <v>0</v>
      </c>
      <c r="F239" s="39">
        <f t="shared" si="29"/>
        <v>194.2902</v>
      </c>
      <c r="G239" s="39">
        <v>0</v>
      </c>
      <c r="H239" s="39">
        <f t="shared" si="30"/>
        <v>291.43529999999998</v>
      </c>
      <c r="I239" s="33"/>
      <c r="L239" s="237"/>
      <c r="M239" s="237"/>
      <c r="N239" s="33"/>
      <c r="T239" s="18"/>
    </row>
    <row r="240" spans="1:20" s="34" customFormat="1" ht="15.75" customHeight="1" x14ac:dyDescent="0.35">
      <c r="A240" s="107">
        <f t="shared" si="28"/>
        <v>9</v>
      </c>
      <c r="B240" s="108"/>
      <c r="C240" s="39" t="s">
        <v>350</v>
      </c>
      <c r="D240" s="39">
        <f>(15.02)*10.764</f>
        <v>161.67527999999999</v>
      </c>
      <c r="E240" s="39">
        <v>0</v>
      </c>
      <c r="F240" s="39">
        <f>D240+(IF(E240&lt;201,E240,IF(E240&lt;301,E240/2,E240/3)))</f>
        <v>161.67527999999999</v>
      </c>
      <c r="G240" s="39">
        <v>0</v>
      </c>
      <c r="H240" s="39">
        <f>(F240+(IF(G240&lt;101,G240,IF(G240&lt;201,G240/2,IF(G240&lt;=301,G240/3,G240/4)))))*(($H$229)+1)</f>
        <v>242.51291999999998</v>
      </c>
      <c r="I240" s="33"/>
      <c r="L240" s="237"/>
      <c r="M240" s="237"/>
      <c r="N240" s="33"/>
      <c r="T240" s="32"/>
    </row>
    <row r="241" spans="1:20" s="34" customFormat="1" ht="15.75" customHeight="1" x14ac:dyDescent="0.35">
      <c r="A241" s="107">
        <f t="shared" si="28"/>
        <v>10</v>
      </c>
      <c r="B241" s="108"/>
      <c r="C241" s="39" t="s">
        <v>350</v>
      </c>
      <c r="D241" s="39">
        <f>(16.82)*10.764</f>
        <v>181.05047999999999</v>
      </c>
      <c r="E241" s="39">
        <v>0</v>
      </c>
      <c r="F241" s="39">
        <f t="shared" ref="F241:F243" si="31">D241+(IF(E241&lt;201,E241,IF(E241&lt;301,E241/2,E241/3)))</f>
        <v>181.05047999999999</v>
      </c>
      <c r="G241" s="39">
        <v>0</v>
      </c>
      <c r="H241" s="39">
        <f t="shared" ref="H241:H243" si="32">(F241+(IF(G241&lt;101,G241,IF(G241&lt;201,G241/2,IF(G241&lt;=301,G241/3,G241/4)))))*(($H$229)+1)</f>
        <v>271.57571999999999</v>
      </c>
      <c r="I241" s="33"/>
      <c r="L241" s="237"/>
      <c r="M241" s="237"/>
      <c r="N241" s="33"/>
      <c r="T241" s="31"/>
    </row>
    <row r="242" spans="1:20" s="34" customFormat="1" ht="15.75" customHeight="1" x14ac:dyDescent="0.35">
      <c r="A242" s="107">
        <f t="shared" si="28"/>
        <v>11</v>
      </c>
      <c r="B242" s="108"/>
      <c r="C242" s="39" t="s">
        <v>350</v>
      </c>
      <c r="D242" s="39">
        <f>(16.82)*10.764</f>
        <v>181.05047999999999</v>
      </c>
      <c r="E242" s="39">
        <v>0</v>
      </c>
      <c r="F242" s="39">
        <f t="shared" si="31"/>
        <v>181.05047999999999</v>
      </c>
      <c r="G242" s="39">
        <v>0</v>
      </c>
      <c r="H242" s="39">
        <f t="shared" si="32"/>
        <v>271.57571999999999</v>
      </c>
      <c r="I242" s="33"/>
      <c r="L242" s="237"/>
      <c r="M242" s="237"/>
      <c r="N242" s="33"/>
      <c r="T242" s="18"/>
    </row>
    <row r="243" spans="1:20" s="34" customFormat="1" ht="15.75" customHeight="1" x14ac:dyDescent="0.35">
      <c r="A243" s="107">
        <f t="shared" si="28"/>
        <v>12</v>
      </c>
      <c r="B243" s="108"/>
      <c r="C243" s="39" t="s">
        <v>350</v>
      </c>
      <c r="D243" s="39">
        <f>(12.87)*10.764</f>
        <v>138.53267999999997</v>
      </c>
      <c r="E243" s="39">
        <v>0</v>
      </c>
      <c r="F243" s="39">
        <f t="shared" si="31"/>
        <v>138.53267999999997</v>
      </c>
      <c r="G243" s="39">
        <v>0</v>
      </c>
      <c r="H243" s="39">
        <f t="shared" si="32"/>
        <v>207.79901999999996</v>
      </c>
      <c r="I243" s="33">
        <f>2.25*5.1+1.2*0.9</f>
        <v>12.555</v>
      </c>
      <c r="L243" s="237"/>
      <c r="M243" s="237"/>
      <c r="N243" s="33"/>
      <c r="T243" s="18"/>
    </row>
    <row r="244" spans="1:20" s="34" customFormat="1" ht="15.75" customHeight="1" x14ac:dyDescent="0.35">
      <c r="A244" s="107">
        <f t="shared" si="28"/>
        <v>13</v>
      </c>
      <c r="B244" s="108"/>
      <c r="C244" s="39" t="s">
        <v>350</v>
      </c>
      <c r="D244" s="39">
        <f>(14.35)*10.764</f>
        <v>154.46339999999998</v>
      </c>
      <c r="E244" s="39">
        <v>0</v>
      </c>
      <c r="F244" s="39">
        <f>D244+(IF(E244&lt;201,E244,IF(E244&lt;301,E244/2,E244/3)))</f>
        <v>154.46339999999998</v>
      </c>
      <c r="G244" s="39">
        <v>0</v>
      </c>
      <c r="H244" s="39">
        <f>(F244+(IF(G244&lt;101,G244,IF(G244&lt;201,G244/2,IF(G244&lt;=301,G244/3,G244/4)))))*(($H$229)+1)</f>
        <v>231.69509999999997</v>
      </c>
      <c r="I244" s="33">
        <f>2.75*5.1</f>
        <v>14.024999999999999</v>
      </c>
      <c r="L244" s="237"/>
      <c r="M244" s="237"/>
      <c r="N244" s="33"/>
      <c r="T244" s="32"/>
    </row>
    <row r="245" spans="1:20" s="34" customFormat="1" ht="15.75" customHeight="1" x14ac:dyDescent="0.35">
      <c r="A245" s="107">
        <f t="shared" si="28"/>
        <v>14</v>
      </c>
      <c r="B245" s="108"/>
      <c r="C245" s="39" t="s">
        <v>350</v>
      </c>
      <c r="D245" s="39">
        <f>(30.15)*10.764</f>
        <v>324.53459999999995</v>
      </c>
      <c r="E245" s="39">
        <v>0</v>
      </c>
      <c r="F245" s="39">
        <f t="shared" ref="F245" si="33">D245+(IF(E245&lt;201,E245,IF(E245&lt;301,E245/2,E245/3)))</f>
        <v>324.53459999999995</v>
      </c>
      <c r="G245" s="39">
        <v>0</v>
      </c>
      <c r="H245" s="39">
        <f>(F245+(IF(G245&lt;101,G245,IF(G245&lt;201,G245/2,IF(G245&lt;=301,G245/3,G245/4)))))*(($H$229)+1)</f>
        <v>486.80189999999993</v>
      </c>
      <c r="I245" s="33"/>
      <c r="L245" s="237"/>
      <c r="M245" s="237"/>
      <c r="N245" s="33"/>
      <c r="T245" s="31"/>
    </row>
    <row r="246" spans="1:20" s="34" customFormat="1" x14ac:dyDescent="0.35">
      <c r="A246" s="217" t="s">
        <v>351</v>
      </c>
      <c r="B246" s="218"/>
      <c r="C246" s="218"/>
      <c r="D246" s="218"/>
      <c r="E246" s="218"/>
      <c r="F246" s="218"/>
      <c r="G246" s="218"/>
      <c r="H246" s="219"/>
      <c r="J246" s="33"/>
      <c r="T246" s="32"/>
    </row>
    <row r="247" spans="1:20" s="34" customFormat="1" ht="15.75" customHeight="1" x14ac:dyDescent="0.35">
      <c r="A247" s="107">
        <v>1</v>
      </c>
      <c r="B247" s="108"/>
      <c r="C247" s="39" t="s">
        <v>352</v>
      </c>
      <c r="D247" s="39">
        <f>(29.91)*10.764</f>
        <v>321.95123999999998</v>
      </c>
      <c r="E247" s="39">
        <v>0</v>
      </c>
      <c r="F247" s="39">
        <f>D247+(IF(E247&lt;201,E247,IF(E247&lt;301,E247/2,E247/3)))</f>
        <v>321.95123999999998</v>
      </c>
      <c r="G247" s="39">
        <v>0</v>
      </c>
      <c r="H247" s="39">
        <f>(F247+(IF(G247&lt;101,G247,IF(G247&lt;201,G247/2,IF(G247&lt;=301,G247/3,G247/4)))))*(($H$229)+1)</f>
        <v>482.92685999999998</v>
      </c>
      <c r="I247" s="33">
        <f>4.85*6</f>
        <v>29.099999999999998</v>
      </c>
      <c r="L247" s="237"/>
      <c r="M247" s="237"/>
      <c r="N247" s="33"/>
      <c r="T247" s="32"/>
    </row>
    <row r="248" spans="1:20" s="34" customFormat="1" ht="15.75" customHeight="1" x14ac:dyDescent="0.35">
      <c r="A248" s="107">
        <f>A247+1</f>
        <v>2</v>
      </c>
      <c r="B248" s="108"/>
      <c r="C248" s="39" t="s">
        <v>352</v>
      </c>
      <c r="D248" s="39">
        <f>(23.59)*10.764</f>
        <v>253.92275999999998</v>
      </c>
      <c r="E248" s="39">
        <v>0</v>
      </c>
      <c r="F248" s="39">
        <f t="shared" ref="F248:F250" si="34">D248+(IF(E248&lt;201,E248,IF(E248&lt;301,E248/2,E248/3)))</f>
        <v>253.92275999999998</v>
      </c>
      <c r="G248" s="39">
        <v>0</v>
      </c>
      <c r="H248" s="39">
        <f t="shared" ref="H248:H250" si="35">(F248+(IF(G248&lt;101,G248,IF(G248&lt;201,G248/2,IF(G248&lt;=301,G248/3,G248/4)))))*(($H$229)+1)</f>
        <v>380.88414</v>
      </c>
      <c r="I248" s="33"/>
      <c r="L248" s="237"/>
      <c r="M248" s="237"/>
      <c r="N248" s="33"/>
      <c r="T248" s="31"/>
    </row>
    <row r="249" spans="1:20" s="34" customFormat="1" ht="15.75" customHeight="1" x14ac:dyDescent="0.35">
      <c r="A249" s="107">
        <f>A248+1</f>
        <v>3</v>
      </c>
      <c r="B249" s="108"/>
      <c r="C249" s="39" t="s">
        <v>352</v>
      </c>
      <c r="D249" s="39">
        <f>(12.67)*10.764</f>
        <v>136.37987999999999</v>
      </c>
      <c r="E249" s="39">
        <v>0</v>
      </c>
      <c r="F249" s="39">
        <f t="shared" si="34"/>
        <v>136.37987999999999</v>
      </c>
      <c r="G249" s="39">
        <v>0</v>
      </c>
      <c r="H249" s="39">
        <f t="shared" si="35"/>
        <v>204.56981999999999</v>
      </c>
      <c r="I249" s="33"/>
      <c r="L249" s="237"/>
      <c r="M249" s="237"/>
      <c r="N249" s="33"/>
      <c r="T249" s="18"/>
    </row>
    <row r="250" spans="1:20" s="34" customFormat="1" ht="15.75" customHeight="1" x14ac:dyDescent="0.35">
      <c r="A250" s="107">
        <f>A249+1</f>
        <v>4</v>
      </c>
      <c r="B250" s="108"/>
      <c r="C250" s="39" t="s">
        <v>352</v>
      </c>
      <c r="D250" s="39">
        <f>(24.5)*10.764</f>
        <v>263.71799999999996</v>
      </c>
      <c r="E250" s="39">
        <v>0</v>
      </c>
      <c r="F250" s="39">
        <f t="shared" si="34"/>
        <v>263.71799999999996</v>
      </c>
      <c r="G250" s="39">
        <v>0</v>
      </c>
      <c r="H250" s="39">
        <f t="shared" si="35"/>
        <v>395.57699999999994</v>
      </c>
      <c r="I250" s="33"/>
      <c r="L250" s="237"/>
      <c r="M250" s="237"/>
      <c r="N250" s="33"/>
      <c r="T250" s="18"/>
    </row>
    <row r="251" spans="1:20" s="34" customFormat="1" ht="15.75" customHeight="1" x14ac:dyDescent="0.35">
      <c r="A251" s="107">
        <f t="shared" ref="A251:A259" si="36">A250+1</f>
        <v>5</v>
      </c>
      <c r="B251" s="108"/>
      <c r="C251" s="39" t="s">
        <v>352</v>
      </c>
      <c r="D251" s="39">
        <f>(27.28)*10.764</f>
        <v>293.64191999999997</v>
      </c>
      <c r="E251" s="39">
        <v>0</v>
      </c>
      <c r="F251" s="39">
        <f>D251+(IF(E251&lt;201,E251,IF(E251&lt;301,E251/2,E251/3)))</f>
        <v>293.64191999999997</v>
      </c>
      <c r="G251" s="39">
        <v>0</v>
      </c>
      <c r="H251" s="39">
        <f>(F251+(IF(G251&lt;101,G251,IF(G251&lt;201,G251/2,IF(G251&lt;=301,G251/3,G251/4)))))*(($H$229)+1)</f>
        <v>440.46287999999993</v>
      </c>
      <c r="I251" s="33">
        <f>5.96*4.55</f>
        <v>27.117999999999999</v>
      </c>
      <c r="L251" s="237"/>
      <c r="M251" s="237"/>
      <c r="N251" s="33"/>
      <c r="T251" s="32"/>
    </row>
    <row r="252" spans="1:20" s="34" customFormat="1" ht="15.75" customHeight="1" x14ac:dyDescent="0.35">
      <c r="A252" s="107">
        <f t="shared" si="36"/>
        <v>6</v>
      </c>
      <c r="B252" s="108"/>
      <c r="C252" s="39" t="s">
        <v>352</v>
      </c>
      <c r="D252" s="39">
        <f>(24.5)*10.764</f>
        <v>263.71799999999996</v>
      </c>
      <c r="E252" s="39">
        <v>0</v>
      </c>
      <c r="F252" s="39">
        <f t="shared" ref="F252:F254" si="37">D252+(IF(E252&lt;201,E252,IF(E252&lt;301,E252/2,E252/3)))</f>
        <v>263.71799999999996</v>
      </c>
      <c r="G252" s="39">
        <v>0</v>
      </c>
      <c r="H252" s="39">
        <f t="shared" ref="H252:H254" si="38">(F252+(IF(G252&lt;101,G252,IF(G252&lt;201,G252/2,IF(G252&lt;=301,G252/3,G252/4)))))*(($H$229)+1)</f>
        <v>395.57699999999994</v>
      </c>
      <c r="I252" s="33"/>
      <c r="L252" s="237"/>
      <c r="M252" s="237"/>
      <c r="N252" s="33"/>
      <c r="T252" s="31"/>
    </row>
    <row r="253" spans="1:20" s="34" customFormat="1" ht="15.75" customHeight="1" x14ac:dyDescent="0.35">
      <c r="A253" s="107">
        <f t="shared" si="36"/>
        <v>7</v>
      </c>
      <c r="B253" s="108"/>
      <c r="C253" s="39" t="s">
        <v>352</v>
      </c>
      <c r="D253" s="39">
        <f>(12.67)*10.764</f>
        <v>136.37987999999999</v>
      </c>
      <c r="E253" s="39">
        <v>0</v>
      </c>
      <c r="F253" s="39">
        <f t="shared" si="37"/>
        <v>136.37987999999999</v>
      </c>
      <c r="G253" s="39">
        <v>0</v>
      </c>
      <c r="H253" s="39">
        <f t="shared" si="38"/>
        <v>204.56981999999999</v>
      </c>
      <c r="I253" s="33"/>
      <c r="L253" s="237"/>
      <c r="M253" s="237"/>
      <c r="N253" s="33"/>
      <c r="T253" s="18"/>
    </row>
    <row r="254" spans="1:20" s="34" customFormat="1" ht="15.75" customHeight="1" x14ac:dyDescent="0.35">
      <c r="A254" s="107">
        <f t="shared" si="36"/>
        <v>8</v>
      </c>
      <c r="B254" s="108"/>
      <c r="C254" s="39" t="s">
        <v>352</v>
      </c>
      <c r="D254" s="39">
        <f>(23.59)*10.764</f>
        <v>253.92275999999998</v>
      </c>
      <c r="E254" s="39">
        <v>0</v>
      </c>
      <c r="F254" s="39">
        <f t="shared" si="37"/>
        <v>253.92275999999998</v>
      </c>
      <c r="G254" s="39">
        <v>0</v>
      </c>
      <c r="H254" s="39">
        <f t="shared" si="38"/>
        <v>380.88414</v>
      </c>
      <c r="I254" s="33"/>
      <c r="L254" s="237"/>
      <c r="M254" s="237"/>
      <c r="N254" s="33"/>
      <c r="T254" s="18"/>
    </row>
    <row r="255" spans="1:20" s="34" customFormat="1" ht="15.75" customHeight="1" x14ac:dyDescent="0.35">
      <c r="A255" s="107">
        <f t="shared" si="36"/>
        <v>9</v>
      </c>
      <c r="B255" s="108"/>
      <c r="C255" s="39" t="s">
        <v>352</v>
      </c>
      <c r="D255" s="39">
        <f>(17.37)*10.764</f>
        <v>186.97067999999999</v>
      </c>
      <c r="E255" s="39">
        <v>0</v>
      </c>
      <c r="F255" s="39">
        <f>D255+(IF(E255&lt;201,E255,IF(E255&lt;301,E255/2,E255/3)))</f>
        <v>186.97067999999999</v>
      </c>
      <c r="G255" s="39">
        <v>0</v>
      </c>
      <c r="H255" s="39">
        <f>(F255+(IF(G255&lt;101,G255,IF(G255&lt;201,G255/2,IF(G255&lt;=301,G255/3,G255/4)))))*(($H$229)+1)</f>
        <v>280.45601999999997</v>
      </c>
      <c r="I255" s="33"/>
      <c r="L255" s="237"/>
      <c r="M255" s="237"/>
      <c r="N255" s="33"/>
      <c r="T255" s="32"/>
    </row>
    <row r="256" spans="1:20" s="34" customFormat="1" ht="15.75" customHeight="1" x14ac:dyDescent="0.35">
      <c r="A256" s="107">
        <f t="shared" si="36"/>
        <v>10</v>
      </c>
      <c r="B256" s="108"/>
      <c r="C256" s="39" t="s">
        <v>352</v>
      </c>
      <c r="D256" s="39">
        <f>(26.54)*10.764</f>
        <v>285.67655999999999</v>
      </c>
      <c r="E256" s="39">
        <v>0</v>
      </c>
      <c r="F256" s="39">
        <f t="shared" ref="F256:F258" si="39">D256+(IF(E256&lt;201,E256,IF(E256&lt;301,E256/2,E256/3)))</f>
        <v>285.67655999999999</v>
      </c>
      <c r="G256" s="39">
        <v>0</v>
      </c>
      <c r="H256" s="39">
        <f t="shared" ref="H256:H258" si="40">(F256+(IF(G256&lt;101,G256,IF(G256&lt;201,G256/2,IF(G256&lt;=301,G256/3,G256/4)))))*(($H$229)+1)</f>
        <v>428.51483999999999</v>
      </c>
      <c r="I256" s="33">
        <f>5.35*3.75+2.6*1.6+1.2*1.5</f>
        <v>26.022500000000001</v>
      </c>
      <c r="L256" s="237"/>
      <c r="M256" s="237"/>
      <c r="N256" s="33"/>
      <c r="T256" s="31"/>
    </row>
    <row r="257" spans="1:20" s="34" customFormat="1" ht="15.75" customHeight="1" x14ac:dyDescent="0.35">
      <c r="A257" s="107">
        <f t="shared" si="36"/>
        <v>11</v>
      </c>
      <c r="B257" s="108"/>
      <c r="C257" s="39" t="s">
        <v>352</v>
      </c>
      <c r="D257" s="39">
        <f>(133)*10.764</f>
        <v>1431.6119999999999</v>
      </c>
      <c r="E257" s="39">
        <v>0</v>
      </c>
      <c r="F257" s="39">
        <f t="shared" si="39"/>
        <v>1431.6119999999999</v>
      </c>
      <c r="G257" s="39">
        <v>0</v>
      </c>
      <c r="H257" s="39">
        <f t="shared" si="40"/>
        <v>2147.4179999999997</v>
      </c>
      <c r="I257" s="33"/>
      <c r="L257" s="237"/>
      <c r="M257" s="237"/>
      <c r="N257" s="33"/>
      <c r="T257" s="18"/>
    </row>
    <row r="258" spans="1:20" s="34" customFormat="1" ht="15.75" customHeight="1" x14ac:dyDescent="0.35">
      <c r="A258" s="107">
        <f t="shared" si="36"/>
        <v>12</v>
      </c>
      <c r="B258" s="108"/>
      <c r="C258" s="39" t="s">
        <v>352</v>
      </c>
      <c r="D258" s="39">
        <f>(31.95)*10.764</f>
        <v>343.90979999999996</v>
      </c>
      <c r="E258" s="39">
        <v>0</v>
      </c>
      <c r="F258" s="39">
        <f t="shared" si="39"/>
        <v>343.90979999999996</v>
      </c>
      <c r="G258" s="39">
        <v>0</v>
      </c>
      <c r="H258" s="39">
        <f t="shared" si="40"/>
        <v>515.86469999999997</v>
      </c>
      <c r="I258" s="33"/>
      <c r="L258" s="237"/>
      <c r="M258" s="237"/>
      <c r="N258" s="33"/>
      <c r="T258" s="18"/>
    </row>
    <row r="259" spans="1:20" s="34" customFormat="1" ht="15.75" customHeight="1" x14ac:dyDescent="0.35">
      <c r="A259" s="107">
        <f t="shared" si="36"/>
        <v>13</v>
      </c>
      <c r="B259" s="108"/>
      <c r="C259" s="39" t="s">
        <v>352</v>
      </c>
      <c r="D259" s="39">
        <f>(26.54)*10.764</f>
        <v>285.67655999999999</v>
      </c>
      <c r="E259" s="39">
        <v>0</v>
      </c>
      <c r="F259" s="39">
        <f t="shared" ref="F259" si="41">D259+(IF(E259&lt;201,E259,IF(E259&lt;301,E259/2,E259/3)))</f>
        <v>285.67655999999999</v>
      </c>
      <c r="G259" s="39">
        <v>0</v>
      </c>
      <c r="H259" s="39">
        <f t="shared" ref="H259" si="42">(F259+(IF(G259&lt;101,G259,IF(G259&lt;201,G259/2,IF(G259&lt;=301,G259/3,G259/4)))))*(($H$229)+1)</f>
        <v>428.51483999999999</v>
      </c>
      <c r="I259" s="33"/>
      <c r="L259" s="237"/>
      <c r="M259" s="237"/>
      <c r="N259" s="33"/>
      <c r="T259" s="18"/>
    </row>
    <row r="260" spans="1:20" s="34" customFormat="1" hidden="1" x14ac:dyDescent="0.35">
      <c r="A260" s="217" t="s">
        <v>351</v>
      </c>
      <c r="B260" s="218"/>
      <c r="C260" s="218"/>
      <c r="D260" s="218"/>
      <c r="E260" s="218"/>
      <c r="F260" s="218"/>
      <c r="G260" s="218"/>
      <c r="H260" s="219"/>
      <c r="J260" s="33"/>
      <c r="T260" s="32"/>
    </row>
    <row r="261" spans="1:20" s="34" customFormat="1" ht="15.75" hidden="1" customHeight="1" x14ac:dyDescent="0.35">
      <c r="A261" s="107">
        <v>1</v>
      </c>
      <c r="B261" s="108"/>
      <c r="C261" s="39"/>
      <c r="D261" s="39">
        <v>0</v>
      </c>
      <c r="E261" s="39">
        <v>0</v>
      </c>
      <c r="F261" s="39">
        <f>D261+(IF(E261&lt;201,E261,IF(E261&lt;301,E261/2,E261/3)))</f>
        <v>0</v>
      </c>
      <c r="G261" s="39">
        <v>0</v>
      </c>
      <c r="H261" s="39">
        <f>(F261+(IF(G261&lt;101,G261,IF(G261&lt;201,G261/2,IF(G261&lt;=301,G261/3,G261/4)))))*(($H$229)+1)</f>
        <v>0</v>
      </c>
      <c r="I261" s="33"/>
      <c r="L261" s="237"/>
      <c r="M261" s="237"/>
      <c r="N261" s="33"/>
      <c r="T261" s="32"/>
    </row>
    <row r="262" spans="1:20" s="34" customFormat="1" ht="15.75" hidden="1" customHeight="1" x14ac:dyDescent="0.35">
      <c r="A262" s="107">
        <f>A261+1</f>
        <v>2</v>
      </c>
      <c r="B262" s="108"/>
      <c r="C262" s="39"/>
      <c r="D262" s="39"/>
      <c r="E262" s="39">
        <v>0</v>
      </c>
      <c r="F262" s="39">
        <f t="shared" ref="F262:F264" si="43">D262+(IF(E262&lt;201,E262,IF(E262&lt;301,E262/2,E262/3)))</f>
        <v>0</v>
      </c>
      <c r="G262" s="39">
        <v>0</v>
      </c>
      <c r="H262" s="39">
        <f t="shared" ref="H262:H264" si="44">(F262+(IF(G262&lt;101,G262,IF(G262&lt;201,G262/2,IF(G262&lt;=301,G262/3,G262/4)))))*(($H$229)+1)</f>
        <v>0</v>
      </c>
      <c r="I262" s="33"/>
      <c r="L262" s="237"/>
      <c r="M262" s="237"/>
      <c r="N262" s="33"/>
      <c r="T262" s="31"/>
    </row>
    <row r="263" spans="1:20" s="34" customFormat="1" ht="15.75" hidden="1" customHeight="1" x14ac:dyDescent="0.35">
      <c r="A263" s="107">
        <f>A262+1</f>
        <v>3</v>
      </c>
      <c r="B263" s="108"/>
      <c r="C263" s="39"/>
      <c r="D263" s="39"/>
      <c r="E263" s="39">
        <v>0</v>
      </c>
      <c r="F263" s="39">
        <f t="shared" si="43"/>
        <v>0</v>
      </c>
      <c r="G263" s="39">
        <v>0</v>
      </c>
      <c r="H263" s="39">
        <f t="shared" si="44"/>
        <v>0</v>
      </c>
      <c r="I263" s="33"/>
      <c r="L263" s="237"/>
      <c r="M263" s="237"/>
      <c r="N263" s="33"/>
      <c r="T263" s="18"/>
    </row>
    <row r="264" spans="1:20" s="34" customFormat="1" ht="15.75" hidden="1" customHeight="1" x14ac:dyDescent="0.35">
      <c r="A264" s="107">
        <f>A263+1</f>
        <v>4</v>
      </c>
      <c r="B264" s="108"/>
      <c r="C264" s="39"/>
      <c r="D264" s="39"/>
      <c r="E264" s="39">
        <v>0</v>
      </c>
      <c r="F264" s="39">
        <f t="shared" si="43"/>
        <v>0</v>
      </c>
      <c r="G264" s="39">
        <v>0</v>
      </c>
      <c r="H264" s="39">
        <f t="shared" si="44"/>
        <v>0</v>
      </c>
      <c r="I264" s="33"/>
      <c r="L264" s="237"/>
      <c r="M264" s="237"/>
      <c r="N264" s="33"/>
      <c r="T264" s="18"/>
    </row>
    <row r="265" spans="1:20" s="34" customFormat="1" ht="15.75" hidden="1" customHeight="1" x14ac:dyDescent="0.35">
      <c r="A265" s="107">
        <f t="shared" ref="A265" si="45">A264+1</f>
        <v>5</v>
      </c>
      <c r="B265" s="108"/>
      <c r="C265" s="39"/>
      <c r="D265" s="39">
        <v>0</v>
      </c>
      <c r="E265" s="39">
        <v>0</v>
      </c>
      <c r="F265" s="39">
        <f>D265+(IF(E265&lt;201,E265,IF(E265&lt;301,E265/2,E265/3)))</f>
        <v>0</v>
      </c>
      <c r="G265" s="39">
        <v>0</v>
      </c>
      <c r="H265" s="39">
        <f>(F265+(IF(G265&lt;101,G265,IF(G265&lt;201,G265/2,IF(G265&lt;=301,G265/3,G265/4)))))*(($H$229)+1)</f>
        <v>0</v>
      </c>
      <c r="I265" s="33"/>
      <c r="L265" s="237"/>
      <c r="M265" s="237"/>
      <c r="N265" s="33"/>
      <c r="T265" s="32"/>
    </row>
    <row r="266" spans="1:20" s="34" customFormat="1" x14ac:dyDescent="0.35">
      <c r="A266" s="107"/>
      <c r="B266" s="212"/>
      <c r="C266" s="212"/>
      <c r="D266" s="212"/>
      <c r="E266" s="212"/>
      <c r="F266" s="212"/>
      <c r="G266" s="212"/>
      <c r="H266" s="108"/>
      <c r="I266" s="33"/>
      <c r="N266" s="33"/>
    </row>
    <row r="267" spans="1:20" ht="47.25" customHeight="1" x14ac:dyDescent="0.35">
      <c r="A267" s="214" t="s">
        <v>409</v>
      </c>
      <c r="B267" s="110" t="s">
        <v>174</v>
      </c>
      <c r="C267" s="110" t="s">
        <v>55</v>
      </c>
      <c r="D267" s="110" t="s">
        <v>353</v>
      </c>
      <c r="E267" s="110" t="s">
        <v>370</v>
      </c>
      <c r="F267" s="110" t="s">
        <v>56</v>
      </c>
      <c r="G267" s="207" t="s">
        <v>57</v>
      </c>
      <c r="H267" s="71" t="s">
        <v>144</v>
      </c>
      <c r="I267" s="33"/>
      <c r="T267" s="34"/>
    </row>
    <row r="268" spans="1:20" s="34" customFormat="1" x14ac:dyDescent="0.35">
      <c r="A268" s="215"/>
      <c r="B268" s="111"/>
      <c r="C268" s="111"/>
      <c r="D268" s="111"/>
      <c r="E268" s="111"/>
      <c r="F268" s="111"/>
      <c r="G268" s="208"/>
      <c r="H268" s="72">
        <v>0.45</v>
      </c>
      <c r="I268" s="33"/>
    </row>
    <row r="269" spans="1:20" s="34" customFormat="1" x14ac:dyDescent="0.35">
      <c r="A269" s="217" t="s">
        <v>421</v>
      </c>
      <c r="B269" s="218"/>
      <c r="C269" s="218"/>
      <c r="D269" s="218"/>
      <c r="E269" s="218"/>
      <c r="F269" s="218"/>
      <c r="G269" s="218"/>
      <c r="H269" s="219"/>
      <c r="J269" s="33"/>
    </row>
    <row r="270" spans="1:20" s="34" customFormat="1" x14ac:dyDescent="0.35">
      <c r="A270" s="217" t="s">
        <v>355</v>
      </c>
      <c r="B270" s="218"/>
      <c r="C270" s="218"/>
      <c r="D270" s="218"/>
      <c r="E270" s="218"/>
      <c r="F270" s="218"/>
      <c r="G270" s="218"/>
      <c r="H270" s="219"/>
      <c r="J270" s="33"/>
    </row>
    <row r="271" spans="1:20" s="34" customFormat="1" x14ac:dyDescent="0.35">
      <c r="A271" s="217" t="s">
        <v>349</v>
      </c>
      <c r="B271" s="218"/>
      <c r="C271" s="218"/>
      <c r="D271" s="218"/>
      <c r="E271" s="218"/>
      <c r="F271" s="218"/>
      <c r="G271" s="218"/>
      <c r="H271" s="219"/>
      <c r="J271" s="33"/>
      <c r="T271" s="32"/>
    </row>
    <row r="272" spans="1:20" s="34" customFormat="1" x14ac:dyDescent="0.35">
      <c r="A272" s="217" t="s">
        <v>351</v>
      </c>
      <c r="B272" s="218"/>
      <c r="C272" s="218"/>
      <c r="D272" s="218"/>
      <c r="E272" s="218"/>
      <c r="F272" s="218"/>
      <c r="G272" s="218"/>
      <c r="H272" s="219"/>
      <c r="J272" s="33"/>
      <c r="T272" s="32"/>
    </row>
    <row r="273" spans="1:20" s="34" customFormat="1" x14ac:dyDescent="0.35">
      <c r="A273" s="217" t="s">
        <v>358</v>
      </c>
      <c r="B273" s="218"/>
      <c r="C273" s="218"/>
      <c r="D273" s="218"/>
      <c r="E273" s="218"/>
      <c r="F273" s="218"/>
      <c r="G273" s="218"/>
      <c r="H273" s="219"/>
      <c r="J273" s="33"/>
    </row>
    <row r="274" spans="1:20" s="34" customFormat="1" ht="15.75" customHeight="1" x14ac:dyDescent="0.35">
      <c r="A274" s="107">
        <v>1</v>
      </c>
      <c r="B274" s="108"/>
      <c r="C274" s="39" t="s">
        <v>356</v>
      </c>
      <c r="D274" s="39">
        <f>(29.98)*10.764</f>
        <v>322.70472000000001</v>
      </c>
      <c r="E274" s="39">
        <f>(8.8)*10.764</f>
        <v>94.723200000000006</v>
      </c>
      <c r="F274" s="39">
        <f>D274+E274</f>
        <v>417.42792000000003</v>
      </c>
      <c r="G274" s="74">
        <f>(4.95*1)*10.764</f>
        <v>53.281799999999997</v>
      </c>
      <c r="H274" s="39">
        <f>F274*(($H$268)+1)+(IF(G274&lt;101,G274,IF(G274&lt;201,G274/2,IF(G274&lt;=301,G274/3,G274/4))))</f>
        <v>658.55228399999999</v>
      </c>
      <c r="I274" s="33">
        <f>2.75*3.7+2.1*2.15+2.75*2.15+2*1.2+1.85*1.2+2.45*0.9+0.45*1.35</f>
        <v>28.034999999999997</v>
      </c>
      <c r="J274" s="33">
        <f>2.75*(1+1)+2.75*1.2</f>
        <v>8.8000000000000007</v>
      </c>
      <c r="L274" s="237"/>
      <c r="M274" s="237"/>
      <c r="N274" s="33"/>
    </row>
    <row r="275" spans="1:20" s="34" customFormat="1" ht="15.75" customHeight="1" x14ac:dyDescent="0.35">
      <c r="A275" s="107">
        <f>A274+1</f>
        <v>2</v>
      </c>
      <c r="B275" s="108"/>
      <c r="C275" s="39" t="s">
        <v>356</v>
      </c>
      <c r="D275" s="39">
        <f>(29.83)*10.764</f>
        <v>321.09011999999996</v>
      </c>
      <c r="E275" s="39">
        <f>(8.69)*10.764</f>
        <v>93.539159999999995</v>
      </c>
      <c r="F275" s="39">
        <f>D275+E275</f>
        <v>414.62927999999994</v>
      </c>
      <c r="G275" s="74">
        <v>0</v>
      </c>
      <c r="H275" s="39">
        <f>F275*(($H$268)+1)+(IF(G275&lt;101,G275,IF(G275&lt;201,G275/2,IF(G275&lt;=301,G275/3,G275/4))))</f>
        <v>601.21245599999986</v>
      </c>
      <c r="I275" s="33"/>
      <c r="K275" s="34">
        <f>2.75*3.7+2.15*2.15+2.9*2.2+1.35*1.8+1.95*1.2+0.9*2.15</f>
        <v>27.882499999999997</v>
      </c>
      <c r="L275" s="237">
        <f>2.75+2.9*1.1</f>
        <v>5.9399999999999995</v>
      </c>
      <c r="M275" s="237"/>
      <c r="N275" s="33">
        <f>2.75</f>
        <v>2.75</v>
      </c>
      <c r="O275" s="73">
        <f>L275+N275</f>
        <v>8.69</v>
      </c>
    </row>
    <row r="276" spans="1:20" s="34" customFormat="1" ht="15.75" customHeight="1" x14ac:dyDescent="0.35">
      <c r="A276" s="107">
        <f>A275+1</f>
        <v>3</v>
      </c>
      <c r="B276" s="108"/>
      <c r="C276" s="39" t="s">
        <v>357</v>
      </c>
      <c r="D276" s="39">
        <f>(46.58)*10.764</f>
        <v>501.38711999999992</v>
      </c>
      <c r="E276" s="39">
        <f>(2.75)*10.764</f>
        <v>29.600999999999999</v>
      </c>
      <c r="F276" s="39">
        <f>D276+E276</f>
        <v>530.98811999999998</v>
      </c>
      <c r="G276" s="74">
        <f>(2*4)*10.764</f>
        <v>86.111999999999995</v>
      </c>
      <c r="H276" s="39">
        <f>F276*(($H$268)+1)+(IF(G276&lt;101,G276,IF(G276&lt;201,G276/2,IF(G276&lt;=301,G276/3,G276/4))))</f>
        <v>856.04477399999996</v>
      </c>
      <c r="I276" s="33">
        <f>4.6*2.75+2.21*2.45+2*1.2+3.2*2.75+3.2*2.75+1.2*2.1+2.85*0.9+2.15*0.3</f>
        <v>43.794499999999999</v>
      </c>
      <c r="J276" s="33">
        <f>1*2.75</f>
        <v>2.75</v>
      </c>
      <c r="L276" s="237"/>
      <c r="M276" s="237"/>
      <c r="N276" s="33"/>
    </row>
    <row r="277" spans="1:20" s="34" customFormat="1" ht="15.75" customHeight="1" x14ac:dyDescent="0.35">
      <c r="A277" s="107">
        <f>A276+1</f>
        <v>4</v>
      </c>
      <c r="B277" s="108"/>
      <c r="C277" s="39" t="s">
        <v>357</v>
      </c>
      <c r="D277" s="39">
        <f>(49.09)*10.764</f>
        <v>528.40476000000001</v>
      </c>
      <c r="E277" s="39">
        <f>(2.75)*10.764</f>
        <v>29.600999999999999</v>
      </c>
      <c r="F277" s="39">
        <f>D277+E277</f>
        <v>558.00576000000001</v>
      </c>
      <c r="G277" s="74">
        <f>(2*3.1+2.75*0.4)*10.764</f>
        <v>78.577200000000005</v>
      </c>
      <c r="H277" s="39">
        <f>F277*(($H$268)+1)+(IF(G277&lt;101,G277,IF(G277&lt;201,G277/2,IF(G277&lt;=301,G277/3,G277/4))))</f>
        <v>887.68555199999992</v>
      </c>
      <c r="I277" s="33"/>
      <c r="L277" s="237"/>
      <c r="M277" s="237"/>
      <c r="N277" s="33"/>
      <c r="T277" s="18"/>
    </row>
    <row r="278" spans="1:20" s="34" customFormat="1" ht="15.75" customHeight="1" x14ac:dyDescent="0.35">
      <c r="A278" s="107">
        <f>A277+1</f>
        <v>5</v>
      </c>
      <c r="B278" s="108"/>
      <c r="C278" s="39" t="s">
        <v>356</v>
      </c>
      <c r="D278" s="39">
        <f>(29.92)*10.764</f>
        <v>322.05887999999999</v>
      </c>
      <c r="E278" s="39">
        <f>(11.2)*10.764</f>
        <v>120.55679999999998</v>
      </c>
      <c r="F278" s="39">
        <f>D278+E278</f>
        <v>442.61568</v>
      </c>
      <c r="G278" s="39">
        <v>0</v>
      </c>
      <c r="H278" s="39">
        <f>F278*(($H$268)+1)+(IF(G278&lt;101,G278,IF(G278&lt;201,G278/2,IF(G278&lt;=301,G278/3,G278/4))))</f>
        <v>641.79273599999999</v>
      </c>
      <c r="I278" s="33"/>
      <c r="L278" s="237"/>
      <c r="M278" s="237"/>
      <c r="N278" s="33"/>
      <c r="T278" s="18"/>
    </row>
    <row r="279" spans="1:20" s="34" customFormat="1" x14ac:dyDescent="0.35">
      <c r="A279" s="198" t="s">
        <v>359</v>
      </c>
      <c r="B279" s="198"/>
      <c r="C279" s="198"/>
      <c r="D279" s="198"/>
      <c r="E279" s="198"/>
      <c r="F279" s="198"/>
      <c r="G279" s="198"/>
      <c r="H279" s="198"/>
      <c r="J279" s="33"/>
    </row>
    <row r="280" spans="1:20" s="34" customFormat="1" ht="15.75" customHeight="1" x14ac:dyDescent="0.35">
      <c r="A280" s="201">
        <v>1</v>
      </c>
      <c r="B280" s="201"/>
      <c r="C280" s="79" t="s">
        <v>356</v>
      </c>
      <c r="D280" s="79">
        <f>(29.98)*10.764</f>
        <v>322.70472000000001</v>
      </c>
      <c r="E280" s="79">
        <f>(8.8)*10.764</f>
        <v>94.723200000000006</v>
      </c>
      <c r="F280" s="79">
        <f>D280+E280</f>
        <v>417.42792000000003</v>
      </c>
      <c r="G280" s="79">
        <v>0</v>
      </c>
      <c r="H280" s="79">
        <f>F280*(($H$268)+1)+(IF(G280&lt;101,G280,IF(G280&lt;201,G280/2,IF(G280&lt;=301,G280/3,G280/4))))</f>
        <v>605.27048400000001</v>
      </c>
      <c r="I280" s="33">
        <f>1910000/H280</f>
        <v>3155.6139783614494</v>
      </c>
      <c r="L280" s="237"/>
      <c r="M280" s="237"/>
      <c r="N280" s="33"/>
    </row>
    <row r="281" spans="1:20" s="34" customFormat="1" ht="15.75" customHeight="1" x14ac:dyDescent="0.35">
      <c r="A281" s="201">
        <f>A280+1</f>
        <v>2</v>
      </c>
      <c r="B281" s="201"/>
      <c r="C281" s="79" t="s">
        <v>356</v>
      </c>
      <c r="D281" s="79">
        <f>(29.81)*10.764</f>
        <v>320.87483999999995</v>
      </c>
      <c r="E281" s="79">
        <f>(8.69)*10.764</f>
        <v>93.539159999999995</v>
      </c>
      <c r="F281" s="79">
        <f>D281+E281</f>
        <v>414.41399999999993</v>
      </c>
      <c r="G281" s="79">
        <v>0</v>
      </c>
      <c r="H281" s="79">
        <f>F281*(($H$268)+1)+(IF(G281&lt;101,G281,IF(G281&lt;201,G281/2,IF(G281&lt;=301,G281/3,G281/4))))</f>
        <v>600.9002999999999</v>
      </c>
      <c r="I281" s="33"/>
      <c r="L281" s="237"/>
      <c r="M281" s="237"/>
      <c r="N281" s="33"/>
    </row>
    <row r="282" spans="1:20" s="34" customFormat="1" ht="15.75" customHeight="1" x14ac:dyDescent="0.35">
      <c r="A282" s="201">
        <f>A281+1</f>
        <v>3</v>
      </c>
      <c r="B282" s="201"/>
      <c r="C282" s="79" t="s">
        <v>357</v>
      </c>
      <c r="D282" s="79">
        <f>(46.58)*10.764</f>
        <v>501.38711999999992</v>
      </c>
      <c r="E282" s="79">
        <f>(2.75)*10.764</f>
        <v>29.600999999999999</v>
      </c>
      <c r="F282" s="79">
        <f>D282+E282</f>
        <v>530.98811999999998</v>
      </c>
      <c r="G282" s="79">
        <v>0</v>
      </c>
      <c r="H282" s="79">
        <f>F282*(($H$268)+1)+(IF(G282&lt;101,G282,IF(G282&lt;201,G282/2,IF(G282&lt;=301,G282/3,G282/4))))</f>
        <v>769.93277399999999</v>
      </c>
      <c r="I282" s="33"/>
      <c r="L282" s="237"/>
      <c r="M282" s="237"/>
      <c r="N282" s="33"/>
    </row>
    <row r="283" spans="1:20" s="34" customFormat="1" ht="15.75" customHeight="1" x14ac:dyDescent="0.35">
      <c r="A283" s="201">
        <f>A282+1</f>
        <v>4</v>
      </c>
      <c r="B283" s="201"/>
      <c r="C283" s="79" t="s">
        <v>357</v>
      </c>
      <c r="D283" s="79">
        <f>(49.09)*10.764</f>
        <v>528.40476000000001</v>
      </c>
      <c r="E283" s="79">
        <f>(2.75)*10.764</f>
        <v>29.600999999999999</v>
      </c>
      <c r="F283" s="79">
        <f>D283+E283</f>
        <v>558.00576000000001</v>
      </c>
      <c r="G283" s="79">
        <v>0</v>
      </c>
      <c r="H283" s="79">
        <f>F283*(($H$268)+1)+(IF(G283&lt;101,G283,IF(G283&lt;201,G283/2,IF(G283&lt;=301,G283/3,G283/4))))</f>
        <v>809.10835199999997</v>
      </c>
      <c r="I283" s="33"/>
      <c r="L283" s="237"/>
      <c r="M283" s="237"/>
      <c r="N283" s="33"/>
      <c r="T283" s="18"/>
    </row>
    <row r="284" spans="1:20" s="34" customFormat="1" ht="15.75" customHeight="1" x14ac:dyDescent="0.35">
      <c r="A284" s="201">
        <f>A283+1</f>
        <v>5</v>
      </c>
      <c r="B284" s="201"/>
      <c r="C284" s="79" t="s">
        <v>356</v>
      </c>
      <c r="D284" s="79">
        <f>(29.92)*10.764</f>
        <v>322.05887999999999</v>
      </c>
      <c r="E284" s="79">
        <f>(11.2)*10.764</f>
        <v>120.55679999999998</v>
      </c>
      <c r="F284" s="79">
        <f>D284+E284</f>
        <v>442.61568</v>
      </c>
      <c r="G284" s="79">
        <v>0</v>
      </c>
      <c r="H284" s="79">
        <f>F284*(($H$268)+1)+(IF(G284&lt;101,G284,IF(G284&lt;201,G284/2,IF(G284&lt;=301,G284/3,G284/4))))</f>
        <v>641.79273599999999</v>
      </c>
      <c r="I284" s="33"/>
      <c r="L284" s="237"/>
      <c r="M284" s="237"/>
      <c r="N284" s="33"/>
      <c r="T284" s="18"/>
    </row>
    <row r="285" spans="1:20" s="34" customFormat="1" x14ac:dyDescent="0.35">
      <c r="A285" s="217" t="s">
        <v>360</v>
      </c>
      <c r="B285" s="218"/>
      <c r="C285" s="218"/>
      <c r="D285" s="218"/>
      <c r="E285" s="218"/>
      <c r="F285" s="218"/>
      <c r="G285" s="218"/>
      <c r="H285" s="219"/>
      <c r="J285" s="33"/>
    </row>
    <row r="286" spans="1:20" s="34" customFormat="1" x14ac:dyDescent="0.35">
      <c r="A286" s="217" t="s">
        <v>361</v>
      </c>
      <c r="B286" s="218"/>
      <c r="C286" s="218"/>
      <c r="D286" s="218"/>
      <c r="E286" s="218"/>
      <c r="F286" s="218"/>
      <c r="G286" s="218"/>
      <c r="H286" s="219"/>
      <c r="J286" s="33"/>
      <c r="T286" s="32"/>
    </row>
    <row r="287" spans="1:20" s="34" customFormat="1" x14ac:dyDescent="0.35">
      <c r="A287" s="217" t="s">
        <v>351</v>
      </c>
      <c r="B287" s="218"/>
      <c r="C287" s="218"/>
      <c r="D287" s="218"/>
      <c r="E287" s="218"/>
      <c r="F287" s="218"/>
      <c r="G287" s="218"/>
      <c r="H287" s="219"/>
      <c r="J287" s="33"/>
      <c r="T287" s="32"/>
    </row>
    <row r="288" spans="1:20" s="34" customFormat="1" x14ac:dyDescent="0.35">
      <c r="A288" s="217" t="s">
        <v>362</v>
      </c>
      <c r="B288" s="218"/>
      <c r="C288" s="218"/>
      <c r="D288" s="218"/>
      <c r="E288" s="218"/>
      <c r="F288" s="218"/>
      <c r="G288" s="218"/>
      <c r="H288" s="219"/>
      <c r="J288" s="33"/>
    </row>
    <row r="289" spans="1:20" s="34" customFormat="1" ht="15.75" customHeight="1" x14ac:dyDescent="0.35">
      <c r="A289" s="107">
        <v>1</v>
      </c>
      <c r="B289" s="108"/>
      <c r="C289" s="39" t="s">
        <v>356</v>
      </c>
      <c r="D289" s="39">
        <f>(29.92)*10.764</f>
        <v>322.05887999999999</v>
      </c>
      <c r="E289" s="39">
        <f>(11.2)*10.764</f>
        <v>120.55679999999998</v>
      </c>
      <c r="F289" s="39">
        <f>D289+E289</f>
        <v>442.61568</v>
      </c>
      <c r="G289" s="74">
        <v>0</v>
      </c>
      <c r="H289" s="39">
        <f>F289*(($H$268)+1)+(IF(G289&lt;101,G289,IF(G289&lt;201,G289/2,IF(G289&lt;=301,G289/3,G289/4))))</f>
        <v>641.79273599999999</v>
      </c>
      <c r="I289" s="33">
        <f>2.75*3.4+2.45*1.3+2.95*2.25+1.8*1.2+1.2*2+2.6*0.9+1.4*1.35</f>
        <v>27.962499999999999</v>
      </c>
      <c r="J289" s="33">
        <f>1*(2.75+2.75+2.45)+2.95*1.1</f>
        <v>11.195</v>
      </c>
      <c r="L289" s="237"/>
      <c r="M289" s="237"/>
      <c r="N289" s="33"/>
    </row>
    <row r="290" spans="1:20" s="34" customFormat="1" ht="15.75" customHeight="1" x14ac:dyDescent="0.35">
      <c r="A290" s="107">
        <f>A289+1</f>
        <v>2</v>
      </c>
      <c r="B290" s="108"/>
      <c r="C290" s="39" t="s">
        <v>357</v>
      </c>
      <c r="D290" s="39">
        <f>(49.09)*10.764</f>
        <v>528.40476000000001</v>
      </c>
      <c r="E290" s="39">
        <f>(2.75)*10.764</f>
        <v>29.600999999999999</v>
      </c>
      <c r="F290" s="39">
        <f>D290+E290</f>
        <v>558.00576000000001</v>
      </c>
      <c r="G290" s="74">
        <f>(2*3.1+2.75*0.4)*10.764</f>
        <v>78.577200000000005</v>
      </c>
      <c r="H290" s="39">
        <f>F290*(($H$268)+1)+(IF(G290&lt;101,G290,IF(G290&lt;201,G290/2,IF(G290&lt;=301,G290/3,G290/4))))</f>
        <v>887.68555199999992</v>
      </c>
      <c r="I290" s="33"/>
      <c r="L290" s="237"/>
      <c r="M290" s="237"/>
      <c r="N290" s="33"/>
    </row>
    <row r="291" spans="1:20" s="34" customFormat="1" ht="15.75" customHeight="1" x14ac:dyDescent="0.35">
      <c r="A291" s="107">
        <f>A290+1</f>
        <v>3</v>
      </c>
      <c r="B291" s="108"/>
      <c r="C291" s="39" t="s">
        <v>357</v>
      </c>
      <c r="D291" s="39">
        <f>(46.58)*10.764</f>
        <v>501.38711999999992</v>
      </c>
      <c r="E291" s="39">
        <f>(2.75)*10.764</f>
        <v>29.600999999999999</v>
      </c>
      <c r="F291" s="39">
        <f>D291+E291</f>
        <v>530.98811999999998</v>
      </c>
      <c r="G291" s="74">
        <f>(2*4)*10.764</f>
        <v>86.111999999999995</v>
      </c>
      <c r="H291" s="39">
        <f>F291*(($H$268)+1)+(IF(G291&lt;101,G291,IF(G291&lt;201,G291/2,IF(G291&lt;=301,G291/3,G291/4))))</f>
        <v>856.04477399999996</v>
      </c>
      <c r="I291" s="33">
        <f>4.6*2.75+2.21*2.45+3.2*2.75+3.2*2.75+2*1.2+1.2*2.1+2.85*0.9+2.15*0.3</f>
        <v>43.794500000000006</v>
      </c>
      <c r="J291" s="34">
        <f>1*2.75</f>
        <v>2.75</v>
      </c>
      <c r="L291" s="237"/>
      <c r="M291" s="237"/>
      <c r="N291" s="33"/>
    </row>
    <row r="292" spans="1:20" s="34" customFormat="1" ht="15.75" customHeight="1" x14ac:dyDescent="0.35">
      <c r="A292" s="107">
        <f>A291+1</f>
        <v>4</v>
      </c>
      <c r="B292" s="108"/>
      <c r="C292" s="39" t="s">
        <v>356</v>
      </c>
      <c r="D292" s="39">
        <f>(29.7)*10.764</f>
        <v>319.69079999999997</v>
      </c>
      <c r="E292" s="39">
        <f>(8.69)*10.764</f>
        <v>93.539159999999995</v>
      </c>
      <c r="F292" s="39">
        <f>D292+E292</f>
        <v>413.22995999999995</v>
      </c>
      <c r="G292" s="74">
        <f>(4.95*1)*10.764</f>
        <v>53.281799999999997</v>
      </c>
      <c r="H292" s="39">
        <f>F292*(($H$268)+1)+(IF(G292&lt;101,G292,IF(G292&lt;201,G292/2,IF(G292&lt;=301,G292/3,G292/4))))</f>
        <v>652.46524199999988</v>
      </c>
      <c r="I292" s="33"/>
      <c r="L292" s="237"/>
      <c r="M292" s="237"/>
      <c r="N292" s="33"/>
      <c r="T292" s="18"/>
    </row>
    <row r="293" spans="1:20" s="34" customFormat="1" ht="15.75" customHeight="1" x14ac:dyDescent="0.35">
      <c r="A293" s="107">
        <f>A292+1</f>
        <v>5</v>
      </c>
      <c r="B293" s="108"/>
      <c r="C293" s="39" t="s">
        <v>356</v>
      </c>
      <c r="D293" s="39">
        <f>(29.98)*10.764</f>
        <v>322.70472000000001</v>
      </c>
      <c r="E293" s="39">
        <f>(8.8)*10.764</f>
        <v>94.723200000000006</v>
      </c>
      <c r="F293" s="39">
        <f>D293+E293</f>
        <v>417.42792000000003</v>
      </c>
      <c r="G293" s="39">
        <v>0</v>
      </c>
      <c r="H293" s="39">
        <f>F293*(($H$268)+1)+(IF(G293&lt;101,G293,IF(G293&lt;201,G293/2,IF(G293&lt;=301,G293/3,G293/4))))</f>
        <v>605.27048400000001</v>
      </c>
      <c r="I293" s="33">
        <f>2.75*3.7+2.1*2.15+2.75*2.15+1.85*1.2+2*1.2+2.45*0.9+0.45*1.35</f>
        <v>28.034999999999997</v>
      </c>
      <c r="J293" s="33">
        <f>2.75*(1+1)+1.2*2.75</f>
        <v>8.8000000000000007</v>
      </c>
      <c r="L293" s="237"/>
      <c r="M293" s="237"/>
      <c r="N293" s="33"/>
      <c r="T293" s="18"/>
    </row>
    <row r="294" spans="1:20" s="34" customFormat="1" x14ac:dyDescent="0.35">
      <c r="A294" s="217" t="s">
        <v>359</v>
      </c>
      <c r="B294" s="218"/>
      <c r="C294" s="218"/>
      <c r="D294" s="218"/>
      <c r="E294" s="218"/>
      <c r="F294" s="218"/>
      <c r="G294" s="218"/>
      <c r="H294" s="219"/>
      <c r="J294" s="33"/>
    </row>
    <row r="295" spans="1:20" s="34" customFormat="1" ht="15.75" customHeight="1" x14ac:dyDescent="0.35">
      <c r="A295" s="107">
        <v>1</v>
      </c>
      <c r="B295" s="108"/>
      <c r="C295" s="39" t="s">
        <v>356</v>
      </c>
      <c r="D295" s="39">
        <f>(29.92)*10.764</f>
        <v>322.05887999999999</v>
      </c>
      <c r="E295" s="39">
        <f>(11.2)*10.764</f>
        <v>120.55679999999998</v>
      </c>
      <c r="F295" s="39">
        <f>D295+E295</f>
        <v>442.61568</v>
      </c>
      <c r="G295" s="39">
        <v>0</v>
      </c>
      <c r="H295" s="39">
        <f>F295*(($H$268)+1)+(IF(G295&lt;101,G295,IF(G295&lt;201,G295/2,IF(G295&lt;=301,G295/3,G295/4))))</f>
        <v>641.79273599999999</v>
      </c>
      <c r="I295" s="33"/>
      <c r="L295" s="237"/>
      <c r="M295" s="237"/>
      <c r="N295" s="33"/>
    </row>
    <row r="296" spans="1:20" s="34" customFormat="1" ht="15.75" customHeight="1" x14ac:dyDescent="0.35">
      <c r="A296" s="107">
        <f>A295+1</f>
        <v>2</v>
      </c>
      <c r="B296" s="108"/>
      <c r="C296" s="39" t="s">
        <v>357</v>
      </c>
      <c r="D296" s="39">
        <f>(49.09)*10.764</f>
        <v>528.40476000000001</v>
      </c>
      <c r="E296" s="39">
        <f>(2.75)*10.764</f>
        <v>29.600999999999999</v>
      </c>
      <c r="F296" s="39">
        <f>D296+E296</f>
        <v>558.00576000000001</v>
      </c>
      <c r="G296" s="39">
        <v>0</v>
      </c>
      <c r="H296" s="39">
        <f>F296*(($H$268)+1)+(IF(G296&lt;101,G296,IF(G296&lt;201,G296/2,IF(G296&lt;=301,G296/3,G296/4))))</f>
        <v>809.10835199999997</v>
      </c>
      <c r="I296" s="33"/>
      <c r="L296" s="237"/>
      <c r="M296" s="237"/>
      <c r="N296" s="33"/>
    </row>
    <row r="297" spans="1:20" s="34" customFormat="1" ht="15.75" customHeight="1" x14ac:dyDescent="0.35">
      <c r="A297" s="107">
        <f>A296+1</f>
        <v>3</v>
      </c>
      <c r="B297" s="108"/>
      <c r="C297" s="39" t="s">
        <v>357</v>
      </c>
      <c r="D297" s="39">
        <f>(46.58)*10.764</f>
        <v>501.38711999999992</v>
      </c>
      <c r="E297" s="39">
        <f>(2.75)*10.764</f>
        <v>29.600999999999999</v>
      </c>
      <c r="F297" s="39">
        <f>D297+E297</f>
        <v>530.98811999999998</v>
      </c>
      <c r="G297" s="39">
        <v>0</v>
      </c>
      <c r="H297" s="39">
        <f>F297*(($H$268)+1)+(IF(G297&lt;101,G297,IF(G297&lt;201,G297/2,IF(G297&lt;=301,G297/3,G297/4))))</f>
        <v>769.93277399999999</v>
      </c>
      <c r="I297" s="33"/>
      <c r="L297" s="237"/>
      <c r="M297" s="237"/>
      <c r="N297" s="33"/>
    </row>
    <row r="298" spans="1:20" s="34" customFormat="1" ht="15.75" customHeight="1" x14ac:dyDescent="0.35">
      <c r="A298" s="107">
        <f>A297+1</f>
        <v>4</v>
      </c>
      <c r="B298" s="108"/>
      <c r="C298" s="39" t="s">
        <v>356</v>
      </c>
      <c r="D298" s="39">
        <f>(29.7)*10.764</f>
        <v>319.69079999999997</v>
      </c>
      <c r="E298" s="39">
        <f>(8.69)*10.764</f>
        <v>93.539159999999995</v>
      </c>
      <c r="F298" s="39">
        <f>D298+E298</f>
        <v>413.22995999999995</v>
      </c>
      <c r="G298" s="39">
        <v>0</v>
      </c>
      <c r="H298" s="39">
        <f>F298*(($H$268)+1)+(IF(G298&lt;101,G298,IF(G298&lt;201,G298/2,IF(G298&lt;=301,G298/3,G298/4))))</f>
        <v>599.1834419999999</v>
      </c>
      <c r="I298" s="33"/>
      <c r="L298" s="237"/>
      <c r="M298" s="237"/>
      <c r="N298" s="33"/>
      <c r="T298" s="18"/>
    </row>
    <row r="299" spans="1:20" s="34" customFormat="1" ht="15.75" customHeight="1" x14ac:dyDescent="0.35">
      <c r="A299" s="107">
        <f>A298+1</f>
        <v>5</v>
      </c>
      <c r="B299" s="108"/>
      <c r="C299" s="39" t="s">
        <v>356</v>
      </c>
      <c r="D299" s="39">
        <f>(29.98)*10.764</f>
        <v>322.70472000000001</v>
      </c>
      <c r="E299" s="39">
        <f>(8.8)*10.764</f>
        <v>94.723200000000006</v>
      </c>
      <c r="F299" s="39">
        <f>D299+E299</f>
        <v>417.42792000000003</v>
      </c>
      <c r="G299" s="39">
        <v>0</v>
      </c>
      <c r="H299" s="39">
        <f>F299*(($H$268)+1)+(IF(G299&lt;101,G299,IF(G299&lt;201,G299/2,IF(G299&lt;=301,G299/3,G299/4))))</f>
        <v>605.27048400000001</v>
      </c>
      <c r="I299" s="33"/>
      <c r="L299" s="237"/>
      <c r="M299" s="237"/>
      <c r="N299" s="33"/>
      <c r="T299" s="18"/>
    </row>
    <row r="300" spans="1:20" s="34" customFormat="1" x14ac:dyDescent="0.35">
      <c r="A300" s="217" t="s">
        <v>423</v>
      </c>
      <c r="B300" s="218"/>
      <c r="C300" s="218"/>
      <c r="D300" s="218"/>
      <c r="E300" s="218"/>
      <c r="F300" s="218"/>
      <c r="G300" s="218"/>
      <c r="H300" s="219"/>
      <c r="J300" s="33"/>
    </row>
    <row r="301" spans="1:20" s="34" customFormat="1" x14ac:dyDescent="0.35">
      <c r="A301" s="198" t="s">
        <v>366</v>
      </c>
      <c r="B301" s="198"/>
      <c r="C301" s="198"/>
      <c r="D301" s="198"/>
      <c r="E301" s="198"/>
      <c r="F301" s="198"/>
      <c r="G301" s="198"/>
      <c r="H301" s="198"/>
      <c r="I301" s="33"/>
      <c r="K301" s="34">
        <v>3000</v>
      </c>
      <c r="L301" s="237"/>
      <c r="M301" s="237"/>
    </row>
    <row r="302" spans="1:20" s="34" customFormat="1" x14ac:dyDescent="0.35">
      <c r="A302" s="201">
        <v>1</v>
      </c>
      <c r="B302" s="201"/>
      <c r="C302" s="39" t="s">
        <v>356</v>
      </c>
      <c r="D302" s="39">
        <f>(31.58)*10.764</f>
        <v>339.92711999999995</v>
      </c>
      <c r="E302" s="39">
        <v>0</v>
      </c>
      <c r="F302" s="39">
        <f>D302+E302</f>
        <v>339.92711999999995</v>
      </c>
      <c r="G302" s="39">
        <v>0</v>
      </c>
      <c r="H302" s="39">
        <f>F302*(($H$268)+1)+(IF(G302&lt;101,G302,IF(G302&lt;201,G302/2,IF(G302&lt;=301,G302/3,G302/4))))</f>
        <v>492.89432399999993</v>
      </c>
      <c r="I302" s="33">
        <f>2.74*4.6+2.1*3.2+2.75*3.2+1.2*1.85</f>
        <v>30.343999999999998</v>
      </c>
      <c r="N302" s="33"/>
    </row>
    <row r="303" spans="1:20" s="34" customFormat="1" x14ac:dyDescent="0.35">
      <c r="A303" s="201">
        <f>A302+1</f>
        <v>2</v>
      </c>
      <c r="B303" s="201"/>
      <c r="C303" s="39" t="s">
        <v>356</v>
      </c>
      <c r="D303" s="39">
        <f>(29.29)*10.764</f>
        <v>315.27755999999999</v>
      </c>
      <c r="E303" s="39">
        <f>(5.5)*10.764</f>
        <v>59.201999999999998</v>
      </c>
      <c r="F303" s="39">
        <f>D303+E303</f>
        <v>374.47955999999999</v>
      </c>
      <c r="G303" s="39">
        <v>0</v>
      </c>
      <c r="H303" s="39">
        <f>F303*(($H$268)+1)+(IF(G303&lt;101,G303,IF(G303&lt;201,G303/2,IF(G303&lt;=301,G303/3,G303/4))))</f>
        <v>542.995362</v>
      </c>
      <c r="I303" s="33"/>
      <c r="N303" s="33"/>
    </row>
    <row r="304" spans="1:20" s="34" customFormat="1" x14ac:dyDescent="0.35">
      <c r="A304" s="201">
        <f t="shared" ref="A304:A305" si="46">A303+1</f>
        <v>3</v>
      </c>
      <c r="B304" s="201"/>
      <c r="C304" s="39" t="s">
        <v>356</v>
      </c>
      <c r="D304" s="39">
        <f>(29.29)*10.764</f>
        <v>315.27755999999999</v>
      </c>
      <c r="E304" s="39">
        <f>(5.5)*10.764</f>
        <v>59.201999999999998</v>
      </c>
      <c r="F304" s="39">
        <f>D304+E304</f>
        <v>374.47955999999999</v>
      </c>
      <c r="G304" s="39">
        <v>0</v>
      </c>
      <c r="H304" s="39">
        <f>F304*(($H$268)+1)+(IF(G304&lt;101,G304,IF(G304&lt;201,G304/2,IF(G304&lt;=301,G304/3,G304/4))))</f>
        <v>542.995362</v>
      </c>
      <c r="I304" s="33"/>
      <c r="N304" s="33"/>
    </row>
    <row r="305" spans="1:14" s="34" customFormat="1" x14ac:dyDescent="0.35">
      <c r="A305" s="201">
        <f t="shared" si="46"/>
        <v>4</v>
      </c>
      <c r="B305" s="201"/>
      <c r="C305" s="39" t="s">
        <v>356</v>
      </c>
      <c r="D305" s="39">
        <f>(29.29)*10.764</f>
        <v>315.27755999999999</v>
      </c>
      <c r="E305" s="39">
        <f>(5.5)*10.764</f>
        <v>59.201999999999998</v>
      </c>
      <c r="F305" s="39">
        <f>D305+E305</f>
        <v>374.47955999999999</v>
      </c>
      <c r="G305" s="39">
        <v>0</v>
      </c>
      <c r="H305" s="39">
        <f>F305*(($H$268)+1)+(IF(G305&lt;101,G305,IF(G305&lt;201,G305/2,IF(G305&lt;=301,G305/3,G305/4))))</f>
        <v>542.995362</v>
      </c>
      <c r="I305" s="33">
        <f>2.75*3.75+2.1*2.05+2.75*2.2+1.85*1.2+1.2*1.95+2.45*0.9</f>
        <v>27.432499999999997</v>
      </c>
      <c r="J305" s="34">
        <f>2.75*(1+1)</f>
        <v>5.5</v>
      </c>
      <c r="N305" s="33"/>
    </row>
    <row r="306" spans="1:14" s="34" customFormat="1" x14ac:dyDescent="0.35">
      <c r="A306" s="198" t="s">
        <v>367</v>
      </c>
      <c r="B306" s="198"/>
      <c r="C306" s="198"/>
      <c r="D306" s="198"/>
      <c r="E306" s="198"/>
      <c r="F306" s="198"/>
      <c r="G306" s="198"/>
      <c r="H306" s="198"/>
      <c r="I306" s="33"/>
      <c r="L306" s="237"/>
      <c r="M306" s="237"/>
    </row>
    <row r="307" spans="1:14" s="34" customFormat="1" x14ac:dyDescent="0.35">
      <c r="A307" s="201">
        <v>1</v>
      </c>
      <c r="B307" s="201"/>
      <c r="C307" s="39" t="s">
        <v>356</v>
      </c>
      <c r="D307" s="39">
        <f>(29.07)*10.764</f>
        <v>312.90947999999997</v>
      </c>
      <c r="E307" s="39">
        <f>(8.25)*10.764</f>
        <v>88.802999999999997</v>
      </c>
      <c r="F307" s="39">
        <f t="shared" ref="F307:F313" si="47">D307+E307</f>
        <v>401.71247999999997</v>
      </c>
      <c r="G307" s="39">
        <v>0</v>
      </c>
      <c r="H307" s="39">
        <f t="shared" ref="H307:H313" si="48">F307*(($H$268)+1)+(IF(G307&lt;101,G307,IF(G307&lt;201,G307/2,IF(G307&lt;=301,G307/3,G307/4))))</f>
        <v>582.48309599999993</v>
      </c>
      <c r="I307" s="33">
        <f>2.75*3.75+2.1*2.05+2.75*2.2+1.2*1.95+1.85*1.2+2.45*0.9</f>
        <v>27.432499999999997</v>
      </c>
      <c r="J307" s="34">
        <f>2.75*(1+1+1)</f>
        <v>8.25</v>
      </c>
      <c r="N307" s="33"/>
    </row>
    <row r="308" spans="1:14" s="34" customFormat="1" x14ac:dyDescent="0.35">
      <c r="A308" s="201">
        <f>A307+1</f>
        <v>2</v>
      </c>
      <c r="B308" s="201"/>
      <c r="C308" s="39" t="s">
        <v>357</v>
      </c>
      <c r="D308" s="39">
        <f>(45.99)*10.764</f>
        <v>495.03636</v>
      </c>
      <c r="E308" s="39">
        <f>(2.75)*10.764</f>
        <v>29.600999999999999</v>
      </c>
      <c r="F308" s="39">
        <f t="shared" si="47"/>
        <v>524.63735999999994</v>
      </c>
      <c r="G308" s="39">
        <v>0</v>
      </c>
      <c r="H308" s="39">
        <f t="shared" si="48"/>
        <v>760.72417199999984</v>
      </c>
      <c r="I308" s="33"/>
      <c r="K308" s="34">
        <f>2770000/H308</f>
        <v>3641.267231876524</v>
      </c>
      <c r="N308" s="33"/>
    </row>
    <row r="309" spans="1:14" s="34" customFormat="1" x14ac:dyDescent="0.35">
      <c r="A309" s="201">
        <f t="shared" ref="A309:A311" si="49">A308+1</f>
        <v>3</v>
      </c>
      <c r="B309" s="201"/>
      <c r="C309" s="39" t="s">
        <v>357</v>
      </c>
      <c r="D309" s="39">
        <f>(45.99)*10.764</f>
        <v>495.03636</v>
      </c>
      <c r="E309" s="39">
        <f>(2.75)*10.764</f>
        <v>29.600999999999999</v>
      </c>
      <c r="F309" s="39">
        <f t="shared" si="47"/>
        <v>524.63735999999994</v>
      </c>
      <c r="G309" s="39">
        <v>0</v>
      </c>
      <c r="H309" s="39">
        <f t="shared" si="48"/>
        <v>760.72417199999984</v>
      </c>
      <c r="I309" s="33">
        <f>2.75*4.6+2.1*2.65+2.75*2.65+2.75*3.2+1.85*1.2+1.2*1.85+5.25*0.9</f>
        <v>43.467499999999994</v>
      </c>
      <c r="J309" s="34">
        <f>2.75*1</f>
        <v>2.75</v>
      </c>
      <c r="N309" s="33"/>
    </row>
    <row r="310" spans="1:14" s="34" customFormat="1" x14ac:dyDescent="0.35">
      <c r="A310" s="201">
        <f t="shared" si="49"/>
        <v>4</v>
      </c>
      <c r="B310" s="201"/>
      <c r="C310" s="39" t="s">
        <v>356</v>
      </c>
      <c r="D310" s="39">
        <f>(29.37)*10.764</f>
        <v>316.13867999999997</v>
      </c>
      <c r="E310" s="39">
        <f>(8.25)*10.764</f>
        <v>88.802999999999997</v>
      </c>
      <c r="F310" s="39">
        <f t="shared" si="47"/>
        <v>404.94167999999996</v>
      </c>
      <c r="G310" s="39">
        <v>0</v>
      </c>
      <c r="H310" s="39">
        <f t="shared" si="48"/>
        <v>587.16543599999989</v>
      </c>
      <c r="I310" s="33"/>
      <c r="N310" s="33"/>
    </row>
    <row r="311" spans="1:14" s="34" customFormat="1" x14ac:dyDescent="0.35">
      <c r="A311" s="201">
        <f t="shared" si="49"/>
        <v>5</v>
      </c>
      <c r="B311" s="201"/>
      <c r="C311" s="39" t="s">
        <v>356</v>
      </c>
      <c r="D311" s="39">
        <f>(29.37)*10.764</f>
        <v>316.13867999999997</v>
      </c>
      <c r="E311" s="39">
        <f>(8.25)*10.764</f>
        <v>88.802999999999997</v>
      </c>
      <c r="F311" s="39">
        <f t="shared" si="47"/>
        <v>404.94167999999996</v>
      </c>
      <c r="G311" s="39">
        <v>0</v>
      </c>
      <c r="H311" s="39">
        <f t="shared" si="48"/>
        <v>587.16543599999989</v>
      </c>
      <c r="I311" s="33"/>
      <c r="N311" s="33"/>
    </row>
    <row r="312" spans="1:14" s="34" customFormat="1" x14ac:dyDescent="0.35">
      <c r="A312" s="201">
        <f t="shared" ref="A312:A313" si="50">A311+1</f>
        <v>6</v>
      </c>
      <c r="B312" s="201"/>
      <c r="C312" s="39" t="s">
        <v>356</v>
      </c>
      <c r="D312" s="39">
        <f>(29.37)*10.764</f>
        <v>316.13867999999997</v>
      </c>
      <c r="E312" s="39">
        <f>(8.25)*10.764</f>
        <v>88.802999999999997</v>
      </c>
      <c r="F312" s="39">
        <f t="shared" si="47"/>
        <v>404.94167999999996</v>
      </c>
      <c r="G312" s="39">
        <v>0</v>
      </c>
      <c r="H312" s="39">
        <f t="shared" si="48"/>
        <v>587.16543599999989</v>
      </c>
      <c r="I312" s="33"/>
      <c r="N312" s="33"/>
    </row>
    <row r="313" spans="1:14" s="34" customFormat="1" x14ac:dyDescent="0.35">
      <c r="A313" s="201">
        <f t="shared" si="50"/>
        <v>7</v>
      </c>
      <c r="B313" s="201"/>
      <c r="C313" s="39" t="s">
        <v>357</v>
      </c>
      <c r="D313" s="39">
        <f>(45.99)*10.764</f>
        <v>495.03636</v>
      </c>
      <c r="E313" s="39">
        <f>(2.75)*10.764</f>
        <v>29.600999999999999</v>
      </c>
      <c r="F313" s="39">
        <f t="shared" si="47"/>
        <v>524.63735999999994</v>
      </c>
      <c r="G313" s="39">
        <v>0</v>
      </c>
      <c r="H313" s="39">
        <f t="shared" si="48"/>
        <v>760.72417199999984</v>
      </c>
      <c r="I313" s="33"/>
      <c r="N313" s="33"/>
    </row>
    <row r="314" spans="1:14" s="34" customFormat="1" x14ac:dyDescent="0.35">
      <c r="A314" s="217" t="s">
        <v>424</v>
      </c>
      <c r="B314" s="218"/>
      <c r="C314" s="218"/>
      <c r="D314" s="218"/>
      <c r="E314" s="218"/>
      <c r="F314" s="218"/>
      <c r="G314" s="218"/>
      <c r="H314" s="219"/>
      <c r="J314" s="33"/>
    </row>
    <row r="315" spans="1:14" s="34" customFormat="1" x14ac:dyDescent="0.35">
      <c r="A315" s="217" t="s">
        <v>355</v>
      </c>
      <c r="B315" s="218"/>
      <c r="C315" s="218"/>
      <c r="D315" s="218"/>
      <c r="E315" s="218"/>
      <c r="F315" s="218"/>
      <c r="G315" s="218"/>
      <c r="H315" s="219"/>
      <c r="J315" s="33"/>
    </row>
    <row r="316" spans="1:14" s="34" customFormat="1" x14ac:dyDescent="0.35">
      <c r="A316" s="198" t="s">
        <v>369</v>
      </c>
      <c r="B316" s="198"/>
      <c r="C316" s="198"/>
      <c r="D316" s="198"/>
      <c r="E316" s="198"/>
      <c r="F316" s="198"/>
      <c r="G316" s="198"/>
      <c r="H316" s="198"/>
      <c r="I316" s="33"/>
      <c r="L316" s="237"/>
      <c r="M316" s="237"/>
    </row>
    <row r="317" spans="1:14" s="34" customFormat="1" x14ac:dyDescent="0.35">
      <c r="A317" s="201">
        <v>1</v>
      </c>
      <c r="B317" s="201"/>
      <c r="C317" s="79" t="s">
        <v>356</v>
      </c>
      <c r="D317" s="79">
        <f>(29.29)*10.764</f>
        <v>315.27755999999999</v>
      </c>
      <c r="E317" s="79">
        <f>(5.5)*10.764</f>
        <v>59.201999999999998</v>
      </c>
      <c r="F317" s="79">
        <f>D317+E317</f>
        <v>374.47955999999999</v>
      </c>
      <c r="G317" s="79">
        <v>0</v>
      </c>
      <c r="H317" s="79">
        <f>F317*(($H$268)+1)+(IF(G317&lt;101,G317,IF(G317&lt;201,G317/2,IF(G317&lt;=301,G317/3,G317/4))))</f>
        <v>542.995362</v>
      </c>
      <c r="I317" s="33"/>
      <c r="N317" s="33"/>
    </row>
    <row r="318" spans="1:14" s="34" customFormat="1" x14ac:dyDescent="0.35">
      <c r="A318" s="201">
        <f>A317+1</f>
        <v>2</v>
      </c>
      <c r="B318" s="201"/>
      <c r="C318" s="79" t="s">
        <v>356</v>
      </c>
      <c r="D318" s="79">
        <f>(29.29)*10.764</f>
        <v>315.27755999999999</v>
      </c>
      <c r="E318" s="79">
        <f>(5.5)*10.764</f>
        <v>59.201999999999998</v>
      </c>
      <c r="F318" s="79">
        <f>D318+E318</f>
        <v>374.47955999999999</v>
      </c>
      <c r="G318" s="79">
        <v>0</v>
      </c>
      <c r="H318" s="79">
        <f>F318*(($H$268)+1)+(IF(G318&lt;101,G318,IF(G318&lt;201,G318/2,IF(G318&lt;=301,G318/3,G318/4))))</f>
        <v>542.995362</v>
      </c>
      <c r="I318" s="33"/>
      <c r="N318" s="33"/>
    </row>
    <row r="319" spans="1:14" s="34" customFormat="1" x14ac:dyDescent="0.35">
      <c r="A319" s="201">
        <f t="shared" ref="A319:A320" si="51">A318+1</f>
        <v>3</v>
      </c>
      <c r="B319" s="201"/>
      <c r="C319" s="79" t="s">
        <v>356</v>
      </c>
      <c r="D319" s="79">
        <f>(29.29)*10.764</f>
        <v>315.27755999999999</v>
      </c>
      <c r="E319" s="79">
        <f>(5.5)*10.764</f>
        <v>59.201999999999998</v>
      </c>
      <c r="F319" s="79">
        <f>D319+E319</f>
        <v>374.47955999999999</v>
      </c>
      <c r="G319" s="79">
        <v>0</v>
      </c>
      <c r="H319" s="79">
        <f>F319*(($H$268)+1)+(IF(G319&lt;101,G319,IF(G319&lt;201,G319/2,IF(G319&lt;=301,G319/3,G319/4))))</f>
        <v>542.995362</v>
      </c>
      <c r="I319" s="33"/>
      <c r="N319" s="33"/>
    </row>
    <row r="320" spans="1:14" s="34" customFormat="1" x14ac:dyDescent="0.35">
      <c r="A320" s="201">
        <f t="shared" si="51"/>
        <v>4</v>
      </c>
      <c r="B320" s="201"/>
      <c r="C320" s="79" t="s">
        <v>357</v>
      </c>
      <c r="D320" s="79">
        <f>(43.2)*10.764</f>
        <v>465.00479999999999</v>
      </c>
      <c r="E320" s="79">
        <v>0</v>
      </c>
      <c r="F320" s="79">
        <f>D320+E320</f>
        <v>465.00479999999999</v>
      </c>
      <c r="G320" s="79">
        <v>0</v>
      </c>
      <c r="H320" s="79">
        <f>F320*(($H$268)+1)+(IF(G320&lt;101,G320,IF(G320&lt;201,G320/2,IF(G320&lt;=301,G320/3,G320/4))))</f>
        <v>674.25695999999994</v>
      </c>
      <c r="I320" s="33"/>
      <c r="N320" s="33"/>
    </row>
    <row r="321" spans="1:14" s="34" customFormat="1" x14ac:dyDescent="0.35">
      <c r="A321" s="198" t="s">
        <v>367</v>
      </c>
      <c r="B321" s="198"/>
      <c r="C321" s="198"/>
      <c r="D321" s="198"/>
      <c r="E321" s="198"/>
      <c r="F321" s="198"/>
      <c r="G321" s="198"/>
      <c r="H321" s="198"/>
      <c r="I321" s="33"/>
      <c r="L321" s="237"/>
      <c r="M321" s="237"/>
    </row>
    <row r="322" spans="1:14" s="34" customFormat="1" x14ac:dyDescent="0.35">
      <c r="A322" s="201">
        <v>1</v>
      </c>
      <c r="B322" s="201"/>
      <c r="C322" s="79" t="s">
        <v>357</v>
      </c>
      <c r="D322" s="79">
        <f>(45.99)*10.764</f>
        <v>495.03636</v>
      </c>
      <c r="E322" s="79">
        <f>(2.75)*10.764</f>
        <v>29.600999999999999</v>
      </c>
      <c r="F322" s="79">
        <f t="shared" ref="F322:F328" si="52">D322+E322</f>
        <v>524.63735999999994</v>
      </c>
      <c r="G322" s="79">
        <v>0</v>
      </c>
      <c r="H322" s="79">
        <f t="shared" ref="H322:H328" si="53">F322*(($H$268)+1)+(IF(G322&lt;101,G322,IF(G322&lt;201,G322/2,IF(G322&lt;=301,G322/3,G322/4))))</f>
        <v>760.72417199999984</v>
      </c>
      <c r="I322" s="33"/>
      <c r="N322" s="33"/>
    </row>
    <row r="323" spans="1:14" s="34" customFormat="1" x14ac:dyDescent="0.35">
      <c r="A323" s="201">
        <f>A322+1</f>
        <v>2</v>
      </c>
      <c r="B323" s="201"/>
      <c r="C323" s="79" t="s">
        <v>356</v>
      </c>
      <c r="D323" s="79">
        <f>(29.37)*10.764</f>
        <v>316.13867999999997</v>
      </c>
      <c r="E323" s="79">
        <f>(8.25)*10.764</f>
        <v>88.802999999999997</v>
      </c>
      <c r="F323" s="79">
        <f t="shared" si="52"/>
        <v>404.94167999999996</v>
      </c>
      <c r="G323" s="79">
        <v>0</v>
      </c>
      <c r="H323" s="79">
        <f t="shared" si="53"/>
        <v>587.16543599999989</v>
      </c>
      <c r="I323" s="33"/>
      <c r="N323" s="33"/>
    </row>
    <row r="324" spans="1:14" s="34" customFormat="1" x14ac:dyDescent="0.35">
      <c r="A324" s="201">
        <f t="shared" ref="A324:A326" si="54">A323+1</f>
        <v>3</v>
      </c>
      <c r="B324" s="201"/>
      <c r="C324" s="79" t="s">
        <v>356</v>
      </c>
      <c r="D324" s="79">
        <f>(29.37)*10.764</f>
        <v>316.13867999999997</v>
      </c>
      <c r="E324" s="79">
        <f>(8.25)*10.764</f>
        <v>88.802999999999997</v>
      </c>
      <c r="F324" s="79">
        <f t="shared" si="52"/>
        <v>404.94167999999996</v>
      </c>
      <c r="G324" s="79">
        <v>0</v>
      </c>
      <c r="H324" s="79">
        <f t="shared" si="53"/>
        <v>587.16543599999989</v>
      </c>
      <c r="I324" s="33"/>
      <c r="N324" s="33"/>
    </row>
    <row r="325" spans="1:14" s="34" customFormat="1" x14ac:dyDescent="0.35">
      <c r="A325" s="201">
        <f t="shared" si="54"/>
        <v>4</v>
      </c>
      <c r="B325" s="201"/>
      <c r="C325" s="79" t="s">
        <v>356</v>
      </c>
      <c r="D325" s="79">
        <f>(29.37)*10.764</f>
        <v>316.13867999999997</v>
      </c>
      <c r="E325" s="79">
        <f>(8.25)*10.764</f>
        <v>88.802999999999997</v>
      </c>
      <c r="F325" s="79">
        <f t="shared" si="52"/>
        <v>404.94167999999996</v>
      </c>
      <c r="G325" s="79">
        <v>0</v>
      </c>
      <c r="H325" s="79">
        <f t="shared" si="53"/>
        <v>587.16543599999989</v>
      </c>
      <c r="I325" s="33"/>
      <c r="N325" s="33"/>
    </row>
    <row r="326" spans="1:14" s="34" customFormat="1" x14ac:dyDescent="0.35">
      <c r="A326" s="201">
        <f t="shared" si="54"/>
        <v>5</v>
      </c>
      <c r="B326" s="201"/>
      <c r="C326" s="79" t="s">
        <v>357</v>
      </c>
      <c r="D326" s="79">
        <f>(45.99)*10.764</f>
        <v>495.03636</v>
      </c>
      <c r="E326" s="79">
        <f>(2.75)*10.764</f>
        <v>29.600999999999999</v>
      </c>
      <c r="F326" s="79">
        <f t="shared" si="52"/>
        <v>524.63735999999994</v>
      </c>
      <c r="G326" s="79">
        <v>0</v>
      </c>
      <c r="H326" s="79">
        <f t="shared" si="53"/>
        <v>760.72417199999984</v>
      </c>
      <c r="I326" s="33"/>
      <c r="N326" s="33"/>
    </row>
    <row r="327" spans="1:14" s="34" customFormat="1" x14ac:dyDescent="0.35">
      <c r="A327" s="201">
        <f t="shared" ref="A327:A328" si="55">A326+1</f>
        <v>6</v>
      </c>
      <c r="B327" s="201"/>
      <c r="C327" s="79" t="s">
        <v>357</v>
      </c>
      <c r="D327" s="79">
        <f>(45.99)*10.764</f>
        <v>495.03636</v>
      </c>
      <c r="E327" s="79">
        <f>(2.75)*10.764</f>
        <v>29.600999999999999</v>
      </c>
      <c r="F327" s="79">
        <f t="shared" si="52"/>
        <v>524.63735999999994</v>
      </c>
      <c r="G327" s="79">
        <v>0</v>
      </c>
      <c r="H327" s="79">
        <f t="shared" si="53"/>
        <v>760.72417199999984</v>
      </c>
      <c r="I327" s="33"/>
      <c r="N327" s="33"/>
    </row>
    <row r="328" spans="1:14" s="34" customFormat="1" x14ac:dyDescent="0.35">
      <c r="A328" s="201">
        <f t="shared" si="55"/>
        <v>7</v>
      </c>
      <c r="B328" s="201"/>
      <c r="C328" s="39" t="s">
        <v>356</v>
      </c>
      <c r="D328" s="39">
        <f>(29.07)*10.764</f>
        <v>312.90947999999997</v>
      </c>
      <c r="E328" s="39">
        <f>(8.25)*10.764</f>
        <v>88.802999999999997</v>
      </c>
      <c r="F328" s="39">
        <f t="shared" si="52"/>
        <v>401.71247999999997</v>
      </c>
      <c r="G328" s="39">
        <v>0</v>
      </c>
      <c r="H328" s="39">
        <f t="shared" si="53"/>
        <v>582.48309599999993</v>
      </c>
      <c r="I328" s="33"/>
      <c r="N328" s="33"/>
    </row>
    <row r="329" spans="1:14" s="34" customFormat="1" x14ac:dyDescent="0.35">
      <c r="A329" s="217" t="s">
        <v>360</v>
      </c>
      <c r="B329" s="218"/>
      <c r="C329" s="218"/>
      <c r="D329" s="218"/>
      <c r="E329" s="218"/>
      <c r="F329" s="218"/>
      <c r="G329" s="218"/>
      <c r="H329" s="219"/>
      <c r="J329" s="33"/>
    </row>
    <row r="330" spans="1:14" s="34" customFormat="1" x14ac:dyDescent="0.35">
      <c r="A330" s="198" t="s">
        <v>374</v>
      </c>
      <c r="B330" s="198"/>
      <c r="C330" s="198"/>
      <c r="D330" s="198"/>
      <c r="E330" s="198"/>
      <c r="F330" s="198"/>
      <c r="G330" s="198"/>
      <c r="H330" s="198"/>
      <c r="I330" s="33"/>
      <c r="L330" s="237"/>
      <c r="M330" s="237"/>
    </row>
    <row r="331" spans="1:14" s="34" customFormat="1" x14ac:dyDescent="0.35">
      <c r="A331" s="201">
        <v>1</v>
      </c>
      <c r="B331" s="201"/>
      <c r="C331" s="39" t="s">
        <v>357</v>
      </c>
      <c r="D331" s="39">
        <f>(43.2)*10.764</f>
        <v>465.00479999999999</v>
      </c>
      <c r="E331" s="39">
        <v>0</v>
      </c>
      <c r="F331" s="39">
        <f>D331+E331</f>
        <v>465.00479999999999</v>
      </c>
      <c r="G331" s="39">
        <v>0</v>
      </c>
      <c r="H331" s="39">
        <f>F331*(($H$268)+1)+(IF(G331&lt;101,G331,IF(G331&lt;201,G331/2,IF(G331&lt;=301,G331/3,G331/4))))</f>
        <v>674.25695999999994</v>
      </c>
      <c r="I331" s="33"/>
      <c r="N331" s="33"/>
    </row>
    <row r="332" spans="1:14" s="34" customFormat="1" x14ac:dyDescent="0.35">
      <c r="A332" s="201">
        <f>A331+1</f>
        <v>2</v>
      </c>
      <c r="B332" s="201"/>
      <c r="C332" s="39" t="s">
        <v>356</v>
      </c>
      <c r="D332" s="39">
        <f>(29.29)*10.764</f>
        <v>315.27755999999999</v>
      </c>
      <c r="E332" s="39">
        <f>(5.5)*10.764</f>
        <v>59.201999999999998</v>
      </c>
      <c r="F332" s="39">
        <f>D332+E332</f>
        <v>374.47955999999999</v>
      </c>
      <c r="G332" s="39">
        <v>0</v>
      </c>
      <c r="H332" s="39">
        <f>F332*(($H$268)+1)+(IF(G332&lt;101,G332,IF(G332&lt;201,G332/2,IF(G332&lt;=301,G332/3,G332/4))))</f>
        <v>542.995362</v>
      </c>
      <c r="I332" s="33"/>
      <c r="N332" s="33"/>
    </row>
    <row r="333" spans="1:14" s="34" customFormat="1" x14ac:dyDescent="0.35">
      <c r="A333" s="201">
        <f t="shared" ref="A333" si="56">A332+1</f>
        <v>3</v>
      </c>
      <c r="B333" s="201"/>
      <c r="C333" s="39" t="s">
        <v>356</v>
      </c>
      <c r="D333" s="39">
        <f>(29.29)*10.764</f>
        <v>315.27755999999999</v>
      </c>
      <c r="E333" s="39">
        <f>(5.5)*10.764</f>
        <v>59.201999999999998</v>
      </c>
      <c r="F333" s="39">
        <f>D333+E333</f>
        <v>374.47955999999999</v>
      </c>
      <c r="G333" s="39">
        <v>0</v>
      </c>
      <c r="H333" s="39">
        <f>F333*(($H$268)+1)+(IF(G333&lt;101,G333,IF(G333&lt;201,G333/2,IF(G333&lt;=301,G333/3,G333/4))))</f>
        <v>542.995362</v>
      </c>
      <c r="I333" s="33"/>
      <c r="N333" s="33"/>
    </row>
    <row r="334" spans="1:14" s="34" customFormat="1" x14ac:dyDescent="0.35">
      <c r="A334" s="198" t="s">
        <v>367</v>
      </c>
      <c r="B334" s="198"/>
      <c r="C334" s="198"/>
      <c r="D334" s="198"/>
      <c r="E334" s="198"/>
      <c r="F334" s="198"/>
      <c r="G334" s="198"/>
      <c r="H334" s="198"/>
      <c r="I334" s="33"/>
      <c r="L334" s="237"/>
      <c r="M334" s="237"/>
    </row>
    <row r="335" spans="1:14" s="34" customFormat="1" x14ac:dyDescent="0.35">
      <c r="A335" s="201">
        <v>1</v>
      </c>
      <c r="B335" s="201"/>
      <c r="C335" s="39" t="s">
        <v>356</v>
      </c>
      <c r="D335" s="39">
        <f>(29.37)*10.764</f>
        <v>316.13867999999997</v>
      </c>
      <c r="E335" s="39">
        <f>(8.25)*10.764</f>
        <v>88.802999999999997</v>
      </c>
      <c r="F335" s="39">
        <f t="shared" ref="F335:F340" si="57">D335+E335</f>
        <v>404.94167999999996</v>
      </c>
      <c r="G335" s="39">
        <v>0</v>
      </c>
      <c r="H335" s="39">
        <f t="shared" ref="H335:H340" si="58">F335*(($H$268)+1)+(IF(G335&lt;101,G335,IF(G335&lt;201,G335/2,IF(G335&lt;=301,G335/3,G335/4))))</f>
        <v>587.16543599999989</v>
      </c>
      <c r="I335" s="33"/>
      <c r="N335" s="33"/>
    </row>
    <row r="336" spans="1:14" s="34" customFormat="1" x14ac:dyDescent="0.35">
      <c r="A336" s="201">
        <f>A335+1</f>
        <v>2</v>
      </c>
      <c r="B336" s="201"/>
      <c r="C336" s="39" t="s">
        <v>356</v>
      </c>
      <c r="D336" s="39">
        <f>(29.37)*10.764</f>
        <v>316.13867999999997</v>
      </c>
      <c r="E336" s="39">
        <f>(8.25)*10.764</f>
        <v>88.802999999999997</v>
      </c>
      <c r="F336" s="39">
        <f t="shared" si="57"/>
        <v>404.94167999999996</v>
      </c>
      <c r="G336" s="39">
        <v>0</v>
      </c>
      <c r="H336" s="39">
        <f t="shared" si="58"/>
        <v>587.16543599999989</v>
      </c>
      <c r="I336" s="33"/>
      <c r="N336" s="33"/>
    </row>
    <row r="337" spans="1:14" s="34" customFormat="1" x14ac:dyDescent="0.35">
      <c r="A337" s="201">
        <f t="shared" ref="A337:A339" si="59">A336+1</f>
        <v>3</v>
      </c>
      <c r="B337" s="201"/>
      <c r="C337" s="39" t="s">
        <v>357</v>
      </c>
      <c r="D337" s="39">
        <f>(45.99)*10.764</f>
        <v>495.03636</v>
      </c>
      <c r="E337" s="39">
        <f>(2.75)*10.764</f>
        <v>29.600999999999999</v>
      </c>
      <c r="F337" s="39">
        <f t="shared" si="57"/>
        <v>524.63735999999994</v>
      </c>
      <c r="G337" s="39">
        <v>0</v>
      </c>
      <c r="H337" s="39">
        <f t="shared" si="58"/>
        <v>760.72417199999984</v>
      </c>
      <c r="I337" s="33"/>
      <c r="N337" s="33"/>
    </row>
    <row r="338" spans="1:14" s="34" customFormat="1" x14ac:dyDescent="0.35">
      <c r="A338" s="201">
        <f t="shared" si="59"/>
        <v>4</v>
      </c>
      <c r="B338" s="201"/>
      <c r="C338" s="39" t="s">
        <v>356</v>
      </c>
      <c r="D338" s="39">
        <f>(29.37)*10.764</f>
        <v>316.13867999999997</v>
      </c>
      <c r="E338" s="39">
        <f>(8.25)*10.764</f>
        <v>88.802999999999997</v>
      </c>
      <c r="F338" s="39">
        <f t="shared" si="57"/>
        <v>404.94167999999996</v>
      </c>
      <c r="G338" s="39">
        <v>0</v>
      </c>
      <c r="H338" s="39">
        <f t="shared" si="58"/>
        <v>587.16543599999989</v>
      </c>
      <c r="I338" s="33"/>
      <c r="N338" s="33"/>
    </row>
    <row r="339" spans="1:14" s="34" customFormat="1" x14ac:dyDescent="0.35">
      <c r="A339" s="201">
        <f t="shared" si="59"/>
        <v>5</v>
      </c>
      <c r="B339" s="201"/>
      <c r="C339" s="39" t="s">
        <v>356</v>
      </c>
      <c r="D339" s="39">
        <f>(29.31)*10.764</f>
        <v>315.49283999999994</v>
      </c>
      <c r="E339" s="39">
        <f>(8.25)*10.764</f>
        <v>88.802999999999997</v>
      </c>
      <c r="F339" s="39">
        <f t="shared" si="57"/>
        <v>404.29583999999994</v>
      </c>
      <c r="G339" s="39">
        <v>0</v>
      </c>
      <c r="H339" s="39">
        <f t="shared" si="58"/>
        <v>586.2289679999999</v>
      </c>
      <c r="I339" s="33"/>
      <c r="N339" s="33"/>
    </row>
    <row r="340" spans="1:14" s="34" customFormat="1" x14ac:dyDescent="0.35">
      <c r="A340" s="201">
        <f t="shared" ref="A340" si="60">A339+1</f>
        <v>6</v>
      </c>
      <c r="B340" s="201"/>
      <c r="C340" s="39" t="s">
        <v>357</v>
      </c>
      <c r="D340" s="39">
        <f>(45.99)*10.764</f>
        <v>495.03636</v>
      </c>
      <c r="E340" s="39">
        <f>(2.75)*10.764</f>
        <v>29.600999999999999</v>
      </c>
      <c r="F340" s="39">
        <f t="shared" si="57"/>
        <v>524.63735999999994</v>
      </c>
      <c r="G340" s="39">
        <v>0</v>
      </c>
      <c r="H340" s="39">
        <f t="shared" si="58"/>
        <v>760.72417199999984</v>
      </c>
      <c r="I340" s="33"/>
      <c r="N340" s="33"/>
    </row>
    <row r="341" spans="1:14" s="34" customFormat="1" x14ac:dyDescent="0.35">
      <c r="A341" s="217" t="s">
        <v>425</v>
      </c>
      <c r="B341" s="218"/>
      <c r="C341" s="218"/>
      <c r="D341" s="218"/>
      <c r="E341" s="218"/>
      <c r="F341" s="218"/>
      <c r="G341" s="218"/>
      <c r="H341" s="219"/>
      <c r="J341" s="33"/>
    </row>
    <row r="342" spans="1:14" s="34" customFormat="1" x14ac:dyDescent="0.35">
      <c r="A342" s="217" t="s">
        <v>355</v>
      </c>
      <c r="B342" s="218"/>
      <c r="C342" s="218"/>
      <c r="D342" s="218"/>
      <c r="E342" s="218"/>
      <c r="F342" s="218"/>
      <c r="G342" s="218"/>
      <c r="H342" s="219"/>
      <c r="J342" s="33"/>
    </row>
    <row r="343" spans="1:14" s="34" customFormat="1" x14ac:dyDescent="0.35">
      <c r="A343" s="198" t="s">
        <v>377</v>
      </c>
      <c r="B343" s="198"/>
      <c r="C343" s="198"/>
      <c r="D343" s="198"/>
      <c r="E343" s="198"/>
      <c r="F343" s="198"/>
      <c r="G343" s="198"/>
      <c r="H343" s="198"/>
      <c r="I343" s="33"/>
      <c r="L343" s="237"/>
      <c r="M343" s="237"/>
    </row>
    <row r="344" spans="1:14" s="34" customFormat="1" x14ac:dyDescent="0.35">
      <c r="A344" s="198" t="s">
        <v>378</v>
      </c>
      <c r="B344" s="198"/>
      <c r="C344" s="198"/>
      <c r="D344" s="198"/>
      <c r="E344" s="198"/>
      <c r="F344" s="198"/>
      <c r="G344" s="198"/>
      <c r="H344" s="198"/>
      <c r="I344" s="33"/>
      <c r="L344" s="237"/>
      <c r="M344" s="237"/>
    </row>
    <row r="345" spans="1:14" s="34" customFormat="1" x14ac:dyDescent="0.35">
      <c r="A345" s="201">
        <v>1</v>
      </c>
      <c r="B345" s="201"/>
      <c r="C345" s="39" t="s">
        <v>356</v>
      </c>
      <c r="D345" s="39">
        <f>(29.07)*10.764</f>
        <v>312.90947999999997</v>
      </c>
      <c r="E345" s="39">
        <f>(8.25)*10.764</f>
        <v>88.802999999999997</v>
      </c>
      <c r="F345" s="39">
        <f t="shared" ref="F345:F351" si="61">D345+E345</f>
        <v>401.71247999999997</v>
      </c>
      <c r="G345" s="39">
        <v>0</v>
      </c>
      <c r="H345" s="39">
        <f t="shared" ref="H345:H351" si="62">F345*(($H$268)+1)+(IF(G345&lt;101,G345,IF(G345&lt;201,G345/2,IF(G345&lt;=301,G345/3,G345/4))))</f>
        <v>582.48309599999993</v>
      </c>
      <c r="I345" s="33"/>
      <c r="N345" s="33"/>
    </row>
    <row r="346" spans="1:14" s="34" customFormat="1" x14ac:dyDescent="0.35">
      <c r="A346" s="201">
        <f>A345+1</f>
        <v>2</v>
      </c>
      <c r="B346" s="201"/>
      <c r="C346" s="39" t="s">
        <v>357</v>
      </c>
      <c r="D346" s="39">
        <f>(45.99)*10.764</f>
        <v>495.03636</v>
      </c>
      <c r="E346" s="39">
        <f>(2.75)*10.764</f>
        <v>29.600999999999999</v>
      </c>
      <c r="F346" s="39">
        <f t="shared" si="61"/>
        <v>524.63735999999994</v>
      </c>
      <c r="G346" s="39">
        <v>0</v>
      </c>
      <c r="H346" s="39">
        <f t="shared" si="62"/>
        <v>760.72417199999984</v>
      </c>
      <c r="I346" s="33"/>
      <c r="N346" s="33"/>
    </row>
    <row r="347" spans="1:14" s="34" customFormat="1" x14ac:dyDescent="0.35">
      <c r="A347" s="201">
        <f t="shared" ref="A347:A349" si="63">A346+1</f>
        <v>3</v>
      </c>
      <c r="B347" s="201"/>
      <c r="C347" s="39" t="s">
        <v>357</v>
      </c>
      <c r="D347" s="39">
        <f>(45.99)*10.764</f>
        <v>495.03636</v>
      </c>
      <c r="E347" s="39">
        <f>(2.75)*10.764</f>
        <v>29.600999999999999</v>
      </c>
      <c r="F347" s="39">
        <f t="shared" si="61"/>
        <v>524.63735999999994</v>
      </c>
      <c r="G347" s="39">
        <v>0</v>
      </c>
      <c r="H347" s="39">
        <f t="shared" si="62"/>
        <v>760.72417199999984</v>
      </c>
      <c r="I347" s="33"/>
      <c r="N347" s="33"/>
    </row>
    <row r="348" spans="1:14" s="34" customFormat="1" x14ac:dyDescent="0.35">
      <c r="A348" s="201">
        <f t="shared" si="63"/>
        <v>4</v>
      </c>
      <c r="B348" s="201"/>
      <c r="C348" s="39" t="s">
        <v>356</v>
      </c>
      <c r="D348" s="39">
        <f>(29.37)*10.764</f>
        <v>316.13867999999997</v>
      </c>
      <c r="E348" s="39">
        <f>(8.25)*10.764</f>
        <v>88.802999999999997</v>
      </c>
      <c r="F348" s="39">
        <f t="shared" si="61"/>
        <v>404.94167999999996</v>
      </c>
      <c r="G348" s="39">
        <v>0</v>
      </c>
      <c r="H348" s="39">
        <f t="shared" si="62"/>
        <v>587.16543599999989</v>
      </c>
      <c r="I348" s="33"/>
      <c r="N348" s="33"/>
    </row>
    <row r="349" spans="1:14" s="34" customFormat="1" x14ac:dyDescent="0.35">
      <c r="A349" s="201">
        <f t="shared" si="63"/>
        <v>5</v>
      </c>
      <c r="B349" s="201"/>
      <c r="C349" s="39" t="s">
        <v>356</v>
      </c>
      <c r="D349" s="39">
        <f>(29.37)*10.764</f>
        <v>316.13867999999997</v>
      </c>
      <c r="E349" s="39">
        <f>(8.25)*10.764</f>
        <v>88.802999999999997</v>
      </c>
      <c r="F349" s="39">
        <f t="shared" si="61"/>
        <v>404.94167999999996</v>
      </c>
      <c r="G349" s="39">
        <v>0</v>
      </c>
      <c r="H349" s="39">
        <f t="shared" si="62"/>
        <v>587.16543599999989</v>
      </c>
      <c r="I349" s="33"/>
      <c r="N349" s="33"/>
    </row>
    <row r="350" spans="1:14" s="34" customFormat="1" x14ac:dyDescent="0.35">
      <c r="A350" s="201">
        <f t="shared" ref="A350:A351" si="64">A349+1</f>
        <v>6</v>
      </c>
      <c r="B350" s="201"/>
      <c r="C350" s="39" t="s">
        <v>356</v>
      </c>
      <c r="D350" s="39">
        <f>(29.37)*10.764</f>
        <v>316.13867999999997</v>
      </c>
      <c r="E350" s="39">
        <f>(8.25)*10.764</f>
        <v>88.802999999999997</v>
      </c>
      <c r="F350" s="39">
        <f t="shared" si="61"/>
        <v>404.94167999999996</v>
      </c>
      <c r="G350" s="39">
        <v>0</v>
      </c>
      <c r="H350" s="39">
        <f t="shared" si="62"/>
        <v>587.16543599999989</v>
      </c>
      <c r="I350" s="33"/>
      <c r="N350" s="33"/>
    </row>
    <row r="351" spans="1:14" s="34" customFormat="1" x14ac:dyDescent="0.35">
      <c r="A351" s="201">
        <f t="shared" si="64"/>
        <v>7</v>
      </c>
      <c r="B351" s="201"/>
      <c r="C351" s="39" t="s">
        <v>357</v>
      </c>
      <c r="D351" s="39">
        <f>(45.99)*10.764</f>
        <v>495.03636</v>
      </c>
      <c r="E351" s="39">
        <f>(2.75)*10.764</f>
        <v>29.600999999999999</v>
      </c>
      <c r="F351" s="39">
        <f t="shared" si="61"/>
        <v>524.63735999999994</v>
      </c>
      <c r="G351" s="39">
        <v>0</v>
      </c>
      <c r="H351" s="39">
        <f t="shared" si="62"/>
        <v>760.72417199999984</v>
      </c>
      <c r="I351" s="33">
        <f>4.6*2.75+2.65*2.1+2.65*2.75+3.2*2.75+1.2*1.85+1.85*1.2+0.9*5.25</f>
        <v>43.467499999999994</v>
      </c>
      <c r="J351" s="33">
        <f>1*2.75</f>
        <v>2.75</v>
      </c>
      <c r="N351" s="33"/>
    </row>
    <row r="352" spans="1:14" s="34" customFormat="1" x14ac:dyDescent="0.35">
      <c r="A352" s="217" t="s">
        <v>360</v>
      </c>
      <c r="B352" s="218"/>
      <c r="C352" s="218"/>
      <c r="D352" s="218"/>
      <c r="E352" s="218"/>
      <c r="F352" s="218"/>
      <c r="G352" s="218"/>
      <c r="H352" s="219"/>
      <c r="J352" s="33"/>
    </row>
    <row r="353" spans="1:14" s="34" customFormat="1" x14ac:dyDescent="0.35">
      <c r="A353" s="198" t="s">
        <v>381</v>
      </c>
      <c r="B353" s="198"/>
      <c r="C353" s="198"/>
      <c r="D353" s="198"/>
      <c r="E353" s="198"/>
      <c r="F353" s="198"/>
      <c r="G353" s="198"/>
      <c r="H353" s="198"/>
      <c r="I353" s="33"/>
      <c r="L353" s="237"/>
      <c r="M353" s="237"/>
    </row>
    <row r="354" spans="1:14" s="34" customFormat="1" x14ac:dyDescent="0.35">
      <c r="A354" s="198" t="s">
        <v>382</v>
      </c>
      <c r="B354" s="198"/>
      <c r="C354" s="198"/>
      <c r="D354" s="198"/>
      <c r="E354" s="198"/>
      <c r="F354" s="198"/>
      <c r="G354" s="198"/>
      <c r="H354" s="198"/>
      <c r="I354" s="33"/>
      <c r="L354" s="237"/>
      <c r="M354" s="237"/>
    </row>
    <row r="355" spans="1:14" s="34" customFormat="1" x14ac:dyDescent="0.35">
      <c r="A355" s="201">
        <v>1</v>
      </c>
      <c r="B355" s="201"/>
      <c r="C355" s="39" t="s">
        <v>357</v>
      </c>
      <c r="D355" s="39">
        <f>(45.99)*10.764</f>
        <v>495.03636</v>
      </c>
      <c r="E355" s="39">
        <f>(2.75)*10.764</f>
        <v>29.600999999999999</v>
      </c>
      <c r="F355" s="39">
        <f t="shared" ref="F355:F360" si="65">D355+E355</f>
        <v>524.63735999999994</v>
      </c>
      <c r="G355" s="39">
        <v>0</v>
      </c>
      <c r="H355" s="39">
        <f t="shared" ref="H355:H360" si="66">F355*(($H$268)+1)+(IF(G355&lt;101,G355,IF(G355&lt;201,G355/2,IF(G355&lt;=301,G355/3,G355/4))))</f>
        <v>760.72417199999984</v>
      </c>
      <c r="I355" s="33"/>
      <c r="N355" s="33"/>
    </row>
    <row r="356" spans="1:14" s="34" customFormat="1" x14ac:dyDescent="0.35">
      <c r="A356" s="201">
        <f>A355+1</f>
        <v>2</v>
      </c>
      <c r="B356" s="201"/>
      <c r="C356" s="39" t="s">
        <v>356</v>
      </c>
      <c r="D356" s="39">
        <f>(29.37)*10.764</f>
        <v>316.13867999999997</v>
      </c>
      <c r="E356" s="39">
        <f>(8.25)*10.764</f>
        <v>88.802999999999997</v>
      </c>
      <c r="F356" s="39">
        <f t="shared" si="65"/>
        <v>404.94167999999996</v>
      </c>
      <c r="G356" s="39">
        <v>0</v>
      </c>
      <c r="H356" s="39">
        <f t="shared" si="66"/>
        <v>587.16543599999989</v>
      </c>
      <c r="I356" s="33"/>
      <c r="N356" s="33"/>
    </row>
    <row r="357" spans="1:14" s="34" customFormat="1" x14ac:dyDescent="0.35">
      <c r="A357" s="201">
        <f t="shared" ref="A357:A359" si="67">A356+1</f>
        <v>3</v>
      </c>
      <c r="B357" s="201"/>
      <c r="C357" s="39" t="s">
        <v>356</v>
      </c>
      <c r="D357" s="39">
        <f>(29.37)*10.764</f>
        <v>316.13867999999997</v>
      </c>
      <c r="E357" s="39">
        <f>(8.25)*10.764</f>
        <v>88.802999999999997</v>
      </c>
      <c r="F357" s="39">
        <f t="shared" si="65"/>
        <v>404.94167999999996</v>
      </c>
      <c r="G357" s="39">
        <v>0</v>
      </c>
      <c r="H357" s="39">
        <f t="shared" si="66"/>
        <v>587.16543599999989</v>
      </c>
      <c r="I357" s="33"/>
      <c r="N357" s="33"/>
    </row>
    <row r="358" spans="1:14" s="34" customFormat="1" x14ac:dyDescent="0.35">
      <c r="A358" s="201">
        <f t="shared" si="67"/>
        <v>4</v>
      </c>
      <c r="B358" s="201"/>
      <c r="C358" s="39" t="s">
        <v>357</v>
      </c>
      <c r="D358" s="39">
        <f>(45.99)*10.764</f>
        <v>495.03636</v>
      </c>
      <c r="E358" s="39">
        <f>(2.75)*10.764</f>
        <v>29.600999999999999</v>
      </c>
      <c r="F358" s="39">
        <f t="shared" si="65"/>
        <v>524.63735999999994</v>
      </c>
      <c r="G358" s="39">
        <v>0</v>
      </c>
      <c r="H358" s="39">
        <f t="shared" si="66"/>
        <v>760.72417199999984</v>
      </c>
      <c r="I358" s="33"/>
      <c r="N358" s="33"/>
    </row>
    <row r="359" spans="1:14" s="34" customFormat="1" x14ac:dyDescent="0.35">
      <c r="A359" s="201">
        <f t="shared" si="67"/>
        <v>5</v>
      </c>
      <c r="B359" s="201"/>
      <c r="C359" s="39" t="s">
        <v>356</v>
      </c>
      <c r="D359" s="39">
        <f>(29.37)*10.764</f>
        <v>316.13867999999997</v>
      </c>
      <c r="E359" s="39">
        <f>(8.25)*10.764</f>
        <v>88.802999999999997</v>
      </c>
      <c r="F359" s="39">
        <f t="shared" si="65"/>
        <v>404.94167999999996</v>
      </c>
      <c r="G359" s="39">
        <v>0</v>
      </c>
      <c r="H359" s="39">
        <f t="shared" si="66"/>
        <v>587.16543599999989</v>
      </c>
      <c r="I359" s="33"/>
      <c r="N359" s="33"/>
    </row>
    <row r="360" spans="1:14" s="34" customFormat="1" x14ac:dyDescent="0.35">
      <c r="A360" s="201">
        <f t="shared" ref="A360" si="68">A359+1</f>
        <v>6</v>
      </c>
      <c r="B360" s="201"/>
      <c r="C360" s="39" t="s">
        <v>356</v>
      </c>
      <c r="D360" s="39">
        <f>(29.86)*10.764</f>
        <v>321.41303999999997</v>
      </c>
      <c r="E360" s="39">
        <f>(8.4)*10.764</f>
        <v>90.417599999999993</v>
      </c>
      <c r="F360" s="39">
        <f t="shared" si="65"/>
        <v>411.83063999999996</v>
      </c>
      <c r="G360" s="39">
        <v>0</v>
      </c>
      <c r="H360" s="39">
        <f t="shared" si="66"/>
        <v>597.15442799999994</v>
      </c>
      <c r="I360" s="33">
        <f>3.75*2.75+2.05*2.1+2.2*2.75+1.2*1.85+1.95*1.2+2.45*0.9+1.2*0.4</f>
        <v>27.912499999999998</v>
      </c>
      <c r="J360" s="34">
        <f>1*(2.75+2.75+2.75)</f>
        <v>8.25</v>
      </c>
      <c r="N360" s="33"/>
    </row>
    <row r="361" spans="1:14" s="34" customFormat="1" x14ac:dyDescent="0.35">
      <c r="A361" s="198" t="s">
        <v>426</v>
      </c>
      <c r="B361" s="198"/>
      <c r="C361" s="198"/>
      <c r="D361" s="198"/>
      <c r="E361" s="198"/>
      <c r="F361" s="198"/>
      <c r="G361" s="198"/>
      <c r="H361" s="198"/>
      <c r="J361" s="33"/>
    </row>
    <row r="362" spans="1:14" s="34" customFormat="1" x14ac:dyDescent="0.35">
      <c r="A362" s="198" t="s">
        <v>383</v>
      </c>
      <c r="B362" s="198"/>
      <c r="C362" s="198"/>
      <c r="D362" s="198"/>
      <c r="E362" s="198"/>
      <c r="F362" s="198"/>
      <c r="G362" s="198"/>
      <c r="H362" s="198"/>
      <c r="I362" s="33"/>
      <c r="J362" s="34">
        <v>3400</v>
      </c>
      <c r="L362" s="237"/>
      <c r="M362" s="237"/>
    </row>
    <row r="363" spans="1:14" s="34" customFormat="1" x14ac:dyDescent="0.35">
      <c r="A363" s="201">
        <v>1</v>
      </c>
      <c r="B363" s="201"/>
      <c r="C363" s="79" t="s">
        <v>384</v>
      </c>
      <c r="D363" s="79">
        <f>(25.54)*10.764</f>
        <v>274.91255999999998</v>
      </c>
      <c r="E363" s="79">
        <v>0</v>
      </c>
      <c r="F363" s="79">
        <f t="shared" ref="F363:F369" si="69">D363+E363</f>
        <v>274.91255999999998</v>
      </c>
      <c r="G363" s="79">
        <v>0</v>
      </c>
      <c r="H363" s="79">
        <f t="shared" ref="H363:H369" si="70">F363*(($H$268)+1)+(IF(G363&lt;101,G363,IF(G363&lt;201,G363/2,IF(G363&lt;=301,G363/3,G363/4))))</f>
        <v>398.62321199999997</v>
      </c>
      <c r="I363" s="33">
        <f>4.6*2.75+2.75*2.6+1.65*1.2+0.9*1.25+0.9*1.25</f>
        <v>24.029999999999998</v>
      </c>
      <c r="J363" s="34">
        <f>J$362*H363</f>
        <v>1355318.9208</v>
      </c>
      <c r="N363" s="33"/>
    </row>
    <row r="364" spans="1:14" s="34" customFormat="1" x14ac:dyDescent="0.35">
      <c r="A364" s="201">
        <f>A363+1</f>
        <v>2</v>
      </c>
      <c r="B364" s="201"/>
      <c r="C364" s="79" t="s">
        <v>356</v>
      </c>
      <c r="D364" s="79">
        <f>(33.97)*10.764</f>
        <v>365.65307999999999</v>
      </c>
      <c r="E364" s="79">
        <v>0</v>
      </c>
      <c r="F364" s="79">
        <f t="shared" si="69"/>
        <v>365.65307999999999</v>
      </c>
      <c r="G364" s="79">
        <v>0</v>
      </c>
      <c r="H364" s="79">
        <f t="shared" si="70"/>
        <v>530.19696599999997</v>
      </c>
      <c r="I364" s="33"/>
      <c r="J364" s="34">
        <f t="shared" ref="J364:J379" si="71">J$362*H364</f>
        <v>1802669.6843999999</v>
      </c>
      <c r="N364" s="33"/>
    </row>
    <row r="365" spans="1:14" s="34" customFormat="1" x14ac:dyDescent="0.35">
      <c r="A365" s="201">
        <f t="shared" ref="A365:A367" si="72">A364+1</f>
        <v>3</v>
      </c>
      <c r="B365" s="201"/>
      <c r="C365" s="79" t="s">
        <v>384</v>
      </c>
      <c r="D365" s="79">
        <f>(25.54)*10.764</f>
        <v>274.91255999999998</v>
      </c>
      <c r="E365" s="79">
        <v>0</v>
      </c>
      <c r="F365" s="79">
        <f t="shared" si="69"/>
        <v>274.91255999999998</v>
      </c>
      <c r="G365" s="79">
        <v>0</v>
      </c>
      <c r="H365" s="79">
        <f t="shared" si="70"/>
        <v>398.62321199999997</v>
      </c>
      <c r="I365" s="33"/>
      <c r="J365" s="34">
        <f t="shared" si="71"/>
        <v>1355318.9208</v>
      </c>
      <c r="N365" s="33"/>
    </row>
    <row r="366" spans="1:14" s="34" customFormat="1" x14ac:dyDescent="0.35">
      <c r="A366" s="201">
        <f t="shared" si="72"/>
        <v>4</v>
      </c>
      <c r="B366" s="201"/>
      <c r="C366" s="79" t="s">
        <v>356</v>
      </c>
      <c r="D366" s="79">
        <f>(33.97)*10.764</f>
        <v>365.65307999999999</v>
      </c>
      <c r="E366" s="79">
        <v>0</v>
      </c>
      <c r="F366" s="79">
        <f t="shared" si="69"/>
        <v>365.65307999999999</v>
      </c>
      <c r="G366" s="79">
        <v>0</v>
      </c>
      <c r="H366" s="79">
        <f t="shared" si="70"/>
        <v>530.19696599999997</v>
      </c>
      <c r="I366" s="33">
        <f>4.6*2.75+2.15*2.1+3.05*2.75+1.95*1.2+1.2*0.85+0.9*2.35</f>
        <v>31.027499999999996</v>
      </c>
      <c r="J366" s="34">
        <f t="shared" si="71"/>
        <v>1802669.6843999999</v>
      </c>
      <c r="N366" s="33"/>
    </row>
    <row r="367" spans="1:14" s="34" customFormat="1" x14ac:dyDescent="0.35">
      <c r="A367" s="201">
        <f t="shared" si="72"/>
        <v>5</v>
      </c>
      <c r="B367" s="201"/>
      <c r="C367" s="79" t="s">
        <v>356</v>
      </c>
      <c r="D367" s="79">
        <f>(33.97)*10.764</f>
        <v>365.65307999999999</v>
      </c>
      <c r="E367" s="79">
        <v>0</v>
      </c>
      <c r="F367" s="79">
        <f t="shared" si="69"/>
        <v>365.65307999999999</v>
      </c>
      <c r="G367" s="79">
        <v>0</v>
      </c>
      <c r="H367" s="79">
        <f t="shared" si="70"/>
        <v>530.19696599999997</v>
      </c>
      <c r="I367" s="33"/>
      <c r="J367" s="34">
        <f t="shared" si="71"/>
        <v>1802669.6843999999</v>
      </c>
      <c r="N367" s="33"/>
    </row>
    <row r="368" spans="1:14" s="34" customFormat="1" x14ac:dyDescent="0.35">
      <c r="A368" s="201">
        <f t="shared" ref="A368:A369" si="73">A367+1</f>
        <v>6</v>
      </c>
      <c r="B368" s="201"/>
      <c r="C368" s="79" t="s">
        <v>384</v>
      </c>
      <c r="D368" s="79">
        <f>(22.64)*10.764</f>
        <v>243.69695999999999</v>
      </c>
      <c r="E368" s="79">
        <f>(2.75)*10.764</f>
        <v>29.600999999999999</v>
      </c>
      <c r="F368" s="79">
        <f t="shared" si="69"/>
        <v>273.29795999999999</v>
      </c>
      <c r="G368" s="79">
        <v>0</v>
      </c>
      <c r="H368" s="79">
        <f t="shared" si="70"/>
        <v>396.28204199999999</v>
      </c>
      <c r="I368" s="33">
        <f>3.75*2.75+2.15*2.1+1.95*1.2+1.2*1.85+2.25*0.9</f>
        <v>21.412499999999998</v>
      </c>
      <c r="J368" s="34">
        <f t="shared" si="71"/>
        <v>1347358.9428000001</v>
      </c>
      <c r="N368" s="33"/>
    </row>
    <row r="369" spans="1:14" s="34" customFormat="1" x14ac:dyDescent="0.35">
      <c r="A369" s="201">
        <f t="shared" si="73"/>
        <v>7</v>
      </c>
      <c r="B369" s="201"/>
      <c r="C369" s="79" t="s">
        <v>356</v>
      </c>
      <c r="D369" s="79">
        <f>(29.31)*10.764</f>
        <v>315.49283999999994</v>
      </c>
      <c r="E369" s="79">
        <f>(5.5)*10.764</f>
        <v>59.201999999999998</v>
      </c>
      <c r="F369" s="79">
        <f t="shared" si="69"/>
        <v>374.69483999999994</v>
      </c>
      <c r="G369" s="79">
        <v>0</v>
      </c>
      <c r="H369" s="79">
        <f t="shared" si="70"/>
        <v>543.30751799999985</v>
      </c>
      <c r="I369" s="33"/>
      <c r="J369" s="34">
        <f t="shared" si="71"/>
        <v>1847245.5611999994</v>
      </c>
      <c r="N369" s="33"/>
    </row>
    <row r="370" spans="1:14" s="34" customFormat="1" x14ac:dyDescent="0.35">
      <c r="A370" s="198" t="s">
        <v>367</v>
      </c>
      <c r="B370" s="198"/>
      <c r="C370" s="198"/>
      <c r="D370" s="198"/>
      <c r="E370" s="198"/>
      <c r="F370" s="198"/>
      <c r="G370" s="198"/>
      <c r="H370" s="198"/>
      <c r="I370" s="33"/>
      <c r="J370" s="34">
        <f t="shared" si="71"/>
        <v>0</v>
      </c>
      <c r="L370" s="237"/>
      <c r="M370" s="237"/>
    </row>
    <row r="371" spans="1:14" s="34" customFormat="1" x14ac:dyDescent="0.35">
      <c r="A371" s="201">
        <v>1</v>
      </c>
      <c r="B371" s="201"/>
      <c r="C371" s="39" t="s">
        <v>356</v>
      </c>
      <c r="D371" s="39">
        <f>(34.46)*10.764</f>
        <v>370.92743999999999</v>
      </c>
      <c r="E371" s="39">
        <f t="shared" ref="E371:E377" si="74">(2.75)*10.764</f>
        <v>29.600999999999999</v>
      </c>
      <c r="F371" s="39">
        <f t="shared" ref="F371:F379" si="75">D371+E371</f>
        <v>400.52843999999999</v>
      </c>
      <c r="G371" s="39">
        <v>0</v>
      </c>
      <c r="H371" s="39">
        <f t="shared" ref="H371:H379" si="76">F371*(($H$268)+1)+(IF(G371&lt;101,G371,IF(G371&lt;201,G371/2,IF(G371&lt;=301,G371/3,G371/4))))</f>
        <v>580.76623799999993</v>
      </c>
      <c r="I371" s="33"/>
      <c r="J371" s="34">
        <f t="shared" si="71"/>
        <v>1974605.2091999997</v>
      </c>
      <c r="N371" s="33"/>
    </row>
    <row r="372" spans="1:14" s="34" customFormat="1" x14ac:dyDescent="0.35">
      <c r="A372" s="201">
        <f>A371+1</f>
        <v>2</v>
      </c>
      <c r="B372" s="201"/>
      <c r="C372" s="39" t="s">
        <v>356</v>
      </c>
      <c r="D372" s="39">
        <f>(34.46)*10.764</f>
        <v>370.92743999999999</v>
      </c>
      <c r="E372" s="39">
        <f t="shared" si="74"/>
        <v>29.600999999999999</v>
      </c>
      <c r="F372" s="39">
        <f t="shared" si="75"/>
        <v>400.52843999999999</v>
      </c>
      <c r="G372" s="39">
        <v>0</v>
      </c>
      <c r="H372" s="39">
        <f t="shared" si="76"/>
        <v>580.76623799999993</v>
      </c>
      <c r="I372" s="33"/>
      <c r="J372" s="34">
        <f t="shared" si="71"/>
        <v>1974605.2091999997</v>
      </c>
      <c r="N372" s="33"/>
    </row>
    <row r="373" spans="1:14" s="34" customFormat="1" x14ac:dyDescent="0.35">
      <c r="A373" s="201">
        <f t="shared" ref="A373:A375" si="77">A372+1</f>
        <v>3</v>
      </c>
      <c r="B373" s="201"/>
      <c r="C373" s="39" t="s">
        <v>384</v>
      </c>
      <c r="D373" s="39">
        <f>(26.1)*10.764</f>
        <v>280.94040000000001</v>
      </c>
      <c r="E373" s="39">
        <f t="shared" si="74"/>
        <v>29.600999999999999</v>
      </c>
      <c r="F373" s="39">
        <f t="shared" si="75"/>
        <v>310.54140000000001</v>
      </c>
      <c r="G373" s="39">
        <v>0</v>
      </c>
      <c r="H373" s="39">
        <f t="shared" si="76"/>
        <v>450.28503000000001</v>
      </c>
      <c r="I373" s="33"/>
      <c r="J373" s="34">
        <f t="shared" si="71"/>
        <v>1530969.102</v>
      </c>
      <c r="N373" s="33"/>
    </row>
    <row r="374" spans="1:14" s="34" customFormat="1" x14ac:dyDescent="0.35">
      <c r="A374" s="201">
        <f t="shared" si="77"/>
        <v>4</v>
      </c>
      <c r="B374" s="201"/>
      <c r="C374" s="39" t="s">
        <v>356</v>
      </c>
      <c r="D374" s="39">
        <f>(34.46)*10.764</f>
        <v>370.92743999999999</v>
      </c>
      <c r="E374" s="39">
        <f t="shared" si="74"/>
        <v>29.600999999999999</v>
      </c>
      <c r="F374" s="39">
        <f t="shared" si="75"/>
        <v>400.52843999999999</v>
      </c>
      <c r="G374" s="39">
        <v>0</v>
      </c>
      <c r="H374" s="39">
        <f t="shared" si="76"/>
        <v>580.76623799999993</v>
      </c>
      <c r="I374" s="33"/>
      <c r="J374" s="34">
        <f t="shared" si="71"/>
        <v>1974605.2091999997</v>
      </c>
      <c r="N374" s="33"/>
    </row>
    <row r="375" spans="1:14" s="34" customFormat="1" x14ac:dyDescent="0.35">
      <c r="A375" s="201">
        <f t="shared" si="77"/>
        <v>5</v>
      </c>
      <c r="B375" s="201"/>
      <c r="C375" s="39" t="s">
        <v>384</v>
      </c>
      <c r="D375" s="39">
        <f>(26.1)*10.764</f>
        <v>280.94040000000001</v>
      </c>
      <c r="E375" s="39">
        <f t="shared" si="74"/>
        <v>29.600999999999999</v>
      </c>
      <c r="F375" s="39">
        <f t="shared" si="75"/>
        <v>310.54140000000001</v>
      </c>
      <c r="G375" s="39">
        <v>0</v>
      </c>
      <c r="H375" s="39">
        <f t="shared" si="76"/>
        <v>450.28503000000001</v>
      </c>
      <c r="I375" s="33"/>
      <c r="J375" s="34">
        <f t="shared" si="71"/>
        <v>1530969.102</v>
      </c>
      <c r="N375" s="33"/>
    </row>
    <row r="376" spans="1:14" s="34" customFormat="1" x14ac:dyDescent="0.35">
      <c r="A376" s="201">
        <f>A375+1</f>
        <v>6</v>
      </c>
      <c r="B376" s="201"/>
      <c r="C376" s="39" t="s">
        <v>356</v>
      </c>
      <c r="D376" s="39">
        <f>(34.46)*10.764</f>
        <v>370.92743999999999</v>
      </c>
      <c r="E376" s="39">
        <f t="shared" si="74"/>
        <v>29.600999999999999</v>
      </c>
      <c r="F376" s="39">
        <f t="shared" si="75"/>
        <v>400.52843999999999</v>
      </c>
      <c r="G376" s="39">
        <v>0</v>
      </c>
      <c r="H376" s="39">
        <f t="shared" si="76"/>
        <v>580.76623799999993</v>
      </c>
      <c r="I376" s="33"/>
      <c r="J376" s="34">
        <f t="shared" si="71"/>
        <v>1974605.2091999997</v>
      </c>
      <c r="N376" s="33"/>
    </row>
    <row r="377" spans="1:14" s="34" customFormat="1" x14ac:dyDescent="0.35">
      <c r="A377" s="201">
        <f t="shared" ref="A377:A379" si="78">A376+1</f>
        <v>7</v>
      </c>
      <c r="B377" s="201"/>
      <c r="C377" s="39" t="s">
        <v>356</v>
      </c>
      <c r="D377" s="39">
        <f>(34.46)*10.764</f>
        <v>370.92743999999999</v>
      </c>
      <c r="E377" s="39">
        <f t="shared" si="74"/>
        <v>29.600999999999999</v>
      </c>
      <c r="F377" s="39">
        <f t="shared" si="75"/>
        <v>400.52843999999999</v>
      </c>
      <c r="G377" s="39">
        <v>0</v>
      </c>
      <c r="H377" s="39">
        <f t="shared" si="76"/>
        <v>580.76623799999993</v>
      </c>
      <c r="I377" s="33"/>
      <c r="J377" s="34">
        <f t="shared" si="71"/>
        <v>1974605.2091999997</v>
      </c>
      <c r="N377" s="33"/>
    </row>
    <row r="378" spans="1:14" s="34" customFormat="1" x14ac:dyDescent="0.35">
      <c r="A378" s="201">
        <f t="shared" si="78"/>
        <v>8</v>
      </c>
      <c r="B378" s="201"/>
      <c r="C378" s="39" t="s">
        <v>356</v>
      </c>
      <c r="D378" s="39">
        <f>(29.37)*10.764</f>
        <v>316.13867999999997</v>
      </c>
      <c r="E378" s="39">
        <f>(8.25)*10.764</f>
        <v>88.802999999999997</v>
      </c>
      <c r="F378" s="39">
        <f t="shared" si="75"/>
        <v>404.94167999999996</v>
      </c>
      <c r="G378" s="39">
        <v>0</v>
      </c>
      <c r="H378" s="39">
        <f t="shared" si="76"/>
        <v>587.16543599999989</v>
      </c>
      <c r="I378" s="33"/>
      <c r="J378" s="34">
        <f t="shared" si="71"/>
        <v>1996362.4823999996</v>
      </c>
      <c r="N378" s="33"/>
    </row>
    <row r="379" spans="1:14" s="34" customFormat="1" x14ac:dyDescent="0.35">
      <c r="A379" s="201">
        <f t="shared" si="78"/>
        <v>9</v>
      </c>
      <c r="B379" s="201"/>
      <c r="C379" s="39" t="s">
        <v>356</v>
      </c>
      <c r="D379" s="39">
        <f>(34.46)*10.764</f>
        <v>370.92743999999999</v>
      </c>
      <c r="E379" s="39">
        <f>(2.75)*10.764</f>
        <v>29.600999999999999</v>
      </c>
      <c r="F379" s="39">
        <f t="shared" si="75"/>
        <v>400.52843999999999</v>
      </c>
      <c r="G379" s="39">
        <v>0</v>
      </c>
      <c r="H379" s="39">
        <f t="shared" si="76"/>
        <v>580.76623799999993</v>
      </c>
      <c r="I379" s="33"/>
      <c r="J379" s="34">
        <f t="shared" si="71"/>
        <v>1974605.2091999997</v>
      </c>
      <c r="N379" s="33"/>
    </row>
    <row r="380" spans="1:14" s="34" customFormat="1" x14ac:dyDescent="0.35">
      <c r="A380" s="198" t="s">
        <v>386</v>
      </c>
      <c r="B380" s="198"/>
      <c r="C380" s="198"/>
      <c r="D380" s="198"/>
      <c r="E380" s="198"/>
      <c r="F380" s="198"/>
      <c r="G380" s="198"/>
      <c r="H380" s="198"/>
      <c r="I380" s="33"/>
      <c r="L380" s="237"/>
      <c r="M380" s="237"/>
    </row>
    <row r="381" spans="1:14" s="34" customFormat="1" x14ac:dyDescent="0.35">
      <c r="A381" s="198" t="s">
        <v>374</v>
      </c>
      <c r="B381" s="198"/>
      <c r="C381" s="198"/>
      <c r="D381" s="198"/>
      <c r="E381" s="198"/>
      <c r="F381" s="198"/>
      <c r="G381" s="198"/>
      <c r="H381" s="198"/>
      <c r="I381" s="33"/>
      <c r="L381" s="237"/>
      <c r="M381" s="237"/>
    </row>
    <row r="382" spans="1:14" s="34" customFormat="1" x14ac:dyDescent="0.35">
      <c r="A382" s="201">
        <v>1</v>
      </c>
      <c r="B382" s="201"/>
      <c r="C382" s="39" t="s">
        <v>356</v>
      </c>
      <c r="D382" s="39">
        <f>(33.97)*10.764</f>
        <v>365.65307999999999</v>
      </c>
      <c r="E382" s="39">
        <v>0</v>
      </c>
      <c r="F382" s="39">
        <f>D382+E382</f>
        <v>365.65307999999999</v>
      </c>
      <c r="G382" s="39">
        <v>0</v>
      </c>
      <c r="H382" s="39">
        <f>F382*(($H$268)+1)+(IF(G382&lt;101,G382,IF(G382&lt;201,G382/2,IF(G382&lt;=301,G382/3,G382/4))))</f>
        <v>530.19696599999997</v>
      </c>
      <c r="I382" s="33">
        <f>4.6*2.75+2.85*2.1+3.05*2.75+1.95*1.2+1.2*1.85+2.35*0.9</f>
        <v>33.697499999999998</v>
      </c>
      <c r="N382" s="33"/>
    </row>
    <row r="383" spans="1:14" s="34" customFormat="1" x14ac:dyDescent="0.35">
      <c r="A383" s="201">
        <f>A382+1</f>
        <v>2</v>
      </c>
      <c r="B383" s="201"/>
      <c r="C383" s="39" t="s">
        <v>357</v>
      </c>
      <c r="D383" s="39">
        <f>(45.42)*10.764</f>
        <v>488.90087999999997</v>
      </c>
      <c r="E383" s="39">
        <v>0</v>
      </c>
      <c r="F383" s="39">
        <f>D383+E383</f>
        <v>488.90087999999997</v>
      </c>
      <c r="G383" s="39">
        <v>0</v>
      </c>
      <c r="H383" s="39">
        <f>F383*(($H$268)+1)+(IF(G383&lt;101,G383,IF(G383&lt;201,G383/2,IF(G383&lt;=301,G383/3,G383/4))))</f>
        <v>708.90627599999993</v>
      </c>
      <c r="I383" s="33"/>
      <c r="N383" s="33"/>
    </row>
    <row r="384" spans="1:14" s="34" customFormat="1" x14ac:dyDescent="0.35">
      <c r="A384" s="201">
        <f t="shared" ref="A384:A386" si="79">A383+1</f>
        <v>3</v>
      </c>
      <c r="B384" s="201"/>
      <c r="C384" s="39" t="s">
        <v>357</v>
      </c>
      <c r="D384" s="39">
        <f>(45.42)*10.764</f>
        <v>488.90087999999997</v>
      </c>
      <c r="E384" s="39">
        <v>0</v>
      </c>
      <c r="F384" s="39">
        <f>D384+E384</f>
        <v>488.90087999999997</v>
      </c>
      <c r="G384" s="39">
        <v>0</v>
      </c>
      <c r="H384" s="39">
        <f>F384*(($H$268)+1)+(IF(G384&lt;101,G384,IF(G384&lt;201,G384/2,IF(G384&lt;=301,G384/3,G384/4))))</f>
        <v>708.90627599999993</v>
      </c>
      <c r="I384" s="33">
        <f>2.75*4.6+2.1*2.75+2.75*2.65+2.75*3.2+1.85*1.2+1.2*1.85+5.25*0.9</f>
        <v>43.677500000000002</v>
      </c>
      <c r="N384" s="33"/>
    </row>
    <row r="385" spans="1:14" s="34" customFormat="1" x14ac:dyDescent="0.35">
      <c r="A385" s="201">
        <f t="shared" si="79"/>
        <v>4</v>
      </c>
      <c r="B385" s="201"/>
      <c r="C385" s="39" t="s">
        <v>356</v>
      </c>
      <c r="D385" s="39">
        <f>(33.97)*10.764</f>
        <v>365.65307999999999</v>
      </c>
      <c r="E385" s="39">
        <v>0</v>
      </c>
      <c r="F385" s="39">
        <f>D385+E385</f>
        <v>365.65307999999999</v>
      </c>
      <c r="G385" s="39">
        <v>0</v>
      </c>
      <c r="H385" s="39">
        <f>F385*(($H$268)+1)+(IF(G385&lt;101,G385,IF(G385&lt;201,G385/2,IF(G385&lt;=301,G385/3,G385/4))))</f>
        <v>530.19696599999997</v>
      </c>
      <c r="I385" s="33"/>
      <c r="N385" s="33"/>
    </row>
    <row r="386" spans="1:14" s="34" customFormat="1" x14ac:dyDescent="0.35">
      <c r="A386" s="201">
        <f t="shared" si="79"/>
        <v>5</v>
      </c>
      <c r="B386" s="201"/>
      <c r="C386" s="39" t="s">
        <v>356</v>
      </c>
      <c r="D386" s="39">
        <f>(33.97)*10.764</f>
        <v>365.65307999999999</v>
      </c>
      <c r="E386" s="39">
        <v>0</v>
      </c>
      <c r="F386" s="39">
        <f>D386+E386</f>
        <v>365.65307999999999</v>
      </c>
      <c r="G386" s="39">
        <v>0</v>
      </c>
      <c r="H386" s="39">
        <f>F386*(($H$268)+1)+(IF(G386&lt;101,G386,IF(G386&lt;201,G386/2,IF(G386&lt;=301,G386/3,G386/4))))</f>
        <v>530.19696599999997</v>
      </c>
      <c r="I386" s="33"/>
      <c r="N386" s="33"/>
    </row>
    <row r="387" spans="1:14" s="34" customFormat="1" x14ac:dyDescent="0.35">
      <c r="A387" s="198" t="s">
        <v>367</v>
      </c>
      <c r="B387" s="198"/>
      <c r="C387" s="198"/>
      <c r="D387" s="198"/>
      <c r="E387" s="198"/>
      <c r="F387" s="198"/>
      <c r="G387" s="198"/>
      <c r="H387" s="198"/>
      <c r="I387" s="33"/>
      <c r="L387" s="237"/>
      <c r="M387" s="237"/>
    </row>
    <row r="388" spans="1:14" s="34" customFormat="1" x14ac:dyDescent="0.35">
      <c r="A388" s="201">
        <v>1</v>
      </c>
      <c r="B388" s="201"/>
      <c r="C388" s="39" t="s">
        <v>356</v>
      </c>
      <c r="D388" s="39">
        <f>(34.46)*10.764</f>
        <v>370.92743999999999</v>
      </c>
      <c r="E388" s="39">
        <f t="shared" ref="E388:E393" si="80">(2.75)*10.764</f>
        <v>29.600999999999999</v>
      </c>
      <c r="F388" s="39">
        <f t="shared" ref="F388:F393" si="81">D388+E388</f>
        <v>400.52843999999999</v>
      </c>
      <c r="G388" s="39">
        <v>0</v>
      </c>
      <c r="H388" s="39">
        <f t="shared" ref="H388:H393" si="82">F388*(($H$268)+1)+(IF(G388&lt;101,G388,IF(G388&lt;201,G388/2,IF(G388&lt;=301,G388/3,G388/4))))</f>
        <v>580.76623799999993</v>
      </c>
      <c r="I388" s="33"/>
      <c r="N388" s="33"/>
    </row>
    <row r="389" spans="1:14" s="34" customFormat="1" x14ac:dyDescent="0.35">
      <c r="A389" s="201">
        <f>A388+1</f>
        <v>2</v>
      </c>
      <c r="B389" s="201"/>
      <c r="C389" s="39" t="s">
        <v>356</v>
      </c>
      <c r="D389" s="39">
        <f>(34.46)*10.764</f>
        <v>370.92743999999999</v>
      </c>
      <c r="E389" s="39">
        <f t="shared" si="80"/>
        <v>29.600999999999999</v>
      </c>
      <c r="F389" s="39">
        <f t="shared" si="81"/>
        <v>400.52843999999999</v>
      </c>
      <c r="G389" s="39">
        <v>0</v>
      </c>
      <c r="H389" s="39">
        <f t="shared" si="82"/>
        <v>580.76623799999993</v>
      </c>
      <c r="I389" s="33"/>
      <c r="N389" s="33"/>
    </row>
    <row r="390" spans="1:14" s="34" customFormat="1" x14ac:dyDescent="0.35">
      <c r="A390" s="201">
        <f t="shared" ref="A390:A392" si="83">A389+1</f>
        <v>3</v>
      </c>
      <c r="B390" s="201"/>
      <c r="C390" s="39" t="s">
        <v>357</v>
      </c>
      <c r="D390" s="39">
        <f>(45.99)*10.764</f>
        <v>495.03636</v>
      </c>
      <c r="E390" s="39">
        <f t="shared" si="80"/>
        <v>29.600999999999999</v>
      </c>
      <c r="F390" s="39">
        <f t="shared" si="81"/>
        <v>524.63735999999994</v>
      </c>
      <c r="G390" s="39">
        <v>0</v>
      </c>
      <c r="H390" s="39">
        <f t="shared" si="82"/>
        <v>760.72417199999984</v>
      </c>
      <c r="I390" s="33"/>
      <c r="N390" s="33"/>
    </row>
    <row r="391" spans="1:14" s="34" customFormat="1" x14ac:dyDescent="0.35">
      <c r="A391" s="201">
        <f t="shared" si="83"/>
        <v>4</v>
      </c>
      <c r="B391" s="201"/>
      <c r="C391" s="39" t="s">
        <v>357</v>
      </c>
      <c r="D391" s="39">
        <f>(45.99)*10.764</f>
        <v>495.03636</v>
      </c>
      <c r="E391" s="39">
        <f t="shared" si="80"/>
        <v>29.600999999999999</v>
      </c>
      <c r="F391" s="39">
        <f t="shared" si="81"/>
        <v>524.63735999999994</v>
      </c>
      <c r="G391" s="39">
        <v>0</v>
      </c>
      <c r="H391" s="39">
        <f t="shared" si="82"/>
        <v>760.72417199999984</v>
      </c>
      <c r="I391" s="33"/>
      <c r="N391" s="33"/>
    </row>
    <row r="392" spans="1:14" s="34" customFormat="1" x14ac:dyDescent="0.35">
      <c r="A392" s="201">
        <f t="shared" si="83"/>
        <v>5</v>
      </c>
      <c r="B392" s="201"/>
      <c r="C392" s="39" t="s">
        <v>356</v>
      </c>
      <c r="D392" s="39">
        <f>(34.46)*10.764</f>
        <v>370.92743999999999</v>
      </c>
      <c r="E392" s="39">
        <f t="shared" si="80"/>
        <v>29.600999999999999</v>
      </c>
      <c r="F392" s="39">
        <f t="shared" si="81"/>
        <v>400.52843999999999</v>
      </c>
      <c r="G392" s="39">
        <v>0</v>
      </c>
      <c r="H392" s="39">
        <f t="shared" si="82"/>
        <v>580.76623799999993</v>
      </c>
      <c r="I392" s="33"/>
      <c r="N392" s="33"/>
    </row>
    <row r="393" spans="1:14" s="34" customFormat="1" x14ac:dyDescent="0.35">
      <c r="A393" s="201">
        <f t="shared" ref="A393" si="84">A392+1</f>
        <v>6</v>
      </c>
      <c r="B393" s="201"/>
      <c r="C393" s="39" t="s">
        <v>356</v>
      </c>
      <c r="D393" s="39">
        <f>(34.46)*10.764</f>
        <v>370.92743999999999</v>
      </c>
      <c r="E393" s="39">
        <f t="shared" si="80"/>
        <v>29.600999999999999</v>
      </c>
      <c r="F393" s="39">
        <f t="shared" si="81"/>
        <v>400.52843999999999</v>
      </c>
      <c r="G393" s="39">
        <v>0</v>
      </c>
      <c r="H393" s="39">
        <f t="shared" si="82"/>
        <v>580.76623799999993</v>
      </c>
      <c r="I393" s="33"/>
      <c r="N393" s="33"/>
    </row>
    <row r="394" spans="1:14" s="34" customFormat="1" ht="15.75" hidden="1" customHeight="1" x14ac:dyDescent="0.35">
      <c r="A394" s="217" t="s">
        <v>145</v>
      </c>
      <c r="B394" s="218"/>
      <c r="C394" s="218"/>
      <c r="D394" s="218"/>
      <c r="E394" s="218"/>
      <c r="F394" s="218"/>
      <c r="G394" s="218"/>
      <c r="H394" s="219"/>
      <c r="I394" s="33"/>
    </row>
    <row r="395" spans="1:14" s="34" customFormat="1" ht="15.75" hidden="1" customHeight="1" x14ac:dyDescent="0.35">
      <c r="A395" s="107" t="str">
        <f ca="1">(SUMPRODUCT(MID(0&amp;(LEFT(A394,SUM(LEN(A394)-LEN(SUBSTITUTE(A394,{"0","1","2"},""))))), LARGE(INDEX(ISNUMBER(--MID((LEFT(A394,SUM(LEN(A394)-LEN(SUBSTITUTE(A394,{"0","1","2"},""))))), ROW(INDIRECT("1:"&amp;LEN((LEFT(A394,SUM(LEN(A394)-LEN(SUBSTITUTE(A394,{"0","1","2"},"")))))))), 1)) * ROW(INDIRECT("1:"&amp;LEN((LEFT(A394,SUM(LEN(A394)-LEN(SUBSTITUTE(A394,{"0","1","2"},"")))))))), 0), ROW(INDIRECT("1:"&amp;LEN((LEFT(A394,SUM(LEN(A394)-LEN(SUBSTITUTE(A394,{"0","1","2"},"")))))))))+1, 1) * 10^ROW(INDIRECT("1:"&amp;LEN((LEFT(A394,SUM(LEN(A394)-LEN(SUBSTITUTE(A394,{"0","1","2"},""))))))))/10))*100+1&amp;""&amp;" ,.., "&amp;""&amp;(SUMPRODUCT(MID(0&amp;(--TRIM(RIGHT(SUBSTITUTE(LEFT(A394,_xlfn.AGGREGATE(16,6,FIND({0,1,2,3,4,5,6,7,8,9},A394,ROW(INDIRECT("1:"&amp;LEN(A394)))),1))," ",REPT(" ",LEN(A394))),LEN(A394)))), LARGE(INDEX(ISNUMBER(--MID((--TRIM(RIGHT(SUBSTITUTE(LEFT(A394,_xlfn.AGGREGATE(16,6,FIND({0,1,2,3,4,5,6,7,8,9},A394,ROW(INDIRECT("1:"&amp;LEN(A394)))),1))," ",REPT(" ",LEN(A394))),LEN(A394)))), ROW(INDIRECT("1:"&amp;LEN((--TRIM(RIGHT(SUBSTITUTE(LEFT(A394,_xlfn.AGGREGATE(16,6,FIND({0,1,2,3,4,5,6,7,8,9},A394,ROW(INDIRECT("1:"&amp;LEN(A394)))),1))," ",REPT(" ",LEN(A394))),LEN(A394))))))), 1)) * ROW(INDIRECT("1:"&amp;LEN((--TRIM(RIGHT(SUBSTITUTE(LEFT(A394,_xlfn.AGGREGATE(16,6,FIND({0,1,2,3,4,5,6,7,8,9},A394,ROW(INDIRECT("1:"&amp;LEN(A394)))),1))," ",REPT(" ",LEN(A394))),LEN(A394))))))), 0), ROW(INDIRECT("1:"&amp;LEN((--TRIM(RIGHT(SUBSTITUTE(LEFT(A394,_xlfn.AGGREGATE(16,6,FIND({0,1,2,3,4,5,6,7,8,9},A394,ROW(INDIRECT("1:"&amp;LEN(A394)))),1))," ",REPT(" ",LEN(A394))),LEN(A394))))))))+1, 1) * 10^ROW(INDIRECT("1:"&amp;LEN((--TRIM(RIGHT(SUBSTITUTE(LEFT(A394,_xlfn.AGGREGATE(16,6,FIND({0,1,2,3,4,5,6,7,8,9},A394,ROW(INDIRECT("1:"&amp;LEN(A394)))),1))," ",REPT(" ",LEN(A394))),LEN(A394)))))))/10))*100+1</f>
        <v>301 ,.., 1501</v>
      </c>
      <c r="B395" s="108"/>
      <c r="C395" s="39"/>
      <c r="D395" s="39"/>
      <c r="E395" s="39">
        <v>0</v>
      </c>
      <c r="F395" s="39">
        <f>D395+E395</f>
        <v>0</v>
      </c>
      <c r="G395" s="39">
        <v>0</v>
      </c>
      <c r="H395" s="39">
        <f>F395*(($H$268)+1)+(IF(G395&lt;101,G395,IF(G395&lt;201,G395/2,IF(G395&lt;=301,G395/3,G395/4))))</f>
        <v>0</v>
      </c>
      <c r="I395" s="33"/>
    </row>
    <row r="396" spans="1:14" s="34" customFormat="1" ht="15.75" hidden="1" customHeight="1" x14ac:dyDescent="0.35">
      <c r="A396" s="107" t="str">
        <f ca="1">(SUMPRODUCT(MID(0&amp;(LEFT(A395,SUM(LEN(A395)-LEN(SUBSTITUTE(A395,{"0","1","2"},""))))), LARGE(INDEX(ISNUMBER(--MID((LEFT(A395,SUM(LEN(A395)-LEN(SUBSTITUTE(A395,{"0","1","2"},""))))), ROW(INDIRECT("1:"&amp;LEN((LEFT(A395,SUM(LEN(A395)-LEN(SUBSTITUTE(A395,{"0","1","2"},"")))))))), 1)) * ROW(INDIRECT("1:"&amp;LEN((LEFT(A395,SUM(LEN(A395)-LEN(SUBSTITUTE(A395,{"0","1","2"},"")))))))), 0), ROW(INDIRECT("1:"&amp;LEN((LEFT(A395,SUM(LEN(A395)-LEN(SUBSTITUTE(A395,{"0","1","2"},"")))))))))+1, 1) * 10^ROW(INDIRECT("1:"&amp;LEN((LEFT(A395,SUM(LEN(A395)-LEN(SUBSTITUTE(A395,{"0","1","2"},""))))))))/10))*1+1&amp;""&amp;" ,.., "&amp;""&amp;(SUMPRODUCT(MID(0&amp;(--TRIM(RIGHT(SUBSTITUTE(LEFT(A395,_xlfn.AGGREGATE(16,6,FIND({0,1,2,3,4,5,6,7,8,9},A395,ROW(INDIRECT("1:"&amp;LEN(A395)))),1))," ",REPT(" ",LEN(A395))),LEN(A395)))), LARGE(INDEX(ISNUMBER(--MID((--TRIM(RIGHT(SUBSTITUTE(LEFT(A395,_xlfn.AGGREGATE(16,6,FIND({0,1,2,3,4,5,6,7,8,9},A395,ROW(INDIRECT("1:"&amp;LEN(A395)))),1))," ",REPT(" ",LEN(A395))),LEN(A395)))), ROW(INDIRECT("1:"&amp;LEN((--TRIM(RIGHT(SUBSTITUTE(LEFT(A395,_xlfn.AGGREGATE(16,6,FIND({0,1,2,3,4,5,6,7,8,9},A395,ROW(INDIRECT("1:"&amp;LEN(A395)))),1))," ",REPT(" ",LEN(A395))),LEN(A395))))))), 1)) * ROW(INDIRECT("1:"&amp;LEN((--TRIM(RIGHT(SUBSTITUTE(LEFT(A395,_xlfn.AGGREGATE(16,6,FIND({0,1,2,3,4,5,6,7,8,9},A395,ROW(INDIRECT("1:"&amp;LEN(A395)))),1))," ",REPT(" ",LEN(A395))),LEN(A395))))))), 0), ROW(INDIRECT("1:"&amp;LEN((--TRIM(RIGHT(SUBSTITUTE(LEFT(A395,_xlfn.AGGREGATE(16,6,FIND({0,1,2,3,4,5,6,7,8,9},A395,ROW(INDIRECT("1:"&amp;LEN(A395)))),1))," ",REPT(" ",LEN(A395))),LEN(A395))))))))+1, 1) * 10^ROW(INDIRECT("1:"&amp;LEN((--TRIM(RIGHT(SUBSTITUTE(LEFT(A395,_xlfn.AGGREGATE(16,6,FIND({0,1,2,3,4,5,6,7,8,9},A395,ROW(INDIRECT("1:"&amp;LEN(A395)))),1))," ",REPT(" ",LEN(A395))),LEN(A395)))))))/10))*1+1</f>
        <v>302 ,.., 1502</v>
      </c>
      <c r="B396" s="108"/>
      <c r="C396" s="39"/>
      <c r="D396" s="39"/>
      <c r="E396" s="39">
        <v>0</v>
      </c>
      <c r="F396" s="39">
        <f>D396+E396</f>
        <v>0</v>
      </c>
      <c r="G396" s="39">
        <v>0</v>
      </c>
      <c r="H396" s="39">
        <f>F396*(($H$268)+1)+(IF(G396&lt;101,G396,IF(G396&lt;201,G396/2,IF(G396&lt;=301,G396/3,G396/4))))</f>
        <v>0</v>
      </c>
      <c r="I396" s="33"/>
    </row>
    <row r="397" spans="1:14" s="34" customFormat="1" ht="15.75" hidden="1" customHeight="1" x14ac:dyDescent="0.35">
      <c r="A397" s="107" t="str">
        <f ca="1">(SUMPRODUCT(MID(0&amp;(LEFT(A396,SUM(LEN(A396)-LEN(SUBSTITUTE(A396,{"0","1","2"},""))))), LARGE(INDEX(ISNUMBER(--MID((LEFT(A396,SUM(LEN(A396)-LEN(SUBSTITUTE(A396,{"0","1","2"},""))))), ROW(INDIRECT("1:"&amp;LEN((LEFT(A396,SUM(LEN(A396)-LEN(SUBSTITUTE(A396,{"0","1","2"},"")))))))), 1)) * ROW(INDIRECT("1:"&amp;LEN((LEFT(A396,SUM(LEN(A396)-LEN(SUBSTITUTE(A396,{"0","1","2"},"")))))))), 0), ROW(INDIRECT("1:"&amp;LEN((LEFT(A396,SUM(LEN(A396)-LEN(SUBSTITUTE(A396,{"0","1","2"},"")))))))))+1, 1) * 10^ROW(INDIRECT("1:"&amp;LEN((LEFT(A396,SUM(LEN(A396)-LEN(SUBSTITUTE(A396,{"0","1","2"},""))))))))/10))*1+1&amp;""&amp;" ,.., "&amp;""&amp;(SUMPRODUCT(MID(0&amp;(--TRIM(RIGHT(SUBSTITUTE(LEFT(A396,_xlfn.AGGREGATE(16,6,FIND({0,1,2,3,4,5,6,7,8,9},A396,ROW(INDIRECT("1:"&amp;LEN(A396)))),1))," ",REPT(" ",LEN(A396))),LEN(A396)))), LARGE(INDEX(ISNUMBER(--MID((--TRIM(RIGHT(SUBSTITUTE(LEFT(A396,_xlfn.AGGREGATE(16,6,FIND({0,1,2,3,4,5,6,7,8,9},A396,ROW(INDIRECT("1:"&amp;LEN(A396)))),1))," ",REPT(" ",LEN(A396))),LEN(A396)))), ROW(INDIRECT("1:"&amp;LEN((--TRIM(RIGHT(SUBSTITUTE(LEFT(A396,_xlfn.AGGREGATE(16,6,FIND({0,1,2,3,4,5,6,7,8,9},A396,ROW(INDIRECT("1:"&amp;LEN(A396)))),1))," ",REPT(" ",LEN(A396))),LEN(A396))))))), 1)) * ROW(INDIRECT("1:"&amp;LEN((--TRIM(RIGHT(SUBSTITUTE(LEFT(A396,_xlfn.AGGREGATE(16,6,FIND({0,1,2,3,4,5,6,7,8,9},A396,ROW(INDIRECT("1:"&amp;LEN(A396)))),1))," ",REPT(" ",LEN(A396))),LEN(A396))))))), 0), ROW(INDIRECT("1:"&amp;LEN((--TRIM(RIGHT(SUBSTITUTE(LEFT(A396,_xlfn.AGGREGATE(16,6,FIND({0,1,2,3,4,5,6,7,8,9},A396,ROW(INDIRECT("1:"&amp;LEN(A396)))),1))," ",REPT(" ",LEN(A396))),LEN(A396))))))))+1, 1) * 10^ROW(INDIRECT("1:"&amp;LEN((--TRIM(RIGHT(SUBSTITUTE(LEFT(A396,_xlfn.AGGREGATE(16,6,FIND({0,1,2,3,4,5,6,7,8,9},A396,ROW(INDIRECT("1:"&amp;LEN(A396)))),1))," ",REPT(" ",LEN(A396))),LEN(A396)))))))/10))*1+1</f>
        <v>303 ,.., 1503</v>
      </c>
      <c r="B397" s="108"/>
      <c r="C397" s="39"/>
      <c r="D397" s="39"/>
      <c r="E397" s="39">
        <v>0</v>
      </c>
      <c r="F397" s="39">
        <f>D397+E397</f>
        <v>0</v>
      </c>
      <c r="G397" s="39">
        <v>0</v>
      </c>
      <c r="H397" s="39">
        <f>F397*(($H$268)+1)+(IF(G397&lt;101,G397,IF(G397&lt;201,G397/2,IF(G397&lt;=301,G397/3,G397/4))))</f>
        <v>0</v>
      </c>
      <c r="I397" s="33"/>
    </row>
    <row r="398" spans="1:14" s="34" customFormat="1" ht="15.75" hidden="1" customHeight="1" x14ac:dyDescent="0.35">
      <c r="A398" s="107" t="str">
        <f ca="1">(SUMPRODUCT(MID(0&amp;(LEFT(A397,SUM(LEN(A397)-LEN(SUBSTITUTE(A397,{"0","1","2"},""))))), LARGE(INDEX(ISNUMBER(--MID((LEFT(A397,SUM(LEN(A397)-LEN(SUBSTITUTE(A397,{"0","1","2"},""))))), ROW(INDIRECT("1:"&amp;LEN((LEFT(A397,SUM(LEN(A397)-LEN(SUBSTITUTE(A397,{"0","1","2"},"")))))))), 1)) * ROW(INDIRECT("1:"&amp;LEN((LEFT(A397,SUM(LEN(A397)-LEN(SUBSTITUTE(A397,{"0","1","2"},"")))))))), 0), ROW(INDIRECT("1:"&amp;LEN((LEFT(A397,SUM(LEN(A397)-LEN(SUBSTITUTE(A397,{"0","1","2"},"")))))))))+1, 1) * 10^ROW(INDIRECT("1:"&amp;LEN((LEFT(A397,SUM(LEN(A397)-LEN(SUBSTITUTE(A397,{"0","1","2"},""))))))))/10))*1+1&amp;""&amp;" ,.., "&amp;""&amp;(SUMPRODUCT(MID(0&amp;(--TRIM(RIGHT(SUBSTITUTE(LEFT(A397,_xlfn.AGGREGATE(16,6,FIND({0,1,2,3,4,5,6,7,8,9},A397,ROW(INDIRECT("1:"&amp;LEN(A397)))),1))," ",REPT(" ",LEN(A397))),LEN(A397)))), LARGE(INDEX(ISNUMBER(--MID((--TRIM(RIGHT(SUBSTITUTE(LEFT(A397,_xlfn.AGGREGATE(16,6,FIND({0,1,2,3,4,5,6,7,8,9},A397,ROW(INDIRECT("1:"&amp;LEN(A397)))),1))," ",REPT(" ",LEN(A397))),LEN(A397)))), ROW(INDIRECT("1:"&amp;LEN((--TRIM(RIGHT(SUBSTITUTE(LEFT(A397,_xlfn.AGGREGATE(16,6,FIND({0,1,2,3,4,5,6,7,8,9},A397,ROW(INDIRECT("1:"&amp;LEN(A397)))),1))," ",REPT(" ",LEN(A397))),LEN(A397))))))), 1)) * ROW(INDIRECT("1:"&amp;LEN((--TRIM(RIGHT(SUBSTITUTE(LEFT(A397,_xlfn.AGGREGATE(16,6,FIND({0,1,2,3,4,5,6,7,8,9},A397,ROW(INDIRECT("1:"&amp;LEN(A397)))),1))," ",REPT(" ",LEN(A397))),LEN(A397))))))), 0), ROW(INDIRECT("1:"&amp;LEN((--TRIM(RIGHT(SUBSTITUTE(LEFT(A397,_xlfn.AGGREGATE(16,6,FIND({0,1,2,3,4,5,6,7,8,9},A397,ROW(INDIRECT("1:"&amp;LEN(A397)))),1))," ",REPT(" ",LEN(A397))),LEN(A397))))))))+1, 1) * 10^ROW(INDIRECT("1:"&amp;LEN((--TRIM(RIGHT(SUBSTITUTE(LEFT(A397,_xlfn.AGGREGATE(16,6,FIND({0,1,2,3,4,5,6,7,8,9},A397,ROW(INDIRECT("1:"&amp;LEN(A397)))),1))," ",REPT(" ",LEN(A397))),LEN(A397)))))))/10))*1+1</f>
        <v>304 ,.., 1504</v>
      </c>
      <c r="B398" s="108"/>
      <c r="C398" s="39"/>
      <c r="D398" s="39"/>
      <c r="E398" s="39">
        <v>0</v>
      </c>
      <c r="F398" s="39">
        <f>D398+E398</f>
        <v>0</v>
      </c>
      <c r="G398" s="39">
        <v>0</v>
      </c>
      <c r="H398" s="39">
        <f>F398*(($H$268)+1)+(IF(G398&lt;101,G398,IF(G398&lt;201,G398/2,IF(G398&lt;=301,G398/3,G398/4))))</f>
        <v>0</v>
      </c>
      <c r="I398" s="33"/>
    </row>
    <row r="399" spans="1:14" s="34" customFormat="1" ht="15.75" hidden="1" customHeight="1" x14ac:dyDescent="0.35">
      <c r="A399" s="107" t="str">
        <f ca="1">(SUMPRODUCT(MID(0&amp;(LEFT(A398,SUM(LEN(A398)-LEN(SUBSTITUTE(A398,{"0","1","2"},""))))), LARGE(INDEX(ISNUMBER(--MID((LEFT(A398,SUM(LEN(A398)-LEN(SUBSTITUTE(A398,{"0","1","2"},""))))), ROW(INDIRECT("1:"&amp;LEN((LEFT(A398,SUM(LEN(A398)-LEN(SUBSTITUTE(A398,{"0","1","2"},"")))))))), 1)) * ROW(INDIRECT("1:"&amp;LEN((LEFT(A398,SUM(LEN(A398)-LEN(SUBSTITUTE(A398,{"0","1","2"},"")))))))), 0), ROW(INDIRECT("1:"&amp;LEN((LEFT(A398,SUM(LEN(A398)-LEN(SUBSTITUTE(A398,{"0","1","2"},"")))))))))+1, 1) * 10^ROW(INDIRECT("1:"&amp;LEN((LEFT(A398,SUM(LEN(A398)-LEN(SUBSTITUTE(A398,{"0","1","2"},""))))))))/10))*1+1&amp;""&amp;" ,.., "&amp;""&amp;(SUMPRODUCT(MID(0&amp;(--TRIM(RIGHT(SUBSTITUTE(LEFT(A398,_xlfn.AGGREGATE(16,6,FIND({0,1,2,3,4,5,6,7,8,9},A398,ROW(INDIRECT("1:"&amp;LEN(A398)))),1))," ",REPT(" ",LEN(A398))),LEN(A398)))), LARGE(INDEX(ISNUMBER(--MID((--TRIM(RIGHT(SUBSTITUTE(LEFT(A398,_xlfn.AGGREGATE(16,6,FIND({0,1,2,3,4,5,6,7,8,9},A398,ROW(INDIRECT("1:"&amp;LEN(A398)))),1))," ",REPT(" ",LEN(A398))),LEN(A398)))), ROW(INDIRECT("1:"&amp;LEN((--TRIM(RIGHT(SUBSTITUTE(LEFT(A398,_xlfn.AGGREGATE(16,6,FIND({0,1,2,3,4,5,6,7,8,9},A398,ROW(INDIRECT("1:"&amp;LEN(A398)))),1))," ",REPT(" ",LEN(A398))),LEN(A398))))))), 1)) * ROW(INDIRECT("1:"&amp;LEN((--TRIM(RIGHT(SUBSTITUTE(LEFT(A398,_xlfn.AGGREGATE(16,6,FIND({0,1,2,3,4,5,6,7,8,9},A398,ROW(INDIRECT("1:"&amp;LEN(A398)))),1))," ",REPT(" ",LEN(A398))),LEN(A398))))))), 0), ROW(INDIRECT("1:"&amp;LEN((--TRIM(RIGHT(SUBSTITUTE(LEFT(A398,_xlfn.AGGREGATE(16,6,FIND({0,1,2,3,4,5,6,7,8,9},A398,ROW(INDIRECT("1:"&amp;LEN(A398)))),1))," ",REPT(" ",LEN(A398))),LEN(A398))))))))+1, 1) * 10^ROW(INDIRECT("1:"&amp;LEN((--TRIM(RIGHT(SUBSTITUTE(LEFT(A398,_xlfn.AGGREGATE(16,6,FIND({0,1,2,3,4,5,6,7,8,9},A398,ROW(INDIRECT("1:"&amp;LEN(A398)))),1))," ",REPT(" ",LEN(A398))),LEN(A398)))))))/10))*1+1</f>
        <v>305 ,.., 1505</v>
      </c>
      <c r="B399" s="108"/>
      <c r="C399" s="39"/>
      <c r="D399" s="39"/>
      <c r="E399" s="39">
        <v>0</v>
      </c>
      <c r="F399" s="39">
        <f>D399+E399</f>
        <v>0</v>
      </c>
      <c r="G399" s="39">
        <v>0</v>
      </c>
      <c r="H399" s="39">
        <f>F399*(($H$268)+1)+(IF(G399&lt;101,G399,IF(G399&lt;201,G399/2,IF(G399&lt;=301,G399/3,G399/4))))</f>
        <v>0</v>
      </c>
      <c r="I399" s="33"/>
    </row>
    <row r="400" spans="1:14" s="34" customFormat="1" hidden="1" x14ac:dyDescent="0.35">
      <c r="A400" s="217" t="s">
        <v>139</v>
      </c>
      <c r="B400" s="218"/>
      <c r="C400" s="218"/>
      <c r="D400" s="218"/>
      <c r="E400" s="218"/>
      <c r="F400" s="218"/>
      <c r="G400" s="218"/>
      <c r="H400" s="219"/>
      <c r="I400" s="33"/>
    </row>
    <row r="401" spans="1:20" s="34" customFormat="1" ht="15.75" hidden="1" customHeight="1" x14ac:dyDescent="0.35">
      <c r="A401" s="107" t="str">
        <f ca="1">(SUMPRODUCT(MID(0&amp;(LEFT(A400,SUM(LEN(A400)-LEN(SUBSTITUTE(A400,{"0","1","2"},""))))), LARGE(INDEX(ISNUMBER(--MID((LEFT(A400,SUM(LEN(A400)-LEN(SUBSTITUTE(A400,{"0","1","2"},""))))), ROW(INDIRECT("1:"&amp;LEN((LEFT(A400,SUM(LEN(A400)-LEN(SUBSTITUTE(A400,{"0","1","2"},"")))))))), 1)) * ROW(INDIRECT("1:"&amp;LEN((LEFT(A400,SUM(LEN(A400)-LEN(SUBSTITUTE(A400,{"0","1","2"},"")))))))), 0), ROW(INDIRECT("1:"&amp;LEN((LEFT(A400,SUM(LEN(A400)-LEN(SUBSTITUTE(A400,{"0","1","2"},"")))))))))+1, 1) * 10^ROW(INDIRECT("1:"&amp;LEN((LEFT(A400,SUM(LEN(A400)-LEN(SUBSTITUTE(A400,{"0","1","2"},""))))))))/10))*100+1&amp;""&amp;" to "&amp;""&amp;(SUMPRODUCT(MID(0&amp;(--TRIM(RIGHT(SUBSTITUTE(LEFT(A400,_xlfn.AGGREGATE(16,6,FIND({0,1,2,3,4,5,6,7,8,9},A400,ROW(INDIRECT("1:"&amp;LEN(A400)))),1))," ",REPT(" ",LEN(A400))),LEN(A400)))), LARGE(INDEX(ISNUMBER(--MID((--TRIM(RIGHT(SUBSTITUTE(LEFT(A400,_xlfn.AGGREGATE(16,6,FIND({0,1,2,3,4,5,6,7,8,9},A400,ROW(INDIRECT("1:"&amp;LEN(A400)))),1))," ",REPT(" ",LEN(A400))),LEN(A400)))), ROW(INDIRECT("1:"&amp;LEN((--TRIM(RIGHT(SUBSTITUTE(LEFT(A400,_xlfn.AGGREGATE(16,6,FIND({0,1,2,3,4,5,6,7,8,9},A400,ROW(INDIRECT("1:"&amp;LEN(A400)))),1))," ",REPT(" ",LEN(A400))),LEN(A400))))))), 1)) * ROW(INDIRECT("1:"&amp;LEN((--TRIM(RIGHT(SUBSTITUTE(LEFT(A400,_xlfn.AGGREGATE(16,6,FIND({0,1,2,3,4,5,6,7,8,9},A400,ROW(INDIRECT("1:"&amp;LEN(A400)))),1))," ",REPT(" ",LEN(A400))),LEN(A400))))))), 0), ROW(INDIRECT("1:"&amp;LEN((--TRIM(RIGHT(SUBSTITUTE(LEFT(A400,_xlfn.AGGREGATE(16,6,FIND({0,1,2,3,4,5,6,7,8,9},A400,ROW(INDIRECT("1:"&amp;LEN(A400)))),1))," ",REPT(" ",LEN(A400))),LEN(A400))))))))+1, 1) * 10^ROW(INDIRECT("1:"&amp;LEN((--TRIM(RIGHT(SUBSTITUTE(LEFT(A400,_xlfn.AGGREGATE(16,6,FIND({0,1,2,3,4,5,6,7,8,9},A400,ROW(INDIRECT("1:"&amp;LEN(A400)))),1))," ",REPT(" ",LEN(A400))),LEN(A400)))))))/10))*100+1</f>
        <v>201 to 501</v>
      </c>
      <c r="B401" s="108"/>
      <c r="C401" s="39"/>
      <c r="D401" s="39"/>
      <c r="E401" s="39">
        <v>0</v>
      </c>
      <c r="F401" s="39">
        <f>D401+E401</f>
        <v>0</v>
      </c>
      <c r="G401" s="39">
        <v>0</v>
      </c>
      <c r="H401" s="39">
        <f>F401*(($H$268)+1)+(IF(G401&lt;101,G401,IF(G401&lt;201,G401/2,IF(G401&lt;=301,G401/3,G401/4))))</f>
        <v>0</v>
      </c>
      <c r="I401" s="33"/>
    </row>
    <row r="402" spans="1:20" s="34" customFormat="1" ht="15.75" hidden="1" customHeight="1" x14ac:dyDescent="0.35">
      <c r="A402" s="107" t="str">
        <f ca="1">(SUMPRODUCT(MID(0&amp;(LEFT(A401,SUM(LEN(A401)-LEN(SUBSTITUTE(A401,{"0","1","2"},""))))), LARGE(INDEX(ISNUMBER(--MID((LEFT(A401,SUM(LEN(A401)-LEN(SUBSTITUTE(A401,{"0","1","2"},""))))), ROW(INDIRECT("1:"&amp;LEN((LEFT(A401,SUM(LEN(A401)-LEN(SUBSTITUTE(A401,{"0","1","2"},"")))))))), 1)) * ROW(INDIRECT("1:"&amp;LEN((LEFT(A401,SUM(LEN(A401)-LEN(SUBSTITUTE(A401,{"0","1","2"},"")))))))), 0), ROW(INDIRECT("1:"&amp;LEN((LEFT(A401,SUM(LEN(A401)-LEN(SUBSTITUTE(A401,{"0","1","2"},"")))))))))+1, 1) * 10^ROW(INDIRECT("1:"&amp;LEN((LEFT(A401,SUM(LEN(A401)-LEN(SUBSTITUTE(A401,{"0","1","2"},""))))))))/10))*1+1&amp;""&amp;" to "&amp;""&amp;(SUMPRODUCT(MID(0&amp;(--TRIM(RIGHT(SUBSTITUTE(LEFT(A401,_xlfn.AGGREGATE(16,6,FIND({0,1,2,3,4,5,6,7,8,9},A401,ROW(INDIRECT("1:"&amp;LEN(A401)))),1))," ",REPT(" ",LEN(A401))),LEN(A401)))), LARGE(INDEX(ISNUMBER(--MID((--TRIM(RIGHT(SUBSTITUTE(LEFT(A401,_xlfn.AGGREGATE(16,6,FIND({0,1,2,3,4,5,6,7,8,9},A401,ROW(INDIRECT("1:"&amp;LEN(A401)))),1))," ",REPT(" ",LEN(A401))),LEN(A401)))), ROW(INDIRECT("1:"&amp;LEN((--TRIM(RIGHT(SUBSTITUTE(LEFT(A401,_xlfn.AGGREGATE(16,6,FIND({0,1,2,3,4,5,6,7,8,9},A401,ROW(INDIRECT("1:"&amp;LEN(A401)))),1))," ",REPT(" ",LEN(A401))),LEN(A401))))))), 1)) * ROW(INDIRECT("1:"&amp;LEN((--TRIM(RIGHT(SUBSTITUTE(LEFT(A401,_xlfn.AGGREGATE(16,6,FIND({0,1,2,3,4,5,6,7,8,9},A401,ROW(INDIRECT("1:"&amp;LEN(A401)))),1))," ",REPT(" ",LEN(A401))),LEN(A401))))))), 0), ROW(INDIRECT("1:"&amp;LEN((--TRIM(RIGHT(SUBSTITUTE(LEFT(A401,_xlfn.AGGREGATE(16,6,FIND({0,1,2,3,4,5,6,7,8,9},A401,ROW(INDIRECT("1:"&amp;LEN(A401)))),1))," ",REPT(" ",LEN(A401))),LEN(A401))))))))+1, 1) * 10^ROW(INDIRECT("1:"&amp;LEN((--TRIM(RIGHT(SUBSTITUTE(LEFT(A401,_xlfn.AGGREGATE(16,6,FIND({0,1,2,3,4,5,6,7,8,9},A401,ROW(INDIRECT("1:"&amp;LEN(A401)))),1))," ",REPT(" ",LEN(A401))),LEN(A401)))))))/10))*1+1</f>
        <v>202 to 502</v>
      </c>
      <c r="B402" s="108"/>
      <c r="C402" s="39"/>
      <c r="D402" s="39"/>
      <c r="E402" s="39">
        <v>0</v>
      </c>
      <c r="F402" s="39">
        <f>D402+E402</f>
        <v>0</v>
      </c>
      <c r="G402" s="39">
        <v>0</v>
      </c>
      <c r="H402" s="39">
        <f>F402*(($H$268)+1)+(IF(G402&lt;101,G402,IF(G402&lt;201,G402/2,IF(G402&lt;=301,G402/3,G402/4))))</f>
        <v>0</v>
      </c>
      <c r="I402" s="33"/>
    </row>
    <row r="403" spans="1:20" s="34" customFormat="1" ht="15.75" hidden="1" customHeight="1" x14ac:dyDescent="0.35">
      <c r="A403" s="107" t="str">
        <f ca="1">(SUMPRODUCT(MID(0&amp;(LEFT(A402,SUM(LEN(A402)-LEN(SUBSTITUTE(A402,{"0","1","2"},""))))), LARGE(INDEX(ISNUMBER(--MID((LEFT(A402,SUM(LEN(A402)-LEN(SUBSTITUTE(A402,{"0","1","2"},""))))), ROW(INDIRECT("1:"&amp;LEN((LEFT(A402,SUM(LEN(A402)-LEN(SUBSTITUTE(A402,{"0","1","2"},"")))))))), 1)) * ROW(INDIRECT("1:"&amp;LEN((LEFT(A402,SUM(LEN(A402)-LEN(SUBSTITUTE(A402,{"0","1","2"},"")))))))), 0), ROW(INDIRECT("1:"&amp;LEN((LEFT(A402,SUM(LEN(A402)-LEN(SUBSTITUTE(A402,{"0","1","2"},"")))))))))+1, 1) * 10^ROW(INDIRECT("1:"&amp;LEN((LEFT(A402,SUM(LEN(A402)-LEN(SUBSTITUTE(A402,{"0","1","2"},""))))))))/10))*1+1&amp;""&amp;" to "&amp;""&amp;(SUMPRODUCT(MID(0&amp;(--TRIM(RIGHT(SUBSTITUTE(LEFT(A402,_xlfn.AGGREGATE(16,6,FIND({0,1,2,3,4,5,6,7,8,9},A402,ROW(INDIRECT("1:"&amp;LEN(A402)))),1))," ",REPT(" ",LEN(A402))),LEN(A402)))), LARGE(INDEX(ISNUMBER(--MID((--TRIM(RIGHT(SUBSTITUTE(LEFT(A402,_xlfn.AGGREGATE(16,6,FIND({0,1,2,3,4,5,6,7,8,9},A402,ROW(INDIRECT("1:"&amp;LEN(A402)))),1))," ",REPT(" ",LEN(A402))),LEN(A402)))), ROW(INDIRECT("1:"&amp;LEN((--TRIM(RIGHT(SUBSTITUTE(LEFT(A402,_xlfn.AGGREGATE(16,6,FIND({0,1,2,3,4,5,6,7,8,9},A402,ROW(INDIRECT("1:"&amp;LEN(A402)))),1))," ",REPT(" ",LEN(A402))),LEN(A402))))))), 1)) * ROW(INDIRECT("1:"&amp;LEN((--TRIM(RIGHT(SUBSTITUTE(LEFT(A402,_xlfn.AGGREGATE(16,6,FIND({0,1,2,3,4,5,6,7,8,9},A402,ROW(INDIRECT("1:"&amp;LEN(A402)))),1))," ",REPT(" ",LEN(A402))),LEN(A402))))))), 0), ROW(INDIRECT("1:"&amp;LEN((--TRIM(RIGHT(SUBSTITUTE(LEFT(A402,_xlfn.AGGREGATE(16,6,FIND({0,1,2,3,4,5,6,7,8,9},A402,ROW(INDIRECT("1:"&amp;LEN(A402)))),1))," ",REPT(" ",LEN(A402))),LEN(A402))))))))+1, 1) * 10^ROW(INDIRECT("1:"&amp;LEN((--TRIM(RIGHT(SUBSTITUTE(LEFT(A402,_xlfn.AGGREGATE(16,6,FIND({0,1,2,3,4,5,6,7,8,9},A402,ROW(INDIRECT("1:"&amp;LEN(A402)))),1))," ",REPT(" ",LEN(A402))),LEN(A402)))))))/10))*1+1</f>
        <v>203 to 503</v>
      </c>
      <c r="B403" s="108"/>
      <c r="C403" s="39"/>
      <c r="D403" s="39"/>
      <c r="E403" s="39">
        <v>0</v>
      </c>
      <c r="F403" s="39">
        <f>D403+E403</f>
        <v>0</v>
      </c>
      <c r="G403" s="39">
        <v>0</v>
      </c>
      <c r="H403" s="39">
        <f>F403*(($H$268)+1)+(IF(G403&lt;101,G403,IF(G403&lt;201,G403/2,IF(G403&lt;=301,G403/3,G403/4))))</f>
        <v>0</v>
      </c>
      <c r="I403" s="33"/>
    </row>
    <row r="404" spans="1:20" s="34" customFormat="1" ht="15.75" hidden="1" customHeight="1" x14ac:dyDescent="0.35">
      <c r="A404" s="107" t="str">
        <f ca="1">(SUMPRODUCT(MID(0&amp;(LEFT(A403,SUM(LEN(A403)-LEN(SUBSTITUTE(A403,{"0","1","2"},""))))), LARGE(INDEX(ISNUMBER(--MID((LEFT(A403,SUM(LEN(A403)-LEN(SUBSTITUTE(A403,{"0","1","2"},""))))), ROW(INDIRECT("1:"&amp;LEN((LEFT(A403,SUM(LEN(A403)-LEN(SUBSTITUTE(A403,{"0","1","2"},"")))))))), 1)) * ROW(INDIRECT("1:"&amp;LEN((LEFT(A403,SUM(LEN(A403)-LEN(SUBSTITUTE(A403,{"0","1","2"},"")))))))), 0), ROW(INDIRECT("1:"&amp;LEN((LEFT(A403,SUM(LEN(A403)-LEN(SUBSTITUTE(A403,{"0","1","2"},"")))))))))+1, 1) * 10^ROW(INDIRECT("1:"&amp;LEN((LEFT(A403,SUM(LEN(A403)-LEN(SUBSTITUTE(A403,{"0","1","2"},""))))))))/10))*1+1&amp;""&amp;" to "&amp;""&amp;(SUMPRODUCT(MID(0&amp;(--TRIM(RIGHT(SUBSTITUTE(LEFT(A403,_xlfn.AGGREGATE(16,6,FIND({0,1,2,3,4,5,6,7,8,9},A403,ROW(INDIRECT("1:"&amp;LEN(A403)))),1))," ",REPT(" ",LEN(A403))),LEN(A403)))), LARGE(INDEX(ISNUMBER(--MID((--TRIM(RIGHT(SUBSTITUTE(LEFT(A403,_xlfn.AGGREGATE(16,6,FIND({0,1,2,3,4,5,6,7,8,9},A403,ROW(INDIRECT("1:"&amp;LEN(A403)))),1))," ",REPT(" ",LEN(A403))),LEN(A403)))), ROW(INDIRECT("1:"&amp;LEN((--TRIM(RIGHT(SUBSTITUTE(LEFT(A403,_xlfn.AGGREGATE(16,6,FIND({0,1,2,3,4,5,6,7,8,9},A403,ROW(INDIRECT("1:"&amp;LEN(A403)))),1))," ",REPT(" ",LEN(A403))),LEN(A403))))))), 1)) * ROW(INDIRECT("1:"&amp;LEN((--TRIM(RIGHT(SUBSTITUTE(LEFT(A403,_xlfn.AGGREGATE(16,6,FIND({0,1,2,3,4,5,6,7,8,9},A403,ROW(INDIRECT("1:"&amp;LEN(A403)))),1))," ",REPT(" ",LEN(A403))),LEN(A403))))))), 0), ROW(INDIRECT("1:"&amp;LEN((--TRIM(RIGHT(SUBSTITUTE(LEFT(A403,_xlfn.AGGREGATE(16,6,FIND({0,1,2,3,4,5,6,7,8,9},A403,ROW(INDIRECT("1:"&amp;LEN(A403)))),1))," ",REPT(" ",LEN(A403))),LEN(A403))))))))+1, 1) * 10^ROW(INDIRECT("1:"&amp;LEN((--TRIM(RIGHT(SUBSTITUTE(LEFT(A403,_xlfn.AGGREGATE(16,6,FIND({0,1,2,3,4,5,6,7,8,9},A403,ROW(INDIRECT("1:"&amp;LEN(A403)))),1))," ",REPT(" ",LEN(A403))),LEN(A403)))))))/10))*1+1</f>
        <v>204 to 504</v>
      </c>
      <c r="B404" s="108"/>
      <c r="C404" s="39"/>
      <c r="D404" s="39"/>
      <c r="E404" s="39">
        <v>0</v>
      </c>
      <c r="F404" s="39">
        <f>D404+E404</f>
        <v>0</v>
      </c>
      <c r="G404" s="39">
        <v>0</v>
      </c>
      <c r="H404" s="39">
        <f>F404*(($H$268)+1)+(IF(G404&lt;101,G404,IF(G404&lt;201,G404/2,IF(G404&lt;=301,G404/3,G404/4))))</f>
        <v>0</v>
      </c>
      <c r="I404" s="33"/>
    </row>
    <row r="405" spans="1:20" s="34" customFormat="1" ht="15.75" hidden="1" customHeight="1" x14ac:dyDescent="0.35">
      <c r="A405" s="107" t="str">
        <f ca="1">(SUMPRODUCT(MID(0&amp;(LEFT(A404,SUM(LEN(A404)-LEN(SUBSTITUTE(A404,{"0","1","2"},""))))), LARGE(INDEX(ISNUMBER(--MID((LEFT(A404,SUM(LEN(A404)-LEN(SUBSTITUTE(A404,{"0","1","2"},""))))), ROW(INDIRECT("1:"&amp;LEN((LEFT(A404,SUM(LEN(A404)-LEN(SUBSTITUTE(A404,{"0","1","2"},"")))))))), 1)) * ROW(INDIRECT("1:"&amp;LEN((LEFT(A404,SUM(LEN(A404)-LEN(SUBSTITUTE(A404,{"0","1","2"},"")))))))), 0), ROW(INDIRECT("1:"&amp;LEN((LEFT(A404,SUM(LEN(A404)-LEN(SUBSTITUTE(A404,{"0","1","2"},"")))))))))+1, 1) * 10^ROW(INDIRECT("1:"&amp;LEN((LEFT(A404,SUM(LEN(A404)-LEN(SUBSTITUTE(A404,{"0","1","2"},""))))))))/10))*1+1&amp;""&amp;" to "&amp;""&amp;(SUMPRODUCT(MID(0&amp;(--TRIM(RIGHT(SUBSTITUTE(LEFT(A404,_xlfn.AGGREGATE(16,6,FIND({0,1,2,3,4,5,6,7,8,9},A404,ROW(INDIRECT("1:"&amp;LEN(A404)))),1))," ",REPT(" ",LEN(A404))),LEN(A404)))), LARGE(INDEX(ISNUMBER(--MID((--TRIM(RIGHT(SUBSTITUTE(LEFT(A404,_xlfn.AGGREGATE(16,6,FIND({0,1,2,3,4,5,6,7,8,9},A404,ROW(INDIRECT("1:"&amp;LEN(A404)))),1))," ",REPT(" ",LEN(A404))),LEN(A404)))), ROW(INDIRECT("1:"&amp;LEN((--TRIM(RIGHT(SUBSTITUTE(LEFT(A404,_xlfn.AGGREGATE(16,6,FIND({0,1,2,3,4,5,6,7,8,9},A404,ROW(INDIRECT("1:"&amp;LEN(A404)))),1))," ",REPT(" ",LEN(A404))),LEN(A404))))))), 1)) * ROW(INDIRECT("1:"&amp;LEN((--TRIM(RIGHT(SUBSTITUTE(LEFT(A404,_xlfn.AGGREGATE(16,6,FIND({0,1,2,3,4,5,6,7,8,9},A404,ROW(INDIRECT("1:"&amp;LEN(A404)))),1))," ",REPT(" ",LEN(A404))),LEN(A404))))))), 0), ROW(INDIRECT("1:"&amp;LEN((--TRIM(RIGHT(SUBSTITUTE(LEFT(A404,_xlfn.AGGREGATE(16,6,FIND({0,1,2,3,4,5,6,7,8,9},A404,ROW(INDIRECT("1:"&amp;LEN(A404)))),1))," ",REPT(" ",LEN(A404))),LEN(A404))))))))+1, 1) * 10^ROW(INDIRECT("1:"&amp;LEN((--TRIM(RIGHT(SUBSTITUTE(LEFT(A404,_xlfn.AGGREGATE(16,6,FIND({0,1,2,3,4,5,6,7,8,9},A404,ROW(INDIRECT("1:"&amp;LEN(A404)))),1))," ",REPT(" ",LEN(A404))),LEN(A404)))))))/10))*1+1</f>
        <v>205 to 505</v>
      </c>
      <c r="B405" s="108"/>
      <c r="C405" s="39"/>
      <c r="D405" s="39"/>
      <c r="E405" s="39">
        <v>0</v>
      </c>
      <c r="F405" s="39">
        <f>D405+E405</f>
        <v>0</v>
      </c>
      <c r="G405" s="39">
        <v>0</v>
      </c>
      <c r="H405" s="39">
        <f>F405*(($H$268)+1)+(IF(G405&lt;101,G405,IF(G405&lt;201,G405/2,IF(G405&lt;=301,G405/3,G405/4))))</f>
        <v>0</v>
      </c>
      <c r="I405" s="33"/>
    </row>
    <row r="406" spans="1:20" s="34" customFormat="1" hidden="1" x14ac:dyDescent="0.35">
      <c r="A406" s="217" t="s">
        <v>140</v>
      </c>
      <c r="B406" s="218"/>
      <c r="C406" s="218"/>
      <c r="D406" s="218"/>
      <c r="E406" s="218"/>
      <c r="F406" s="218"/>
      <c r="G406" s="218"/>
      <c r="H406" s="219"/>
      <c r="I406" s="33"/>
    </row>
    <row r="407" spans="1:20" s="34" customFormat="1" ht="15.75" hidden="1" customHeight="1" x14ac:dyDescent="0.35">
      <c r="A407" s="107" t="str">
        <f ca="1">(SUMPRODUCT(MID(0&amp;(LEFT(A406,SUM(LEN(A406)-LEN(SUBSTITUTE(A406,{"0","1","2"},""))))), LARGE(INDEX(ISNUMBER(--MID((LEFT(A406,SUM(LEN(A406)-LEN(SUBSTITUTE(A406,{"0","1","2"},""))))), ROW(INDIRECT("1:"&amp;LEN((LEFT(A406,SUM(LEN(A406)-LEN(SUBSTITUTE(A406,{"0","1","2"},"")))))))), 1)) * ROW(INDIRECT("1:"&amp;LEN((LEFT(A406,SUM(LEN(A406)-LEN(SUBSTITUTE(A406,{"0","1","2"},"")))))))), 0), ROW(INDIRECT("1:"&amp;LEN((LEFT(A406,SUM(LEN(A406)-LEN(SUBSTITUTE(A406,{"0","1","2"},"")))))))))+1, 1) * 10^ROW(INDIRECT("1:"&amp;LEN((LEFT(A406,SUM(LEN(A406)-LEN(SUBSTITUTE(A406,{"0","1","2"},""))))))))/10))*100+1&amp;""&amp;" &amp; "&amp;""&amp;(SUMPRODUCT(MID(0&amp;(--TRIM(RIGHT(SUBSTITUTE(LEFT(A406,_xlfn.AGGREGATE(16,6,FIND({0,1,2,3,4,5,6,7,8,9},A406,ROW(INDIRECT("1:"&amp;LEN(A406)))),1))," ",REPT(" ",LEN(A406))),LEN(A406)))), LARGE(INDEX(ISNUMBER(--MID((--TRIM(RIGHT(SUBSTITUTE(LEFT(A406,_xlfn.AGGREGATE(16,6,FIND({0,1,2,3,4,5,6,7,8,9},A406,ROW(INDIRECT("1:"&amp;LEN(A406)))),1))," ",REPT(" ",LEN(A406))),LEN(A406)))), ROW(INDIRECT("1:"&amp;LEN((--TRIM(RIGHT(SUBSTITUTE(LEFT(A406,_xlfn.AGGREGATE(16,6,FIND({0,1,2,3,4,5,6,7,8,9},A406,ROW(INDIRECT("1:"&amp;LEN(A406)))),1))," ",REPT(" ",LEN(A406))),LEN(A406))))))), 1)) * ROW(INDIRECT("1:"&amp;LEN((--TRIM(RIGHT(SUBSTITUTE(LEFT(A406,_xlfn.AGGREGATE(16,6,FIND({0,1,2,3,4,5,6,7,8,9},A406,ROW(INDIRECT("1:"&amp;LEN(A406)))),1))," ",REPT(" ",LEN(A406))),LEN(A406))))))), 0), ROW(INDIRECT("1:"&amp;LEN((--TRIM(RIGHT(SUBSTITUTE(LEFT(A406,_xlfn.AGGREGATE(16,6,FIND({0,1,2,3,4,5,6,7,8,9},A406,ROW(INDIRECT("1:"&amp;LEN(A406)))),1))," ",REPT(" ",LEN(A406))),LEN(A406))))))))+1, 1) * 10^ROW(INDIRECT("1:"&amp;LEN((--TRIM(RIGHT(SUBSTITUTE(LEFT(A406,_xlfn.AGGREGATE(16,6,FIND({0,1,2,3,4,5,6,7,8,9},A406,ROW(INDIRECT("1:"&amp;LEN(A406)))),1))," ",REPT(" ",LEN(A406))),LEN(A406)))))))/10))*100+1</f>
        <v>201 &amp; 501</v>
      </c>
      <c r="B407" s="108"/>
      <c r="C407" s="39"/>
      <c r="D407" s="39"/>
      <c r="E407" s="39">
        <v>0</v>
      </c>
      <c r="F407" s="39">
        <f>D407+E407</f>
        <v>0</v>
      </c>
      <c r="G407" s="39">
        <v>0</v>
      </c>
      <c r="H407" s="39">
        <f>F407*(($H$268)+1)+(IF(G407&lt;101,G407,IF(G407&lt;201,G407/2,IF(G407&lt;=301,G407/3,G407/4))))</f>
        <v>0</v>
      </c>
      <c r="I407" s="33"/>
    </row>
    <row r="408" spans="1:20" s="34" customFormat="1" ht="15.75" hidden="1" customHeight="1" x14ac:dyDescent="0.35">
      <c r="A408" s="107" t="str">
        <f ca="1">(SUMPRODUCT(MID(0&amp;(LEFT(A407,SUM(LEN(A407)-LEN(SUBSTITUTE(A407,{"0","1","2"},""))))), LARGE(INDEX(ISNUMBER(--MID((LEFT(A407,SUM(LEN(A407)-LEN(SUBSTITUTE(A407,{"0","1","2"},""))))), ROW(INDIRECT("1:"&amp;LEN((LEFT(A407,SUM(LEN(A407)-LEN(SUBSTITUTE(A407,{"0","1","2"},"")))))))), 1)) * ROW(INDIRECT("1:"&amp;LEN((LEFT(A407,SUM(LEN(A407)-LEN(SUBSTITUTE(A407,{"0","1","2"},"")))))))), 0), ROW(INDIRECT("1:"&amp;LEN((LEFT(A407,SUM(LEN(A407)-LEN(SUBSTITUTE(A407,{"0","1","2"},"")))))))))+1, 1) * 10^ROW(INDIRECT("1:"&amp;LEN((LEFT(A407,SUM(LEN(A407)-LEN(SUBSTITUTE(A407,{"0","1","2"},""))))))))/10))*1+1&amp;""&amp;" &amp; "&amp;""&amp;(SUMPRODUCT(MID(0&amp;(--TRIM(RIGHT(SUBSTITUTE(LEFT(A407,_xlfn.AGGREGATE(16,6,FIND({0,1,2,3,4,5,6,7,8,9},A407,ROW(INDIRECT("1:"&amp;LEN(A407)))),1))," ",REPT(" ",LEN(A407))),LEN(A407)))), LARGE(INDEX(ISNUMBER(--MID((--TRIM(RIGHT(SUBSTITUTE(LEFT(A407,_xlfn.AGGREGATE(16,6,FIND({0,1,2,3,4,5,6,7,8,9},A407,ROW(INDIRECT("1:"&amp;LEN(A407)))),1))," ",REPT(" ",LEN(A407))),LEN(A407)))), ROW(INDIRECT("1:"&amp;LEN((--TRIM(RIGHT(SUBSTITUTE(LEFT(A407,_xlfn.AGGREGATE(16,6,FIND({0,1,2,3,4,5,6,7,8,9},A407,ROW(INDIRECT("1:"&amp;LEN(A407)))),1))," ",REPT(" ",LEN(A407))),LEN(A407))))))), 1)) * ROW(INDIRECT("1:"&amp;LEN((--TRIM(RIGHT(SUBSTITUTE(LEFT(A407,_xlfn.AGGREGATE(16,6,FIND({0,1,2,3,4,5,6,7,8,9},A407,ROW(INDIRECT("1:"&amp;LEN(A407)))),1))," ",REPT(" ",LEN(A407))),LEN(A407))))))), 0), ROW(INDIRECT("1:"&amp;LEN((--TRIM(RIGHT(SUBSTITUTE(LEFT(A407,_xlfn.AGGREGATE(16,6,FIND({0,1,2,3,4,5,6,7,8,9},A407,ROW(INDIRECT("1:"&amp;LEN(A407)))),1))," ",REPT(" ",LEN(A407))),LEN(A407))))))))+1, 1) * 10^ROW(INDIRECT("1:"&amp;LEN((--TRIM(RIGHT(SUBSTITUTE(LEFT(A407,_xlfn.AGGREGATE(16,6,FIND({0,1,2,3,4,5,6,7,8,9},A407,ROW(INDIRECT("1:"&amp;LEN(A407)))),1))," ",REPT(" ",LEN(A407))),LEN(A407)))))))/10))*1+1</f>
        <v>202 &amp; 502</v>
      </c>
      <c r="B408" s="108"/>
      <c r="C408" s="39"/>
      <c r="D408" s="39"/>
      <c r="E408" s="39">
        <v>0</v>
      </c>
      <c r="F408" s="39">
        <f>D408+E408</f>
        <v>0</v>
      </c>
      <c r="G408" s="39">
        <v>0</v>
      </c>
      <c r="H408" s="39">
        <f>F408*(($H$268)+1)+(IF(G408&lt;101,G408,IF(G408&lt;201,G408/2,IF(G408&lt;=301,G408/3,G408/4))))</f>
        <v>0</v>
      </c>
      <c r="I408" s="33"/>
    </row>
    <row r="409" spans="1:20" s="34" customFormat="1" ht="15.75" hidden="1" customHeight="1" x14ac:dyDescent="0.35">
      <c r="A409" s="107" t="str">
        <f ca="1">(SUMPRODUCT(MID(0&amp;(LEFT(A408,SUM(LEN(A408)-LEN(SUBSTITUTE(A408,{"0","1","2"},""))))), LARGE(INDEX(ISNUMBER(--MID((LEFT(A408,SUM(LEN(A408)-LEN(SUBSTITUTE(A408,{"0","1","2"},""))))), ROW(INDIRECT("1:"&amp;LEN((LEFT(A408,SUM(LEN(A408)-LEN(SUBSTITUTE(A408,{"0","1","2"},"")))))))), 1)) * ROW(INDIRECT("1:"&amp;LEN((LEFT(A408,SUM(LEN(A408)-LEN(SUBSTITUTE(A408,{"0","1","2"},"")))))))), 0), ROW(INDIRECT("1:"&amp;LEN((LEFT(A408,SUM(LEN(A408)-LEN(SUBSTITUTE(A408,{"0","1","2"},"")))))))))+1, 1) * 10^ROW(INDIRECT("1:"&amp;LEN((LEFT(A408,SUM(LEN(A408)-LEN(SUBSTITUTE(A408,{"0","1","2"},""))))))))/10))*1+1&amp;""&amp;" &amp; "&amp;""&amp;(SUMPRODUCT(MID(0&amp;(--TRIM(RIGHT(SUBSTITUTE(LEFT(A408,_xlfn.AGGREGATE(16,6,FIND({0,1,2,3,4,5,6,7,8,9},A408,ROW(INDIRECT("1:"&amp;LEN(A408)))),1))," ",REPT(" ",LEN(A408))),LEN(A408)))), LARGE(INDEX(ISNUMBER(--MID((--TRIM(RIGHT(SUBSTITUTE(LEFT(A408,_xlfn.AGGREGATE(16,6,FIND({0,1,2,3,4,5,6,7,8,9},A408,ROW(INDIRECT("1:"&amp;LEN(A408)))),1))," ",REPT(" ",LEN(A408))),LEN(A408)))), ROW(INDIRECT("1:"&amp;LEN((--TRIM(RIGHT(SUBSTITUTE(LEFT(A408,_xlfn.AGGREGATE(16,6,FIND({0,1,2,3,4,5,6,7,8,9},A408,ROW(INDIRECT("1:"&amp;LEN(A408)))),1))," ",REPT(" ",LEN(A408))),LEN(A408))))))), 1)) * ROW(INDIRECT("1:"&amp;LEN((--TRIM(RIGHT(SUBSTITUTE(LEFT(A408,_xlfn.AGGREGATE(16,6,FIND({0,1,2,3,4,5,6,7,8,9},A408,ROW(INDIRECT("1:"&amp;LEN(A408)))),1))," ",REPT(" ",LEN(A408))),LEN(A408))))))), 0), ROW(INDIRECT("1:"&amp;LEN((--TRIM(RIGHT(SUBSTITUTE(LEFT(A408,_xlfn.AGGREGATE(16,6,FIND({0,1,2,3,4,5,6,7,8,9},A408,ROW(INDIRECT("1:"&amp;LEN(A408)))),1))," ",REPT(" ",LEN(A408))),LEN(A408))))))))+1, 1) * 10^ROW(INDIRECT("1:"&amp;LEN((--TRIM(RIGHT(SUBSTITUTE(LEFT(A408,_xlfn.AGGREGATE(16,6,FIND({0,1,2,3,4,5,6,7,8,9},A408,ROW(INDIRECT("1:"&amp;LEN(A408)))),1))," ",REPT(" ",LEN(A408))),LEN(A408)))))))/10))*1+1</f>
        <v>203 &amp; 503</v>
      </c>
      <c r="B409" s="108"/>
      <c r="C409" s="39"/>
      <c r="D409" s="39"/>
      <c r="E409" s="39">
        <v>0</v>
      </c>
      <c r="F409" s="39">
        <f>D409+E409</f>
        <v>0</v>
      </c>
      <c r="G409" s="39">
        <v>0</v>
      </c>
      <c r="H409" s="39">
        <f>F409*(($H$268)+1)+(IF(G409&lt;101,G409,IF(G409&lt;201,G409/2,IF(G409&lt;=301,G409/3,G409/4))))</f>
        <v>0</v>
      </c>
      <c r="I409" s="33"/>
    </row>
    <row r="410" spans="1:20" s="34" customFormat="1" ht="15.75" hidden="1" customHeight="1" x14ac:dyDescent="0.35">
      <c r="A410" s="107" t="str">
        <f ca="1">(SUMPRODUCT(MID(0&amp;(LEFT(A409,SUM(LEN(A409)-LEN(SUBSTITUTE(A409,{"0","1","2"},""))))), LARGE(INDEX(ISNUMBER(--MID((LEFT(A409,SUM(LEN(A409)-LEN(SUBSTITUTE(A409,{"0","1","2"},""))))), ROW(INDIRECT("1:"&amp;LEN((LEFT(A409,SUM(LEN(A409)-LEN(SUBSTITUTE(A409,{"0","1","2"},"")))))))), 1)) * ROW(INDIRECT("1:"&amp;LEN((LEFT(A409,SUM(LEN(A409)-LEN(SUBSTITUTE(A409,{"0","1","2"},"")))))))), 0), ROW(INDIRECT("1:"&amp;LEN((LEFT(A409,SUM(LEN(A409)-LEN(SUBSTITUTE(A409,{"0","1","2"},"")))))))))+1, 1) * 10^ROW(INDIRECT("1:"&amp;LEN((LEFT(A409,SUM(LEN(A409)-LEN(SUBSTITUTE(A409,{"0","1","2"},""))))))))/10))*1+1&amp;""&amp;" &amp; "&amp;""&amp;(SUMPRODUCT(MID(0&amp;(--TRIM(RIGHT(SUBSTITUTE(LEFT(A409,_xlfn.AGGREGATE(16,6,FIND({0,1,2,3,4,5,6,7,8,9},A409,ROW(INDIRECT("1:"&amp;LEN(A409)))),1))," ",REPT(" ",LEN(A409))),LEN(A409)))), LARGE(INDEX(ISNUMBER(--MID((--TRIM(RIGHT(SUBSTITUTE(LEFT(A409,_xlfn.AGGREGATE(16,6,FIND({0,1,2,3,4,5,6,7,8,9},A409,ROW(INDIRECT("1:"&amp;LEN(A409)))),1))," ",REPT(" ",LEN(A409))),LEN(A409)))), ROW(INDIRECT("1:"&amp;LEN((--TRIM(RIGHT(SUBSTITUTE(LEFT(A409,_xlfn.AGGREGATE(16,6,FIND({0,1,2,3,4,5,6,7,8,9},A409,ROW(INDIRECT("1:"&amp;LEN(A409)))),1))," ",REPT(" ",LEN(A409))),LEN(A409))))))), 1)) * ROW(INDIRECT("1:"&amp;LEN((--TRIM(RIGHT(SUBSTITUTE(LEFT(A409,_xlfn.AGGREGATE(16,6,FIND({0,1,2,3,4,5,6,7,8,9},A409,ROW(INDIRECT("1:"&amp;LEN(A409)))),1))," ",REPT(" ",LEN(A409))),LEN(A409))))))), 0), ROW(INDIRECT("1:"&amp;LEN((--TRIM(RIGHT(SUBSTITUTE(LEFT(A409,_xlfn.AGGREGATE(16,6,FIND({0,1,2,3,4,5,6,7,8,9},A409,ROW(INDIRECT("1:"&amp;LEN(A409)))),1))," ",REPT(" ",LEN(A409))),LEN(A409))))))))+1, 1) * 10^ROW(INDIRECT("1:"&amp;LEN((--TRIM(RIGHT(SUBSTITUTE(LEFT(A409,_xlfn.AGGREGATE(16,6,FIND({0,1,2,3,4,5,6,7,8,9},A409,ROW(INDIRECT("1:"&amp;LEN(A409)))),1))," ",REPT(" ",LEN(A409))),LEN(A409)))))))/10))*1+1</f>
        <v>204 &amp; 504</v>
      </c>
      <c r="B410" s="108"/>
      <c r="C410" s="39"/>
      <c r="D410" s="39"/>
      <c r="E410" s="39">
        <v>0</v>
      </c>
      <c r="F410" s="39">
        <f>D410+E410</f>
        <v>0</v>
      </c>
      <c r="G410" s="39">
        <v>0</v>
      </c>
      <c r="H410" s="39">
        <f>F410*(($H$268)+1)+(IF(G410&lt;101,G410,IF(G410&lt;201,G410/2,IF(G410&lt;=301,G410/3,G410/4))))</f>
        <v>0</v>
      </c>
      <c r="I410" s="33"/>
    </row>
    <row r="411" spans="1:20" s="34" customFormat="1" ht="15.75" hidden="1" customHeight="1" x14ac:dyDescent="0.35">
      <c r="A411" s="107" t="str">
        <f ca="1">(SUMPRODUCT(MID(0&amp;(LEFT(A410,SUM(LEN(A410)-LEN(SUBSTITUTE(A410,{"0","1","2"},""))))), LARGE(INDEX(ISNUMBER(--MID((LEFT(A410,SUM(LEN(A410)-LEN(SUBSTITUTE(A410,{"0","1","2"},""))))), ROW(INDIRECT("1:"&amp;LEN((LEFT(A410,SUM(LEN(A410)-LEN(SUBSTITUTE(A410,{"0","1","2"},"")))))))), 1)) * ROW(INDIRECT("1:"&amp;LEN((LEFT(A410,SUM(LEN(A410)-LEN(SUBSTITUTE(A410,{"0","1","2"},"")))))))), 0), ROW(INDIRECT("1:"&amp;LEN((LEFT(A410,SUM(LEN(A410)-LEN(SUBSTITUTE(A410,{"0","1","2"},"")))))))))+1, 1) * 10^ROW(INDIRECT("1:"&amp;LEN((LEFT(A410,SUM(LEN(A410)-LEN(SUBSTITUTE(A410,{"0","1","2"},""))))))))/10))*1+1&amp;""&amp;" &amp; "&amp;""&amp;(SUMPRODUCT(MID(0&amp;(--TRIM(RIGHT(SUBSTITUTE(LEFT(A410,_xlfn.AGGREGATE(16,6,FIND({0,1,2,3,4,5,6,7,8,9},A410,ROW(INDIRECT("1:"&amp;LEN(A410)))),1))," ",REPT(" ",LEN(A410))),LEN(A410)))), LARGE(INDEX(ISNUMBER(--MID((--TRIM(RIGHT(SUBSTITUTE(LEFT(A410,_xlfn.AGGREGATE(16,6,FIND({0,1,2,3,4,5,6,7,8,9},A410,ROW(INDIRECT("1:"&amp;LEN(A410)))),1))," ",REPT(" ",LEN(A410))),LEN(A410)))), ROW(INDIRECT("1:"&amp;LEN((--TRIM(RIGHT(SUBSTITUTE(LEFT(A410,_xlfn.AGGREGATE(16,6,FIND({0,1,2,3,4,5,6,7,8,9},A410,ROW(INDIRECT("1:"&amp;LEN(A410)))),1))," ",REPT(" ",LEN(A410))),LEN(A410))))))), 1)) * ROW(INDIRECT("1:"&amp;LEN((--TRIM(RIGHT(SUBSTITUTE(LEFT(A410,_xlfn.AGGREGATE(16,6,FIND({0,1,2,3,4,5,6,7,8,9},A410,ROW(INDIRECT("1:"&amp;LEN(A410)))),1))," ",REPT(" ",LEN(A410))),LEN(A410))))))), 0), ROW(INDIRECT("1:"&amp;LEN((--TRIM(RIGHT(SUBSTITUTE(LEFT(A410,_xlfn.AGGREGATE(16,6,FIND({0,1,2,3,4,5,6,7,8,9},A410,ROW(INDIRECT("1:"&amp;LEN(A410)))),1))," ",REPT(" ",LEN(A410))),LEN(A410))))))))+1, 1) * 10^ROW(INDIRECT("1:"&amp;LEN((--TRIM(RIGHT(SUBSTITUTE(LEFT(A410,_xlfn.AGGREGATE(16,6,FIND({0,1,2,3,4,5,6,7,8,9},A410,ROW(INDIRECT("1:"&amp;LEN(A410)))),1))," ",REPT(" ",LEN(A410))),LEN(A410)))))))/10))*1+1</f>
        <v>205 &amp; 505</v>
      </c>
      <c r="B411" s="108"/>
      <c r="C411" s="39"/>
      <c r="D411" s="39"/>
      <c r="E411" s="39">
        <v>0</v>
      </c>
      <c r="F411" s="39">
        <f>D411+E411</f>
        <v>0</v>
      </c>
      <c r="G411" s="39">
        <v>0</v>
      </c>
      <c r="H411" s="39">
        <f>F411*(($H$268)+1)+(IF(G411&lt;101,G411,IF(G411&lt;201,G411/2,IF(G411&lt;=301,G411/3,G411/4))))</f>
        <v>0</v>
      </c>
      <c r="I411" s="33"/>
    </row>
    <row r="412" spans="1:20" s="32" customFormat="1" x14ac:dyDescent="0.35">
      <c r="A412" s="216" t="s">
        <v>65</v>
      </c>
      <c r="B412" s="216"/>
      <c r="C412" s="216"/>
      <c r="D412" s="216"/>
      <c r="E412" s="216"/>
      <c r="F412" s="216"/>
      <c r="G412" s="216"/>
      <c r="H412" s="216"/>
      <c r="T412" s="34"/>
    </row>
    <row r="413" spans="1:20" s="32" customFormat="1" ht="49.5" customHeight="1" x14ac:dyDescent="0.35">
      <c r="A413" s="41" t="s">
        <v>149</v>
      </c>
      <c r="B413" s="203" t="s">
        <v>443</v>
      </c>
      <c r="C413" s="204"/>
      <c r="D413" s="204"/>
      <c r="E413" s="204"/>
      <c r="F413" s="204"/>
      <c r="G413" s="204"/>
      <c r="H413" s="205"/>
      <c r="T413" s="34"/>
    </row>
    <row r="414" spans="1:20" s="32" customFormat="1" x14ac:dyDescent="0.35">
      <c r="A414" s="41" t="s">
        <v>149</v>
      </c>
      <c r="B414" s="112" t="str">
        <f>(IF(H267="Saleable area Loading :","We have considered Saleable area of Flats as per our Calculation.","We considered Saleable area of Flat as per Builder area Sheet."))</f>
        <v>We have considered Saleable area of Flats as per our Calculation.</v>
      </c>
      <c r="C414" s="113"/>
      <c r="D414" s="113"/>
      <c r="E414" s="113"/>
      <c r="F414" s="113"/>
      <c r="G414" s="113"/>
      <c r="H414" s="114"/>
      <c r="T414" s="34"/>
    </row>
    <row r="415" spans="1:20" s="32" customFormat="1" x14ac:dyDescent="0.35">
      <c r="A415" s="41" t="s">
        <v>149</v>
      </c>
      <c r="B415" s="112" t="str">
        <f>(IF(H228="Saleable area Loading :","We have considered Saleable area of Commercial as per our Calculation.","We considered Saleable area of Commercial as per Builder area Sheet."))</f>
        <v>We have considered Saleable area of Commercial as per our Calculation.</v>
      </c>
      <c r="C415" s="113"/>
      <c r="D415" s="113"/>
      <c r="E415" s="113"/>
      <c r="F415" s="113"/>
      <c r="G415" s="113"/>
      <c r="H415" s="114"/>
      <c r="T415" s="34"/>
    </row>
    <row r="416" spans="1:20" s="32" customFormat="1" x14ac:dyDescent="0.35">
      <c r="A416" s="41" t="s">
        <v>149</v>
      </c>
      <c r="B416" s="140" t="s">
        <v>116</v>
      </c>
      <c r="C416" s="141"/>
      <c r="D416" s="141"/>
      <c r="E416" s="141"/>
      <c r="F416" s="141"/>
      <c r="G416" s="141"/>
      <c r="H416" s="142"/>
      <c r="T416" s="34"/>
    </row>
    <row r="417" spans="1:20" s="32" customFormat="1" ht="17.25" customHeight="1" x14ac:dyDescent="0.35">
      <c r="A417" s="41" t="s">
        <v>149</v>
      </c>
      <c r="B417" s="140" t="s">
        <v>373</v>
      </c>
      <c r="C417" s="141"/>
      <c r="D417" s="141"/>
      <c r="E417" s="141"/>
      <c r="F417" s="141"/>
      <c r="G417" s="141"/>
      <c r="H417" s="142"/>
      <c r="T417" s="34"/>
    </row>
    <row r="418" spans="1:20" s="32" customFormat="1" x14ac:dyDescent="0.35">
      <c r="A418" s="41" t="s">
        <v>149</v>
      </c>
      <c r="B418" s="140" t="s">
        <v>148</v>
      </c>
      <c r="C418" s="141"/>
      <c r="D418" s="141"/>
      <c r="E418" s="141"/>
      <c r="F418" s="141"/>
      <c r="G418" s="141"/>
      <c r="H418" s="142"/>
    </row>
    <row r="419" spans="1:20" s="32" customFormat="1" x14ac:dyDescent="0.35">
      <c r="A419" s="41" t="s">
        <v>149</v>
      </c>
      <c r="B419" s="140" t="s">
        <v>117</v>
      </c>
      <c r="C419" s="141"/>
      <c r="D419" s="141"/>
      <c r="E419" s="141"/>
      <c r="F419" s="141"/>
      <c r="G419" s="141"/>
      <c r="H419" s="142"/>
    </row>
    <row r="420" spans="1:20" s="32" customFormat="1" ht="34.5" hidden="1" customHeight="1" x14ac:dyDescent="0.35">
      <c r="A420" s="41" t="s">
        <v>149</v>
      </c>
      <c r="B420" s="140" t="s">
        <v>150</v>
      </c>
      <c r="C420" s="141"/>
      <c r="D420" s="141"/>
      <c r="E420" s="141"/>
      <c r="F420" s="141"/>
      <c r="G420" s="141"/>
      <c r="H420" s="142"/>
    </row>
    <row r="421" spans="1:20" s="32" customFormat="1" x14ac:dyDescent="0.35">
      <c r="A421" s="41" t="s">
        <v>149</v>
      </c>
      <c r="B421" s="140" t="s">
        <v>118</v>
      </c>
      <c r="C421" s="141"/>
      <c r="D421" s="141"/>
      <c r="E421" s="141"/>
      <c r="F421" s="141"/>
      <c r="G421" s="141"/>
      <c r="H421" s="142"/>
    </row>
    <row r="422" spans="1:20" s="32" customFormat="1" ht="32.25" hidden="1" customHeight="1" x14ac:dyDescent="0.35">
      <c r="A422" s="41" t="s">
        <v>149</v>
      </c>
      <c r="B422" s="104" t="s">
        <v>175</v>
      </c>
      <c r="C422" s="105"/>
      <c r="D422" s="105"/>
      <c r="E422" s="105"/>
      <c r="F422" s="105"/>
      <c r="G422" s="105"/>
      <c r="H422" s="106"/>
    </row>
    <row r="423" spans="1:20" s="32" customFormat="1" hidden="1" x14ac:dyDescent="0.35">
      <c r="A423" s="41" t="s">
        <v>149</v>
      </c>
      <c r="B423" s="104" t="s">
        <v>229</v>
      </c>
      <c r="C423" s="105"/>
      <c r="D423" s="105"/>
      <c r="E423" s="105"/>
      <c r="F423" s="105"/>
      <c r="G423" s="105"/>
      <c r="H423" s="106"/>
    </row>
    <row r="424" spans="1:20" s="32" customFormat="1" x14ac:dyDescent="0.35">
      <c r="A424" s="41" t="s">
        <v>149</v>
      </c>
      <c r="B424" s="203" t="s">
        <v>433</v>
      </c>
      <c r="C424" s="204"/>
      <c r="D424" s="204"/>
      <c r="E424" s="204"/>
      <c r="F424" s="204"/>
      <c r="G424" s="204"/>
      <c r="H424" s="205"/>
    </row>
    <row r="425" spans="1:20" s="32" customFormat="1" ht="15.75" customHeight="1" x14ac:dyDescent="0.35">
      <c r="A425" s="41" t="s">
        <v>149</v>
      </c>
      <c r="B425" s="98" t="s">
        <v>420</v>
      </c>
      <c r="C425" s="99"/>
      <c r="D425" s="97" t="s">
        <v>410</v>
      </c>
      <c r="E425" s="97"/>
      <c r="F425" s="97" t="s">
        <v>411</v>
      </c>
      <c r="G425" s="97"/>
      <c r="H425" s="97"/>
    </row>
    <row r="426" spans="1:20" s="32" customFormat="1" ht="15.75" customHeight="1" x14ac:dyDescent="0.35">
      <c r="A426" s="41" t="s">
        <v>149</v>
      </c>
      <c r="B426" s="100"/>
      <c r="C426" s="101"/>
      <c r="D426" s="97" t="s">
        <v>354</v>
      </c>
      <c r="E426" s="97"/>
      <c r="F426" s="97" t="s">
        <v>414</v>
      </c>
      <c r="G426" s="97"/>
      <c r="H426" s="97"/>
    </row>
    <row r="427" spans="1:20" s="32" customFormat="1" ht="15.75" customHeight="1" x14ac:dyDescent="0.35">
      <c r="A427" s="41" t="s">
        <v>149</v>
      </c>
      <c r="B427" s="100"/>
      <c r="C427" s="101"/>
      <c r="D427" s="97" t="s">
        <v>365</v>
      </c>
      <c r="E427" s="97"/>
      <c r="F427" s="97" t="s">
        <v>415</v>
      </c>
      <c r="G427" s="97"/>
      <c r="H427" s="97"/>
    </row>
    <row r="428" spans="1:20" s="32" customFormat="1" ht="15.75" customHeight="1" x14ac:dyDescent="0.35">
      <c r="A428" s="41" t="s">
        <v>149</v>
      </c>
      <c r="B428" s="100"/>
      <c r="C428" s="101"/>
      <c r="D428" s="97" t="s">
        <v>368</v>
      </c>
      <c r="E428" s="97"/>
      <c r="F428" s="97" t="s">
        <v>413</v>
      </c>
      <c r="G428" s="97"/>
      <c r="H428" s="97"/>
    </row>
    <row r="429" spans="1:20" s="32" customFormat="1" ht="15.75" customHeight="1" x14ac:dyDescent="0.35">
      <c r="A429" s="41" t="s">
        <v>149</v>
      </c>
      <c r="B429" s="100"/>
      <c r="C429" s="101"/>
      <c r="D429" s="97" t="s">
        <v>376</v>
      </c>
      <c r="E429" s="97"/>
      <c r="F429" s="97" t="s">
        <v>412</v>
      </c>
      <c r="G429" s="97"/>
      <c r="H429" s="97"/>
    </row>
    <row r="430" spans="1:20" s="32" customFormat="1" ht="15.75" customHeight="1" x14ac:dyDescent="0.35">
      <c r="A430" s="41" t="s">
        <v>149</v>
      </c>
      <c r="B430" s="100"/>
      <c r="C430" s="101"/>
      <c r="D430" s="97" t="s">
        <v>380</v>
      </c>
      <c r="E430" s="97"/>
      <c r="F430" s="97" t="s">
        <v>416</v>
      </c>
      <c r="G430" s="97"/>
      <c r="H430" s="97"/>
    </row>
    <row r="431" spans="1:20" s="32" customFormat="1" ht="15.75" customHeight="1" x14ac:dyDescent="0.35">
      <c r="A431" s="41" t="s">
        <v>149</v>
      </c>
      <c r="B431" s="102"/>
      <c r="C431" s="103"/>
      <c r="D431" s="97" t="s">
        <v>418</v>
      </c>
      <c r="E431" s="97"/>
      <c r="F431" s="97" t="s">
        <v>417</v>
      </c>
      <c r="G431" s="97"/>
      <c r="H431" s="97"/>
    </row>
    <row r="432" spans="1:20" s="32" customFormat="1" hidden="1" x14ac:dyDescent="0.35">
      <c r="A432" s="41" t="s">
        <v>149</v>
      </c>
      <c r="B432" s="97"/>
      <c r="C432" s="97"/>
      <c r="D432" s="97"/>
      <c r="E432" s="97"/>
      <c r="F432" s="97"/>
      <c r="G432" s="97"/>
      <c r="H432" s="97"/>
    </row>
    <row r="433" spans="1:20" x14ac:dyDescent="0.35">
      <c r="A433" s="199" t="s">
        <v>58</v>
      </c>
      <c r="B433" s="199"/>
      <c r="C433" s="199"/>
      <c r="D433" s="199"/>
      <c r="E433" s="199"/>
      <c r="F433" s="199"/>
      <c r="G433" s="199"/>
      <c r="H433" s="199"/>
      <c r="T433" s="32"/>
    </row>
    <row r="434" spans="1:20" x14ac:dyDescent="0.35">
      <c r="A434" s="128" t="s">
        <v>59</v>
      </c>
      <c r="B434" s="128"/>
      <c r="C434" s="128"/>
      <c r="D434" s="128"/>
      <c r="E434" s="128"/>
      <c r="F434" s="128"/>
      <c r="G434" s="128"/>
      <c r="H434" s="128"/>
      <c r="T434" s="32"/>
    </row>
    <row r="435" spans="1:20" ht="15.75" customHeight="1" x14ac:dyDescent="0.35">
      <c r="A435" s="225" t="s">
        <v>60</v>
      </c>
      <c r="B435" s="225"/>
      <c r="C435" s="225"/>
      <c r="D435" s="225"/>
      <c r="E435" s="225"/>
      <c r="F435" s="225"/>
      <c r="G435" s="225"/>
      <c r="H435" s="225"/>
      <c r="T435" s="32"/>
    </row>
    <row r="436" spans="1:20" x14ac:dyDescent="0.35">
      <c r="A436" s="128" t="s">
        <v>61</v>
      </c>
      <c r="B436" s="128"/>
      <c r="C436" s="128"/>
      <c r="D436" s="128"/>
      <c r="E436" s="128"/>
      <c r="F436" s="128"/>
      <c r="G436" s="128"/>
      <c r="H436" s="128"/>
      <c r="T436" s="32"/>
    </row>
    <row r="437" spans="1:20" x14ac:dyDescent="0.35">
      <c r="A437" s="128" t="s">
        <v>62</v>
      </c>
      <c r="B437" s="128"/>
      <c r="C437" s="128"/>
      <c r="D437" s="128"/>
      <c r="E437" s="128"/>
      <c r="F437" s="128"/>
      <c r="G437" s="128"/>
      <c r="H437" s="128"/>
      <c r="T437" s="32"/>
    </row>
    <row r="438" spans="1:20" x14ac:dyDescent="0.35">
      <c r="A438" s="128" t="s">
        <v>119</v>
      </c>
      <c r="B438" s="128"/>
      <c r="C438" s="128"/>
      <c r="D438" s="128"/>
      <c r="E438" s="128"/>
      <c r="F438" s="128"/>
      <c r="G438" s="128"/>
      <c r="H438" s="128"/>
      <c r="T438" s="32"/>
    </row>
    <row r="439" spans="1:20" ht="34" customHeight="1" x14ac:dyDescent="0.35">
      <c r="A439" s="168" t="s">
        <v>120</v>
      </c>
      <c r="B439" s="168"/>
      <c r="C439" s="168"/>
      <c r="D439" s="168"/>
      <c r="E439" s="168"/>
      <c r="F439" s="168"/>
      <c r="G439" s="168"/>
      <c r="H439" s="168"/>
    </row>
    <row r="440" spans="1:20" x14ac:dyDescent="0.35">
      <c r="A440" s="194" t="s">
        <v>74</v>
      </c>
      <c r="B440" s="194"/>
      <c r="C440" s="194" t="s">
        <v>440</v>
      </c>
      <c r="D440" s="194"/>
      <c r="E440" s="194" t="s">
        <v>102</v>
      </c>
      <c r="F440" s="194"/>
      <c r="G440" s="195" t="s">
        <v>439</v>
      </c>
      <c r="H440" s="195"/>
    </row>
    <row r="441" spans="1:20" x14ac:dyDescent="0.35">
      <c r="A441" s="193" t="s">
        <v>76</v>
      </c>
      <c r="B441" s="193"/>
      <c r="C441" s="193"/>
      <c r="D441" s="193"/>
      <c r="E441" s="193"/>
      <c r="F441" s="193"/>
      <c r="G441" s="193"/>
      <c r="H441" s="193"/>
    </row>
    <row r="442" spans="1:20" x14ac:dyDescent="0.35">
      <c r="A442" s="193"/>
      <c r="B442" s="193"/>
      <c r="C442" s="193"/>
      <c r="D442" s="193"/>
      <c r="E442" s="193"/>
      <c r="F442" s="193"/>
      <c r="G442" s="193"/>
      <c r="H442" s="193"/>
    </row>
    <row r="443" spans="1:20" x14ac:dyDescent="0.35">
      <c r="A443" s="193"/>
      <c r="B443" s="193"/>
      <c r="C443" s="193"/>
      <c r="D443" s="193"/>
      <c r="E443" s="193"/>
      <c r="F443" s="193"/>
      <c r="G443" s="193"/>
      <c r="H443" s="193"/>
    </row>
    <row r="444" spans="1:20" x14ac:dyDescent="0.35">
      <c r="A444" s="193"/>
      <c r="B444" s="193"/>
      <c r="C444" s="193"/>
      <c r="D444" s="193"/>
      <c r="E444" s="193"/>
      <c r="F444" s="193"/>
      <c r="G444" s="193"/>
      <c r="H444" s="193"/>
    </row>
    <row r="445" spans="1:20" x14ac:dyDescent="0.35">
      <c r="A445" s="35" t="s">
        <v>63</v>
      </c>
      <c r="B445" s="36"/>
      <c r="C445" s="36"/>
      <c r="D445" s="35" t="str">
        <f>E9</f>
        <v>Rajlaxxmi Park</v>
      </c>
      <c r="F445" s="36"/>
      <c r="G445" s="36"/>
      <c r="H445" s="36"/>
    </row>
    <row r="446" spans="1:20" x14ac:dyDescent="0.35">
      <c r="A446" s="36"/>
      <c r="B446" s="36"/>
      <c r="C446" s="36"/>
      <c r="D446" s="36"/>
      <c r="E446" s="36"/>
      <c r="F446" s="36"/>
      <c r="G446" s="36"/>
      <c r="H446" s="36"/>
    </row>
    <row r="447" spans="1:20" x14ac:dyDescent="0.35">
      <c r="A447" s="36"/>
      <c r="B447" s="36"/>
      <c r="C447" s="36"/>
      <c r="D447" s="36"/>
      <c r="E447" s="36"/>
      <c r="F447" s="36"/>
      <c r="G447" s="36"/>
      <c r="H447" s="36"/>
    </row>
    <row r="448" spans="1:20" ht="15" customHeight="1" x14ac:dyDescent="0.35"/>
    <row r="488" spans="1:1" x14ac:dyDescent="0.35">
      <c r="A488" s="38" t="s">
        <v>160</v>
      </c>
    </row>
    <row r="531" spans="1:1" x14ac:dyDescent="0.35">
      <c r="A531" s="38" t="s">
        <v>64</v>
      </c>
    </row>
  </sheetData>
  <mergeCells count="719">
    <mergeCell ref="B424:H424"/>
    <mergeCell ref="A211:B211"/>
    <mergeCell ref="C211:D211"/>
    <mergeCell ref="E211:F211"/>
    <mergeCell ref="G211:H211"/>
    <mergeCell ref="A393:B393"/>
    <mergeCell ref="A387:H387"/>
    <mergeCell ref="L387:M387"/>
    <mergeCell ref="A388:B388"/>
    <mergeCell ref="A389:B389"/>
    <mergeCell ref="A390:B390"/>
    <mergeCell ref="A391:B391"/>
    <mergeCell ref="A392:B392"/>
    <mergeCell ref="A380:H380"/>
    <mergeCell ref="L380:M380"/>
    <mergeCell ref="A384:B384"/>
    <mergeCell ref="A385:B385"/>
    <mergeCell ref="A386:B386"/>
    <mergeCell ref="A381:H381"/>
    <mergeCell ref="L381:M381"/>
    <mergeCell ref="A382:B382"/>
    <mergeCell ref="A383:B383"/>
    <mergeCell ref="A361:H361"/>
    <mergeCell ref="A368:B368"/>
    <mergeCell ref="A369:B369"/>
    <mergeCell ref="A376:B376"/>
    <mergeCell ref="A377:B377"/>
    <mergeCell ref="A378:B378"/>
    <mergeCell ref="A379:B379"/>
    <mergeCell ref="A371:B371"/>
    <mergeCell ref="A372:B372"/>
    <mergeCell ref="A373:B373"/>
    <mergeCell ref="A374:B374"/>
    <mergeCell ref="A375:B375"/>
    <mergeCell ref="A336:B336"/>
    <mergeCell ref="L343:M343"/>
    <mergeCell ref="A350:B350"/>
    <mergeCell ref="A351:B351"/>
    <mergeCell ref="A352:H352"/>
    <mergeCell ref="A353:H353"/>
    <mergeCell ref="L353:M353"/>
    <mergeCell ref="A360:B360"/>
    <mergeCell ref="A370:H370"/>
    <mergeCell ref="L370:M370"/>
    <mergeCell ref="A365:B365"/>
    <mergeCell ref="A366:B366"/>
    <mergeCell ref="A367:B367"/>
    <mergeCell ref="A355:B355"/>
    <mergeCell ref="A356:B356"/>
    <mergeCell ref="A357:B357"/>
    <mergeCell ref="A358:B358"/>
    <mergeCell ref="A359:B359"/>
    <mergeCell ref="A362:H362"/>
    <mergeCell ref="L362:M362"/>
    <mergeCell ref="A363:B363"/>
    <mergeCell ref="A364:B364"/>
    <mergeCell ref="A344:H344"/>
    <mergeCell ref="L344:M344"/>
    <mergeCell ref="A346:B346"/>
    <mergeCell ref="A347:B347"/>
    <mergeCell ref="A348:B348"/>
    <mergeCell ref="A349:B349"/>
    <mergeCell ref="A354:H354"/>
    <mergeCell ref="L354:M354"/>
    <mergeCell ref="A337:B337"/>
    <mergeCell ref="A338:B338"/>
    <mergeCell ref="A339:B339"/>
    <mergeCell ref="A340:B340"/>
    <mergeCell ref="A341:H341"/>
    <mergeCell ref="A342:H342"/>
    <mergeCell ref="A343:H343"/>
    <mergeCell ref="A345:B345"/>
    <mergeCell ref="L301:M301"/>
    <mergeCell ref="A302:B302"/>
    <mergeCell ref="A303:B303"/>
    <mergeCell ref="A304:B304"/>
    <mergeCell ref="A305:B305"/>
    <mergeCell ref="A312:B312"/>
    <mergeCell ref="A313:B313"/>
    <mergeCell ref="A314:H314"/>
    <mergeCell ref="A315:H315"/>
    <mergeCell ref="L306:M306"/>
    <mergeCell ref="A301:H301"/>
    <mergeCell ref="A310:B310"/>
    <mergeCell ref="L316:M316"/>
    <mergeCell ref="A327:B327"/>
    <mergeCell ref="A328:B328"/>
    <mergeCell ref="A331:B331"/>
    <mergeCell ref="A332:B332"/>
    <mergeCell ref="A333:B333"/>
    <mergeCell ref="A334:H334"/>
    <mergeCell ref="L334:M334"/>
    <mergeCell ref="A335:B335"/>
    <mergeCell ref="A321:H321"/>
    <mergeCell ref="L321:M321"/>
    <mergeCell ref="A322:B322"/>
    <mergeCell ref="A323:B323"/>
    <mergeCell ref="A324:B324"/>
    <mergeCell ref="A325:B325"/>
    <mergeCell ref="A326:B326"/>
    <mergeCell ref="A330:H330"/>
    <mergeCell ref="L330:M330"/>
    <mergeCell ref="A329:H329"/>
    <mergeCell ref="A316:H316"/>
    <mergeCell ref="A317:B317"/>
    <mergeCell ref="A318:B318"/>
    <mergeCell ref="A319:B319"/>
    <mergeCell ref="A320:B320"/>
    <mergeCell ref="A221:B221"/>
    <mergeCell ref="C221:D221"/>
    <mergeCell ref="E221:F221"/>
    <mergeCell ref="G221:H221"/>
    <mergeCell ref="A222:B222"/>
    <mergeCell ref="C222:D222"/>
    <mergeCell ref="E222:F222"/>
    <mergeCell ref="G222:H222"/>
    <mergeCell ref="A296:B296"/>
    <mergeCell ref="A265:B265"/>
    <mergeCell ref="A260:H260"/>
    <mergeCell ref="A261:B261"/>
    <mergeCell ref="A246:H246"/>
    <mergeCell ref="A247:B247"/>
    <mergeCell ref="A242:B242"/>
    <mergeCell ref="A223:B223"/>
    <mergeCell ref="C223:D223"/>
    <mergeCell ref="E223:F223"/>
    <mergeCell ref="G223:H223"/>
    <mergeCell ref="A300:H300"/>
    <mergeCell ref="L296:M296"/>
    <mergeCell ref="A297:B297"/>
    <mergeCell ref="L297:M297"/>
    <mergeCell ref="A298:B298"/>
    <mergeCell ref="L298:M298"/>
    <mergeCell ref="A278:B278"/>
    <mergeCell ref="L278:M278"/>
    <mergeCell ref="A299:B299"/>
    <mergeCell ref="L299:M299"/>
    <mergeCell ref="A279:H279"/>
    <mergeCell ref="A280:B280"/>
    <mergeCell ref="L280:M280"/>
    <mergeCell ref="A281:B281"/>
    <mergeCell ref="L281:M281"/>
    <mergeCell ref="A282:B282"/>
    <mergeCell ref="L282:M282"/>
    <mergeCell ref="A283:B283"/>
    <mergeCell ref="L283:M283"/>
    <mergeCell ref="A284:B284"/>
    <mergeCell ref="L284:M284"/>
    <mergeCell ref="A288:H288"/>
    <mergeCell ref="A289:B289"/>
    <mergeCell ref="L289:M289"/>
    <mergeCell ref="L265:M265"/>
    <mergeCell ref="A271:H271"/>
    <mergeCell ref="A269:H269"/>
    <mergeCell ref="A270:H270"/>
    <mergeCell ref="A272:H272"/>
    <mergeCell ref="A294:H294"/>
    <mergeCell ref="A295:B295"/>
    <mergeCell ref="L295:M295"/>
    <mergeCell ref="A290:B290"/>
    <mergeCell ref="L290:M290"/>
    <mergeCell ref="A291:B291"/>
    <mergeCell ref="L291:M291"/>
    <mergeCell ref="A292:B292"/>
    <mergeCell ref="L292:M292"/>
    <mergeCell ref="A293:B293"/>
    <mergeCell ref="L293:M293"/>
    <mergeCell ref="A285:H285"/>
    <mergeCell ref="A286:H286"/>
    <mergeCell ref="A287:H287"/>
    <mergeCell ref="L277:M277"/>
    <mergeCell ref="L274:M274"/>
    <mergeCell ref="L275:M275"/>
    <mergeCell ref="L276:M276"/>
    <mergeCell ref="L261:M261"/>
    <mergeCell ref="A262:B262"/>
    <mergeCell ref="L262:M262"/>
    <mergeCell ref="A263:B263"/>
    <mergeCell ref="L263:M263"/>
    <mergeCell ref="A264:B264"/>
    <mergeCell ref="L264:M264"/>
    <mergeCell ref="A251:B251"/>
    <mergeCell ref="L251:M251"/>
    <mergeCell ref="A252:B252"/>
    <mergeCell ref="L252:M252"/>
    <mergeCell ref="A253:B253"/>
    <mergeCell ref="L253:M253"/>
    <mergeCell ref="A254:B254"/>
    <mergeCell ref="L254:M254"/>
    <mergeCell ref="A255:B255"/>
    <mergeCell ref="L255:M255"/>
    <mergeCell ref="A256:B256"/>
    <mergeCell ref="L256:M256"/>
    <mergeCell ref="A257:B257"/>
    <mergeCell ref="L257:M257"/>
    <mergeCell ref="A258:B258"/>
    <mergeCell ref="L258:M258"/>
    <mergeCell ref="A259:B259"/>
    <mergeCell ref="L247:M247"/>
    <mergeCell ref="A248:B248"/>
    <mergeCell ref="L248:M248"/>
    <mergeCell ref="A249:B249"/>
    <mergeCell ref="L249:M249"/>
    <mergeCell ref="A250:B250"/>
    <mergeCell ref="L250:M250"/>
    <mergeCell ref="A245:B245"/>
    <mergeCell ref="L245:M245"/>
    <mergeCell ref="C210:D210"/>
    <mergeCell ref="E210:F210"/>
    <mergeCell ref="G210:H210"/>
    <mergeCell ref="A215:B215"/>
    <mergeCell ref="C215:D215"/>
    <mergeCell ref="E215:F215"/>
    <mergeCell ref="G215:H215"/>
    <mergeCell ref="A216:B216"/>
    <mergeCell ref="C216:D216"/>
    <mergeCell ref="E216:F216"/>
    <mergeCell ref="G216:H216"/>
    <mergeCell ref="L243:M243"/>
    <mergeCell ref="A244:B244"/>
    <mergeCell ref="L244:M244"/>
    <mergeCell ref="A230:H230"/>
    <mergeCell ref="A236:B236"/>
    <mergeCell ref="L236:M236"/>
    <mergeCell ref="A237:B237"/>
    <mergeCell ref="L237:M237"/>
    <mergeCell ref="A238:B238"/>
    <mergeCell ref="L238:M238"/>
    <mergeCell ref="A239:B239"/>
    <mergeCell ref="L239:M239"/>
    <mergeCell ref="A240:B240"/>
    <mergeCell ref="L240:M240"/>
    <mergeCell ref="A241:B241"/>
    <mergeCell ref="L241:M241"/>
    <mergeCell ref="L235:M235"/>
    <mergeCell ref="L234:M234"/>
    <mergeCell ref="L233:M233"/>
    <mergeCell ref="L232:M232"/>
    <mergeCell ref="L259:M259"/>
    <mergeCell ref="A179:B179"/>
    <mergeCell ref="C179:H179"/>
    <mergeCell ref="A181:B181"/>
    <mergeCell ref="C181:H181"/>
    <mergeCell ref="A182:B182"/>
    <mergeCell ref="E182:F182"/>
    <mergeCell ref="G182:H182"/>
    <mergeCell ref="A183:B183"/>
    <mergeCell ref="E183:F192"/>
    <mergeCell ref="G183:H192"/>
    <mergeCell ref="A184:B184"/>
    <mergeCell ref="A185:B185"/>
    <mergeCell ref="A186:B186"/>
    <mergeCell ref="A187:B187"/>
    <mergeCell ref="A188:B188"/>
    <mergeCell ref="A189:B189"/>
    <mergeCell ref="A190:B190"/>
    <mergeCell ref="A191:B191"/>
    <mergeCell ref="A192:B192"/>
    <mergeCell ref="A232:B232"/>
    <mergeCell ref="G228:G229"/>
    <mergeCell ref="L242:M242"/>
    <mergeCell ref="A243:B243"/>
    <mergeCell ref="A165:B165"/>
    <mergeCell ref="C165:H165"/>
    <mergeCell ref="A167:B167"/>
    <mergeCell ref="C167:H167"/>
    <mergeCell ref="A168:B168"/>
    <mergeCell ref="E168:F168"/>
    <mergeCell ref="G168:H168"/>
    <mergeCell ref="A169:B169"/>
    <mergeCell ref="E169:F178"/>
    <mergeCell ref="G169:H178"/>
    <mergeCell ref="A170:B170"/>
    <mergeCell ref="A171:B171"/>
    <mergeCell ref="A172:B172"/>
    <mergeCell ref="A173:B173"/>
    <mergeCell ref="A174:B174"/>
    <mergeCell ref="A175:B175"/>
    <mergeCell ref="A176:B176"/>
    <mergeCell ref="A177:B177"/>
    <mergeCell ref="A178:B178"/>
    <mergeCell ref="A137:B137"/>
    <mergeCell ref="C137:H137"/>
    <mergeCell ref="A139:B139"/>
    <mergeCell ref="C139:H139"/>
    <mergeCell ref="A140:B140"/>
    <mergeCell ref="E140:F140"/>
    <mergeCell ref="G140:H140"/>
    <mergeCell ref="A141:B141"/>
    <mergeCell ref="E141:F150"/>
    <mergeCell ref="G141:H150"/>
    <mergeCell ref="A142:B142"/>
    <mergeCell ref="A143:B143"/>
    <mergeCell ref="A144:B144"/>
    <mergeCell ref="A145:B145"/>
    <mergeCell ref="A146:B146"/>
    <mergeCell ref="A147:B147"/>
    <mergeCell ref="A148:B148"/>
    <mergeCell ref="A149:B149"/>
    <mergeCell ref="A150:B150"/>
    <mergeCell ref="A107:B107"/>
    <mergeCell ref="E127:F136"/>
    <mergeCell ref="G127:H136"/>
    <mergeCell ref="A128:B128"/>
    <mergeCell ref="A129:B129"/>
    <mergeCell ref="A130:B130"/>
    <mergeCell ref="A131:B131"/>
    <mergeCell ref="A132:B132"/>
    <mergeCell ref="A133:B133"/>
    <mergeCell ref="A134:B134"/>
    <mergeCell ref="A135:B135"/>
    <mergeCell ref="A136:B136"/>
    <mergeCell ref="A109:B109"/>
    <mergeCell ref="C109:H109"/>
    <mergeCell ref="A111:B111"/>
    <mergeCell ref="C111:H111"/>
    <mergeCell ref="A112:B112"/>
    <mergeCell ref="E112:F112"/>
    <mergeCell ref="G112:H112"/>
    <mergeCell ref="A113:B113"/>
    <mergeCell ref="E113:F122"/>
    <mergeCell ref="G113:H122"/>
    <mergeCell ref="A114:B114"/>
    <mergeCell ref="A115:B115"/>
    <mergeCell ref="A116:B116"/>
    <mergeCell ref="A117:B117"/>
    <mergeCell ref="A118:B118"/>
    <mergeCell ref="A119:B119"/>
    <mergeCell ref="A120:B120"/>
    <mergeCell ref="A121:B121"/>
    <mergeCell ref="A122:B122"/>
    <mergeCell ref="A127:B127"/>
    <mergeCell ref="I15:P15"/>
    <mergeCell ref="E43:H43"/>
    <mergeCell ref="A43:D43"/>
    <mergeCell ref="A50:B50"/>
    <mergeCell ref="C53:H53"/>
    <mergeCell ref="C52:E52"/>
    <mergeCell ref="G52:H52"/>
    <mergeCell ref="A62:C62"/>
    <mergeCell ref="A63:C63"/>
    <mergeCell ref="D63:H63"/>
    <mergeCell ref="G60:H60"/>
    <mergeCell ref="A54:B55"/>
    <mergeCell ref="C54:E54"/>
    <mergeCell ref="G54:H54"/>
    <mergeCell ref="A56:B57"/>
    <mergeCell ref="C56:E56"/>
    <mergeCell ref="F203:H203"/>
    <mergeCell ref="F201:H201"/>
    <mergeCell ref="A396:B396"/>
    <mergeCell ref="A227:H227"/>
    <mergeCell ref="G207:H207"/>
    <mergeCell ref="A202:E202"/>
    <mergeCell ref="A233:B233"/>
    <mergeCell ref="A60:B60"/>
    <mergeCell ref="C60:E60"/>
    <mergeCell ref="D62:H62"/>
    <mergeCell ref="F202:H202"/>
    <mergeCell ref="E207:F207"/>
    <mergeCell ref="A207:B207"/>
    <mergeCell ref="A209:B209"/>
    <mergeCell ref="C214:D214"/>
    <mergeCell ref="D78:H78"/>
    <mergeCell ref="A79:C79"/>
    <mergeCell ref="A90:B90"/>
    <mergeCell ref="A394:H394"/>
    <mergeCell ref="D73:H73"/>
    <mergeCell ref="A65:C73"/>
    <mergeCell ref="D65:H65"/>
    <mergeCell ref="D66:H66"/>
    <mergeCell ref="A61:H61"/>
    <mergeCell ref="A409:B409"/>
    <mergeCell ref="A406:H406"/>
    <mergeCell ref="A438:H438"/>
    <mergeCell ref="A435:H435"/>
    <mergeCell ref="A307:B307"/>
    <mergeCell ref="A214:B214"/>
    <mergeCell ref="D267:D268"/>
    <mergeCell ref="E267:E268"/>
    <mergeCell ref="F194:H194"/>
    <mergeCell ref="G208:H208"/>
    <mergeCell ref="F200:H200"/>
    <mergeCell ref="C207:D207"/>
    <mergeCell ref="C224:D224"/>
    <mergeCell ref="A273:H273"/>
    <mergeCell ref="A398:B398"/>
    <mergeCell ref="A219:B219"/>
    <mergeCell ref="C219:D219"/>
    <mergeCell ref="E219:F219"/>
    <mergeCell ref="G219:H219"/>
    <mergeCell ref="A220:B220"/>
    <mergeCell ref="C220:D220"/>
    <mergeCell ref="E220:F220"/>
    <mergeCell ref="G220:H220"/>
    <mergeCell ref="A210:B210"/>
    <mergeCell ref="A123:B123"/>
    <mergeCell ref="C123:H123"/>
    <mergeCell ref="A125:B125"/>
    <mergeCell ref="C125:H125"/>
    <mergeCell ref="A126:B126"/>
    <mergeCell ref="E126:F126"/>
    <mergeCell ref="G126:H126"/>
    <mergeCell ref="B414:H414"/>
    <mergeCell ref="B416:H416"/>
    <mergeCell ref="A275:B275"/>
    <mergeCell ref="A276:B276"/>
    <mergeCell ref="A277:B277"/>
    <mergeCell ref="A195:E195"/>
    <mergeCell ref="D228:D229"/>
    <mergeCell ref="A197:E197"/>
    <mergeCell ref="A151:B151"/>
    <mergeCell ref="C151:H151"/>
    <mergeCell ref="A153:B153"/>
    <mergeCell ref="C153:H153"/>
    <mergeCell ref="A154:B154"/>
    <mergeCell ref="E154:F154"/>
    <mergeCell ref="G154:H154"/>
    <mergeCell ref="A155:B155"/>
    <mergeCell ref="E155:F164"/>
    <mergeCell ref="A88:B88"/>
    <mergeCell ref="E84:F84"/>
    <mergeCell ref="A92:B92"/>
    <mergeCell ref="A434:H434"/>
    <mergeCell ref="F193:H193"/>
    <mergeCell ref="F198:H198"/>
    <mergeCell ref="A274:B274"/>
    <mergeCell ref="A235:B235"/>
    <mergeCell ref="A234:B234"/>
    <mergeCell ref="A199:E199"/>
    <mergeCell ref="F199:H199"/>
    <mergeCell ref="A201:E201"/>
    <mergeCell ref="F196:H196"/>
    <mergeCell ref="A200:E200"/>
    <mergeCell ref="A266:H266"/>
    <mergeCell ref="E214:F214"/>
    <mergeCell ref="A226:H226"/>
    <mergeCell ref="A267:A268"/>
    <mergeCell ref="F267:F268"/>
    <mergeCell ref="A395:B395"/>
    <mergeCell ref="B417:H417"/>
    <mergeCell ref="A412:H412"/>
    <mergeCell ref="A404:B404"/>
    <mergeCell ref="A405:B405"/>
    <mergeCell ref="A196:E196"/>
    <mergeCell ref="A193:E193"/>
    <mergeCell ref="F197:H197"/>
    <mergeCell ref="A407:B407"/>
    <mergeCell ref="A408:B408"/>
    <mergeCell ref="A411:B411"/>
    <mergeCell ref="A410:B410"/>
    <mergeCell ref="B413:H413"/>
    <mergeCell ref="C217:D217"/>
    <mergeCell ref="E217:F217"/>
    <mergeCell ref="G217:H217"/>
    <mergeCell ref="A194:E194"/>
    <mergeCell ref="A231:H231"/>
    <mergeCell ref="E228:E229"/>
    <mergeCell ref="F228:F229"/>
    <mergeCell ref="C208:D208"/>
    <mergeCell ref="E208:F208"/>
    <mergeCell ref="B228:B229"/>
    <mergeCell ref="A228:A229"/>
    <mergeCell ref="C267:C268"/>
    <mergeCell ref="G267:G268"/>
    <mergeCell ref="G225:H225"/>
    <mergeCell ref="F195:H195"/>
    <mergeCell ref="A400:H400"/>
    <mergeCell ref="A441:H444"/>
    <mergeCell ref="A440:B440"/>
    <mergeCell ref="E440:F440"/>
    <mergeCell ref="C440:D440"/>
    <mergeCell ref="G440:H440"/>
    <mergeCell ref="A206:H206"/>
    <mergeCell ref="A204:E204"/>
    <mergeCell ref="F204:H204"/>
    <mergeCell ref="A205:E205"/>
    <mergeCell ref="F205:H205"/>
    <mergeCell ref="A306:H306"/>
    <mergeCell ref="A217:B217"/>
    <mergeCell ref="A397:B397"/>
    <mergeCell ref="A208:B208"/>
    <mergeCell ref="A436:H436"/>
    <mergeCell ref="A213:H213"/>
    <mergeCell ref="A439:H439"/>
    <mergeCell ref="A437:H437"/>
    <mergeCell ref="A433:H433"/>
    <mergeCell ref="G214:H214"/>
    <mergeCell ref="A311:B311"/>
    <mergeCell ref="A308:B308"/>
    <mergeCell ref="A309:B309"/>
    <mergeCell ref="A401:B40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F37:H37"/>
    <mergeCell ref="C51:E51"/>
    <mergeCell ref="C50:E50"/>
    <mergeCell ref="G50:H50"/>
    <mergeCell ref="A51:B51"/>
    <mergeCell ref="G56:H56"/>
    <mergeCell ref="A58:B59"/>
    <mergeCell ref="C58:E58"/>
    <mergeCell ref="G58:H58"/>
    <mergeCell ref="G51:H51"/>
    <mergeCell ref="A52:B53"/>
    <mergeCell ref="A40:B40"/>
    <mergeCell ref="A39:B39"/>
    <mergeCell ref="C39:H39"/>
    <mergeCell ref="A46:D46"/>
    <mergeCell ref="A47:D47"/>
    <mergeCell ref="A48:H48"/>
    <mergeCell ref="A45:D45"/>
    <mergeCell ref="A38:H38"/>
    <mergeCell ref="A37:B37"/>
    <mergeCell ref="C37:E37"/>
    <mergeCell ref="A42:D42"/>
    <mergeCell ref="E42:H42"/>
    <mergeCell ref="A44:D44"/>
    <mergeCell ref="E44:H44"/>
    <mergeCell ref="E45:H45"/>
    <mergeCell ref="E46:H46"/>
    <mergeCell ref="C40:H40"/>
    <mergeCell ref="C55:H55"/>
    <mergeCell ref="A84:B84"/>
    <mergeCell ref="A49:B49"/>
    <mergeCell ref="C49:H49"/>
    <mergeCell ref="A41:H41"/>
    <mergeCell ref="A74:C74"/>
    <mergeCell ref="A75:C75"/>
    <mergeCell ref="D74:H74"/>
    <mergeCell ref="D68:H68"/>
    <mergeCell ref="D69:H69"/>
    <mergeCell ref="D70:H70"/>
    <mergeCell ref="A76:C76"/>
    <mergeCell ref="D76:H76"/>
    <mergeCell ref="C83:H83"/>
    <mergeCell ref="A77:C77"/>
    <mergeCell ref="D77:H77"/>
    <mergeCell ref="A80:C80"/>
    <mergeCell ref="D80:H80"/>
    <mergeCell ref="D67:H67"/>
    <mergeCell ref="A106:B106"/>
    <mergeCell ref="E47:H47"/>
    <mergeCell ref="C57:H57"/>
    <mergeCell ref="C59:H59"/>
    <mergeCell ref="A83:B83"/>
    <mergeCell ref="A81:B81"/>
    <mergeCell ref="C81:H81"/>
    <mergeCell ref="A87:B87"/>
    <mergeCell ref="E85:F94"/>
    <mergeCell ref="G85:H94"/>
    <mergeCell ref="D64:H64"/>
    <mergeCell ref="A64:C64"/>
    <mergeCell ref="A91:B91"/>
    <mergeCell ref="D71:H71"/>
    <mergeCell ref="D75:H75"/>
    <mergeCell ref="D72:H72"/>
    <mergeCell ref="A78:C78"/>
    <mergeCell ref="D79:H79"/>
    <mergeCell ref="A85:B85"/>
    <mergeCell ref="G84:H84"/>
    <mergeCell ref="A93:B93"/>
    <mergeCell ref="A94:B94"/>
    <mergeCell ref="A89:B89"/>
    <mergeCell ref="A86:B86"/>
    <mergeCell ref="B423:H423"/>
    <mergeCell ref="A198:E198"/>
    <mergeCell ref="A224:B224"/>
    <mergeCell ref="E224:F224"/>
    <mergeCell ref="A203:E203"/>
    <mergeCell ref="G224:H224"/>
    <mergeCell ref="C209:D209"/>
    <mergeCell ref="E209:F209"/>
    <mergeCell ref="G209:H209"/>
    <mergeCell ref="A212:B212"/>
    <mergeCell ref="C212:D212"/>
    <mergeCell ref="E212:F212"/>
    <mergeCell ref="G212:H212"/>
    <mergeCell ref="A218:B218"/>
    <mergeCell ref="C218:D218"/>
    <mergeCell ref="E218:F218"/>
    <mergeCell ref="G218:H218"/>
    <mergeCell ref="B420:H420"/>
    <mergeCell ref="A403:B403"/>
    <mergeCell ref="C225:D225"/>
    <mergeCell ref="E225:F225"/>
    <mergeCell ref="B418:H418"/>
    <mergeCell ref="B421:H421"/>
    <mergeCell ref="B419:H419"/>
    <mergeCell ref="A108:B108"/>
    <mergeCell ref="B422:H422"/>
    <mergeCell ref="A399:B399"/>
    <mergeCell ref="C228:C229"/>
    <mergeCell ref="B267:B268"/>
    <mergeCell ref="B415:H415"/>
    <mergeCell ref="A95:B95"/>
    <mergeCell ref="C95:H95"/>
    <mergeCell ref="A97:B97"/>
    <mergeCell ref="C97:H97"/>
    <mergeCell ref="A98:B98"/>
    <mergeCell ref="E98:F98"/>
    <mergeCell ref="G98:H98"/>
    <mergeCell ref="A99:B99"/>
    <mergeCell ref="E99:F108"/>
    <mergeCell ref="G99:H108"/>
    <mergeCell ref="A100:B100"/>
    <mergeCell ref="A101:B101"/>
    <mergeCell ref="A102:B102"/>
    <mergeCell ref="A103:B103"/>
    <mergeCell ref="A104:B104"/>
    <mergeCell ref="A105:B105"/>
    <mergeCell ref="A402:B402"/>
    <mergeCell ref="A225:B225"/>
    <mergeCell ref="D430:E430"/>
    <mergeCell ref="F430:H430"/>
    <mergeCell ref="D431:E431"/>
    <mergeCell ref="F431:H431"/>
    <mergeCell ref="B432:C432"/>
    <mergeCell ref="D432:E432"/>
    <mergeCell ref="F432:H432"/>
    <mergeCell ref="B425:C431"/>
    <mergeCell ref="D425:E425"/>
    <mergeCell ref="F425:H425"/>
    <mergeCell ref="D426:E426"/>
    <mergeCell ref="F426:H426"/>
    <mergeCell ref="D427:E427"/>
    <mergeCell ref="F427:H427"/>
    <mergeCell ref="D428:E428"/>
    <mergeCell ref="F428:H428"/>
    <mergeCell ref="D429:E429"/>
    <mergeCell ref="F429:H429"/>
    <mergeCell ref="G155:H164"/>
    <mergeCell ref="A156:B156"/>
    <mergeCell ref="A157:B157"/>
    <mergeCell ref="A158:B158"/>
    <mergeCell ref="A159:B159"/>
    <mergeCell ref="A160:B160"/>
    <mergeCell ref="A161:B161"/>
    <mergeCell ref="A162:B162"/>
    <mergeCell ref="A163:B163"/>
    <mergeCell ref="A164:B164"/>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228:E229">
      <formula1>"Attached Loft area,Attached Otla area,Attached Mezzanine area"</formula1>
    </dataValidation>
    <dataValidation type="list" allowBlank="1" showInputMessage="1" showErrorMessage="1" sqref="G440:H440">
      <formula1>"Kunal Kadam,Pranita Mhatre,Shruti Fule,Pooja Kawale,Gaurav Panchal,Shruti Tathare, Hitakshi Mhatre, Sachin Sawant"</formula1>
    </dataValidation>
    <dataValidation type="list" allowBlank="1" showInputMessage="1" showErrorMessage="1" sqref="F193:H193">
      <formula1>"On Saleable Area,On Builtup Area,On Carpet Area,On Plot Area"</formula1>
    </dataValidation>
    <dataValidation type="list" allowBlank="1" showInputMessage="1" showErrorMessage="1" sqref="F204:H204">
      <formula1>OFFSET($S$193,1,MATCH($G20,$S$193:$W$193,0)-1,15,1)</formula1>
    </dataValidation>
    <dataValidation type="list" allowBlank="1" showInputMessage="1" showErrorMessage="1" sqref="B228:B229">
      <formula1>"Shop No. (Sale Plan),Sale / Rehab,Sale / Mhada"</formula1>
    </dataValidation>
    <dataValidation type="list" allowBlank="1" showInputMessage="1" showErrorMessage="1" sqref="B267:B26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67:E268">
      <formula1>"Fungible area,Balcony + Encl. Balcony Area,Chajja Area,Cornice Area,AP Area,WS Area"</formula1>
    </dataValidation>
    <dataValidation type="list" allowBlank="1" showInputMessage="1" showErrorMessage="1" sqref="H229 H26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90 C104 C118 C132 C146 C174 C188 C160">
      <formula1>0</formula1>
      <formula2>H82</formula2>
    </dataValidation>
    <dataValidation type="list" allowBlank="1" showInputMessage="1" showErrorMessage="1" sqref="H228 H267">
      <formula1>"Saleable area Loading :,Builder Saleable Area"</formula1>
    </dataValidation>
    <dataValidation type="list" allowBlank="1" showInputMessage="1" showErrorMessage="1" sqref="D228:D229 D267:D268">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108" max="16383" man="1"/>
    <brk id="444" max="16383" man="1"/>
    <brk id="487" max="16383" man="1"/>
    <brk id="530"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41" t="s">
        <v>103</v>
      </c>
      <c r="C3" s="241"/>
      <c r="D3" s="241"/>
      <c r="E3" s="241"/>
      <c r="F3" s="241"/>
      <c r="G3" s="241"/>
      <c r="H3" s="241"/>
    </row>
    <row r="4" spans="1:9" x14ac:dyDescent="0.35">
      <c r="A4" s="2"/>
      <c r="B4" s="3" t="s">
        <v>104</v>
      </c>
      <c r="C4" s="3" t="s">
        <v>105</v>
      </c>
      <c r="D4" s="3" t="s">
        <v>66</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6"/>
      <c r="C4" s="46" t="s">
        <v>11</v>
      </c>
      <c r="D4" s="47" t="s">
        <v>176</v>
      </c>
      <c r="E4" s="47" t="s">
        <v>186</v>
      </c>
      <c r="F4" s="47" t="s">
        <v>169</v>
      </c>
      <c r="G4" s="47" t="s">
        <v>191</v>
      </c>
      <c r="H4" s="47" t="s">
        <v>209</v>
      </c>
      <c r="J4" t="s">
        <v>191</v>
      </c>
      <c r="K4" t="s">
        <v>207</v>
      </c>
    </row>
    <row r="5" spans="2:11" x14ac:dyDescent="0.35">
      <c r="B5" s="46"/>
      <c r="C5" s="46"/>
      <c r="D5" s="47" t="s">
        <v>177</v>
      </c>
      <c r="E5" s="47" t="s">
        <v>184</v>
      </c>
      <c r="F5" s="47" t="s">
        <v>206</v>
      </c>
      <c r="G5" s="47" t="s">
        <v>192</v>
      </c>
      <c r="H5" s="47" t="s">
        <v>210</v>
      </c>
    </row>
    <row r="6" spans="2:11" x14ac:dyDescent="0.35">
      <c r="B6" s="46"/>
      <c r="C6" s="46"/>
      <c r="D6" s="47" t="s">
        <v>178</v>
      </c>
      <c r="E6" s="47" t="s">
        <v>185</v>
      </c>
      <c r="F6" s="47" t="s">
        <v>207</v>
      </c>
      <c r="G6" s="47" t="s">
        <v>193</v>
      </c>
      <c r="H6" s="47" t="s">
        <v>223</v>
      </c>
    </row>
    <row r="7" spans="2:11" x14ac:dyDescent="0.35">
      <c r="B7" s="46"/>
      <c r="C7" s="46"/>
      <c r="D7" s="47" t="s">
        <v>179</v>
      </c>
      <c r="E7" s="47" t="s">
        <v>187</v>
      </c>
      <c r="F7" s="47" t="s">
        <v>208</v>
      </c>
      <c r="G7" s="47" t="s">
        <v>194</v>
      </c>
      <c r="H7" s="47" t="s">
        <v>211</v>
      </c>
    </row>
    <row r="8" spans="2:11" x14ac:dyDescent="0.35">
      <c r="B8" s="46"/>
      <c r="C8" s="46"/>
      <c r="D8" s="47" t="s">
        <v>180</v>
      </c>
      <c r="E8" s="47" t="s">
        <v>188</v>
      </c>
      <c r="F8" s="47"/>
      <c r="G8" s="47" t="s">
        <v>195</v>
      </c>
      <c r="H8" s="47" t="s">
        <v>212</v>
      </c>
    </row>
    <row r="9" spans="2:11" x14ac:dyDescent="0.35">
      <c r="B9" s="46"/>
      <c r="C9" s="46"/>
      <c r="D9" s="47" t="s">
        <v>181</v>
      </c>
      <c r="E9" s="47" t="s">
        <v>186</v>
      </c>
      <c r="F9" s="47"/>
      <c r="G9" s="47" t="s">
        <v>196</v>
      </c>
      <c r="H9" s="47" t="s">
        <v>213</v>
      </c>
    </row>
    <row r="10" spans="2:11" x14ac:dyDescent="0.35">
      <c r="B10" s="46"/>
      <c r="C10" s="46"/>
      <c r="D10" s="47" t="s">
        <v>182</v>
      </c>
      <c r="E10" s="47" t="s">
        <v>189</v>
      </c>
      <c r="F10" s="47"/>
      <c r="G10" s="47" t="s">
        <v>197</v>
      </c>
      <c r="H10" s="47" t="s">
        <v>214</v>
      </c>
    </row>
    <row r="11" spans="2:11" x14ac:dyDescent="0.35">
      <c r="B11" s="46"/>
      <c r="C11" s="46"/>
      <c r="D11" s="47" t="s">
        <v>183</v>
      </c>
      <c r="E11" s="47" t="s">
        <v>190</v>
      </c>
      <c r="F11" s="47"/>
      <c r="G11" s="47" t="s">
        <v>198</v>
      </c>
      <c r="H11" s="47" t="s">
        <v>215</v>
      </c>
    </row>
    <row r="12" spans="2:11" x14ac:dyDescent="0.35">
      <c r="B12" s="46"/>
      <c r="C12" s="46"/>
      <c r="D12" s="47"/>
      <c r="E12" s="47"/>
      <c r="F12" s="47"/>
      <c r="G12" s="47" t="s">
        <v>199</v>
      </c>
      <c r="H12" s="47" t="s">
        <v>216</v>
      </c>
    </row>
    <row r="13" spans="2:11" x14ac:dyDescent="0.35">
      <c r="B13" s="46"/>
      <c r="C13" s="46"/>
      <c r="D13" s="47"/>
      <c r="E13" s="47"/>
      <c r="F13" s="47"/>
      <c r="G13" s="47" t="s">
        <v>200</v>
      </c>
      <c r="H13" s="47" t="s">
        <v>217</v>
      </c>
    </row>
    <row r="14" spans="2:11" x14ac:dyDescent="0.35">
      <c r="B14" s="46"/>
      <c r="C14" s="46"/>
      <c r="D14" s="47"/>
      <c r="E14" s="47"/>
      <c r="F14" s="47"/>
      <c r="G14" s="47" t="s">
        <v>201</v>
      </c>
      <c r="H14" s="47" t="s">
        <v>218</v>
      </c>
    </row>
    <row r="15" spans="2:11" x14ac:dyDescent="0.35">
      <c r="B15" s="46"/>
      <c r="C15" s="46"/>
      <c r="D15" s="47"/>
      <c r="E15" s="47"/>
      <c r="F15" s="47"/>
      <c r="G15" s="47" t="s">
        <v>202</v>
      </c>
      <c r="H15" s="47" t="s">
        <v>219</v>
      </c>
    </row>
    <row r="16" spans="2:11" x14ac:dyDescent="0.35">
      <c r="B16" s="46"/>
      <c r="C16" s="46"/>
      <c r="D16" s="47"/>
      <c r="E16" s="47"/>
      <c r="F16" s="47"/>
      <c r="G16" s="47" t="s">
        <v>203</v>
      </c>
      <c r="H16" s="47" t="s">
        <v>220</v>
      </c>
    </row>
    <row r="17" spans="2:8" x14ac:dyDescent="0.35">
      <c r="B17" s="46"/>
      <c r="C17" s="46"/>
      <c r="D17" s="47"/>
      <c r="E17" s="47"/>
      <c r="F17" s="47"/>
      <c r="G17" s="47" t="s">
        <v>204</v>
      </c>
      <c r="H17" s="47" t="s">
        <v>221</v>
      </c>
    </row>
    <row r="18" spans="2:8" x14ac:dyDescent="0.35">
      <c r="B18" s="46"/>
      <c r="C18" s="46"/>
      <c r="D18" s="47"/>
      <c r="E18" s="47"/>
      <c r="F18" s="47"/>
      <c r="G18" s="47" t="s">
        <v>205</v>
      </c>
      <c r="H18" s="47" t="s">
        <v>222</v>
      </c>
    </row>
    <row r="24" spans="2:8" x14ac:dyDescent="0.35">
      <c r="C24" t="s">
        <v>166</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166</v>
      </c>
    </row>
    <row r="33" spans="3:11" x14ac:dyDescent="0.35">
      <c r="J33">
        <v>1</v>
      </c>
      <c r="K33">
        <v>2</v>
      </c>
    </row>
    <row r="34" spans="3:11" x14ac:dyDescent="0.35">
      <c r="C34" s="48" t="s">
        <v>233</v>
      </c>
      <c r="D34" s="47" t="s">
        <v>231</v>
      </c>
      <c r="E34" s="47" t="s">
        <v>236</v>
      </c>
      <c r="F34" s="47" t="s">
        <v>234</v>
      </c>
      <c r="G34" s="47" t="s">
        <v>235</v>
      </c>
      <c r="H34" s="47" t="s">
        <v>237</v>
      </c>
      <c r="J34" t="s">
        <v>191</v>
      </c>
      <c r="K34" t="s">
        <v>207</v>
      </c>
    </row>
    <row r="35" spans="3:11" x14ac:dyDescent="0.35">
      <c r="C35" s="46" t="s">
        <v>232</v>
      </c>
      <c r="D35" s="47" t="s">
        <v>167</v>
      </c>
      <c r="E35" s="47" t="s">
        <v>241</v>
      </c>
      <c r="F35" s="47" t="s">
        <v>243</v>
      </c>
      <c r="G35" s="47" t="s">
        <v>245</v>
      </c>
      <c r="H35" s="47"/>
    </row>
    <row r="36" spans="3:11" x14ac:dyDescent="0.35">
      <c r="C36" s="46"/>
      <c r="D36" s="47" t="s">
        <v>238</v>
      </c>
      <c r="E36" s="47" t="s">
        <v>242</v>
      </c>
      <c r="F36" s="47" t="s">
        <v>244</v>
      </c>
      <c r="G36" s="47" t="s">
        <v>246</v>
      </c>
      <c r="H36" s="47"/>
    </row>
    <row r="37" spans="3:11" x14ac:dyDescent="0.35">
      <c r="C37" s="46"/>
      <c r="D37" s="47" t="s">
        <v>239</v>
      </c>
      <c r="E37" s="47"/>
      <c r="F37" s="47"/>
      <c r="G37" s="47" t="s">
        <v>247</v>
      </c>
      <c r="H37" s="47"/>
    </row>
    <row r="38" spans="3:11" x14ac:dyDescent="0.35">
      <c r="C38" s="46"/>
      <c r="D38" s="47" t="s">
        <v>240</v>
      </c>
      <c r="E38" s="47"/>
      <c r="F38" s="47"/>
      <c r="G38" s="47" t="s">
        <v>247</v>
      </c>
      <c r="H38" s="47"/>
    </row>
    <row r="39" spans="3:11" x14ac:dyDescent="0.35">
      <c r="C39" s="46"/>
      <c r="D39" s="47"/>
      <c r="E39" s="47"/>
      <c r="F39" s="47"/>
      <c r="G39" s="47" t="s">
        <v>248</v>
      </c>
      <c r="H39" s="47"/>
    </row>
    <row r="40" spans="3:11" x14ac:dyDescent="0.35">
      <c r="C40" s="46"/>
      <c r="D40" s="47"/>
      <c r="E40" s="47"/>
      <c r="F40" s="47"/>
      <c r="G40" s="47" t="s">
        <v>249</v>
      </c>
      <c r="H40" s="47"/>
    </row>
    <row r="41" spans="3:11" x14ac:dyDescent="0.35">
      <c r="C41" s="46"/>
      <c r="D41" s="47"/>
      <c r="E41" s="47"/>
      <c r="F41" s="47"/>
      <c r="G41" s="47"/>
      <c r="H41" s="47"/>
    </row>
    <row r="43" spans="3:11" x14ac:dyDescent="0.35">
      <c r="C43" t="s">
        <v>250</v>
      </c>
    </row>
    <row r="44" spans="3:11" x14ac:dyDescent="0.35">
      <c r="C44" t="s">
        <v>169</v>
      </c>
      <c r="D44" t="s">
        <v>251</v>
      </c>
    </row>
    <row r="45" spans="3:11" x14ac:dyDescent="0.35">
      <c r="D45" t="s">
        <v>252</v>
      </c>
    </row>
    <row r="46" spans="3:11" x14ac:dyDescent="0.35">
      <c r="D46" t="s">
        <v>253</v>
      </c>
    </row>
    <row r="47" spans="3:11" x14ac:dyDescent="0.35">
      <c r="D47" t="s">
        <v>254</v>
      </c>
    </row>
    <row r="48" spans="3:11" x14ac:dyDescent="0.35">
      <c r="D48" t="s">
        <v>255</v>
      </c>
    </row>
    <row r="49" spans="3:4" x14ac:dyDescent="0.35">
      <c r="C49" t="s">
        <v>176</v>
      </c>
      <c r="D49" t="s">
        <v>256</v>
      </c>
    </row>
    <row r="50" spans="3:4" x14ac:dyDescent="0.35">
      <c r="D50" t="s">
        <v>257</v>
      </c>
    </row>
    <row r="51" spans="3:4" x14ac:dyDescent="0.35">
      <c r="D51" t="s">
        <v>258</v>
      </c>
    </row>
    <row r="52" spans="3:4" x14ac:dyDescent="0.35">
      <c r="D52" t="s">
        <v>261</v>
      </c>
    </row>
    <row r="53" spans="3:4" x14ac:dyDescent="0.35">
      <c r="D53" t="s">
        <v>259</v>
      </c>
    </row>
    <row r="54" spans="3:4" x14ac:dyDescent="0.35">
      <c r="D54" t="s">
        <v>260</v>
      </c>
    </row>
    <row r="55" spans="3:4" x14ac:dyDescent="0.35">
      <c r="D55" t="s">
        <v>262</v>
      </c>
    </row>
    <row r="56" spans="3:4" x14ac:dyDescent="0.35">
      <c r="D56" t="s">
        <v>263</v>
      </c>
    </row>
    <row r="57" spans="3:4" x14ac:dyDescent="0.35">
      <c r="D57" t="s">
        <v>264</v>
      </c>
    </row>
    <row r="58" spans="3:4" x14ac:dyDescent="0.35">
      <c r="D58" t="s">
        <v>266</v>
      </c>
    </row>
    <row r="59" spans="3:4" x14ac:dyDescent="0.35">
      <c r="D59" t="s">
        <v>275</v>
      </c>
    </row>
    <row r="60" spans="3:4" x14ac:dyDescent="0.35">
      <c r="C60" t="s">
        <v>191</v>
      </c>
      <c r="D60" t="s">
        <v>267</v>
      </c>
    </row>
    <row r="61" spans="3:4" x14ac:dyDescent="0.35">
      <c r="D61" t="s">
        <v>265</v>
      </c>
    </row>
    <row r="62" spans="3:4" x14ac:dyDescent="0.35">
      <c r="D62" t="s">
        <v>255</v>
      </c>
    </row>
    <row r="63" spans="3:4" x14ac:dyDescent="0.35">
      <c r="D63" t="s">
        <v>268</v>
      </c>
    </row>
    <row r="64" spans="3:4" x14ac:dyDescent="0.35">
      <c r="D64" t="s">
        <v>269</v>
      </c>
    </row>
    <row r="65" spans="3:4" x14ac:dyDescent="0.35">
      <c r="D65" t="s">
        <v>270</v>
      </c>
    </row>
    <row r="66" spans="3:4" x14ac:dyDescent="0.35">
      <c r="D66" t="s">
        <v>271</v>
      </c>
    </row>
    <row r="67" spans="3:4" x14ac:dyDescent="0.35">
      <c r="C67" t="s">
        <v>186</v>
      </c>
      <c r="D67" t="s">
        <v>272</v>
      </c>
    </row>
    <row r="68" spans="3:4" x14ac:dyDescent="0.35">
      <c r="D68" t="s">
        <v>273</v>
      </c>
    </row>
    <row r="69" spans="3:4" x14ac:dyDescent="0.35">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sqref="A1:XFD1048576"/>
    </sheetView>
  </sheetViews>
  <sheetFormatPr defaultRowHeight="14.5" x14ac:dyDescent="0.35"/>
  <cols>
    <col min="2" max="2" width="3" bestFit="1" customWidth="1"/>
    <col min="3" max="3" width="155.26953125" customWidth="1"/>
  </cols>
  <sheetData>
    <row r="2" spans="2:3" ht="15" customHeight="1" x14ac:dyDescent="0.35">
      <c r="B2" s="49">
        <v>1</v>
      </c>
      <c r="C2" s="51" t="s">
        <v>281</v>
      </c>
    </row>
    <row r="3" spans="2:3" x14ac:dyDescent="0.35">
      <c r="B3" s="49">
        <v>2</v>
      </c>
      <c r="C3" s="50" t="s">
        <v>282</v>
      </c>
    </row>
    <row r="4" spans="2:3" x14ac:dyDescent="0.35">
      <c r="B4" s="49">
        <v>3</v>
      </c>
      <c r="C4" s="49" t="s">
        <v>283</v>
      </c>
    </row>
    <row r="5" spans="2:3" x14ac:dyDescent="0.35">
      <c r="B5" s="49">
        <v>4</v>
      </c>
      <c r="C5" s="50" t="s">
        <v>284</v>
      </c>
    </row>
    <row r="6" spans="2:3" x14ac:dyDescent="0.35">
      <c r="B6" s="49">
        <v>5</v>
      </c>
      <c r="C6" s="49" t="s">
        <v>285</v>
      </c>
    </row>
    <row r="7" spans="2:3" ht="29" x14ac:dyDescent="0.35">
      <c r="B7" s="49">
        <v>6</v>
      </c>
      <c r="C7" s="50" t="s">
        <v>286</v>
      </c>
    </row>
    <row r="8" spans="2:3" ht="72.5" x14ac:dyDescent="0.35">
      <c r="B8" s="49">
        <v>7</v>
      </c>
      <c r="C8" s="50" t="s">
        <v>287</v>
      </c>
    </row>
    <row r="9" spans="2:3" x14ac:dyDescent="0.35">
      <c r="B9" s="49">
        <v>8</v>
      </c>
      <c r="C9" s="49" t="s">
        <v>288</v>
      </c>
    </row>
    <row r="10" spans="2:3" x14ac:dyDescent="0.35">
      <c r="B10" s="49">
        <v>9</v>
      </c>
      <c r="C10" s="49" t="s">
        <v>289</v>
      </c>
    </row>
    <row r="11" spans="2:3" x14ac:dyDescent="0.35">
      <c r="B11" s="49">
        <v>10</v>
      </c>
      <c r="C11" s="49" t="s">
        <v>290</v>
      </c>
    </row>
    <row r="12" spans="2:3" x14ac:dyDescent="0.35">
      <c r="B12" s="49">
        <v>11</v>
      </c>
      <c r="C12" s="49" t="s">
        <v>291</v>
      </c>
    </row>
    <row r="13" spans="2:3" x14ac:dyDescent="0.35">
      <c r="B13" s="49">
        <v>12</v>
      </c>
      <c r="C13" s="49" t="s">
        <v>292</v>
      </c>
    </row>
    <row r="14" spans="2:3" x14ac:dyDescent="0.35">
      <c r="B14" s="49">
        <v>13</v>
      </c>
      <c r="C14" s="49" t="s">
        <v>293</v>
      </c>
    </row>
    <row r="15" spans="2:3" x14ac:dyDescent="0.35">
      <c r="B15" s="49">
        <v>14</v>
      </c>
      <c r="C15" s="49" t="s">
        <v>283</v>
      </c>
    </row>
    <row r="16" spans="2:3" x14ac:dyDescent="0.35">
      <c r="B16" s="49">
        <v>15</v>
      </c>
      <c r="C16" s="49" t="s">
        <v>295</v>
      </c>
    </row>
    <row r="17" spans="2:3" ht="31.5" customHeight="1" x14ac:dyDescent="0.35">
      <c r="B17" s="67">
        <v>16</v>
      </c>
      <c r="C17" s="54" t="s">
        <v>296</v>
      </c>
    </row>
    <row r="18" spans="2:3" x14ac:dyDescent="0.35">
      <c r="B18" s="53">
        <v>17</v>
      </c>
      <c r="C18" s="54" t="s">
        <v>297</v>
      </c>
    </row>
    <row r="19" spans="2:3" x14ac:dyDescent="0.35">
      <c r="B19" s="52">
        <v>18</v>
      </c>
      <c r="C19" s="49" t="s">
        <v>298</v>
      </c>
    </row>
    <row r="20" spans="2:3" x14ac:dyDescent="0.35">
      <c r="B20" s="53">
        <v>19</v>
      </c>
      <c r="C20" s="49" t="s">
        <v>334</v>
      </c>
    </row>
    <row r="21" spans="2:3" x14ac:dyDescent="0.35">
      <c r="B21" s="49">
        <v>20</v>
      </c>
      <c r="C21" s="49" t="s">
        <v>299</v>
      </c>
    </row>
    <row r="22" spans="2:3" x14ac:dyDescent="0.35">
      <c r="B22" s="53">
        <v>21</v>
      </c>
      <c r="C22" s="49" t="s">
        <v>298</v>
      </c>
    </row>
    <row r="23" spans="2:3" s="62" customFormat="1" ht="29.25" customHeight="1" x14ac:dyDescent="0.35">
      <c r="B23" s="61">
        <v>22</v>
      </c>
      <c r="C23" s="51" t="s">
        <v>326</v>
      </c>
    </row>
    <row r="24" spans="2:3" s="62" customFormat="1" ht="30.75" customHeight="1" x14ac:dyDescent="0.35">
      <c r="B24" s="63">
        <v>23</v>
      </c>
      <c r="C24" s="51" t="s">
        <v>327</v>
      </c>
    </row>
    <row r="25" spans="2:3" x14ac:dyDescent="0.35">
      <c r="B25" s="49">
        <v>24</v>
      </c>
      <c r="C25" s="49" t="s">
        <v>330</v>
      </c>
    </row>
    <row r="26" spans="2:3" x14ac:dyDescent="0.35">
      <c r="B26" s="53">
        <v>25</v>
      </c>
      <c r="C26" s="49" t="s">
        <v>328</v>
      </c>
    </row>
    <row r="27" spans="2:3" x14ac:dyDescent="0.35">
      <c r="B27" s="63">
        <v>26</v>
      </c>
      <c r="C27" s="49" t="s">
        <v>329</v>
      </c>
    </row>
    <row r="28" spans="2:3" x14ac:dyDescent="0.35">
      <c r="B28" s="53">
        <v>27</v>
      </c>
      <c r="C28" s="49" t="s">
        <v>331</v>
      </c>
    </row>
    <row r="29" spans="2:3" ht="43.5" x14ac:dyDescent="0.35">
      <c r="B29" s="66">
        <v>28</v>
      </c>
      <c r="C29" s="50" t="s">
        <v>332</v>
      </c>
    </row>
    <row r="30" spans="2:3" x14ac:dyDescent="0.35">
      <c r="B30" s="63">
        <v>29</v>
      </c>
      <c r="C30" s="49" t="s">
        <v>333</v>
      </c>
    </row>
    <row r="31" spans="2:3" x14ac:dyDescent="0.35">
      <c r="B31" s="63">
        <v>30</v>
      </c>
      <c r="C31" s="49"/>
    </row>
    <row r="32" spans="2:3" x14ac:dyDescent="0.35">
      <c r="B32" s="63">
        <v>31</v>
      </c>
      <c r="C32" s="49"/>
    </row>
    <row r="33" spans="2:3" x14ac:dyDescent="0.35">
      <c r="B33" s="63">
        <v>32</v>
      </c>
      <c r="C33" s="49"/>
    </row>
    <row r="34" spans="2:3" x14ac:dyDescent="0.35">
      <c r="B34" s="63">
        <v>33</v>
      </c>
      <c r="C34" s="49"/>
    </row>
    <row r="35" spans="2:3" x14ac:dyDescent="0.35">
      <c r="B35" s="63">
        <v>34</v>
      </c>
      <c r="C35" s="4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6"/>
    <col min="2" max="2" width="12.26953125" style="46" customWidth="1"/>
    <col min="3" max="16384" width="9.1796875" style="46"/>
  </cols>
  <sheetData>
    <row r="2" spans="1:12" x14ac:dyDescent="0.35">
      <c r="B2" s="55" t="s">
        <v>300</v>
      </c>
      <c r="C2" s="242"/>
      <c r="D2" s="242"/>
    </row>
    <row r="3" spans="1:12" x14ac:dyDescent="0.35">
      <c r="D3" s="56"/>
      <c r="E3" s="56"/>
      <c r="F3" s="56"/>
      <c r="G3" s="56"/>
      <c r="H3" s="56"/>
      <c r="I3" s="56"/>
    </row>
    <row r="4" spans="1:12" x14ac:dyDescent="0.35">
      <c r="A4" s="55" t="s">
        <v>66</v>
      </c>
      <c r="B4" s="57" t="s">
        <v>301</v>
      </c>
      <c r="C4" s="243" t="s">
        <v>302</v>
      </c>
      <c r="D4" s="243"/>
      <c r="E4" s="243"/>
      <c r="F4" s="57"/>
      <c r="G4" s="244" t="s">
        <v>303</v>
      </c>
      <c r="H4" s="244"/>
      <c r="I4" s="244"/>
      <c r="J4" s="245" t="s">
        <v>304</v>
      </c>
      <c r="K4" s="245"/>
      <c r="L4" s="245"/>
    </row>
    <row r="5" spans="1:12" x14ac:dyDescent="0.35">
      <c r="A5" s="55"/>
      <c r="B5" s="57"/>
      <c r="C5" s="57" t="s">
        <v>305</v>
      </c>
      <c r="D5" s="57" t="s">
        <v>306</v>
      </c>
      <c r="E5" s="57" t="s">
        <v>307</v>
      </c>
      <c r="F5" s="57"/>
      <c r="G5" s="57" t="s">
        <v>305</v>
      </c>
      <c r="H5" s="57" t="s">
        <v>306</v>
      </c>
      <c r="I5" s="57" t="s">
        <v>307</v>
      </c>
      <c r="J5" s="57" t="s">
        <v>305</v>
      </c>
      <c r="K5" s="57" t="s">
        <v>306</v>
      </c>
      <c r="L5" s="57" t="s">
        <v>307</v>
      </c>
    </row>
    <row r="6" spans="1:12" x14ac:dyDescent="0.35">
      <c r="B6" s="47" t="s">
        <v>308</v>
      </c>
      <c r="C6" s="47"/>
      <c r="D6" s="47"/>
      <c r="E6" s="47">
        <f>C6*D6</f>
        <v>0</v>
      </c>
      <c r="F6" s="47" t="s">
        <v>325</v>
      </c>
      <c r="G6" s="47"/>
      <c r="H6" s="47"/>
      <c r="I6" s="47">
        <f>G6*H6</f>
        <v>0</v>
      </c>
      <c r="J6" s="47"/>
      <c r="K6" s="47"/>
      <c r="L6" s="47">
        <f>J6*K6</f>
        <v>0</v>
      </c>
    </row>
    <row r="7" spans="1:12" x14ac:dyDescent="0.35">
      <c r="B7" s="47"/>
      <c r="C7" s="47"/>
      <c r="D7" s="47"/>
      <c r="E7" s="47">
        <f t="shared" ref="E7:E41" si="0">C7*D7</f>
        <v>0</v>
      </c>
      <c r="F7" s="47" t="s">
        <v>325</v>
      </c>
      <c r="G7" s="47"/>
      <c r="H7" s="47"/>
      <c r="I7" s="47">
        <f t="shared" ref="I7:I35" si="1">G7*H7</f>
        <v>0</v>
      </c>
      <c r="J7" s="47"/>
      <c r="K7" s="47"/>
      <c r="L7" s="47">
        <f t="shared" ref="L7:L35" si="2">J7*K7</f>
        <v>0</v>
      </c>
    </row>
    <row r="8" spans="1:12" x14ac:dyDescent="0.35">
      <c r="B8" s="47"/>
      <c r="C8" s="47"/>
      <c r="D8" s="47"/>
      <c r="E8" s="47">
        <f t="shared" si="0"/>
        <v>0</v>
      </c>
      <c r="F8" s="47"/>
      <c r="G8" s="47"/>
      <c r="H8" s="47"/>
      <c r="I8" s="47">
        <f t="shared" si="1"/>
        <v>0</v>
      </c>
      <c r="J8" s="47"/>
      <c r="K8" s="47"/>
      <c r="L8" s="47">
        <f t="shared" si="2"/>
        <v>0</v>
      </c>
    </row>
    <row r="9" spans="1:12" x14ac:dyDescent="0.35">
      <c r="B9" s="47"/>
      <c r="C9" s="47"/>
      <c r="D9" s="47"/>
      <c r="E9" s="47">
        <f t="shared" si="0"/>
        <v>0</v>
      </c>
      <c r="F9" s="47" t="s">
        <v>309</v>
      </c>
      <c r="G9" s="47"/>
      <c r="H9" s="47"/>
      <c r="I9" s="47">
        <f t="shared" si="1"/>
        <v>0</v>
      </c>
      <c r="J9" s="47"/>
      <c r="K9" s="47"/>
      <c r="L9" s="47">
        <f t="shared" si="2"/>
        <v>0</v>
      </c>
    </row>
    <row r="10" spans="1:12" x14ac:dyDescent="0.35">
      <c r="B10" s="47" t="s">
        <v>310</v>
      </c>
      <c r="C10" s="47"/>
      <c r="D10" s="47"/>
      <c r="E10" s="47">
        <f t="shared" si="0"/>
        <v>0</v>
      </c>
      <c r="F10" s="47" t="s">
        <v>309</v>
      </c>
      <c r="G10" s="47"/>
      <c r="H10" s="47"/>
      <c r="I10" s="47">
        <f t="shared" si="1"/>
        <v>0</v>
      </c>
      <c r="J10" s="47"/>
      <c r="K10" s="47"/>
      <c r="L10" s="47">
        <f t="shared" si="2"/>
        <v>0</v>
      </c>
    </row>
    <row r="11" spans="1:12" x14ac:dyDescent="0.35">
      <c r="B11" s="47"/>
      <c r="C11" s="47"/>
      <c r="D11" s="47"/>
      <c r="E11" s="47">
        <f t="shared" si="0"/>
        <v>0</v>
      </c>
      <c r="F11" s="47" t="s">
        <v>311</v>
      </c>
      <c r="G11" s="47"/>
      <c r="H11" s="47"/>
      <c r="I11" s="47">
        <f t="shared" si="1"/>
        <v>0</v>
      </c>
      <c r="J11" s="47"/>
      <c r="K11" s="47"/>
      <c r="L11" s="47">
        <f t="shared" si="2"/>
        <v>0</v>
      </c>
    </row>
    <row r="12" spans="1:12" x14ac:dyDescent="0.35">
      <c r="B12" s="47"/>
      <c r="C12" s="47"/>
      <c r="D12" s="47"/>
      <c r="E12" s="47">
        <f t="shared" si="0"/>
        <v>0</v>
      </c>
      <c r="F12" s="47"/>
      <c r="G12" s="47"/>
      <c r="H12" s="47"/>
      <c r="I12" s="47">
        <f t="shared" si="1"/>
        <v>0</v>
      </c>
      <c r="J12" s="47"/>
      <c r="K12" s="47"/>
      <c r="L12" s="47">
        <f t="shared" si="2"/>
        <v>0</v>
      </c>
    </row>
    <row r="13" spans="1:12" x14ac:dyDescent="0.35">
      <c r="B13" s="47"/>
      <c r="C13" s="47"/>
      <c r="D13" s="47"/>
      <c r="E13" s="47">
        <f t="shared" si="0"/>
        <v>0</v>
      </c>
      <c r="F13" s="47"/>
      <c r="G13" s="47"/>
      <c r="H13" s="47"/>
      <c r="I13" s="47">
        <f t="shared" si="1"/>
        <v>0</v>
      </c>
      <c r="J13" s="47"/>
      <c r="K13" s="47"/>
      <c r="L13" s="47">
        <f t="shared" si="2"/>
        <v>0</v>
      </c>
    </row>
    <row r="14" spans="1:12" x14ac:dyDescent="0.35">
      <c r="B14" s="47" t="s">
        <v>312</v>
      </c>
      <c r="C14" s="47"/>
      <c r="D14" s="47"/>
      <c r="E14" s="47">
        <f t="shared" si="0"/>
        <v>0</v>
      </c>
      <c r="F14" s="47" t="s">
        <v>309</v>
      </c>
      <c r="G14" s="47"/>
      <c r="H14" s="47"/>
      <c r="I14" s="47">
        <f t="shared" si="1"/>
        <v>0</v>
      </c>
      <c r="J14" s="47"/>
      <c r="K14" s="47"/>
      <c r="L14" s="47">
        <f t="shared" si="2"/>
        <v>0</v>
      </c>
    </row>
    <row r="15" spans="1:12" x14ac:dyDescent="0.35">
      <c r="B15" s="47"/>
      <c r="C15" s="47"/>
      <c r="D15" s="47"/>
      <c r="E15" s="47">
        <f t="shared" si="0"/>
        <v>0</v>
      </c>
      <c r="F15" s="47" t="s">
        <v>311</v>
      </c>
      <c r="G15" s="47"/>
      <c r="H15" s="47"/>
      <c r="I15" s="47">
        <f t="shared" si="1"/>
        <v>0</v>
      </c>
      <c r="J15" s="47"/>
      <c r="K15" s="47"/>
      <c r="L15" s="47">
        <f t="shared" si="2"/>
        <v>0</v>
      </c>
    </row>
    <row r="16" spans="1:12" x14ac:dyDescent="0.35">
      <c r="B16" s="47"/>
      <c r="C16" s="47"/>
      <c r="D16" s="47"/>
      <c r="E16" s="47">
        <f t="shared" si="0"/>
        <v>0</v>
      </c>
      <c r="F16" s="47"/>
      <c r="G16" s="47"/>
      <c r="H16" s="47"/>
      <c r="I16" s="47">
        <f t="shared" si="1"/>
        <v>0</v>
      </c>
      <c r="J16" s="47"/>
      <c r="K16" s="47"/>
      <c r="L16" s="47">
        <f t="shared" si="2"/>
        <v>0</v>
      </c>
    </row>
    <row r="17" spans="2:12" x14ac:dyDescent="0.35">
      <c r="B17" s="47"/>
      <c r="C17" s="47"/>
      <c r="D17" s="47"/>
      <c r="E17" s="47">
        <f t="shared" si="0"/>
        <v>0</v>
      </c>
      <c r="F17" s="47"/>
      <c r="G17" s="47"/>
      <c r="H17" s="47"/>
      <c r="I17" s="47">
        <f t="shared" si="1"/>
        <v>0</v>
      </c>
      <c r="J17" s="47"/>
      <c r="K17" s="47"/>
      <c r="L17" s="47">
        <f t="shared" si="2"/>
        <v>0</v>
      </c>
    </row>
    <row r="18" spans="2:12" x14ac:dyDescent="0.35">
      <c r="B18" s="47" t="s">
        <v>313</v>
      </c>
      <c r="C18" s="47"/>
      <c r="D18" s="47"/>
      <c r="E18" s="47">
        <f t="shared" si="0"/>
        <v>0</v>
      </c>
      <c r="F18" s="47" t="s">
        <v>309</v>
      </c>
      <c r="G18" s="47"/>
      <c r="H18" s="47"/>
      <c r="I18" s="47">
        <f t="shared" si="1"/>
        <v>0</v>
      </c>
      <c r="J18" s="47"/>
      <c r="K18" s="47"/>
      <c r="L18" s="47">
        <f t="shared" si="2"/>
        <v>0</v>
      </c>
    </row>
    <row r="19" spans="2:12" x14ac:dyDescent="0.35">
      <c r="B19" s="47"/>
      <c r="C19" s="47"/>
      <c r="D19" s="47"/>
      <c r="E19" s="47">
        <f t="shared" si="0"/>
        <v>0</v>
      </c>
      <c r="F19" s="47" t="s">
        <v>311</v>
      </c>
      <c r="G19" s="47"/>
      <c r="H19" s="47"/>
      <c r="I19" s="47">
        <f t="shared" si="1"/>
        <v>0</v>
      </c>
      <c r="J19" s="47"/>
      <c r="K19" s="47"/>
      <c r="L19" s="47">
        <f t="shared" si="2"/>
        <v>0</v>
      </c>
    </row>
    <row r="20" spans="2:12" x14ac:dyDescent="0.35">
      <c r="B20" s="47"/>
      <c r="C20" s="47"/>
      <c r="D20" s="47"/>
      <c r="E20" s="47">
        <f t="shared" si="0"/>
        <v>0</v>
      </c>
      <c r="F20" s="47"/>
      <c r="G20" s="47"/>
      <c r="H20" s="47"/>
      <c r="I20" s="47">
        <f t="shared" si="1"/>
        <v>0</v>
      </c>
      <c r="J20" s="47"/>
      <c r="K20" s="47"/>
      <c r="L20" s="47">
        <f t="shared" si="2"/>
        <v>0</v>
      </c>
    </row>
    <row r="21" spans="2:12" x14ac:dyDescent="0.35">
      <c r="B21" s="47" t="s">
        <v>314</v>
      </c>
      <c r="C21" s="47"/>
      <c r="D21" s="47"/>
      <c r="E21" s="47">
        <f t="shared" si="0"/>
        <v>0</v>
      </c>
      <c r="F21" s="47" t="s">
        <v>309</v>
      </c>
      <c r="G21" s="47"/>
      <c r="H21" s="47"/>
      <c r="I21" s="47">
        <f t="shared" si="1"/>
        <v>0</v>
      </c>
      <c r="J21" s="47"/>
      <c r="K21" s="47"/>
      <c r="L21" s="47">
        <f t="shared" si="2"/>
        <v>0</v>
      </c>
    </row>
    <row r="22" spans="2:12" x14ac:dyDescent="0.35">
      <c r="B22" s="47"/>
      <c r="C22" s="47"/>
      <c r="D22" s="47"/>
      <c r="E22" s="47">
        <f t="shared" si="0"/>
        <v>0</v>
      </c>
      <c r="F22" s="47" t="s">
        <v>311</v>
      </c>
      <c r="G22" s="47"/>
      <c r="H22" s="47"/>
      <c r="I22" s="47">
        <f t="shared" si="1"/>
        <v>0</v>
      </c>
      <c r="J22" s="47"/>
      <c r="K22" s="47"/>
      <c r="L22" s="47">
        <f t="shared" si="2"/>
        <v>0</v>
      </c>
    </row>
    <row r="23" spans="2:12" x14ac:dyDescent="0.35">
      <c r="B23" s="47"/>
      <c r="C23" s="47"/>
      <c r="D23" s="47"/>
      <c r="E23" s="47">
        <f t="shared" si="0"/>
        <v>0</v>
      </c>
      <c r="F23" s="47"/>
      <c r="G23" s="47"/>
      <c r="H23" s="47"/>
      <c r="I23" s="47">
        <f t="shared" si="1"/>
        <v>0</v>
      </c>
      <c r="J23" s="47"/>
      <c r="K23" s="47"/>
      <c r="L23" s="47">
        <f t="shared" si="2"/>
        <v>0</v>
      </c>
    </row>
    <row r="24" spans="2:12" x14ac:dyDescent="0.35">
      <c r="B24" s="47" t="s">
        <v>315</v>
      </c>
      <c r="C24" s="47"/>
      <c r="D24" s="47"/>
      <c r="E24" s="47">
        <f t="shared" si="0"/>
        <v>0</v>
      </c>
      <c r="F24" s="47" t="s">
        <v>316</v>
      </c>
      <c r="G24" s="47"/>
      <c r="H24" s="47"/>
      <c r="I24" s="47">
        <f t="shared" si="1"/>
        <v>0</v>
      </c>
      <c r="J24" s="47"/>
      <c r="K24" s="47"/>
      <c r="L24" s="47">
        <f t="shared" si="2"/>
        <v>0</v>
      </c>
    </row>
    <row r="25" spans="2:12" x14ac:dyDescent="0.35">
      <c r="B25" s="47"/>
      <c r="C25" s="47"/>
      <c r="D25" s="47"/>
      <c r="E25" s="47">
        <f t="shared" ref="E25:E27" si="3">C25*D25</f>
        <v>0</v>
      </c>
      <c r="F25" s="47" t="s">
        <v>316</v>
      </c>
      <c r="G25" s="47"/>
      <c r="H25" s="47"/>
      <c r="I25" s="47">
        <f t="shared" ref="I25:I27" si="4">G25*H25</f>
        <v>0</v>
      </c>
      <c r="J25" s="47"/>
      <c r="K25" s="47"/>
      <c r="L25" s="47">
        <f t="shared" ref="L25:L27" si="5">J25*K25</f>
        <v>0</v>
      </c>
    </row>
    <row r="26" spans="2:12" x14ac:dyDescent="0.35">
      <c r="B26" s="47"/>
      <c r="C26" s="47"/>
      <c r="D26" s="47"/>
      <c r="E26" s="47">
        <f t="shared" si="3"/>
        <v>0</v>
      </c>
      <c r="F26" s="47" t="s">
        <v>316</v>
      </c>
      <c r="G26" s="47"/>
      <c r="H26" s="47"/>
      <c r="I26" s="47">
        <f t="shared" si="4"/>
        <v>0</v>
      </c>
      <c r="J26" s="47"/>
      <c r="K26" s="47"/>
      <c r="L26" s="47">
        <f t="shared" si="5"/>
        <v>0</v>
      </c>
    </row>
    <row r="27" spans="2:12" x14ac:dyDescent="0.35">
      <c r="B27" s="47"/>
      <c r="C27" s="47"/>
      <c r="D27" s="47"/>
      <c r="E27" s="47">
        <f t="shared" si="3"/>
        <v>0</v>
      </c>
      <c r="F27" s="47" t="s">
        <v>316</v>
      </c>
      <c r="G27" s="47"/>
      <c r="H27" s="47"/>
      <c r="I27" s="47">
        <f t="shared" si="4"/>
        <v>0</v>
      </c>
      <c r="J27" s="47"/>
      <c r="K27" s="47"/>
      <c r="L27" s="47">
        <f t="shared" si="5"/>
        <v>0</v>
      </c>
    </row>
    <row r="28" spans="2:12" x14ac:dyDescent="0.35">
      <c r="B28" s="47" t="s">
        <v>317</v>
      </c>
      <c r="C28" s="47"/>
      <c r="D28" s="47"/>
      <c r="E28" s="47">
        <f t="shared" si="0"/>
        <v>0</v>
      </c>
      <c r="F28" s="47" t="s">
        <v>316</v>
      </c>
      <c r="G28" s="47"/>
      <c r="H28" s="47"/>
      <c r="I28" s="47">
        <f t="shared" si="1"/>
        <v>0</v>
      </c>
      <c r="J28" s="47"/>
      <c r="K28" s="47"/>
      <c r="L28" s="47">
        <f t="shared" si="2"/>
        <v>0</v>
      </c>
    </row>
    <row r="29" spans="2:12" x14ac:dyDescent="0.35">
      <c r="B29" s="47" t="s">
        <v>318</v>
      </c>
      <c r="C29" s="47"/>
      <c r="D29" s="47"/>
      <c r="E29" s="47">
        <f t="shared" si="0"/>
        <v>0</v>
      </c>
      <c r="F29" s="47" t="s">
        <v>316</v>
      </c>
      <c r="G29" s="47"/>
      <c r="H29" s="47"/>
      <c r="I29" s="47">
        <f t="shared" si="1"/>
        <v>0</v>
      </c>
      <c r="J29" s="47"/>
      <c r="K29" s="47"/>
      <c r="L29" s="47">
        <f t="shared" si="2"/>
        <v>0</v>
      </c>
    </row>
    <row r="30" spans="2:12" x14ac:dyDescent="0.35">
      <c r="B30" s="47" t="s">
        <v>322</v>
      </c>
      <c r="C30" s="47"/>
      <c r="D30" s="47"/>
      <c r="E30" s="47">
        <f t="shared" si="0"/>
        <v>0</v>
      </c>
      <c r="F30" s="47"/>
      <c r="G30" s="47"/>
      <c r="H30" s="47"/>
      <c r="I30" s="47">
        <f t="shared" si="1"/>
        <v>0</v>
      </c>
      <c r="J30" s="47"/>
      <c r="K30" s="47"/>
      <c r="L30" s="47">
        <f t="shared" si="2"/>
        <v>0</v>
      </c>
    </row>
    <row r="31" spans="2:12" x14ac:dyDescent="0.35">
      <c r="B31" s="47"/>
      <c r="C31" s="47"/>
      <c r="D31" s="47"/>
      <c r="E31" s="47">
        <f t="shared" ref="E31:E32" si="6">C31*D31</f>
        <v>0</v>
      </c>
      <c r="F31" s="47"/>
      <c r="G31" s="47"/>
      <c r="H31" s="47"/>
      <c r="I31" s="47">
        <f t="shared" ref="I31:I32" si="7">G31*H31</f>
        <v>0</v>
      </c>
      <c r="J31" s="47"/>
      <c r="K31" s="47"/>
      <c r="L31" s="47">
        <f t="shared" ref="L31:L32" si="8">J31*K31</f>
        <v>0</v>
      </c>
    </row>
    <row r="32" spans="2:12" x14ac:dyDescent="0.35">
      <c r="B32" s="47"/>
      <c r="C32" s="47"/>
      <c r="D32" s="47"/>
      <c r="E32" s="47">
        <f t="shared" si="6"/>
        <v>0</v>
      </c>
      <c r="F32" s="47"/>
      <c r="G32" s="47"/>
      <c r="H32" s="47"/>
      <c r="I32" s="47">
        <f t="shared" si="7"/>
        <v>0</v>
      </c>
      <c r="J32" s="47"/>
      <c r="K32" s="47"/>
      <c r="L32" s="47">
        <f t="shared" si="8"/>
        <v>0</v>
      </c>
    </row>
    <row r="33" spans="2:12" x14ac:dyDescent="0.35">
      <c r="B33" s="47" t="s">
        <v>319</v>
      </c>
      <c r="C33" s="47"/>
      <c r="D33" s="47"/>
      <c r="E33" s="47">
        <f t="shared" si="0"/>
        <v>0</v>
      </c>
      <c r="F33" s="47"/>
      <c r="G33" s="47"/>
      <c r="H33" s="47"/>
      <c r="I33" s="47">
        <f t="shared" si="1"/>
        <v>0</v>
      </c>
      <c r="J33" s="47"/>
      <c r="K33" s="47"/>
      <c r="L33" s="47">
        <f t="shared" si="2"/>
        <v>0</v>
      </c>
    </row>
    <row r="34" spans="2:12" x14ac:dyDescent="0.35">
      <c r="B34" s="47" t="s">
        <v>323</v>
      </c>
      <c r="C34" s="47"/>
      <c r="D34" s="47"/>
      <c r="E34" s="47">
        <f t="shared" si="0"/>
        <v>0</v>
      </c>
      <c r="F34" s="47"/>
      <c r="G34" s="47"/>
      <c r="H34" s="47"/>
      <c r="I34" s="47">
        <f t="shared" si="1"/>
        <v>0</v>
      </c>
      <c r="J34" s="47"/>
      <c r="K34" s="47"/>
      <c r="L34" s="47">
        <f t="shared" si="2"/>
        <v>0</v>
      </c>
    </row>
    <row r="35" spans="2:12" x14ac:dyDescent="0.35">
      <c r="B35" s="47" t="s">
        <v>320</v>
      </c>
      <c r="C35" s="47"/>
      <c r="D35" s="47"/>
      <c r="E35" s="47">
        <f t="shared" si="0"/>
        <v>0</v>
      </c>
      <c r="F35" s="47"/>
      <c r="G35" s="47"/>
      <c r="H35" s="47"/>
      <c r="I35" s="47">
        <f t="shared" si="1"/>
        <v>0</v>
      </c>
      <c r="J35" s="47"/>
      <c r="K35" s="47"/>
      <c r="L35" s="47">
        <f t="shared" si="2"/>
        <v>0</v>
      </c>
    </row>
    <row r="36" spans="2:12" x14ac:dyDescent="0.35">
      <c r="B36" s="47" t="s">
        <v>321</v>
      </c>
      <c r="C36" s="47"/>
      <c r="D36" s="47"/>
      <c r="E36" s="47">
        <f t="shared" si="0"/>
        <v>0</v>
      </c>
      <c r="F36" s="47"/>
      <c r="G36" s="47"/>
      <c r="H36" s="47"/>
      <c r="I36" s="47">
        <f>G36*H36</f>
        <v>0</v>
      </c>
      <c r="J36" s="47"/>
      <c r="K36" s="47"/>
      <c r="L36" s="47">
        <f>J36*K36</f>
        <v>0</v>
      </c>
    </row>
    <row r="37" spans="2:12" x14ac:dyDescent="0.35">
      <c r="B37" s="47"/>
      <c r="C37" s="47"/>
      <c r="D37" s="47"/>
      <c r="E37" s="47">
        <f t="shared" ref="E37:E38" si="9">C37*D37</f>
        <v>0</v>
      </c>
      <c r="F37" s="47"/>
      <c r="G37" s="47"/>
      <c r="H37" s="47"/>
      <c r="I37" s="47">
        <f t="shared" ref="I37:I38" si="10">G37*H37</f>
        <v>0</v>
      </c>
      <c r="J37" s="47"/>
      <c r="K37" s="47"/>
      <c r="L37" s="47">
        <f t="shared" ref="L37:L38" si="11">J37*K37</f>
        <v>0</v>
      </c>
    </row>
    <row r="38" spans="2:12" x14ac:dyDescent="0.35">
      <c r="B38" s="47" t="s">
        <v>324</v>
      </c>
      <c r="C38" s="47"/>
      <c r="D38" s="47"/>
      <c r="E38" s="47">
        <f t="shared" si="9"/>
        <v>0</v>
      </c>
      <c r="F38" s="47"/>
      <c r="G38" s="47"/>
      <c r="H38" s="47"/>
      <c r="I38" s="47">
        <f t="shared" si="10"/>
        <v>0</v>
      </c>
      <c r="J38" s="47"/>
      <c r="K38" s="47"/>
      <c r="L38" s="47">
        <f t="shared" si="11"/>
        <v>0</v>
      </c>
    </row>
    <row r="39" spans="2:12" x14ac:dyDescent="0.35">
      <c r="B39" s="47"/>
      <c r="C39" s="47"/>
      <c r="D39" s="47"/>
      <c r="E39" s="47">
        <f t="shared" si="0"/>
        <v>0</v>
      </c>
      <c r="F39" s="47"/>
      <c r="G39" s="47"/>
      <c r="H39" s="47"/>
      <c r="I39" s="47">
        <f>G39*H39</f>
        <v>0</v>
      </c>
      <c r="J39" s="47"/>
      <c r="K39" s="47"/>
      <c r="L39" s="47">
        <f>J39*K39</f>
        <v>0</v>
      </c>
    </row>
    <row r="40" spans="2:12" x14ac:dyDescent="0.35">
      <c r="B40" s="47"/>
      <c r="C40" s="47"/>
      <c r="D40" s="47"/>
      <c r="E40" s="47">
        <f t="shared" si="0"/>
        <v>0</v>
      </c>
      <c r="F40" s="47"/>
      <c r="G40" s="47"/>
      <c r="H40" s="47"/>
      <c r="I40" s="47">
        <f>G40*H40</f>
        <v>0</v>
      </c>
      <c r="J40" s="47"/>
      <c r="K40" s="47"/>
      <c r="L40" s="47">
        <f>J40*K40</f>
        <v>0</v>
      </c>
    </row>
    <row r="41" spans="2:12" x14ac:dyDescent="0.35">
      <c r="B41" s="47"/>
      <c r="C41" s="47"/>
      <c r="D41" s="47"/>
      <c r="E41" s="47">
        <f t="shared" si="0"/>
        <v>0</v>
      </c>
      <c r="F41" s="47"/>
      <c r="G41" s="47"/>
      <c r="H41" s="47"/>
      <c r="I41" s="47">
        <f>G41*H41</f>
        <v>0</v>
      </c>
      <c r="J41" s="47"/>
      <c r="K41" s="47"/>
      <c r="L41" s="47">
        <f>J41*K41</f>
        <v>0</v>
      </c>
    </row>
    <row r="42" spans="2:12" x14ac:dyDescent="0.35">
      <c r="B42" s="47" t="s">
        <v>146</v>
      </c>
      <c r="C42" s="47"/>
      <c r="D42" s="47">
        <f>E42*10.764</f>
        <v>0</v>
      </c>
      <c r="E42" s="60">
        <f>SUM(E6:E41)</f>
        <v>0</v>
      </c>
      <c r="F42" s="47"/>
      <c r="G42" s="47"/>
      <c r="H42" s="47">
        <f>I42*10.764</f>
        <v>0</v>
      </c>
      <c r="I42" s="59">
        <f>SUM(I6:I41)</f>
        <v>0</v>
      </c>
      <c r="J42" s="47"/>
      <c r="K42" s="47">
        <f>L42*10.764</f>
        <v>0</v>
      </c>
      <c r="L42" s="58">
        <f>SUM(L6:L41)</f>
        <v>0</v>
      </c>
    </row>
    <row r="44" spans="2:12" x14ac:dyDescent="0.35">
      <c r="D44" s="46">
        <f>D42+H42</f>
        <v>0</v>
      </c>
      <c r="E44" s="46">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2025-07-15T08:07:12Z</cp:lastPrinted>
  <dcterms:created xsi:type="dcterms:W3CDTF">2019-07-16T09:29:46Z</dcterms:created>
  <dcterms:modified xsi:type="dcterms:W3CDTF">2025-07-15T08:08:03Z</dcterms:modified>
</cp:coreProperties>
</file>