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C-51\Downloads\July 2025\correction\"/>
    </mc:Choice>
  </mc:AlternateContent>
  <bookViews>
    <workbookView xWindow="0" yWindow="0" windowWidth="20490" windowHeight="6555"/>
  </bookViews>
  <sheets>
    <sheet name="Report" sheetId="1" r:id="rId1"/>
    <sheet name="Flat detail" sheetId="3" r:id="rId2"/>
    <sheet name="Note" sheetId="4" r:id="rId3"/>
    <sheet name="valuation" sheetId="5" r:id="rId4"/>
  </sheets>
  <definedNames>
    <definedName name="_xlnm.Print_Area" localSheetId="0">Report!$A$1:$H$339</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44" i="1" l="1"/>
  <c r="C143" i="1" l="1"/>
  <c r="F143" i="1"/>
  <c r="D143" i="1"/>
  <c r="D134" i="1"/>
  <c r="D220" i="1"/>
  <c r="D219" i="1"/>
  <c r="D218" i="1"/>
  <c r="D217" i="1"/>
  <c r="D216" i="1"/>
  <c r="D215" i="1"/>
  <c r="F210" i="1"/>
  <c r="D213" i="1"/>
  <c r="D212" i="1"/>
  <c r="D211" i="1"/>
  <c r="D210" i="1"/>
  <c r="C14" i="1" l="1"/>
  <c r="E3" i="1"/>
  <c r="F11" i="5" l="1"/>
  <c r="G11" i="5" s="1"/>
  <c r="F10" i="5"/>
  <c r="G10" i="5" s="1"/>
  <c r="F9" i="5"/>
  <c r="G9" i="5" s="1"/>
  <c r="F8" i="5"/>
  <c r="G8" i="5" s="1"/>
  <c r="F7" i="5"/>
  <c r="G7" i="5" s="1"/>
  <c r="F6" i="5"/>
  <c r="G6" i="5" s="1"/>
  <c r="F5" i="5"/>
  <c r="G5" i="5" s="1"/>
  <c r="G12" i="5" s="1"/>
  <c r="E8" i="4"/>
  <c r="I7" i="4"/>
  <c r="E7" i="4"/>
  <c r="I6" i="4"/>
  <c r="E6" i="4"/>
  <c r="I5" i="4"/>
  <c r="E5" i="4"/>
  <c r="I4" i="4"/>
  <c r="E4" i="4"/>
  <c r="I3" i="4"/>
  <c r="E3" i="4"/>
  <c r="I2" i="4"/>
  <c r="E2" i="4"/>
  <c r="E1" i="4"/>
  <c r="L33" i="3"/>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D235" i="1"/>
  <c r="F220" i="1"/>
  <c r="F219" i="1"/>
  <c r="F218" i="1"/>
  <c r="I218" i="1" s="1"/>
  <c r="F217" i="1"/>
  <c r="F216" i="1"/>
  <c r="F213" i="1"/>
  <c r="F212" i="1"/>
  <c r="F211" i="1"/>
  <c r="D207" i="1"/>
  <c r="F207" i="1" s="1"/>
  <c r="I207" i="1" s="1"/>
  <c r="D206" i="1"/>
  <c r="F206" i="1" s="1"/>
  <c r="D205" i="1"/>
  <c r="D204" i="1"/>
  <c r="F204" i="1" s="1"/>
  <c r="I204" i="1" s="1"/>
  <c r="D202" i="1"/>
  <c r="F202" i="1" s="1"/>
  <c r="F133" i="1" s="1"/>
  <c r="D199" i="1"/>
  <c r="F199" i="1" s="1"/>
  <c r="D198" i="1"/>
  <c r="F198" i="1" s="1"/>
  <c r="D197" i="1"/>
  <c r="F197" i="1" s="1"/>
  <c r="D196" i="1"/>
  <c r="F196" i="1" s="1"/>
  <c r="D195" i="1"/>
  <c r="F195" i="1" s="1"/>
  <c r="D194" i="1"/>
  <c r="F194" i="1" s="1"/>
  <c r="D193" i="1"/>
  <c r="F193" i="1" s="1"/>
  <c r="G192" i="1"/>
  <c r="D192" i="1"/>
  <c r="F192" i="1" s="1"/>
  <c r="D190" i="1"/>
  <c r="F190" i="1" s="1"/>
  <c r="J190" i="1" s="1"/>
  <c r="D189" i="1"/>
  <c r="F189" i="1" s="1"/>
  <c r="E188" i="1"/>
  <c r="D188" i="1"/>
  <c r="E187" i="1"/>
  <c r="D187" i="1"/>
  <c r="E186" i="1"/>
  <c r="D186" i="1"/>
  <c r="F186" i="1" s="1"/>
  <c r="E185" i="1"/>
  <c r="D185" i="1"/>
  <c r="D184" i="1"/>
  <c r="F184" i="1" s="1"/>
  <c r="D183" i="1"/>
  <c r="F183" i="1" s="1"/>
  <c r="D181" i="1"/>
  <c r="F181" i="1" s="1"/>
  <c r="D180" i="1"/>
  <c r="F180" i="1" s="1"/>
  <c r="D179" i="1"/>
  <c r="D178" i="1"/>
  <c r="F178" i="1" s="1"/>
  <c r="D177" i="1"/>
  <c r="F177" i="1" s="1"/>
  <c r="D176" i="1"/>
  <c r="F176" i="1" s="1"/>
  <c r="D175" i="1"/>
  <c r="F175" i="1" s="1"/>
  <c r="D174" i="1"/>
  <c r="F174" i="1" s="1"/>
  <c r="D173" i="1"/>
  <c r="F173" i="1" s="1"/>
  <c r="D172" i="1"/>
  <c r="F172" i="1" s="1"/>
  <c r="D171" i="1"/>
  <c r="F171" i="1" s="1"/>
  <c r="D170" i="1"/>
  <c r="F170" i="1" s="1"/>
  <c r="D169" i="1"/>
  <c r="F169" i="1" s="1"/>
  <c r="D168" i="1"/>
  <c r="F168" i="1" s="1"/>
  <c r="D167" i="1"/>
  <c r="F167" i="1" s="1"/>
  <c r="D166" i="1"/>
  <c r="F166" i="1" s="1"/>
  <c r="D165" i="1"/>
  <c r="F165" i="1" s="1"/>
  <c r="D163" i="1"/>
  <c r="F163" i="1" s="1"/>
  <c r="D162" i="1"/>
  <c r="F162" i="1" s="1"/>
  <c r="D161" i="1"/>
  <c r="F161" i="1" s="1"/>
  <c r="D160" i="1"/>
  <c r="F160" i="1" s="1"/>
  <c r="D159" i="1"/>
  <c r="F159" i="1" s="1"/>
  <c r="D158" i="1"/>
  <c r="F158" i="1" s="1"/>
  <c r="D157" i="1"/>
  <c r="F157" i="1" s="1"/>
  <c r="D156" i="1"/>
  <c r="F156" i="1" s="1"/>
  <c r="D155" i="1"/>
  <c r="F155" i="1" s="1"/>
  <c r="D154" i="1"/>
  <c r="D153" i="1"/>
  <c r="F153" i="1" s="1"/>
  <c r="D152" i="1"/>
  <c r="F152" i="1" s="1"/>
  <c r="D151" i="1"/>
  <c r="F151" i="1" s="1"/>
  <c r="F130" i="1"/>
  <c r="D113" i="1"/>
  <c r="D112" i="1"/>
  <c r="D111" i="1"/>
  <c r="D110" i="1"/>
  <c r="D109" i="1"/>
  <c r="D108" i="1"/>
  <c r="G107" i="1"/>
  <c r="D107" i="1"/>
  <c r="I103" i="1"/>
  <c r="C105" i="1" s="1"/>
  <c r="E107" i="1" s="1"/>
  <c r="J100" i="1"/>
  <c r="J99" i="1"/>
  <c r="J98" i="1"/>
  <c r="J97" i="1"/>
  <c r="J86" i="1"/>
  <c r="J85" i="1"/>
  <c r="J84" i="1"/>
  <c r="J83" i="1"/>
  <c r="J72" i="1"/>
  <c r="J71" i="1"/>
  <c r="J70" i="1"/>
  <c r="J69" i="1"/>
  <c r="D53" i="1"/>
  <c r="G47" i="1"/>
  <c r="C47" i="1"/>
  <c r="E41" i="1"/>
  <c r="E42" i="1" s="1"/>
  <c r="E7" i="1"/>
  <c r="H76" i="1"/>
  <c r="H62" i="1"/>
  <c r="H90" i="1"/>
  <c r="I219" i="1" l="1"/>
  <c r="I220" i="1"/>
  <c r="J220" i="1"/>
  <c r="C133" i="1"/>
  <c r="F188" i="1"/>
  <c r="E34" i="3"/>
  <c r="D133" i="1"/>
  <c r="D138" i="1"/>
  <c r="F185" i="1"/>
  <c r="F187" i="1"/>
  <c r="D142" i="1"/>
  <c r="C141" i="1"/>
  <c r="I34" i="3"/>
  <c r="H34" i="3" s="1"/>
  <c r="L34" i="3"/>
  <c r="K34" i="3" s="1"/>
  <c r="J95" i="1"/>
  <c r="J96" i="1" s="1"/>
  <c r="J101" i="1" s="1"/>
  <c r="J102" i="1" s="1"/>
  <c r="C94" i="1" s="1"/>
  <c r="D99" i="1"/>
  <c r="C95" i="1"/>
  <c r="D95" i="1" s="1"/>
  <c r="D102" i="1"/>
  <c r="D98" i="1"/>
  <c r="J94" i="1"/>
  <c r="C93" i="1" s="1"/>
  <c r="D93" i="1" s="1"/>
  <c r="J92" i="1"/>
  <c r="D96" i="1"/>
  <c r="D101" i="1"/>
  <c r="D97" i="1"/>
  <c r="D100" i="1"/>
  <c r="J93" i="1"/>
  <c r="D72" i="1"/>
  <c r="D68" i="1"/>
  <c r="D65" i="1"/>
  <c r="J67" i="1"/>
  <c r="J68" i="1" s="1"/>
  <c r="J73" i="1" s="1"/>
  <c r="J74" i="1" s="1"/>
  <c r="J64" i="1"/>
  <c r="D71" i="1"/>
  <c r="D67" i="1"/>
  <c r="J66" i="1"/>
  <c r="D74" i="1"/>
  <c r="D70" i="1"/>
  <c r="D66" i="1"/>
  <c r="J65" i="1"/>
  <c r="E65" i="1"/>
  <c r="I61" i="1" s="1"/>
  <c r="C63" i="1" s="1"/>
  <c r="D73" i="1"/>
  <c r="D69" i="1"/>
  <c r="G65" i="1"/>
  <c r="D88" i="1"/>
  <c r="D84" i="1"/>
  <c r="D87" i="1"/>
  <c r="D83" i="1"/>
  <c r="J79" i="1"/>
  <c r="D86" i="1"/>
  <c r="D82" i="1"/>
  <c r="J78" i="1"/>
  <c r="J81" i="1"/>
  <c r="J82" i="1" s="1"/>
  <c r="J87" i="1" s="1"/>
  <c r="J88" i="1" s="1"/>
  <c r="C80" i="1" s="1"/>
  <c r="J80" i="1"/>
  <c r="C79" i="1" s="1"/>
  <c r="D79" i="1" s="1"/>
  <c r="D85" i="1"/>
  <c r="D81" i="1"/>
  <c r="D34" i="3"/>
  <c r="D36" i="3" s="1"/>
  <c r="C142" i="1"/>
  <c r="F154" i="1"/>
  <c r="F138" i="1" s="1"/>
  <c r="F179" i="1"/>
  <c r="F205" i="1"/>
  <c r="F134" i="1"/>
  <c r="F135" i="1" s="1"/>
  <c r="F215" i="1"/>
  <c r="C138" i="1"/>
  <c r="C134" i="1"/>
  <c r="C135" i="1" s="1"/>
  <c r="D141" i="1"/>
  <c r="D144" i="1" l="1"/>
  <c r="F141" i="1"/>
  <c r="C145" i="1"/>
  <c r="D135" i="1"/>
  <c r="E36" i="3"/>
  <c r="E93" i="1"/>
  <c r="I89" i="1" s="1"/>
  <c r="D94" i="1"/>
  <c r="E79" i="1"/>
  <c r="I75" i="1" s="1"/>
  <c r="C77" i="1" s="1"/>
  <c r="D80" i="1"/>
  <c r="F142" i="1"/>
  <c r="I205" i="1"/>
  <c r="G79" i="1"/>
  <c r="I215" i="1"/>
  <c r="G93" i="1"/>
  <c r="D145" i="1" l="1"/>
  <c r="F144" i="1"/>
  <c r="F145" i="1" s="1"/>
</calcChain>
</file>

<file path=xl/sharedStrings.xml><?xml version="1.0" encoding="utf-8"?>
<sst xmlns="http://schemas.openxmlformats.org/spreadsheetml/2006/main" count="508" uniqueCount="279">
  <si>
    <t xml:space="preserve">Valuation Report </t>
  </si>
  <si>
    <t>Date:</t>
  </si>
  <si>
    <t>CPC Name:</t>
  </si>
  <si>
    <t>Date Of Property Visit</t>
  </si>
  <si>
    <t>Name of the builder group</t>
  </si>
  <si>
    <t>Name of the builder company</t>
  </si>
  <si>
    <t>Name of the Project</t>
  </si>
  <si>
    <t>Name / No of the Building</t>
  </si>
  <si>
    <t>Docouments Provided</t>
  </si>
  <si>
    <t>RERA No.</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</si>
  <si>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</si>
  <si>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</si>
  <si>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</si>
  <si>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</si>
  <si>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</si>
  <si>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</si>
  <si>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</si>
  <si>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</si>
  <si>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</si>
  <si>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</si>
  <si>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</si>
  <si>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</si>
  <si>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</si>
  <si>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</si>
  <si>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</si>
  <si>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</si>
  <si>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</si>
  <si>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</si>
  <si>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</si>
  <si>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</si>
  <si>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</si>
  <si>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</si>
  <si>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</si>
  <si>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</si>
  <si>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</si>
  <si>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</si>
  <si>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</si>
  <si>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</si>
  <si>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</si>
  <si>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</si>
  <si>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</si>
  <si>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</si>
  <si>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</si>
  <si>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</si>
  <si>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</si>
  <si>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</si>
  <si>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</si>
  <si>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Date of approval: </t>
  </si>
  <si>
    <t>Building wise Construction details</t>
  </si>
  <si>
    <t>Approved no of units</t>
  </si>
  <si>
    <t>Approved no of Floors</t>
  </si>
  <si>
    <t>Type of Work</t>
  </si>
  <si>
    <t>Plinth</t>
  </si>
  <si>
    <t>Brick</t>
  </si>
  <si>
    <t>Plaster</t>
  </si>
  <si>
    <t>Flooring</t>
  </si>
  <si>
    <t>Painting &amp; Wooden Work</t>
  </si>
  <si>
    <t>Finishing</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</si>
  <si>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</si>
  <si>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</si>
  <si>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</si>
  <si>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</si>
  <si>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</si>
  <si>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</si>
  <si>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</si>
  <si>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</si>
  <si>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</si>
  <si>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</si>
  <si>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</si>
  <si>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</si>
  <si>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</si>
  <si>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</si>
  <si>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Saleable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</si>
  <si>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</si>
  <si>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</si>
  <si>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</si>
  <si>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</si>
  <si>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</si>
  <si>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</si>
  <si>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</si>
  <si>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</si>
  <si>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</si>
  <si>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</si>
  <si>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</si>
  <si>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</si>
  <si>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</si>
  <si>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</si>
  <si>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</si>
  <si>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</si>
  <si>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</si>
  <si>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</si>
  <si>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</si>
  <si>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</si>
  <si>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</si>
  <si>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</si>
  <si>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</si>
  <si>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</si>
  <si>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</si>
  <si>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</si>
  <si>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</si>
  <si>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</si>
  <si>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</si>
  <si>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</si>
  <si>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</si>
  <si>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</si>
  <si>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</si>
  <si>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</si>
  <si>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</si>
  <si>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</si>
  <si>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</si>
  <si>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</si>
  <si>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</si>
  <si>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</si>
  <si>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</si>
  <si>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</si>
  <si>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Accessibility to the Project from the City: (Proximity to civic amenities like school, hospital, market, etc.)</t>
  </si>
  <si>
    <t>Inspected By :</t>
  </si>
  <si>
    <t>No. of Units</t>
  </si>
  <si>
    <t>Authorized Signatory
Name &amp; Seal of the agency</t>
  </si>
  <si>
    <t>Residential + Commercial</t>
  </si>
  <si>
    <t>Floors</t>
  </si>
  <si>
    <t>Type of Structure</t>
  </si>
  <si>
    <t>RCC Frame Structure</t>
  </si>
  <si>
    <t>Completed Slab/Floor</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</si>
  <si>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</si>
  <si>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</si>
  <si>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</si>
  <si>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</si>
  <si>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</si>
  <si>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</si>
  <si>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</si>
  <si>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</si>
  <si>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</si>
  <si>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</si>
  <si>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</si>
  <si>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</si>
  <si>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</si>
  <si>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Floor Rise Rate Per Sq.ft</t>
  </si>
  <si>
    <t>Development Charges</t>
  </si>
  <si>
    <t>Club Charges</t>
  </si>
  <si>
    <t>Legal Services Charges</t>
  </si>
  <si>
    <t>Gas Connection Charges</t>
  </si>
  <si>
    <t>Water, Electricity, Drainages, Sewerage Connection</t>
  </si>
  <si>
    <t>Advance Maintenance Charges</t>
  </si>
  <si>
    <t>Excavation in process</t>
  </si>
  <si>
    <t>Excavation Completed</t>
  </si>
  <si>
    <t>Footing in Process</t>
  </si>
  <si>
    <t>Footing Completed</t>
  </si>
  <si>
    <t>Plinth in process</t>
  </si>
  <si>
    <t>Plinth completed</t>
  </si>
  <si>
    <t>RCC Slab</t>
  </si>
  <si>
    <t>All work Completed. Wait For OC.</t>
  </si>
  <si>
    <t>All work Completed. OC Received.</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</si>
  <si>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</si>
  <si>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</si>
  <si>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</si>
  <si>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</si>
  <si>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</si>
  <si>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</si>
  <si>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</si>
  <si>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</si>
  <si>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</si>
  <si>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</si>
  <si>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</si>
  <si>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</si>
  <si>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All work Completed. Provide OC.</t>
  </si>
  <si>
    <t>Contact Details ( Name &amp; Contect No.)</t>
  </si>
  <si>
    <t>Axis Sanpada</t>
  </si>
  <si>
    <t>Samruddhi Residency</t>
  </si>
  <si>
    <t>P51700027136</t>
  </si>
  <si>
    <t xml:space="preserve">S11/0018/10/TMC/TDD/3482/20
</t>
  </si>
  <si>
    <t>09/10/2020.</t>
  </si>
  <si>
    <t>TMC/TDD/3482/20</t>
  </si>
  <si>
    <t>Middle Class</t>
  </si>
  <si>
    <t>Developing</t>
  </si>
  <si>
    <t>Dawale</t>
  </si>
  <si>
    <t>Diva Shil Road</t>
  </si>
  <si>
    <t>Open Plot</t>
  </si>
  <si>
    <t>Internal Road</t>
  </si>
  <si>
    <t>Building</t>
  </si>
  <si>
    <t>Shree Vighnaharta Residency</t>
  </si>
  <si>
    <t>3.2Km from Diva Railway Station</t>
  </si>
  <si>
    <t>Ground Floor for Commercial &amp; Amenities</t>
  </si>
  <si>
    <t>Shop</t>
  </si>
  <si>
    <t>Ground Floor</t>
  </si>
  <si>
    <t>1st Floor Commercial &amp; Residential</t>
  </si>
  <si>
    <t>1BHK</t>
  </si>
  <si>
    <t>1st Floor</t>
  </si>
  <si>
    <t>2nd Floor for Residential</t>
  </si>
  <si>
    <t>2nd Floor</t>
  </si>
  <si>
    <t>3rd to 6th Floor</t>
  </si>
  <si>
    <t>301 to 601</t>
  </si>
  <si>
    <t>302 to 602</t>
  </si>
  <si>
    <t>303 to 603</t>
  </si>
  <si>
    <t>304 to 604</t>
  </si>
  <si>
    <t>305 to 605</t>
  </si>
  <si>
    <t>306 to 606</t>
  </si>
  <si>
    <t>307 to 607</t>
  </si>
  <si>
    <t>308 to 608</t>
  </si>
  <si>
    <t>Building B-3</t>
  </si>
  <si>
    <t>Building B-2</t>
  </si>
  <si>
    <t>Ground Floor for Commercial &amp; Parking</t>
  </si>
  <si>
    <t>Office</t>
  </si>
  <si>
    <t>1st to 7th Floor</t>
  </si>
  <si>
    <t>1st to 7th Floor for Residential</t>
  </si>
  <si>
    <t>1RK</t>
  </si>
  <si>
    <t>Building B-4</t>
  </si>
  <si>
    <t>101 to 701</t>
  </si>
  <si>
    <t>102 to 702</t>
  </si>
  <si>
    <t>103 to 703</t>
  </si>
  <si>
    <t>104 to 704</t>
  </si>
  <si>
    <t>105 to 705</t>
  </si>
  <si>
    <t>106 to 706</t>
  </si>
  <si>
    <t>Commercial Area Details : Office</t>
  </si>
  <si>
    <t>Commercial Area Details : Shop</t>
  </si>
  <si>
    <t>Flats - 114,  Shops - 26 , Offices - 5</t>
  </si>
  <si>
    <t>Society &amp; Other Charges</t>
  </si>
  <si>
    <t>Survey No</t>
  </si>
  <si>
    <t>Construction details: Builidng B4 = Gr + 7th Floor</t>
  </si>
  <si>
    <t>Wheather the construction is as per approved Building plan : Under Construction</t>
  </si>
  <si>
    <t>Approved Plans, CC, Sale Plans, Cost Sheet</t>
  </si>
  <si>
    <t>M/s.Shree Sai Ganesh Developers</t>
  </si>
  <si>
    <t>Thane</t>
  </si>
  <si>
    <t>2BHK</t>
  </si>
  <si>
    <t>Cement, Aggregate, Steel, etc</t>
  </si>
  <si>
    <t>Building B2 = Gr + 6th Floor
Building B3 &amp; B4 = Gr + 7th Floor</t>
  </si>
  <si>
    <t>Recommended rate of the 1st Floor commercial unit Per Sq. Ft. (on Saleable area)</t>
  </si>
  <si>
    <t>Recommended rate of the ground Floor commercial unit Per Sq. Ft. ( on Saleable area)</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</si>
  <si>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</si>
  <si>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</si>
  <si>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</si>
  <si>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</si>
  <si>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</si>
  <si>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</si>
  <si>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</si>
  <si>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</si>
  <si>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</si>
  <si>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</si>
  <si>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</si>
  <si>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</si>
  <si>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</si>
  <si>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</si>
  <si>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</si>
  <si>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</si>
  <si>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</si>
  <si>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</si>
  <si>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Building B3 &amp; B4 = Gr + 1st to 7th Floor</t>
  </si>
  <si>
    <t>Building B1 to B4
Building B3
Building B4</t>
  </si>
  <si>
    <t>04 Building</t>
  </si>
  <si>
    <t>9821121023/ 8828183938/8070602999</t>
  </si>
  <si>
    <t>Building B2 = Gr + 1st to 18th Floor</t>
  </si>
  <si>
    <t>Building B1 = Gr + 1st to 18th Floor</t>
  </si>
  <si>
    <t>Building B1 &amp; B2 = Gr + 18th Floor
Building B3 &amp; B4 = Gr + 7th Floor</t>
  </si>
  <si>
    <t xml:space="preserve">Valid Up to: 
Building B2 = Gr + 6th Floor
Building B3 &amp; B4 = Gr + 7th Floor
</t>
  </si>
  <si>
    <t>O. Certificate No.: 
Part OC</t>
  </si>
  <si>
    <t>Expected Completion As per RERA</t>
  </si>
  <si>
    <t>Building No.B1 &amp; B2 - 30/06/2025
Building No. B3 &amp; B4 - Completed</t>
  </si>
  <si>
    <t>Latitude, Longitude</t>
  </si>
  <si>
    <t>19.16825748, 73.04606539</t>
  </si>
  <si>
    <t>Location Link</t>
  </si>
  <si>
    <t>https://goo.gl/maps/mMizwnh8FLKSXE8H6</t>
  </si>
  <si>
    <t>Building B2</t>
  </si>
  <si>
    <t>Building B4</t>
  </si>
  <si>
    <t>Grand Total</t>
  </si>
  <si>
    <t xml:space="preserve">Office No. 1031, Wing J, Akshar Business Park, Plot No. 03 Sector 25, Near APMC Market, Vashi, Navi Mumbai, Maharashtra 400703 TEL: 022-46090378/79/80                                                                                             E mail : vsjcapf@gmail.com. Web site : www.vsjadon.com </t>
  </si>
  <si>
    <t>S11/0018/10TMC/TDD/OCC/1087/22
Approved upto : Building No. B3 &amp; B4 = 1st to 7th Floor</t>
  </si>
  <si>
    <t>29/07/2022</t>
  </si>
  <si>
    <t>Site Person - Contact Details ( Name &amp; Contact No.)</t>
  </si>
  <si>
    <t>Pooja</t>
  </si>
  <si>
    <t>All work Completed. OC Received upto 1st to 7th Floor.</t>
  </si>
  <si>
    <t>Mr. Suhail : 8450995949</t>
  </si>
  <si>
    <t>Gangaram parshuram Lambore</t>
  </si>
  <si>
    <t>Flat/Shop No.
(Approved Plan)</t>
  </si>
  <si>
    <t>Flat/Shop No.
(Sale Plan)</t>
  </si>
  <si>
    <t>TMC/TD-DP/TPS/OCC/1087/22/V.P. No. S11/0018/10</t>
  </si>
  <si>
    <t>Ground Floor for Society Office, Meter Room, Commercial &amp; Parking</t>
  </si>
  <si>
    <r>
      <t xml:space="preserve">1. Building B1 = Construction work not yet started.
    Building B2 = Construction work is in process.
    Building B3 &amp; B4 = All work Completed. OC Received upto 1st to 7th Floor.
2. We considered  Saleable area  as per our calculation.
3. We considered Carpet area as per Approved Plan.
4. We considered Gross carpet area = Net carpet + Enclose balcony + C.B Area.
5. We have considered rate by verifying it from market inquire.
6. Recommended rate should be considered as all inclusive rate if other charges are not mentioned. (Excluding GST &amp; other government Taxes).
7. Car parking is subjected to authentic documentation.
8. On (03/09/2022), we updated the O.C. of Buildings B3 and B4.
9. We have updated approved OC plans of Building No. 04 on 28/07/2025.
10. Recommended Rates/Other Charges of the Property have been revised on 23/10/2023.
</t>
    </r>
    <r>
      <rPr>
        <b/>
        <sz val="12"/>
        <color rgb="FFFF0000"/>
        <rFont val="Times New Roman"/>
        <family val="1"/>
      </rPr>
      <t>11. As per RERA, completion period of project Samruddhi Residency is expired on 30/06/2025 but still project is under construction.</t>
    </r>
    <r>
      <rPr>
        <b/>
        <sz val="12"/>
        <rFont val="Times New Roman"/>
        <family val="1"/>
      </rPr>
      <t xml:space="preserve">
8. On Site, we meet Mr. Sohel - 8450995949.</t>
    </r>
  </si>
  <si>
    <t>Sale Plan 10 :</t>
  </si>
  <si>
    <t>Approved Floor plan No.  
Building No. 4</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</si>
</sst>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_(* #,##0_);_(* \(#,##0\);_(* &quot;-&quot;??_);_(@_)"/>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FF0000"/>
      <name val="Calibri"/>
      <family val="2"/>
      <scheme val="minor"/>
    </font>
    <font>
      <sz val="11"/>
      <color rgb="FFFF0000"/>
      <name val="Calibri"/>
      <family val="2"/>
    </font>
    <font>
      <sz val="10"/>
      <name val="Arial"/>
      <family val="2"/>
    </font>
    <font>
      <b/>
      <sz val="11.5"/>
      <name val="Times New Roman"/>
      <family val="1"/>
    </font>
    <font>
      <b/>
      <sz val="11"/>
      <name val="Times New Roman"/>
      <family val="1"/>
    </font>
    <font>
      <sz val="11"/>
      <color rgb="FF000000"/>
      <name val="Times New Roman"/>
      <family val="1"/>
    </font>
    <font>
      <u/>
      <sz val="11"/>
      <color theme="10"/>
      <name val="Calibri"/>
      <family val="2"/>
    </font>
    <font>
      <b/>
      <sz val="12"/>
      <color rgb="FFFF0000"/>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9">
    <xf numFmtId="0" fontId="0" fillId="0" borderId="0"/>
    <xf numFmtId="0" fontId="4" fillId="0" borderId="0"/>
    <xf numFmtId="0" fontId="5" fillId="0" borderId="0"/>
    <xf numFmtId="0" fontId="3" fillId="0" borderId="0"/>
    <xf numFmtId="0" fontId="5" fillId="0" borderId="0"/>
    <xf numFmtId="0" fontId="2" fillId="0" borderId="0"/>
    <xf numFmtId="164" fontId="5" fillId="0" borderId="0" applyFont="0" applyFill="0" applyBorder="0" applyAlignment="0" applyProtection="0"/>
    <xf numFmtId="0" fontId="18" fillId="0" borderId="0"/>
    <xf numFmtId="0" fontId="22" fillId="0" borderId="0" applyNumberFormat="0" applyFill="0" applyBorder="0" applyAlignment="0" applyProtection="0"/>
  </cellStyleXfs>
  <cellXfs count="178">
    <xf numFmtId="0" fontId="0" fillId="0" borderId="0" xfId="0"/>
    <xf numFmtId="0" fontId="7" fillId="0" borderId="0" xfId="0" applyFont="1" applyAlignment="1">
      <alignment horizontal="center" vertical="center"/>
    </xf>
    <xf numFmtId="0" fontId="7" fillId="0" borderId="0" xfId="1" applyFont="1" applyAlignment="1">
      <alignment horizontal="center" vertical="center"/>
    </xf>
    <xf numFmtId="0" fontId="0" fillId="3" borderId="1" xfId="0" applyFill="1" applyBorder="1"/>
    <xf numFmtId="0" fontId="0" fillId="0" borderId="2" xfId="0" applyBorder="1"/>
    <xf numFmtId="0" fontId="9" fillId="0" borderId="1" xfId="0" applyFont="1" applyBorder="1"/>
    <xf numFmtId="0" fontId="9" fillId="0" borderId="1" xfId="0" applyFont="1" applyBorder="1" applyAlignment="1">
      <alignment horizontal="center"/>
    </xf>
    <xf numFmtId="0" fontId="0" fillId="0" borderId="1" xfId="0" applyBorder="1"/>
    <xf numFmtId="0" fontId="7" fillId="0" borderId="0" xfId="1" applyFont="1"/>
    <xf numFmtId="0" fontId="6" fillId="0" borderId="0" xfId="2" applyFont="1"/>
    <xf numFmtId="0" fontId="7" fillId="0" borderId="0" xfId="0" applyFont="1"/>
    <xf numFmtId="0" fontId="11" fillId="0" borderId="0" xfId="1" applyFont="1"/>
    <xf numFmtId="0" fontId="14" fillId="0" borderId="0" xfId="1" applyFont="1"/>
    <xf numFmtId="0" fontId="15" fillId="0" borderId="0" xfId="1" applyFont="1"/>
    <xf numFmtId="0" fontId="11" fillId="2" borderId="1" xfId="1" applyFont="1" applyFill="1" applyBorder="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0" fontId="11" fillId="0" borderId="8" xfId="1" applyFont="1" applyBorder="1" applyAlignment="1" applyProtection="1">
      <alignment horizontal="center" vertical="top"/>
      <protection locked="0"/>
    </xf>
    <xf numFmtId="0" fontId="5" fillId="0" borderId="0" xfId="4"/>
    <xf numFmtId="0" fontId="2" fillId="0" borderId="0" xfId="5"/>
    <xf numFmtId="0" fontId="9" fillId="0" borderId="1" xfId="5" applyFont="1" applyBorder="1" applyAlignment="1">
      <alignment horizontal="center" vertical="top" wrapText="1"/>
    </xf>
    <xf numFmtId="0" fontId="17" fillId="0" borderId="0" xfId="4" applyFont="1"/>
    <xf numFmtId="0" fontId="2" fillId="0" borderId="1" xfId="5" applyBorder="1" applyAlignment="1">
      <alignment horizontal="center" vertical="center"/>
    </xf>
    <xf numFmtId="0" fontId="2" fillId="0" borderId="1" xfId="5" applyBorder="1" applyAlignment="1">
      <alignment horizontal="left"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9" fillId="0" borderId="1" xfId="5" applyFont="1" applyBorder="1" applyAlignment="1">
      <alignment horizontal="center" vertical="center"/>
    </xf>
    <xf numFmtId="1" fontId="16" fillId="0" borderId="1" xfId="5" applyNumberFormat="1" applyFont="1" applyBorder="1" applyAlignment="1">
      <alignment horizontal="center" vertical="center"/>
    </xf>
    <xf numFmtId="0" fontId="5" fillId="0" borderId="1" xfId="4" applyBorder="1" applyAlignment="1">
      <alignment horizontal="center" vertical="center"/>
    </xf>
    <xf numFmtId="0" fontId="11" fillId="2" borderId="1" xfId="1" applyFont="1" applyFill="1" applyBorder="1" applyAlignment="1" applyProtection="1">
      <alignment horizontal="left" vertical="top"/>
      <protection locked="0"/>
    </xf>
    <xf numFmtId="0" fontId="11" fillId="0" borderId="1" xfId="1" applyFont="1" applyBorder="1" applyAlignment="1" applyProtection="1">
      <alignment horizontal="center" vertical="top"/>
      <protection locked="0"/>
    </xf>
    <xf numFmtId="0" fontId="12" fillId="2" borderId="1" xfId="1" applyFont="1" applyFill="1" applyBorder="1" applyAlignment="1" applyProtection="1">
      <alignment horizontal="left" vertical="top"/>
      <protection locked="0"/>
    </xf>
    <xf numFmtId="0" fontId="11" fillId="0" borderId="0" xfId="1" applyFont="1" applyProtection="1">
      <protection hidden="1"/>
    </xf>
    <xf numFmtId="0" fontId="11" fillId="0" borderId="15" xfId="1" applyFont="1" applyBorder="1" applyProtection="1">
      <protection hidden="1"/>
    </xf>
    <xf numFmtId="0" fontId="11" fillId="0" borderId="16" xfId="1" applyFont="1" applyBorder="1" applyProtection="1">
      <protection hidden="1"/>
    </xf>
    <xf numFmtId="0" fontId="11" fillId="0" borderId="17" xfId="1" applyFont="1" applyBorder="1" applyProtection="1">
      <protection hidden="1"/>
    </xf>
    <xf numFmtId="0" fontId="11" fillId="0" borderId="9" xfId="1" applyFont="1" applyBorder="1" applyAlignment="1" applyProtection="1">
      <alignment horizontal="center" vertical="top"/>
      <protection locked="0"/>
    </xf>
    <xf numFmtId="0" fontId="11" fillId="0" borderId="18" xfId="1" applyFont="1" applyBorder="1" applyProtection="1">
      <protection hidden="1"/>
    </xf>
    <xf numFmtId="0" fontId="11" fillId="0" borderId="19" xfId="1" applyFont="1" applyBorder="1" applyProtection="1">
      <protection hidden="1"/>
    </xf>
    <xf numFmtId="0" fontId="11" fillId="0" borderId="1" xfId="1" applyFont="1" applyBorder="1" applyAlignment="1" applyProtection="1">
      <alignment horizontal="center" vertical="top" wrapText="1"/>
      <protection locked="0"/>
    </xf>
    <xf numFmtId="0" fontId="11" fillId="0" borderId="19" xfId="1" applyFont="1" applyBorder="1"/>
    <xf numFmtId="0" fontId="11" fillId="0" borderId="1" xfId="1" applyFont="1" applyBorder="1" applyAlignment="1" applyProtection="1">
      <alignment horizontal="center" wrapText="1"/>
      <protection locked="0"/>
    </xf>
    <xf numFmtId="9" fontId="11" fillId="2" borderId="1" xfId="1" applyNumberFormat="1" applyFont="1" applyFill="1" applyBorder="1" applyAlignment="1" applyProtection="1">
      <alignment horizontal="center" vertical="center" wrapText="1"/>
      <protection hidden="1"/>
    </xf>
    <xf numFmtId="0" fontId="11" fillId="0" borderId="18" xfId="1" applyFont="1" applyBorder="1"/>
    <xf numFmtId="1" fontId="11" fillId="0" borderId="1" xfId="1" applyNumberFormat="1" applyFont="1" applyBorder="1" applyAlignment="1" applyProtection="1">
      <alignment horizontal="center" wrapText="1"/>
      <protection locked="0"/>
    </xf>
    <xf numFmtId="0" fontId="13" fillId="0" borderId="18" xfId="0" applyFont="1" applyBorder="1" applyProtection="1">
      <protection hidden="1"/>
    </xf>
    <xf numFmtId="9" fontId="13" fillId="0" borderId="0" xfId="0" applyNumberFormat="1" applyFont="1" applyProtection="1">
      <protection hidden="1"/>
    </xf>
    <xf numFmtId="9" fontId="13" fillId="0" borderId="19" xfId="0" applyNumberFormat="1" applyFont="1" applyBorder="1" applyProtection="1">
      <protection hidden="1"/>
    </xf>
    <xf numFmtId="0" fontId="11" fillId="0" borderId="11" xfId="1" applyFont="1" applyBorder="1" applyAlignment="1" applyProtection="1">
      <alignment horizontal="center" wrapText="1"/>
      <protection locked="0"/>
    </xf>
    <xf numFmtId="9" fontId="11" fillId="2" borderId="11" xfId="1" applyNumberFormat="1" applyFont="1" applyFill="1" applyBorder="1" applyAlignment="1" applyProtection="1">
      <alignment horizontal="center" vertical="center" wrapText="1"/>
      <protection hidden="1"/>
    </xf>
    <xf numFmtId="0" fontId="13" fillId="0" borderId="20" xfId="0" applyFont="1" applyBorder="1" applyProtection="1">
      <protection hidden="1"/>
    </xf>
    <xf numFmtId="9" fontId="13" fillId="0" borderId="21" xfId="0" applyNumberFormat="1" applyFont="1" applyBorder="1" applyProtection="1">
      <protection hidden="1"/>
    </xf>
    <xf numFmtId="9" fontId="13" fillId="0" borderId="22" xfId="0" applyNumberFormat="1" applyFont="1" applyBorder="1" applyProtection="1">
      <protection hidden="1"/>
    </xf>
    <xf numFmtId="0" fontId="13" fillId="0" borderId="0" xfId="1" applyFont="1"/>
    <xf numFmtId="0" fontId="11" fillId="0" borderId="0" xfId="2" applyFont="1"/>
    <xf numFmtId="0" fontId="11" fillId="0" borderId="0" xfId="0" applyFont="1" applyAlignment="1">
      <alignment horizontal="center" vertical="center"/>
    </xf>
    <xf numFmtId="0" fontId="12" fillId="0" borderId="1" xfId="0" applyFont="1" applyBorder="1" applyAlignment="1" applyProtection="1">
      <alignment horizontal="center" vertical="center"/>
      <protection locked="0"/>
    </xf>
    <xf numFmtId="1" fontId="11" fillId="0" borderId="1" xfId="0" applyNumberFormat="1" applyFont="1" applyBorder="1" applyAlignment="1" applyProtection="1">
      <alignment horizontal="center" vertical="center"/>
      <protection locked="0"/>
    </xf>
    <xf numFmtId="1" fontId="12" fillId="0" borderId="1" xfId="0" applyNumberFormat="1" applyFont="1" applyBorder="1" applyAlignment="1" applyProtection="1">
      <alignment horizontal="center" vertical="center"/>
      <protection locked="0"/>
    </xf>
    <xf numFmtId="1" fontId="12" fillId="0" borderId="1" xfId="1" applyNumberFormat="1" applyFont="1" applyBorder="1" applyAlignment="1" applyProtection="1">
      <alignment horizontal="center" vertical="top" wrapText="1"/>
      <protection locked="0"/>
    </xf>
    <xf numFmtId="1" fontId="20" fillId="0" borderId="1" xfId="1" applyNumberFormat="1" applyFont="1" applyBorder="1" applyAlignment="1" applyProtection="1">
      <alignment horizontal="center" vertical="top" wrapText="1"/>
      <protection locked="0"/>
    </xf>
    <xf numFmtId="0" fontId="11" fillId="0" borderId="0" xfId="1" applyFont="1" applyAlignment="1">
      <alignment horizontal="center" vertical="center"/>
    </xf>
    <xf numFmtId="1" fontId="11" fillId="0" borderId="1" xfId="1" applyNumberFormat="1" applyFont="1" applyBorder="1" applyAlignment="1" applyProtection="1">
      <alignment horizontal="center" vertical="center" wrapText="1"/>
      <protection locked="0"/>
    </xf>
    <xf numFmtId="0" fontId="11" fillId="0" borderId="0" xfId="0" applyFont="1"/>
    <xf numFmtId="0" fontId="12" fillId="0" borderId="0" xfId="1" applyFont="1" applyAlignment="1" applyProtection="1">
      <alignment vertical="top"/>
      <protection locked="0"/>
    </xf>
    <xf numFmtId="0" fontId="12" fillId="0" borderId="0" xfId="1" applyFont="1" applyAlignment="1" applyProtection="1">
      <alignment vertical="top" wrapText="1"/>
      <protection locked="0"/>
    </xf>
    <xf numFmtId="0" fontId="11" fillId="0" borderId="0" xfId="1" applyFont="1" applyProtection="1">
      <protection locked="0"/>
    </xf>
    <xf numFmtId="1" fontId="11" fillId="0" borderId="0" xfId="1" applyNumberFormat="1" applyFont="1" applyAlignment="1">
      <alignment horizontal="center" vertical="center"/>
    </xf>
    <xf numFmtId="0" fontId="1" fillId="0" borderId="1" xfId="5" applyFont="1" applyBorder="1" applyAlignment="1">
      <alignment horizontal="left" vertical="center"/>
    </xf>
    <xf numFmtId="0" fontId="1" fillId="0" borderId="1" xfId="5" applyFont="1" applyBorder="1" applyAlignment="1">
      <alignment horizontal="center" vertical="center"/>
    </xf>
    <xf numFmtId="0" fontId="7" fillId="0" borderId="16" xfId="1" applyFont="1" applyBorder="1" applyProtection="1">
      <protection hidden="1"/>
    </xf>
    <xf numFmtId="0" fontId="7" fillId="0" borderId="17" xfId="1" applyFont="1" applyBorder="1" applyProtection="1">
      <protection hidden="1"/>
    </xf>
    <xf numFmtId="0" fontId="7" fillId="0" borderId="0" xfId="1" applyFont="1" applyProtection="1">
      <protection hidden="1"/>
    </xf>
    <xf numFmtId="0" fontId="7" fillId="0" borderId="19" xfId="1" applyFont="1" applyBorder="1" applyProtection="1">
      <protection hidden="1"/>
    </xf>
    <xf numFmtId="0" fontId="21" fillId="0" borderId="0" xfId="0" applyFont="1" applyProtection="1">
      <protection hidden="1"/>
    </xf>
    <xf numFmtId="0" fontId="7" fillId="0" borderId="19" xfId="1" applyFont="1" applyBorder="1"/>
    <xf numFmtId="0" fontId="21" fillId="0" borderId="19" xfId="0" applyFont="1" applyBorder="1" applyProtection="1">
      <protection hidden="1"/>
    </xf>
    <xf numFmtId="1" fontId="0" fillId="0" borderId="19" xfId="0" applyNumberFormat="1" applyBorder="1"/>
    <xf numFmtId="1" fontId="0" fillId="0" borderId="19" xfId="0" applyNumberFormat="1" applyBorder="1" applyAlignment="1">
      <alignment horizontal="right"/>
    </xf>
    <xf numFmtId="0" fontId="21" fillId="0" borderId="21" xfId="0" applyFont="1" applyBorder="1" applyProtection="1">
      <protection hidden="1"/>
    </xf>
    <xf numFmtId="1" fontId="0" fillId="0" borderId="22" xfId="0" applyNumberFormat="1" applyBorder="1"/>
    <xf numFmtId="1" fontId="11" fillId="0" borderId="1" xfId="1"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0" fontId="11" fillId="4" borderId="1" xfId="1" applyFont="1" applyFill="1" applyBorder="1" applyAlignment="1" applyProtection="1">
      <alignment horizontal="left" vertical="top"/>
      <protection locked="0"/>
    </xf>
    <xf numFmtId="1" fontId="11" fillId="0" borderId="1" xfId="0" applyNumberFormat="1" applyFont="1" applyBorder="1" applyAlignment="1" applyProtection="1">
      <alignment horizontal="center" vertical="top" wrapText="1"/>
      <protection locked="0"/>
    </xf>
    <xf numFmtId="0" fontId="11" fillId="2" borderId="1" xfId="1" applyFont="1" applyFill="1" applyBorder="1" applyAlignment="1" applyProtection="1">
      <alignment horizontal="left" vertical="top"/>
      <protection locked="0"/>
    </xf>
    <xf numFmtId="0" fontId="11" fillId="0" borderId="1" xfId="1" applyFont="1" applyBorder="1" applyAlignment="1" applyProtection="1">
      <alignment horizontal="left" vertical="top"/>
      <protection locked="0"/>
    </xf>
    <xf numFmtId="1" fontId="12" fillId="0" borderId="1" xfId="0" applyNumberFormat="1" applyFont="1" applyBorder="1" applyAlignment="1" applyProtection="1">
      <alignment horizontal="center" vertical="center" wrapText="1"/>
      <protection locked="0"/>
    </xf>
    <xf numFmtId="1" fontId="12" fillId="0" borderId="1" xfId="0" applyNumberFormat="1" applyFont="1" applyBorder="1" applyAlignment="1" applyProtection="1">
      <alignment horizontal="center" vertical="top" wrapText="1"/>
      <protection locked="0"/>
    </xf>
    <xf numFmtId="0" fontId="12" fillId="0" borderId="1" xfId="0" applyFont="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 fontId="12" fillId="0" borderId="1" xfId="1" applyNumberFormat="1" applyFont="1" applyBorder="1" applyAlignment="1" applyProtection="1">
      <alignment horizontal="center" vertical="center" wrapText="1"/>
      <protection locked="0"/>
    </xf>
    <xf numFmtId="1" fontId="11" fillId="0" borderId="1" xfId="0" applyNumberFormat="1" applyFont="1" applyBorder="1" applyAlignment="1" applyProtection="1">
      <alignment horizontal="center" vertical="center" wrapText="1"/>
      <protection locked="0"/>
    </xf>
    <xf numFmtId="1" fontId="11" fillId="0" borderId="13" xfId="1" applyNumberFormat="1" applyFont="1" applyBorder="1" applyAlignment="1" applyProtection="1">
      <alignment horizontal="center" vertical="center" wrapText="1"/>
      <protection locked="0"/>
    </xf>
    <xf numFmtId="1" fontId="11" fillId="0" borderId="14" xfId="1" applyNumberFormat="1" applyFont="1" applyBorder="1" applyAlignment="1" applyProtection="1">
      <alignment horizontal="center" vertical="center" wrapText="1"/>
      <protection locked="0"/>
    </xf>
    <xf numFmtId="1" fontId="11" fillId="0" borderId="23" xfId="1" applyNumberFormat="1" applyFont="1" applyBorder="1" applyAlignment="1" applyProtection="1">
      <alignment horizontal="center" vertical="center" wrapText="1"/>
      <protection locked="0"/>
    </xf>
    <xf numFmtId="1" fontId="11" fillId="0" borderId="24" xfId="1" applyNumberFormat="1" applyFont="1" applyBorder="1" applyAlignment="1" applyProtection="1">
      <alignment horizontal="center" vertical="center" wrapText="1"/>
      <protection locked="0"/>
    </xf>
    <xf numFmtId="1" fontId="11" fillId="0" borderId="25" xfId="1" applyNumberFormat="1" applyFont="1" applyBorder="1" applyAlignment="1" applyProtection="1">
      <alignment horizontal="center" vertical="center" wrapText="1"/>
      <protection locked="0"/>
    </xf>
    <xf numFmtId="1" fontId="11" fillId="0" borderId="26" xfId="1" applyNumberFormat="1" applyFont="1" applyBorder="1" applyAlignment="1" applyProtection="1">
      <alignment horizontal="center" vertical="center" wrapText="1"/>
      <protection locked="0"/>
    </xf>
    <xf numFmtId="1" fontId="11" fillId="0" borderId="27" xfId="1" applyNumberFormat="1" applyFont="1" applyBorder="1" applyAlignment="1" applyProtection="1">
      <alignment horizontal="center" vertical="center" wrapText="1"/>
      <protection locked="0"/>
    </xf>
    <xf numFmtId="1" fontId="11" fillId="0" borderId="28" xfId="1" applyNumberFormat="1" applyFont="1" applyBorder="1" applyAlignment="1" applyProtection="1">
      <alignment horizontal="center" vertical="center" wrapText="1"/>
      <protection locked="0"/>
    </xf>
    <xf numFmtId="0" fontId="12" fillId="2" borderId="1" xfId="1" applyFont="1" applyFill="1" applyBorder="1" applyAlignment="1" applyProtection="1">
      <alignment horizontal="left" vertical="top" wrapText="1"/>
      <protection locked="0"/>
    </xf>
    <xf numFmtId="0" fontId="12" fillId="2" borderId="1" xfId="1" applyFont="1" applyFill="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12" fillId="0" borderId="8" xfId="1" applyFont="1" applyBorder="1" applyAlignment="1" applyProtection="1">
      <alignment horizontal="center" vertical="top"/>
      <protection locked="0"/>
    </xf>
    <xf numFmtId="0" fontId="12" fillId="0" borderId="1" xfId="1" applyFont="1" applyBorder="1" applyAlignment="1" applyProtection="1">
      <alignment horizontal="center" vertical="top"/>
      <protection locked="0"/>
    </xf>
    <xf numFmtId="0" fontId="11" fillId="0" borderId="1" xfId="1" applyFont="1" applyBorder="1" applyAlignment="1" applyProtection="1">
      <alignment horizontal="center" vertical="top"/>
      <protection locked="0"/>
    </xf>
    <xf numFmtId="0" fontId="11" fillId="0" borderId="1" xfId="1" applyFont="1" applyBorder="1" applyAlignment="1" applyProtection="1">
      <alignment horizontal="center"/>
      <protection locked="0"/>
    </xf>
    <xf numFmtId="165" fontId="11" fillId="0" borderId="1" xfId="1" applyNumberFormat="1" applyFont="1" applyBorder="1" applyAlignment="1" applyProtection="1">
      <alignment horizontal="left" vertical="top"/>
      <protection locked="0"/>
    </xf>
    <xf numFmtId="0" fontId="11" fillId="2" borderId="13" xfId="1" applyFont="1" applyFill="1" applyBorder="1" applyAlignment="1" applyProtection="1">
      <alignment horizontal="left" vertical="top" wrapText="1"/>
      <protection locked="0"/>
    </xf>
    <xf numFmtId="0" fontId="11" fillId="2" borderId="34" xfId="1" applyFont="1" applyFill="1" applyBorder="1" applyAlignment="1" applyProtection="1">
      <alignment horizontal="left" vertical="top" wrapText="1"/>
      <protection locked="0"/>
    </xf>
    <xf numFmtId="0" fontId="11" fillId="2" borderId="14" xfId="1" applyFont="1" applyFill="1" applyBorder="1" applyAlignment="1" applyProtection="1">
      <alignment horizontal="left" vertical="top" wrapText="1"/>
      <protection locked="0"/>
    </xf>
    <xf numFmtId="0" fontId="11" fillId="0" borderId="1" xfId="1" applyFont="1" applyBorder="1" applyAlignment="1" applyProtection="1">
      <alignment horizontal="left"/>
      <protection locked="0"/>
    </xf>
    <xf numFmtId="0" fontId="22" fillId="0" borderId="1" xfId="8" applyBorder="1" applyAlignment="1" applyProtection="1">
      <alignment horizontal="left"/>
      <protection locked="0"/>
    </xf>
    <xf numFmtId="0" fontId="11" fillId="4" borderId="1" xfId="1" applyFont="1" applyFill="1" applyBorder="1" applyAlignment="1" applyProtection="1">
      <alignment horizontal="left" vertical="top" wrapText="1"/>
      <protection locked="0"/>
    </xf>
    <xf numFmtId="14" fontId="11" fillId="4" borderId="1" xfId="1" applyNumberFormat="1" applyFont="1" applyFill="1" applyBorder="1" applyAlignment="1" applyProtection="1">
      <alignment horizontal="left" vertical="top" wrapText="1"/>
      <protection locked="0"/>
    </xf>
    <xf numFmtId="2"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1" xfId="1" applyFont="1" applyBorder="1" applyAlignment="1" applyProtection="1">
      <alignment vertical="top"/>
      <protection locked="0"/>
    </xf>
    <xf numFmtId="0" fontId="11" fillId="2" borderId="1" xfId="1" applyFont="1" applyFill="1" applyBorder="1" applyAlignment="1" applyProtection="1">
      <alignment horizontal="left" vertical="top" wrapText="1"/>
      <protection locked="0"/>
    </xf>
    <xf numFmtId="14" fontId="12" fillId="0" borderId="13" xfId="1" applyNumberFormat="1" applyFont="1" applyBorder="1" applyAlignment="1" applyProtection="1">
      <alignment horizontal="left" vertical="top" wrapText="1"/>
      <protection locked="0"/>
    </xf>
    <xf numFmtId="14" fontId="12" fillId="0" borderId="14" xfId="1" applyNumberFormat="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12" fillId="0" borderId="1" xfId="1" applyNumberFormat="1" applyFont="1" applyBorder="1" applyAlignment="1" applyProtection="1">
      <alignment horizontal="center" vertical="top" wrapText="1"/>
      <protection locked="0"/>
    </xf>
    <xf numFmtId="0" fontId="11" fillId="0" borderId="1" xfId="1" applyFont="1" applyBorder="1" applyAlignment="1" applyProtection="1">
      <alignment horizontal="left" vertical="center" wrapText="1"/>
      <protection locked="0"/>
    </xf>
    <xf numFmtId="2" fontId="11" fillId="0" borderId="1" xfId="1" applyNumberFormat="1" applyFont="1" applyBorder="1" applyAlignment="1" applyProtection="1">
      <alignment horizontal="left" vertical="top" wrapText="1"/>
      <protection locked="0"/>
    </xf>
    <xf numFmtId="0" fontId="12" fillId="0" borderId="1" xfId="1" applyFont="1" applyBorder="1" applyAlignment="1" applyProtection="1">
      <alignment horizontal="center"/>
      <protection locked="0"/>
    </xf>
    <xf numFmtId="0" fontId="19" fillId="0" borderId="1" xfId="1" applyFont="1" applyBorder="1" applyAlignment="1" applyProtection="1">
      <alignment horizontal="center" vertical="center" wrapText="1"/>
      <protection locked="0"/>
    </xf>
    <xf numFmtId="14" fontId="11" fillId="0" borderId="1" xfId="1" applyNumberFormat="1" applyFont="1" applyBorder="1" applyAlignment="1" applyProtection="1">
      <alignment horizontal="left" vertical="top"/>
      <protection locked="0"/>
    </xf>
    <xf numFmtId="0" fontId="11" fillId="0" borderId="1" xfId="1" applyFont="1" applyBorder="1" applyAlignment="1" applyProtection="1">
      <alignment horizontal="center" vertical="center" wrapText="1"/>
      <protection locked="0"/>
    </xf>
    <xf numFmtId="9" fontId="11" fillId="2" borderId="1" xfId="1" applyNumberFormat="1" applyFont="1" applyFill="1" applyBorder="1" applyAlignment="1" applyProtection="1">
      <alignment horizontal="center" vertical="center" wrapText="1"/>
      <protection hidden="1"/>
    </xf>
    <xf numFmtId="9" fontId="11" fillId="2" borderId="11" xfId="1" applyNumberFormat="1" applyFont="1" applyFill="1" applyBorder="1" applyAlignment="1" applyProtection="1">
      <alignment horizontal="center" vertical="center" wrapText="1"/>
      <protection hidden="1"/>
    </xf>
    <xf numFmtId="0" fontId="11" fillId="0" borderId="8"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11" fillId="0" borderId="10" xfId="1" applyFont="1" applyBorder="1" applyAlignment="1" applyProtection="1">
      <alignment horizontal="center" vertical="top" wrapText="1"/>
      <protection locked="0"/>
    </xf>
    <xf numFmtId="0" fontId="11" fillId="0" borderId="11" xfId="1" applyFont="1" applyBorder="1" applyAlignment="1" applyProtection="1">
      <alignment horizontal="center" vertical="top" wrapText="1"/>
      <protection locked="0"/>
    </xf>
    <xf numFmtId="0" fontId="11" fillId="0" borderId="1" xfId="1" applyFont="1" applyBorder="1" applyAlignment="1" applyProtection="1">
      <alignment vertical="top"/>
      <protection locked="0"/>
    </xf>
    <xf numFmtId="1" fontId="12" fillId="0" borderId="1" xfId="0" applyNumberFormat="1" applyFont="1" applyBorder="1" applyAlignment="1" applyProtection="1">
      <alignment horizontal="left" vertical="top" wrapText="1"/>
      <protection locked="0"/>
    </xf>
    <xf numFmtId="0" fontId="12" fillId="0" borderId="1" xfId="2" applyFont="1" applyBorder="1" applyAlignment="1" applyProtection="1">
      <alignment horizontal="left" vertical="top" wrapText="1"/>
      <protection locked="0"/>
    </xf>
    <xf numFmtId="9" fontId="11" fillId="2" borderId="9" xfId="1" applyNumberFormat="1" applyFont="1" applyFill="1" applyBorder="1" applyAlignment="1" applyProtection="1">
      <alignment horizontal="center" vertical="center" wrapText="1"/>
      <protection hidden="1"/>
    </xf>
    <xf numFmtId="9" fontId="11" fillId="2" borderId="12" xfId="1" applyNumberFormat="1" applyFont="1" applyFill="1" applyBorder="1" applyAlignment="1" applyProtection="1">
      <alignment horizontal="center" vertical="center" wrapText="1"/>
      <protection hidden="1"/>
    </xf>
    <xf numFmtId="0" fontId="11" fillId="0" borderId="3" xfId="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2" fillId="0" borderId="9"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12" fillId="0" borderId="6" xfId="1" applyFont="1" applyBorder="1" applyAlignment="1" applyProtection="1">
      <alignment horizontal="left" vertical="top" wrapText="1"/>
      <protection locked="0"/>
    </xf>
    <xf numFmtId="0" fontId="12" fillId="0" borderId="7" xfId="1" applyFont="1" applyBorder="1" applyAlignment="1" applyProtection="1">
      <alignment horizontal="left" vertical="top" wrapText="1"/>
      <protection locked="0"/>
    </xf>
    <xf numFmtId="0" fontId="11" fillId="0" borderId="9" xfId="1" applyFont="1" applyBorder="1" applyAlignment="1" applyProtection="1">
      <alignment horizontal="center" vertical="center" wrapText="1"/>
      <protection locked="0"/>
    </xf>
    <xf numFmtId="0" fontId="11" fillId="0" borderId="4" xfId="1" applyFont="1" applyBorder="1" applyAlignment="1" applyProtection="1">
      <alignment horizontal="left" vertical="top"/>
      <protection locked="0"/>
    </xf>
    <xf numFmtId="0" fontId="12" fillId="0" borderId="29" xfId="1" applyFont="1" applyBorder="1" applyAlignment="1" applyProtection="1">
      <alignment horizontal="left" vertical="top" wrapText="1"/>
      <protection locked="0"/>
    </xf>
    <xf numFmtId="0" fontId="12" fillId="0" borderId="30" xfId="1" applyFont="1" applyBorder="1" applyAlignment="1" applyProtection="1">
      <alignment horizontal="left" vertical="top" wrapText="1"/>
      <protection locked="0"/>
    </xf>
    <xf numFmtId="0" fontId="12" fillId="0" borderId="31" xfId="1" applyFont="1" applyBorder="1" applyAlignment="1" applyProtection="1">
      <alignment horizontal="left" vertical="top" wrapText="1"/>
      <protection locked="0"/>
    </xf>
    <xf numFmtId="0" fontId="12" fillId="0" borderId="32" xfId="1" applyFont="1" applyBorder="1" applyAlignment="1" applyProtection="1">
      <alignment horizontal="left" vertical="top" wrapText="1"/>
      <protection locked="0"/>
    </xf>
    <xf numFmtId="0" fontId="12" fillId="0" borderId="33" xfId="1" applyFont="1" applyBorder="1" applyAlignment="1" applyProtection="1">
      <alignment horizontal="left" vertical="top" wrapText="1"/>
      <protection locked="0"/>
    </xf>
    <xf numFmtId="0" fontId="12" fillId="0" borderId="8" xfId="1" applyFont="1" applyBorder="1" applyAlignment="1" applyProtection="1">
      <alignment horizontal="left" vertical="top"/>
      <protection locked="0"/>
    </xf>
    <xf numFmtId="0" fontId="12" fillId="0" borderId="13" xfId="1" applyFont="1" applyBorder="1" applyAlignment="1" applyProtection="1">
      <alignment horizontal="left" vertical="top" wrapText="1"/>
      <protection locked="0"/>
    </xf>
    <xf numFmtId="0" fontId="12" fillId="0" borderId="34" xfId="1" applyFont="1" applyBorder="1" applyAlignment="1" applyProtection="1">
      <alignment horizontal="left" vertical="top" wrapText="1"/>
      <protection locked="0"/>
    </xf>
    <xf numFmtId="0" fontId="12" fillId="0" borderId="35" xfId="1" applyFont="1" applyBorder="1" applyAlignment="1" applyProtection="1">
      <alignment horizontal="left" vertical="top" wrapText="1"/>
      <protection locked="0"/>
    </xf>
    <xf numFmtId="0" fontId="11" fillId="0" borderId="13" xfId="1" applyFont="1" applyBorder="1" applyAlignment="1" applyProtection="1">
      <alignment horizontal="center" vertical="top" wrapText="1"/>
      <protection locked="0"/>
    </xf>
    <xf numFmtId="0" fontId="11" fillId="0" borderId="14" xfId="1" applyFont="1" applyBorder="1" applyAlignment="1" applyProtection="1">
      <alignment horizontal="center" vertical="top" wrapText="1"/>
      <protection locked="0"/>
    </xf>
    <xf numFmtId="0" fontId="11" fillId="0" borderId="35" xfId="1" applyFont="1" applyBorder="1" applyAlignment="1" applyProtection="1">
      <alignment horizontal="center" vertical="top" wrapText="1"/>
      <protection locked="0"/>
    </xf>
    <xf numFmtId="9" fontId="11" fillId="2" borderId="23" xfId="1" applyNumberFormat="1" applyFont="1" applyFill="1" applyBorder="1" applyAlignment="1" applyProtection="1">
      <alignment horizontal="center" vertical="center" wrapText="1"/>
      <protection hidden="1"/>
    </xf>
    <xf numFmtId="9" fontId="11" fillId="2" borderId="24" xfId="1" applyNumberFormat="1" applyFont="1" applyFill="1" applyBorder="1" applyAlignment="1" applyProtection="1">
      <alignment horizontal="center" vertical="center" wrapText="1"/>
      <protection hidden="1"/>
    </xf>
    <xf numFmtId="9" fontId="11" fillId="2" borderId="25" xfId="1" applyNumberFormat="1" applyFont="1" applyFill="1" applyBorder="1" applyAlignment="1" applyProtection="1">
      <alignment horizontal="center" vertical="center" wrapText="1"/>
      <protection hidden="1"/>
    </xf>
    <xf numFmtId="9" fontId="11" fillId="2" borderId="26" xfId="1" applyNumberFormat="1" applyFont="1" applyFill="1" applyBorder="1" applyAlignment="1" applyProtection="1">
      <alignment horizontal="center" vertical="center" wrapText="1"/>
      <protection hidden="1"/>
    </xf>
    <xf numFmtId="9" fontId="11" fillId="2" borderId="37" xfId="1" applyNumberFormat="1" applyFont="1" applyFill="1" applyBorder="1" applyAlignment="1" applyProtection="1">
      <alignment horizontal="center" vertical="center" wrapText="1"/>
      <protection hidden="1"/>
    </xf>
    <xf numFmtId="9" fontId="11" fillId="2" borderId="38" xfId="1" applyNumberFormat="1" applyFont="1" applyFill="1" applyBorder="1" applyAlignment="1" applyProtection="1">
      <alignment horizontal="center" vertical="center" wrapText="1"/>
      <protection hidden="1"/>
    </xf>
    <xf numFmtId="9" fontId="11" fillId="2" borderId="36" xfId="1" applyNumberFormat="1" applyFont="1" applyFill="1" applyBorder="1" applyAlignment="1" applyProtection="1">
      <alignment horizontal="center" vertical="center" wrapText="1"/>
      <protection hidden="1"/>
    </xf>
    <xf numFmtId="9" fontId="11" fillId="2" borderId="19" xfId="1" applyNumberFormat="1" applyFont="1" applyFill="1" applyBorder="1" applyAlignment="1" applyProtection="1">
      <alignment horizontal="center" vertical="center" wrapText="1"/>
      <protection hidden="1"/>
    </xf>
    <xf numFmtId="9" fontId="11" fillId="2" borderId="22" xfId="1" applyNumberFormat="1" applyFont="1" applyFill="1" applyBorder="1" applyAlignment="1" applyProtection="1">
      <alignment horizontal="center" vertical="center" wrapText="1"/>
      <protection hidden="1"/>
    </xf>
    <xf numFmtId="0" fontId="0" fillId="3" borderId="1" xfId="0" applyFill="1" applyBorder="1" applyAlignment="1">
      <alignment horizontal="center" wrapText="1"/>
    </xf>
    <xf numFmtId="0" fontId="9" fillId="0" borderId="1" xfId="0" applyFont="1" applyBorder="1" applyAlignment="1">
      <alignment horizontal="center"/>
    </xf>
    <xf numFmtId="0" fontId="9" fillId="0" borderId="1" xfId="5" applyFont="1" applyBorder="1" applyAlignment="1">
      <alignment horizontal="left"/>
    </xf>
  </cellXfs>
  <cellStyles count="9">
    <cellStyle name="Comma 2" xfId="6"/>
    <cellStyle name="Excel Built-in Normal" xfId="2"/>
    <cellStyle name="Excel Built-in Normal 2" xfId="4"/>
    <cellStyle name="Hyperlink" xfId="8" builtinId="8"/>
    <cellStyle name="Normal" xfId="0" builtinId="0"/>
    <cellStyle name="Normal 2" xfId="3"/>
    <cellStyle name="Normal 3" xfId="1"/>
    <cellStyle name="Normal 3 3" xfId="7"/>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7.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xdr:col>
      <xdr:colOff>484910</xdr:colOff>
      <xdr:row>323</xdr:row>
      <xdr:rowOff>62143</xdr:rowOff>
    </xdr:from>
    <xdr:to>
      <xdr:col>6</xdr:col>
      <xdr:colOff>282921</xdr:colOff>
      <xdr:row>337</xdr:row>
      <xdr:rowOff>118261</xdr:rowOff>
    </xdr:to>
    <xdr:pic>
      <xdr:nvPicPr>
        <xdr:cNvPr id="11" name="Picture 10">
          <a:extLst>
            <a:ext uri="{FF2B5EF4-FFF2-40B4-BE49-F238E27FC236}">
              <a16:creationId xmlns:a16="http://schemas.microsoft.com/office/drawing/2014/main" xmlns="" id="{00000000-0008-0000-0000-00000B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246910" y="61048120"/>
          <a:ext cx="3763875" cy="2844344"/>
        </a:xfrm>
        <a:prstGeom prst="rect">
          <a:avLst/>
        </a:prstGeom>
        <a:ln>
          <a:solidFill>
            <a:schemeClr val="tx1"/>
          </a:solidFill>
        </a:ln>
      </xdr:spPr>
    </xdr:pic>
    <xdr:clientData/>
  </xdr:twoCellAnchor>
  <xdr:twoCellAnchor editAs="oneCell">
    <xdr:from>
      <xdr:col>1</xdr:col>
      <xdr:colOff>451292</xdr:colOff>
      <xdr:row>308</xdr:row>
      <xdr:rowOff>17319</xdr:rowOff>
    </xdr:from>
    <xdr:to>
      <xdr:col>6</xdr:col>
      <xdr:colOff>293791</xdr:colOff>
      <xdr:row>322</xdr:row>
      <xdr:rowOff>73435</xdr:rowOff>
    </xdr:to>
    <xdr:pic>
      <xdr:nvPicPr>
        <xdr:cNvPr id="12" name="Picture 11">
          <a:extLst>
            <a:ext uri="{FF2B5EF4-FFF2-40B4-BE49-F238E27FC236}">
              <a16:creationId xmlns:a16="http://schemas.microsoft.com/office/drawing/2014/main" xmlns="" id="{00000000-0008-0000-0000-00000C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213292" y="58015910"/>
          <a:ext cx="3808363" cy="2844344"/>
        </a:xfrm>
        <a:prstGeom prst="rect">
          <a:avLst/>
        </a:prstGeom>
        <a:ln>
          <a:solidFill>
            <a:schemeClr val="tx1"/>
          </a:solidFill>
        </a:ln>
      </xdr:spPr>
    </xdr:pic>
    <xdr:clientData/>
  </xdr:twoCellAnchor>
  <xdr:twoCellAnchor>
    <xdr:from>
      <xdr:col>14</xdr:col>
      <xdr:colOff>394304</xdr:colOff>
      <xdr:row>236</xdr:row>
      <xdr:rowOff>184785</xdr:rowOff>
    </xdr:from>
    <xdr:to>
      <xdr:col>15</xdr:col>
      <xdr:colOff>241904</xdr:colOff>
      <xdr:row>238</xdr:row>
      <xdr:rowOff>168401</xdr:rowOff>
    </xdr:to>
    <xdr:sp macro="" textlink="">
      <xdr:nvSpPr>
        <xdr:cNvPr id="13" name="Rectangle 12">
          <a:extLst>
            <a:ext uri="{FF2B5EF4-FFF2-40B4-BE49-F238E27FC236}">
              <a16:creationId xmlns:a16="http://schemas.microsoft.com/office/drawing/2014/main" xmlns="" id="{907E0AE4-3052-48C0-9737-102E20DD7F3C}"/>
            </a:ext>
          </a:extLst>
        </xdr:cNvPr>
        <xdr:cNvSpPr/>
      </xdr:nvSpPr>
      <xdr:spPr>
        <a:xfrm>
          <a:off x="11186129" y="50438685"/>
          <a:ext cx="457200" cy="374141"/>
        </a:xfrm>
        <a:prstGeom prst="rect">
          <a:avLst/>
        </a:prstGeom>
        <a:solidFill>
          <a:sysClr val="window" lastClr="FFFFFF"/>
        </a:solid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0" cap="none" spc="0">
              <a:ln w="0"/>
              <a:solidFill>
                <a:schemeClr val="tx1"/>
              </a:solidFill>
              <a:effectLst>
                <a:outerShdw blurRad="38100" dist="19050" dir="2700000" algn="tl" rotWithShape="0">
                  <a:schemeClr val="dk1">
                    <a:alpha val="40000"/>
                  </a:schemeClr>
                </a:outerShdw>
              </a:effectLst>
            </a:rPr>
            <a:t>B2</a:t>
          </a:r>
        </a:p>
      </xdr:txBody>
    </xdr:sp>
    <xdr:clientData/>
  </xdr:twoCellAnchor>
  <xdr:twoCellAnchor>
    <xdr:from>
      <xdr:col>14</xdr:col>
      <xdr:colOff>492274</xdr:colOff>
      <xdr:row>253</xdr:row>
      <xdr:rowOff>0</xdr:rowOff>
    </xdr:from>
    <xdr:to>
      <xdr:col>15</xdr:col>
      <xdr:colOff>339874</xdr:colOff>
      <xdr:row>254</xdr:row>
      <xdr:rowOff>174116</xdr:rowOff>
    </xdr:to>
    <xdr:sp macro="" textlink="">
      <xdr:nvSpPr>
        <xdr:cNvPr id="23" name="Rectangle 22">
          <a:extLst>
            <a:ext uri="{FF2B5EF4-FFF2-40B4-BE49-F238E27FC236}">
              <a16:creationId xmlns:a16="http://schemas.microsoft.com/office/drawing/2014/main" xmlns="" id="{907E0AE4-3052-48C0-9737-102E20DD7F3C}"/>
            </a:ext>
          </a:extLst>
        </xdr:cNvPr>
        <xdr:cNvSpPr/>
      </xdr:nvSpPr>
      <xdr:spPr>
        <a:xfrm>
          <a:off x="11284099" y="53644800"/>
          <a:ext cx="457200" cy="374141"/>
        </a:xfrm>
        <a:prstGeom prst="rect">
          <a:avLst/>
        </a:prstGeom>
        <a:solidFill>
          <a:sysClr val="window" lastClr="FFFFFF"/>
        </a:solidFill>
      </xdr:spPr>
      <xdr:txBody>
        <a:bodyPr wrap="square">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IN" b="0" cap="none" spc="0">
              <a:ln w="0"/>
              <a:solidFill>
                <a:schemeClr val="tx1"/>
              </a:solidFill>
              <a:effectLst>
                <a:outerShdw blurRad="38100" dist="19050" dir="2700000" algn="tl" rotWithShape="0">
                  <a:schemeClr val="dk1">
                    <a:alpha val="40000"/>
                  </a:schemeClr>
                </a:outerShdw>
              </a:effectLst>
            </a:rPr>
            <a:t>B2</a:t>
          </a:r>
        </a:p>
      </xdr:txBody>
    </xdr:sp>
    <xdr:clientData/>
  </xdr:twoCellAnchor>
  <xdr:oneCellAnchor>
    <xdr:from>
      <xdr:col>9</xdr:col>
      <xdr:colOff>349250</xdr:colOff>
      <xdr:row>236</xdr:row>
      <xdr:rowOff>165100</xdr:rowOff>
    </xdr:from>
    <xdr:ext cx="332912" cy="264560"/>
    <xdr:sp macro="" textlink="">
      <xdr:nvSpPr>
        <xdr:cNvPr id="2" name="TextBox 1"/>
        <xdr:cNvSpPr txBox="1"/>
      </xdr:nvSpPr>
      <xdr:spPr>
        <a:xfrm>
          <a:off x="8426450" y="49472850"/>
          <a:ext cx="3329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a:t>B2</a:t>
          </a:r>
        </a:p>
      </xdr:txBody>
    </xdr:sp>
    <xdr:clientData/>
  </xdr:oneCellAnchor>
  <xdr:twoCellAnchor>
    <xdr:from>
      <xdr:col>0</xdr:col>
      <xdr:colOff>69850</xdr:colOff>
      <xdr:row>235</xdr:row>
      <xdr:rowOff>57150</xdr:rowOff>
    </xdr:from>
    <xdr:to>
      <xdr:col>7</xdr:col>
      <xdr:colOff>842574</xdr:colOff>
      <xdr:row>268</xdr:row>
      <xdr:rowOff>130348</xdr:rowOff>
    </xdr:to>
    <xdr:grpSp>
      <xdr:nvGrpSpPr>
        <xdr:cNvPr id="3" name="Group 2"/>
        <xdr:cNvGrpSpPr/>
      </xdr:nvGrpSpPr>
      <xdr:grpSpPr>
        <a:xfrm>
          <a:off x="69850" y="50550856"/>
          <a:ext cx="6276493" cy="6718286"/>
          <a:chOff x="69850" y="49168050"/>
          <a:chExt cx="6551224" cy="6562898"/>
        </a:xfrm>
      </xdr:grpSpPr>
      <xdr:pic>
        <xdr:nvPicPr>
          <xdr:cNvPr id="6" name="Picture 5"/>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5272480" y="53930948"/>
            <a:ext cx="1348594" cy="1800000"/>
          </a:xfrm>
          <a:prstGeom prst="rect">
            <a:avLst/>
          </a:prstGeom>
          <a:ln>
            <a:solidFill>
              <a:schemeClr val="tx1"/>
            </a:solidFill>
          </a:ln>
        </xdr:spPr>
      </xdr:pic>
      <xdr:pic>
        <xdr:nvPicPr>
          <xdr:cNvPr id="7" name="Picture 6"/>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107428" y="49168050"/>
            <a:ext cx="2049863" cy="2736000"/>
          </a:xfrm>
          <a:prstGeom prst="rect">
            <a:avLst/>
          </a:prstGeom>
          <a:ln>
            <a:solidFill>
              <a:schemeClr val="tx1"/>
            </a:solidFill>
          </a:ln>
        </xdr:spPr>
      </xdr:pic>
      <xdr:pic>
        <xdr:nvPicPr>
          <xdr:cNvPr id="8" name="Picture 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1523960" y="53930948"/>
            <a:ext cx="2183269" cy="1800000"/>
          </a:xfrm>
          <a:prstGeom prst="rect">
            <a:avLst/>
          </a:prstGeom>
          <a:ln>
            <a:solidFill>
              <a:schemeClr val="tx1"/>
            </a:solidFill>
          </a:ln>
        </xdr:spPr>
      </xdr:pic>
      <xdr:pic>
        <xdr:nvPicPr>
          <xdr:cNvPr id="9" name="Picture 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4862054" y="52002120"/>
            <a:ext cx="1348594" cy="1800000"/>
          </a:xfrm>
          <a:prstGeom prst="rect">
            <a:avLst/>
          </a:prstGeom>
          <a:ln>
            <a:solidFill>
              <a:schemeClr val="tx1"/>
            </a:solidFill>
          </a:ln>
        </xdr:spPr>
      </xdr:pic>
      <xdr:pic>
        <xdr:nvPicPr>
          <xdr:cNvPr id="10" name="Picture 9"/>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3385468" y="52002120"/>
            <a:ext cx="1348594" cy="1800000"/>
          </a:xfrm>
          <a:prstGeom prst="rect">
            <a:avLst/>
          </a:prstGeom>
          <a:ln>
            <a:solidFill>
              <a:schemeClr val="tx1"/>
            </a:solidFill>
          </a:ln>
        </xdr:spPr>
      </xdr:pic>
      <xdr:pic>
        <xdr:nvPicPr>
          <xdr:cNvPr id="14" name="Picture 13"/>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69850" y="53930948"/>
            <a:ext cx="1348594" cy="1800000"/>
          </a:xfrm>
          <a:prstGeom prst="rect">
            <a:avLst/>
          </a:prstGeom>
          <a:ln>
            <a:solidFill>
              <a:schemeClr val="tx1"/>
            </a:solidFill>
          </a:ln>
        </xdr:spPr>
      </xdr:pic>
      <xdr:pic>
        <xdr:nvPicPr>
          <xdr:cNvPr id="15" name="Picture 14"/>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812745" y="53930948"/>
            <a:ext cx="1354219" cy="1800000"/>
          </a:xfrm>
          <a:prstGeom prst="rect">
            <a:avLst/>
          </a:prstGeom>
          <a:ln>
            <a:solidFill>
              <a:schemeClr val="tx1"/>
            </a:solidFill>
          </a:ln>
        </xdr:spPr>
      </xdr:pic>
      <xdr:pic>
        <xdr:nvPicPr>
          <xdr:cNvPr id="16" name="Picture 15"/>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4511420" y="49168050"/>
            <a:ext cx="2049863" cy="2736000"/>
          </a:xfrm>
          <a:prstGeom prst="rect">
            <a:avLst/>
          </a:prstGeom>
          <a:ln>
            <a:solidFill>
              <a:schemeClr val="tx1"/>
            </a:solidFill>
          </a:ln>
        </xdr:spPr>
      </xdr:pic>
      <xdr:pic>
        <xdr:nvPicPr>
          <xdr:cNvPr id="17" name="Picture 16"/>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2309424" y="49168050"/>
            <a:ext cx="2049863" cy="2736000"/>
          </a:xfrm>
          <a:prstGeom prst="rect">
            <a:avLst/>
          </a:prstGeom>
          <a:ln>
            <a:solidFill>
              <a:schemeClr val="tx1"/>
            </a:solidFill>
          </a:ln>
        </xdr:spPr>
      </xdr:pic>
      <xdr:pic>
        <xdr:nvPicPr>
          <xdr:cNvPr id="18" name="Picture 17"/>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427745" y="52006757"/>
            <a:ext cx="1350000" cy="1800000"/>
          </a:xfrm>
          <a:prstGeom prst="rect">
            <a:avLst/>
          </a:prstGeom>
          <a:ln>
            <a:solidFill>
              <a:schemeClr val="tx1"/>
            </a:solidFill>
          </a:ln>
        </xdr:spPr>
      </xdr:pic>
      <xdr:pic>
        <xdr:nvPicPr>
          <xdr:cNvPr id="19" name="Picture 18"/>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1904331" y="52006757"/>
            <a:ext cx="1350000" cy="1800000"/>
          </a:xfrm>
          <a:prstGeom prst="rect">
            <a:avLst/>
          </a:prstGeom>
          <a:ln>
            <a:solidFill>
              <a:schemeClr val="tx1"/>
            </a:solidFill>
          </a:ln>
        </xdr:spPr>
      </xdr:pic>
      <xdr:sp macro="" textlink="">
        <xdr:nvSpPr>
          <xdr:cNvPr id="20" name="TextBox 19"/>
          <xdr:cNvSpPr txBox="1"/>
        </xdr:nvSpPr>
        <xdr:spPr>
          <a:xfrm>
            <a:off x="564628" y="49358550"/>
            <a:ext cx="3329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a:t>B2</a:t>
            </a:r>
          </a:p>
        </xdr:txBody>
      </xdr:sp>
      <xdr:sp macro="" textlink="">
        <xdr:nvSpPr>
          <xdr:cNvPr id="21" name="TextBox 20"/>
          <xdr:cNvSpPr txBox="1"/>
        </xdr:nvSpPr>
        <xdr:spPr>
          <a:xfrm>
            <a:off x="3465124" y="49676050"/>
            <a:ext cx="33291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a:t>B2</a:t>
            </a:r>
          </a:p>
        </xdr:txBody>
      </xdr:sp>
    </xdr:grpSp>
    <xdr:clientData/>
  </xdr:twoCellAnchor>
  <xdr:twoCellAnchor editAs="oneCell">
    <xdr:from>
      <xdr:col>1</xdr:col>
      <xdr:colOff>114300</xdr:colOff>
      <xdr:row>276</xdr:row>
      <xdr:rowOff>28575</xdr:rowOff>
    </xdr:from>
    <xdr:to>
      <xdr:col>7</xdr:col>
      <xdr:colOff>22177</xdr:colOff>
      <xdr:row>305</xdr:row>
      <xdr:rowOff>66674</xdr:rowOff>
    </xdr:to>
    <xdr:pic>
      <xdr:nvPicPr>
        <xdr:cNvPr id="25" name="Picture 24"/>
        <xdr:cNvPicPr>
          <a:picLocks noChangeAspect="1"/>
        </xdr:cNvPicPr>
      </xdr:nvPicPr>
      <xdr:blipFill rotWithShape="1">
        <a:blip xmlns:r="http://schemas.openxmlformats.org/officeDocument/2006/relationships" r:embed="rId14"/>
        <a:srcRect l="32927" t="13915" r="38033" b="21247"/>
        <a:stretch/>
      </xdr:blipFill>
      <xdr:spPr>
        <a:xfrm>
          <a:off x="876300" y="59493150"/>
          <a:ext cx="4651327" cy="5838825"/>
        </a:xfrm>
        <a:prstGeom prst="rect">
          <a:avLst/>
        </a:prstGeom>
        <a:ln>
          <a:solidFill>
            <a:schemeClr val="tx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14</xdr:row>
      <xdr:rowOff>0</xdr:rowOff>
    </xdr:from>
    <xdr:to>
      <xdr:col>6</xdr:col>
      <xdr:colOff>669</xdr:colOff>
      <xdr:row>32</xdr:row>
      <xdr:rowOff>171000</xdr:rowOff>
    </xdr:to>
    <xdr:pic>
      <xdr:nvPicPr>
        <xdr:cNvPr id="2" name="Picture 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579783" y="2675283"/>
          <a:ext cx="6403125" cy="360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mMizwnh8FLKSXE8H6" TargetMode="Externa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08"/>
  <sheetViews>
    <sheetView tabSelected="1" view="pageBreakPreview" topLeftCell="A130" zoomScale="85" zoomScaleNormal="100" zoomScaleSheetLayoutView="85" zoomScalePageLayoutView="98" workbookViewId="0">
      <selection activeCell="L139" sqref="L139"/>
    </sheetView>
  </sheetViews>
  <sheetFormatPr defaultColWidth="9.140625" defaultRowHeight="15.75" x14ac:dyDescent="0.25"/>
  <cols>
    <col min="1" max="1" width="11.42578125" style="16" customWidth="1"/>
    <col min="2" max="2" width="11.140625" style="16" customWidth="1"/>
    <col min="3" max="3" width="12.7109375" style="16" customWidth="1"/>
    <col min="4" max="4" width="12.140625" style="16" customWidth="1"/>
    <col min="5" max="7" width="11.7109375" style="16" customWidth="1"/>
    <col min="8" max="8" width="12.42578125" style="16" customWidth="1"/>
    <col min="9" max="9" width="20.42578125" style="8" customWidth="1"/>
    <col min="10" max="10" width="9.85546875" style="8" bestFit="1" customWidth="1"/>
    <col min="11" max="252" width="9.140625" style="8"/>
    <col min="253" max="253" width="8.7109375" style="8" customWidth="1"/>
    <col min="254" max="254" width="9.85546875" style="8" customWidth="1"/>
    <col min="255" max="255" width="14.42578125" style="8" customWidth="1"/>
    <col min="256" max="256" width="7.28515625" style="8" customWidth="1"/>
    <col min="257" max="257" width="5.5703125" style="8" customWidth="1"/>
    <col min="258" max="258" width="9" style="8" customWidth="1"/>
    <col min="259" max="260" width="9.85546875" style="8" customWidth="1"/>
    <col min="261" max="261" width="11.140625" style="8" customWidth="1"/>
    <col min="262" max="262" width="2.85546875" style="8" customWidth="1"/>
    <col min="263" max="263" width="3.5703125" style="8" customWidth="1"/>
    <col min="264" max="508" width="9.140625" style="8"/>
    <col min="509" max="509" width="8.7109375" style="8" customWidth="1"/>
    <col min="510" max="510" width="9.85546875" style="8" customWidth="1"/>
    <col min="511" max="511" width="14.42578125" style="8" customWidth="1"/>
    <col min="512" max="512" width="7.28515625" style="8" customWidth="1"/>
    <col min="513" max="513" width="5.5703125" style="8" customWidth="1"/>
    <col min="514" max="514" width="9" style="8" customWidth="1"/>
    <col min="515" max="516" width="9.85546875" style="8" customWidth="1"/>
    <col min="517" max="517" width="11.140625" style="8" customWidth="1"/>
    <col min="518" max="518" width="2.85546875" style="8" customWidth="1"/>
    <col min="519" max="519" width="3.5703125" style="8" customWidth="1"/>
    <col min="520" max="764" width="9.140625" style="8"/>
    <col min="765" max="765" width="8.7109375" style="8" customWidth="1"/>
    <col min="766" max="766" width="9.85546875" style="8" customWidth="1"/>
    <col min="767" max="767" width="14.42578125" style="8" customWidth="1"/>
    <col min="768" max="768" width="7.28515625" style="8" customWidth="1"/>
    <col min="769" max="769" width="5.5703125" style="8" customWidth="1"/>
    <col min="770" max="770" width="9" style="8" customWidth="1"/>
    <col min="771" max="772" width="9.85546875" style="8" customWidth="1"/>
    <col min="773" max="773" width="11.140625" style="8" customWidth="1"/>
    <col min="774" max="774" width="2.85546875" style="8" customWidth="1"/>
    <col min="775" max="775" width="3.5703125" style="8" customWidth="1"/>
    <col min="776" max="1020" width="9.140625" style="8"/>
    <col min="1021" max="1021" width="8.7109375" style="8" customWidth="1"/>
    <col min="1022" max="1022" width="9.85546875" style="8" customWidth="1"/>
    <col min="1023" max="1023" width="14.42578125" style="8" customWidth="1"/>
    <col min="1024" max="1024" width="7.28515625" style="8" customWidth="1"/>
    <col min="1025" max="1025" width="5.5703125" style="8" customWidth="1"/>
    <col min="1026" max="1026" width="9" style="8" customWidth="1"/>
    <col min="1027" max="1028" width="9.85546875" style="8" customWidth="1"/>
    <col min="1029" max="1029" width="11.140625" style="8" customWidth="1"/>
    <col min="1030" max="1030" width="2.85546875" style="8" customWidth="1"/>
    <col min="1031" max="1031" width="3.5703125" style="8" customWidth="1"/>
    <col min="1032" max="1276" width="9.140625" style="8"/>
    <col min="1277" max="1277" width="8.7109375" style="8" customWidth="1"/>
    <col min="1278" max="1278" width="9.85546875" style="8" customWidth="1"/>
    <col min="1279" max="1279" width="14.42578125" style="8" customWidth="1"/>
    <col min="1280" max="1280" width="7.28515625" style="8" customWidth="1"/>
    <col min="1281" max="1281" width="5.5703125" style="8" customWidth="1"/>
    <col min="1282" max="1282" width="9" style="8" customWidth="1"/>
    <col min="1283" max="1284" width="9.85546875" style="8" customWidth="1"/>
    <col min="1285" max="1285" width="11.140625" style="8" customWidth="1"/>
    <col min="1286" max="1286" width="2.85546875" style="8" customWidth="1"/>
    <col min="1287" max="1287" width="3.5703125" style="8" customWidth="1"/>
    <col min="1288" max="1532" width="9.140625" style="8"/>
    <col min="1533" max="1533" width="8.7109375" style="8" customWidth="1"/>
    <col min="1534" max="1534" width="9.85546875" style="8" customWidth="1"/>
    <col min="1535" max="1535" width="14.42578125" style="8" customWidth="1"/>
    <col min="1536" max="1536" width="7.28515625" style="8" customWidth="1"/>
    <col min="1537" max="1537" width="5.5703125" style="8" customWidth="1"/>
    <col min="1538" max="1538" width="9" style="8" customWidth="1"/>
    <col min="1539" max="1540" width="9.85546875" style="8" customWidth="1"/>
    <col min="1541" max="1541" width="11.140625" style="8" customWidth="1"/>
    <col min="1542" max="1542" width="2.85546875" style="8" customWidth="1"/>
    <col min="1543" max="1543" width="3.5703125" style="8" customWidth="1"/>
    <col min="1544" max="1788" width="9.140625" style="8"/>
    <col min="1789" max="1789" width="8.7109375" style="8" customWidth="1"/>
    <col min="1790" max="1790" width="9.85546875" style="8" customWidth="1"/>
    <col min="1791" max="1791" width="14.42578125" style="8" customWidth="1"/>
    <col min="1792" max="1792" width="7.28515625" style="8" customWidth="1"/>
    <col min="1793" max="1793" width="5.5703125" style="8" customWidth="1"/>
    <col min="1794" max="1794" width="9" style="8" customWidth="1"/>
    <col min="1795" max="1796" width="9.85546875" style="8" customWidth="1"/>
    <col min="1797" max="1797" width="11.140625" style="8" customWidth="1"/>
    <col min="1798" max="1798" width="2.85546875" style="8" customWidth="1"/>
    <col min="1799" max="1799" width="3.5703125" style="8" customWidth="1"/>
    <col min="1800" max="2044" width="9.140625" style="8"/>
    <col min="2045" max="2045" width="8.7109375" style="8" customWidth="1"/>
    <col min="2046" max="2046" width="9.85546875" style="8" customWidth="1"/>
    <col min="2047" max="2047" width="14.42578125" style="8" customWidth="1"/>
    <col min="2048" max="2048" width="7.28515625" style="8" customWidth="1"/>
    <col min="2049" max="2049" width="5.5703125" style="8" customWidth="1"/>
    <col min="2050" max="2050" width="9" style="8" customWidth="1"/>
    <col min="2051" max="2052" width="9.85546875" style="8" customWidth="1"/>
    <col min="2053" max="2053" width="11.140625" style="8" customWidth="1"/>
    <col min="2054" max="2054" width="2.85546875" style="8" customWidth="1"/>
    <col min="2055" max="2055" width="3.5703125" style="8" customWidth="1"/>
    <col min="2056" max="2300" width="9.140625" style="8"/>
    <col min="2301" max="2301" width="8.7109375" style="8" customWidth="1"/>
    <col min="2302" max="2302" width="9.85546875" style="8" customWidth="1"/>
    <col min="2303" max="2303" width="14.42578125" style="8" customWidth="1"/>
    <col min="2304" max="2304" width="7.28515625" style="8" customWidth="1"/>
    <col min="2305" max="2305" width="5.5703125" style="8" customWidth="1"/>
    <col min="2306" max="2306" width="9" style="8" customWidth="1"/>
    <col min="2307" max="2308" width="9.85546875" style="8" customWidth="1"/>
    <col min="2309" max="2309" width="11.140625" style="8" customWidth="1"/>
    <col min="2310" max="2310" width="2.85546875" style="8" customWidth="1"/>
    <col min="2311" max="2311" width="3.5703125" style="8" customWidth="1"/>
    <col min="2312" max="2556" width="9.140625" style="8"/>
    <col min="2557" max="2557" width="8.7109375" style="8" customWidth="1"/>
    <col min="2558" max="2558" width="9.85546875" style="8" customWidth="1"/>
    <col min="2559" max="2559" width="14.42578125" style="8" customWidth="1"/>
    <col min="2560" max="2560" width="7.28515625" style="8" customWidth="1"/>
    <col min="2561" max="2561" width="5.5703125" style="8" customWidth="1"/>
    <col min="2562" max="2562" width="9" style="8" customWidth="1"/>
    <col min="2563" max="2564" width="9.85546875" style="8" customWidth="1"/>
    <col min="2565" max="2565" width="11.140625" style="8" customWidth="1"/>
    <col min="2566" max="2566" width="2.85546875" style="8" customWidth="1"/>
    <col min="2567" max="2567" width="3.5703125" style="8" customWidth="1"/>
    <col min="2568" max="2812" width="9.140625" style="8"/>
    <col min="2813" max="2813" width="8.7109375" style="8" customWidth="1"/>
    <col min="2814" max="2814" width="9.85546875" style="8" customWidth="1"/>
    <col min="2815" max="2815" width="14.42578125" style="8" customWidth="1"/>
    <col min="2816" max="2816" width="7.28515625" style="8" customWidth="1"/>
    <col min="2817" max="2817" width="5.5703125" style="8" customWidth="1"/>
    <col min="2818" max="2818" width="9" style="8" customWidth="1"/>
    <col min="2819" max="2820" width="9.85546875" style="8" customWidth="1"/>
    <col min="2821" max="2821" width="11.140625" style="8" customWidth="1"/>
    <col min="2822" max="2822" width="2.85546875" style="8" customWidth="1"/>
    <col min="2823" max="2823" width="3.5703125" style="8" customWidth="1"/>
    <col min="2824" max="3068" width="9.140625" style="8"/>
    <col min="3069" max="3069" width="8.7109375" style="8" customWidth="1"/>
    <col min="3070" max="3070" width="9.85546875" style="8" customWidth="1"/>
    <col min="3071" max="3071" width="14.42578125" style="8" customWidth="1"/>
    <col min="3072" max="3072" width="7.28515625" style="8" customWidth="1"/>
    <col min="3073" max="3073" width="5.5703125" style="8" customWidth="1"/>
    <col min="3074" max="3074" width="9" style="8" customWidth="1"/>
    <col min="3075" max="3076" width="9.85546875" style="8" customWidth="1"/>
    <col min="3077" max="3077" width="11.140625" style="8" customWidth="1"/>
    <col min="3078" max="3078" width="2.85546875" style="8" customWidth="1"/>
    <col min="3079" max="3079" width="3.5703125" style="8" customWidth="1"/>
    <col min="3080" max="3324" width="9.140625" style="8"/>
    <col min="3325" max="3325" width="8.7109375" style="8" customWidth="1"/>
    <col min="3326" max="3326" width="9.85546875" style="8" customWidth="1"/>
    <col min="3327" max="3327" width="14.42578125" style="8" customWidth="1"/>
    <col min="3328" max="3328" width="7.28515625" style="8" customWidth="1"/>
    <col min="3329" max="3329" width="5.5703125" style="8" customWidth="1"/>
    <col min="3330" max="3330" width="9" style="8" customWidth="1"/>
    <col min="3331" max="3332" width="9.85546875" style="8" customWidth="1"/>
    <col min="3333" max="3333" width="11.140625" style="8" customWidth="1"/>
    <col min="3334" max="3334" width="2.85546875" style="8" customWidth="1"/>
    <col min="3335" max="3335" width="3.5703125" style="8" customWidth="1"/>
    <col min="3336" max="3580" width="9.140625" style="8"/>
    <col min="3581" max="3581" width="8.7109375" style="8" customWidth="1"/>
    <col min="3582" max="3582" width="9.85546875" style="8" customWidth="1"/>
    <col min="3583" max="3583" width="14.42578125" style="8" customWidth="1"/>
    <col min="3584" max="3584" width="7.28515625" style="8" customWidth="1"/>
    <col min="3585" max="3585" width="5.5703125" style="8" customWidth="1"/>
    <col min="3586" max="3586" width="9" style="8" customWidth="1"/>
    <col min="3587" max="3588" width="9.85546875" style="8" customWidth="1"/>
    <col min="3589" max="3589" width="11.140625" style="8" customWidth="1"/>
    <col min="3590" max="3590" width="2.85546875" style="8" customWidth="1"/>
    <col min="3591" max="3591" width="3.5703125" style="8" customWidth="1"/>
    <col min="3592" max="3836" width="9.140625" style="8"/>
    <col min="3837" max="3837" width="8.7109375" style="8" customWidth="1"/>
    <col min="3838" max="3838" width="9.85546875" style="8" customWidth="1"/>
    <col min="3839" max="3839" width="14.42578125" style="8" customWidth="1"/>
    <col min="3840" max="3840" width="7.28515625" style="8" customWidth="1"/>
    <col min="3841" max="3841" width="5.5703125" style="8" customWidth="1"/>
    <col min="3842" max="3842" width="9" style="8" customWidth="1"/>
    <col min="3843" max="3844" width="9.85546875" style="8" customWidth="1"/>
    <col min="3845" max="3845" width="11.140625" style="8" customWidth="1"/>
    <col min="3846" max="3846" width="2.85546875" style="8" customWidth="1"/>
    <col min="3847" max="3847" width="3.5703125" style="8" customWidth="1"/>
    <col min="3848" max="4092" width="9.140625" style="8"/>
    <col min="4093" max="4093" width="8.7109375" style="8" customWidth="1"/>
    <col min="4094" max="4094" width="9.85546875" style="8" customWidth="1"/>
    <col min="4095" max="4095" width="14.42578125" style="8" customWidth="1"/>
    <col min="4096" max="4096" width="7.28515625" style="8" customWidth="1"/>
    <col min="4097" max="4097" width="5.5703125" style="8" customWidth="1"/>
    <col min="4098" max="4098" width="9" style="8" customWidth="1"/>
    <col min="4099" max="4100" width="9.85546875" style="8" customWidth="1"/>
    <col min="4101" max="4101" width="11.140625" style="8" customWidth="1"/>
    <col min="4102" max="4102" width="2.85546875" style="8" customWidth="1"/>
    <col min="4103" max="4103" width="3.5703125" style="8" customWidth="1"/>
    <col min="4104" max="4348" width="9.140625" style="8"/>
    <col min="4349" max="4349" width="8.7109375" style="8" customWidth="1"/>
    <col min="4350" max="4350" width="9.85546875" style="8" customWidth="1"/>
    <col min="4351" max="4351" width="14.42578125" style="8" customWidth="1"/>
    <col min="4352" max="4352" width="7.28515625" style="8" customWidth="1"/>
    <col min="4353" max="4353" width="5.5703125" style="8" customWidth="1"/>
    <col min="4354" max="4354" width="9" style="8" customWidth="1"/>
    <col min="4355" max="4356" width="9.85546875" style="8" customWidth="1"/>
    <col min="4357" max="4357" width="11.140625" style="8" customWidth="1"/>
    <col min="4358" max="4358" width="2.85546875" style="8" customWidth="1"/>
    <col min="4359" max="4359" width="3.5703125" style="8" customWidth="1"/>
    <col min="4360" max="4604" width="9.140625" style="8"/>
    <col min="4605" max="4605" width="8.7109375" style="8" customWidth="1"/>
    <col min="4606" max="4606" width="9.85546875" style="8" customWidth="1"/>
    <col min="4607" max="4607" width="14.42578125" style="8" customWidth="1"/>
    <col min="4608" max="4608" width="7.28515625" style="8" customWidth="1"/>
    <col min="4609" max="4609" width="5.5703125" style="8" customWidth="1"/>
    <col min="4610" max="4610" width="9" style="8" customWidth="1"/>
    <col min="4611" max="4612" width="9.85546875" style="8" customWidth="1"/>
    <col min="4613" max="4613" width="11.140625" style="8" customWidth="1"/>
    <col min="4614" max="4614" width="2.85546875" style="8" customWidth="1"/>
    <col min="4615" max="4615" width="3.5703125" style="8" customWidth="1"/>
    <col min="4616" max="4860" width="9.140625" style="8"/>
    <col min="4861" max="4861" width="8.7109375" style="8" customWidth="1"/>
    <col min="4862" max="4862" width="9.85546875" style="8" customWidth="1"/>
    <col min="4863" max="4863" width="14.42578125" style="8" customWidth="1"/>
    <col min="4864" max="4864" width="7.28515625" style="8" customWidth="1"/>
    <col min="4865" max="4865" width="5.5703125" style="8" customWidth="1"/>
    <col min="4866" max="4866" width="9" style="8" customWidth="1"/>
    <col min="4867" max="4868" width="9.85546875" style="8" customWidth="1"/>
    <col min="4869" max="4869" width="11.140625" style="8" customWidth="1"/>
    <col min="4870" max="4870" width="2.85546875" style="8" customWidth="1"/>
    <col min="4871" max="4871" width="3.5703125" style="8" customWidth="1"/>
    <col min="4872" max="5116" width="9.140625" style="8"/>
    <col min="5117" max="5117" width="8.7109375" style="8" customWidth="1"/>
    <col min="5118" max="5118" width="9.85546875" style="8" customWidth="1"/>
    <col min="5119" max="5119" width="14.42578125" style="8" customWidth="1"/>
    <col min="5120" max="5120" width="7.28515625" style="8" customWidth="1"/>
    <col min="5121" max="5121" width="5.5703125" style="8" customWidth="1"/>
    <col min="5122" max="5122" width="9" style="8" customWidth="1"/>
    <col min="5123" max="5124" width="9.85546875" style="8" customWidth="1"/>
    <col min="5125" max="5125" width="11.140625" style="8" customWidth="1"/>
    <col min="5126" max="5126" width="2.85546875" style="8" customWidth="1"/>
    <col min="5127" max="5127" width="3.5703125" style="8" customWidth="1"/>
    <col min="5128" max="5372" width="9.140625" style="8"/>
    <col min="5373" max="5373" width="8.7109375" style="8" customWidth="1"/>
    <col min="5374" max="5374" width="9.85546875" style="8" customWidth="1"/>
    <col min="5375" max="5375" width="14.42578125" style="8" customWidth="1"/>
    <col min="5376" max="5376" width="7.28515625" style="8" customWidth="1"/>
    <col min="5377" max="5377" width="5.5703125" style="8" customWidth="1"/>
    <col min="5378" max="5378" width="9" style="8" customWidth="1"/>
    <col min="5379" max="5380" width="9.85546875" style="8" customWidth="1"/>
    <col min="5381" max="5381" width="11.140625" style="8" customWidth="1"/>
    <col min="5382" max="5382" width="2.85546875" style="8" customWidth="1"/>
    <col min="5383" max="5383" width="3.5703125" style="8" customWidth="1"/>
    <col min="5384" max="5628" width="9.140625" style="8"/>
    <col min="5629" max="5629" width="8.7109375" style="8" customWidth="1"/>
    <col min="5630" max="5630" width="9.85546875" style="8" customWidth="1"/>
    <col min="5631" max="5631" width="14.42578125" style="8" customWidth="1"/>
    <col min="5632" max="5632" width="7.28515625" style="8" customWidth="1"/>
    <col min="5633" max="5633" width="5.5703125" style="8" customWidth="1"/>
    <col min="5634" max="5634" width="9" style="8" customWidth="1"/>
    <col min="5635" max="5636" width="9.85546875" style="8" customWidth="1"/>
    <col min="5637" max="5637" width="11.140625" style="8" customWidth="1"/>
    <col min="5638" max="5638" width="2.85546875" style="8" customWidth="1"/>
    <col min="5639" max="5639" width="3.5703125" style="8" customWidth="1"/>
    <col min="5640" max="5884" width="9.140625" style="8"/>
    <col min="5885" max="5885" width="8.7109375" style="8" customWidth="1"/>
    <col min="5886" max="5886" width="9.85546875" style="8" customWidth="1"/>
    <col min="5887" max="5887" width="14.42578125" style="8" customWidth="1"/>
    <col min="5888" max="5888" width="7.28515625" style="8" customWidth="1"/>
    <col min="5889" max="5889" width="5.5703125" style="8" customWidth="1"/>
    <col min="5890" max="5890" width="9" style="8" customWidth="1"/>
    <col min="5891" max="5892" width="9.85546875" style="8" customWidth="1"/>
    <col min="5893" max="5893" width="11.140625" style="8" customWidth="1"/>
    <col min="5894" max="5894" width="2.85546875" style="8" customWidth="1"/>
    <col min="5895" max="5895" width="3.5703125" style="8" customWidth="1"/>
    <col min="5896" max="6140" width="9.140625" style="8"/>
    <col min="6141" max="6141" width="8.7109375" style="8" customWidth="1"/>
    <col min="6142" max="6142" width="9.85546875" style="8" customWidth="1"/>
    <col min="6143" max="6143" width="14.42578125" style="8" customWidth="1"/>
    <col min="6144" max="6144" width="7.28515625" style="8" customWidth="1"/>
    <col min="6145" max="6145" width="5.5703125" style="8" customWidth="1"/>
    <col min="6146" max="6146" width="9" style="8" customWidth="1"/>
    <col min="6147" max="6148" width="9.85546875" style="8" customWidth="1"/>
    <col min="6149" max="6149" width="11.140625" style="8" customWidth="1"/>
    <col min="6150" max="6150" width="2.85546875" style="8" customWidth="1"/>
    <col min="6151" max="6151" width="3.5703125" style="8" customWidth="1"/>
    <col min="6152" max="6396" width="9.140625" style="8"/>
    <col min="6397" max="6397" width="8.7109375" style="8" customWidth="1"/>
    <col min="6398" max="6398" width="9.85546875" style="8" customWidth="1"/>
    <col min="6399" max="6399" width="14.42578125" style="8" customWidth="1"/>
    <col min="6400" max="6400" width="7.28515625" style="8" customWidth="1"/>
    <col min="6401" max="6401" width="5.5703125" style="8" customWidth="1"/>
    <col min="6402" max="6402" width="9" style="8" customWidth="1"/>
    <col min="6403" max="6404" width="9.85546875" style="8" customWidth="1"/>
    <col min="6405" max="6405" width="11.140625" style="8" customWidth="1"/>
    <col min="6406" max="6406" width="2.85546875" style="8" customWidth="1"/>
    <col min="6407" max="6407" width="3.5703125" style="8" customWidth="1"/>
    <col min="6408" max="6652" width="9.140625" style="8"/>
    <col min="6653" max="6653" width="8.7109375" style="8" customWidth="1"/>
    <col min="6654" max="6654" width="9.85546875" style="8" customWidth="1"/>
    <col min="6655" max="6655" width="14.42578125" style="8" customWidth="1"/>
    <col min="6656" max="6656" width="7.28515625" style="8" customWidth="1"/>
    <col min="6657" max="6657" width="5.5703125" style="8" customWidth="1"/>
    <col min="6658" max="6658" width="9" style="8" customWidth="1"/>
    <col min="6659" max="6660" width="9.85546875" style="8" customWidth="1"/>
    <col min="6661" max="6661" width="11.140625" style="8" customWidth="1"/>
    <col min="6662" max="6662" width="2.85546875" style="8" customWidth="1"/>
    <col min="6663" max="6663" width="3.5703125" style="8" customWidth="1"/>
    <col min="6664" max="6908" width="9.140625" style="8"/>
    <col min="6909" max="6909" width="8.7109375" style="8" customWidth="1"/>
    <col min="6910" max="6910" width="9.85546875" style="8" customWidth="1"/>
    <col min="6911" max="6911" width="14.42578125" style="8" customWidth="1"/>
    <col min="6912" max="6912" width="7.28515625" style="8" customWidth="1"/>
    <col min="6913" max="6913" width="5.5703125" style="8" customWidth="1"/>
    <col min="6914" max="6914" width="9" style="8" customWidth="1"/>
    <col min="6915" max="6916" width="9.85546875" style="8" customWidth="1"/>
    <col min="6917" max="6917" width="11.140625" style="8" customWidth="1"/>
    <col min="6918" max="6918" width="2.85546875" style="8" customWidth="1"/>
    <col min="6919" max="6919" width="3.5703125" style="8" customWidth="1"/>
    <col min="6920" max="7164" width="9.140625" style="8"/>
    <col min="7165" max="7165" width="8.7109375" style="8" customWidth="1"/>
    <col min="7166" max="7166" width="9.85546875" style="8" customWidth="1"/>
    <col min="7167" max="7167" width="14.42578125" style="8" customWidth="1"/>
    <col min="7168" max="7168" width="7.28515625" style="8" customWidth="1"/>
    <col min="7169" max="7169" width="5.5703125" style="8" customWidth="1"/>
    <col min="7170" max="7170" width="9" style="8" customWidth="1"/>
    <col min="7171" max="7172" width="9.85546875" style="8" customWidth="1"/>
    <col min="7173" max="7173" width="11.140625" style="8" customWidth="1"/>
    <col min="7174" max="7174" width="2.85546875" style="8" customWidth="1"/>
    <col min="7175" max="7175" width="3.5703125" style="8" customWidth="1"/>
    <col min="7176" max="7420" width="9.140625" style="8"/>
    <col min="7421" max="7421" width="8.7109375" style="8" customWidth="1"/>
    <col min="7422" max="7422" width="9.85546875" style="8" customWidth="1"/>
    <col min="7423" max="7423" width="14.42578125" style="8" customWidth="1"/>
    <col min="7424" max="7424" width="7.28515625" style="8" customWidth="1"/>
    <col min="7425" max="7425" width="5.5703125" style="8" customWidth="1"/>
    <col min="7426" max="7426" width="9" style="8" customWidth="1"/>
    <col min="7427" max="7428" width="9.85546875" style="8" customWidth="1"/>
    <col min="7429" max="7429" width="11.140625" style="8" customWidth="1"/>
    <col min="7430" max="7430" width="2.85546875" style="8" customWidth="1"/>
    <col min="7431" max="7431" width="3.5703125" style="8" customWidth="1"/>
    <col min="7432" max="7676" width="9.140625" style="8"/>
    <col min="7677" max="7677" width="8.7109375" style="8" customWidth="1"/>
    <col min="7678" max="7678" width="9.85546875" style="8" customWidth="1"/>
    <col min="7679" max="7679" width="14.42578125" style="8" customWidth="1"/>
    <col min="7680" max="7680" width="7.28515625" style="8" customWidth="1"/>
    <col min="7681" max="7681" width="5.5703125" style="8" customWidth="1"/>
    <col min="7682" max="7682" width="9" style="8" customWidth="1"/>
    <col min="7683" max="7684" width="9.85546875" style="8" customWidth="1"/>
    <col min="7685" max="7685" width="11.140625" style="8" customWidth="1"/>
    <col min="7686" max="7686" width="2.85546875" style="8" customWidth="1"/>
    <col min="7687" max="7687" width="3.5703125" style="8" customWidth="1"/>
    <col min="7688" max="7932" width="9.140625" style="8"/>
    <col min="7933" max="7933" width="8.7109375" style="8" customWidth="1"/>
    <col min="7934" max="7934" width="9.85546875" style="8" customWidth="1"/>
    <col min="7935" max="7935" width="14.42578125" style="8" customWidth="1"/>
    <col min="7936" max="7936" width="7.28515625" style="8" customWidth="1"/>
    <col min="7937" max="7937" width="5.5703125" style="8" customWidth="1"/>
    <col min="7938" max="7938" width="9" style="8" customWidth="1"/>
    <col min="7939" max="7940" width="9.85546875" style="8" customWidth="1"/>
    <col min="7941" max="7941" width="11.140625" style="8" customWidth="1"/>
    <col min="7942" max="7942" width="2.85546875" style="8" customWidth="1"/>
    <col min="7943" max="7943" width="3.5703125" style="8" customWidth="1"/>
    <col min="7944" max="8188" width="9.140625" style="8"/>
    <col min="8189" max="8189" width="8.7109375" style="8" customWidth="1"/>
    <col min="8190" max="8190" width="9.85546875" style="8" customWidth="1"/>
    <col min="8191" max="8191" width="14.42578125" style="8" customWidth="1"/>
    <col min="8192" max="8192" width="7.28515625" style="8" customWidth="1"/>
    <col min="8193" max="8193" width="5.5703125" style="8" customWidth="1"/>
    <col min="8194" max="8194" width="9" style="8" customWidth="1"/>
    <col min="8195" max="8196" width="9.85546875" style="8" customWidth="1"/>
    <col min="8197" max="8197" width="11.140625" style="8" customWidth="1"/>
    <col min="8198" max="8198" width="2.85546875" style="8" customWidth="1"/>
    <col min="8199" max="8199" width="3.5703125" style="8" customWidth="1"/>
    <col min="8200" max="8444" width="9.140625" style="8"/>
    <col min="8445" max="8445" width="8.7109375" style="8" customWidth="1"/>
    <col min="8446" max="8446" width="9.85546875" style="8" customWidth="1"/>
    <col min="8447" max="8447" width="14.42578125" style="8" customWidth="1"/>
    <col min="8448" max="8448" width="7.28515625" style="8" customWidth="1"/>
    <col min="8449" max="8449" width="5.5703125" style="8" customWidth="1"/>
    <col min="8450" max="8450" width="9" style="8" customWidth="1"/>
    <col min="8451" max="8452" width="9.85546875" style="8" customWidth="1"/>
    <col min="8453" max="8453" width="11.140625" style="8" customWidth="1"/>
    <col min="8454" max="8454" width="2.85546875" style="8" customWidth="1"/>
    <col min="8455" max="8455" width="3.5703125" style="8" customWidth="1"/>
    <col min="8456" max="8700" width="9.140625" style="8"/>
    <col min="8701" max="8701" width="8.7109375" style="8" customWidth="1"/>
    <col min="8702" max="8702" width="9.85546875" style="8" customWidth="1"/>
    <col min="8703" max="8703" width="14.42578125" style="8" customWidth="1"/>
    <col min="8704" max="8704" width="7.28515625" style="8" customWidth="1"/>
    <col min="8705" max="8705" width="5.5703125" style="8" customWidth="1"/>
    <col min="8706" max="8706" width="9" style="8" customWidth="1"/>
    <col min="8707" max="8708" width="9.85546875" style="8" customWidth="1"/>
    <col min="8709" max="8709" width="11.140625" style="8" customWidth="1"/>
    <col min="8710" max="8710" width="2.85546875" style="8" customWidth="1"/>
    <col min="8711" max="8711" width="3.5703125" style="8" customWidth="1"/>
    <col min="8712" max="8956" width="9.140625" style="8"/>
    <col min="8957" max="8957" width="8.7109375" style="8" customWidth="1"/>
    <col min="8958" max="8958" width="9.85546875" style="8" customWidth="1"/>
    <col min="8959" max="8959" width="14.42578125" style="8" customWidth="1"/>
    <col min="8960" max="8960" width="7.28515625" style="8" customWidth="1"/>
    <col min="8961" max="8961" width="5.5703125" style="8" customWidth="1"/>
    <col min="8962" max="8962" width="9" style="8" customWidth="1"/>
    <col min="8963" max="8964" width="9.85546875" style="8" customWidth="1"/>
    <col min="8965" max="8965" width="11.140625" style="8" customWidth="1"/>
    <col min="8966" max="8966" width="2.85546875" style="8" customWidth="1"/>
    <col min="8967" max="8967" width="3.5703125" style="8" customWidth="1"/>
    <col min="8968" max="9212" width="9.140625" style="8"/>
    <col min="9213" max="9213" width="8.7109375" style="8" customWidth="1"/>
    <col min="9214" max="9214" width="9.85546875" style="8" customWidth="1"/>
    <col min="9215" max="9215" width="14.42578125" style="8" customWidth="1"/>
    <col min="9216" max="9216" width="7.28515625" style="8" customWidth="1"/>
    <col min="9217" max="9217" width="5.5703125" style="8" customWidth="1"/>
    <col min="9218" max="9218" width="9" style="8" customWidth="1"/>
    <col min="9219" max="9220" width="9.85546875" style="8" customWidth="1"/>
    <col min="9221" max="9221" width="11.140625" style="8" customWidth="1"/>
    <col min="9222" max="9222" width="2.85546875" style="8" customWidth="1"/>
    <col min="9223" max="9223" width="3.5703125" style="8" customWidth="1"/>
    <col min="9224" max="9468" width="9.140625" style="8"/>
    <col min="9469" max="9469" width="8.7109375" style="8" customWidth="1"/>
    <col min="9470" max="9470" width="9.85546875" style="8" customWidth="1"/>
    <col min="9471" max="9471" width="14.42578125" style="8" customWidth="1"/>
    <col min="9472" max="9472" width="7.28515625" style="8" customWidth="1"/>
    <col min="9473" max="9473" width="5.5703125" style="8" customWidth="1"/>
    <col min="9474" max="9474" width="9" style="8" customWidth="1"/>
    <col min="9475" max="9476" width="9.85546875" style="8" customWidth="1"/>
    <col min="9477" max="9477" width="11.140625" style="8" customWidth="1"/>
    <col min="9478" max="9478" width="2.85546875" style="8" customWidth="1"/>
    <col min="9479" max="9479" width="3.5703125" style="8" customWidth="1"/>
    <col min="9480" max="9724" width="9.140625" style="8"/>
    <col min="9725" max="9725" width="8.7109375" style="8" customWidth="1"/>
    <col min="9726" max="9726" width="9.85546875" style="8" customWidth="1"/>
    <col min="9727" max="9727" width="14.42578125" style="8" customWidth="1"/>
    <col min="9728" max="9728" width="7.28515625" style="8" customWidth="1"/>
    <col min="9729" max="9729" width="5.5703125" style="8" customWidth="1"/>
    <col min="9730" max="9730" width="9" style="8" customWidth="1"/>
    <col min="9731" max="9732" width="9.85546875" style="8" customWidth="1"/>
    <col min="9733" max="9733" width="11.140625" style="8" customWidth="1"/>
    <col min="9734" max="9734" width="2.85546875" style="8" customWidth="1"/>
    <col min="9735" max="9735" width="3.5703125" style="8" customWidth="1"/>
    <col min="9736" max="9980" width="9.140625" style="8"/>
    <col min="9981" max="9981" width="8.7109375" style="8" customWidth="1"/>
    <col min="9982" max="9982" width="9.85546875" style="8" customWidth="1"/>
    <col min="9983" max="9983" width="14.42578125" style="8" customWidth="1"/>
    <col min="9984" max="9984" width="7.28515625" style="8" customWidth="1"/>
    <col min="9985" max="9985" width="5.5703125" style="8" customWidth="1"/>
    <col min="9986" max="9986" width="9" style="8" customWidth="1"/>
    <col min="9987" max="9988" width="9.85546875" style="8" customWidth="1"/>
    <col min="9989" max="9989" width="11.140625" style="8" customWidth="1"/>
    <col min="9990" max="9990" width="2.85546875" style="8" customWidth="1"/>
    <col min="9991" max="9991" width="3.5703125" style="8" customWidth="1"/>
    <col min="9992" max="10236" width="9.140625" style="8"/>
    <col min="10237" max="10237" width="8.7109375" style="8" customWidth="1"/>
    <col min="10238" max="10238" width="9.85546875" style="8" customWidth="1"/>
    <col min="10239" max="10239" width="14.42578125" style="8" customWidth="1"/>
    <col min="10240" max="10240" width="7.28515625" style="8" customWidth="1"/>
    <col min="10241" max="10241" width="5.5703125" style="8" customWidth="1"/>
    <col min="10242" max="10242" width="9" style="8" customWidth="1"/>
    <col min="10243" max="10244" width="9.85546875" style="8" customWidth="1"/>
    <col min="10245" max="10245" width="11.140625" style="8" customWidth="1"/>
    <col min="10246" max="10246" width="2.85546875" style="8" customWidth="1"/>
    <col min="10247" max="10247" width="3.5703125" style="8" customWidth="1"/>
    <col min="10248" max="10492" width="9.140625" style="8"/>
    <col min="10493" max="10493" width="8.7109375" style="8" customWidth="1"/>
    <col min="10494" max="10494" width="9.85546875" style="8" customWidth="1"/>
    <col min="10495" max="10495" width="14.42578125" style="8" customWidth="1"/>
    <col min="10496" max="10496" width="7.28515625" style="8" customWidth="1"/>
    <col min="10497" max="10497" width="5.5703125" style="8" customWidth="1"/>
    <col min="10498" max="10498" width="9" style="8" customWidth="1"/>
    <col min="10499" max="10500" width="9.85546875" style="8" customWidth="1"/>
    <col min="10501" max="10501" width="11.140625" style="8" customWidth="1"/>
    <col min="10502" max="10502" width="2.85546875" style="8" customWidth="1"/>
    <col min="10503" max="10503" width="3.5703125" style="8" customWidth="1"/>
    <col min="10504" max="10748" width="9.140625" style="8"/>
    <col min="10749" max="10749" width="8.7109375" style="8" customWidth="1"/>
    <col min="10750" max="10750" width="9.85546875" style="8" customWidth="1"/>
    <col min="10751" max="10751" width="14.42578125" style="8" customWidth="1"/>
    <col min="10752" max="10752" width="7.28515625" style="8" customWidth="1"/>
    <col min="10753" max="10753" width="5.5703125" style="8" customWidth="1"/>
    <col min="10754" max="10754" width="9" style="8" customWidth="1"/>
    <col min="10755" max="10756" width="9.85546875" style="8" customWidth="1"/>
    <col min="10757" max="10757" width="11.140625" style="8" customWidth="1"/>
    <col min="10758" max="10758" width="2.85546875" style="8" customWidth="1"/>
    <col min="10759" max="10759" width="3.5703125" style="8" customWidth="1"/>
    <col min="10760" max="11004" width="9.140625" style="8"/>
    <col min="11005" max="11005" width="8.7109375" style="8" customWidth="1"/>
    <col min="11006" max="11006" width="9.85546875" style="8" customWidth="1"/>
    <col min="11007" max="11007" width="14.42578125" style="8" customWidth="1"/>
    <col min="11008" max="11008" width="7.28515625" style="8" customWidth="1"/>
    <col min="11009" max="11009" width="5.5703125" style="8" customWidth="1"/>
    <col min="11010" max="11010" width="9" style="8" customWidth="1"/>
    <col min="11011" max="11012" width="9.85546875" style="8" customWidth="1"/>
    <col min="11013" max="11013" width="11.140625" style="8" customWidth="1"/>
    <col min="11014" max="11014" width="2.85546875" style="8" customWidth="1"/>
    <col min="11015" max="11015" width="3.5703125" style="8" customWidth="1"/>
    <col min="11016" max="11260" width="9.140625" style="8"/>
    <col min="11261" max="11261" width="8.7109375" style="8" customWidth="1"/>
    <col min="11262" max="11262" width="9.85546875" style="8" customWidth="1"/>
    <col min="11263" max="11263" width="14.42578125" style="8" customWidth="1"/>
    <col min="11264" max="11264" width="7.28515625" style="8" customWidth="1"/>
    <col min="11265" max="11265" width="5.5703125" style="8" customWidth="1"/>
    <col min="11266" max="11266" width="9" style="8" customWidth="1"/>
    <col min="11267" max="11268" width="9.85546875" style="8" customWidth="1"/>
    <col min="11269" max="11269" width="11.140625" style="8" customWidth="1"/>
    <col min="11270" max="11270" width="2.85546875" style="8" customWidth="1"/>
    <col min="11271" max="11271" width="3.5703125" style="8" customWidth="1"/>
    <col min="11272" max="11516" width="9.140625" style="8"/>
    <col min="11517" max="11517" width="8.7109375" style="8" customWidth="1"/>
    <col min="11518" max="11518" width="9.85546875" style="8" customWidth="1"/>
    <col min="11519" max="11519" width="14.42578125" style="8" customWidth="1"/>
    <col min="11520" max="11520" width="7.28515625" style="8" customWidth="1"/>
    <col min="11521" max="11521" width="5.5703125" style="8" customWidth="1"/>
    <col min="11522" max="11522" width="9" style="8" customWidth="1"/>
    <col min="11523" max="11524" width="9.85546875" style="8" customWidth="1"/>
    <col min="11525" max="11525" width="11.140625" style="8" customWidth="1"/>
    <col min="11526" max="11526" width="2.85546875" style="8" customWidth="1"/>
    <col min="11527" max="11527" width="3.5703125" style="8" customWidth="1"/>
    <col min="11528" max="11772" width="9.140625" style="8"/>
    <col min="11773" max="11773" width="8.7109375" style="8" customWidth="1"/>
    <col min="11774" max="11774" width="9.85546875" style="8" customWidth="1"/>
    <col min="11775" max="11775" width="14.42578125" style="8" customWidth="1"/>
    <col min="11776" max="11776" width="7.28515625" style="8" customWidth="1"/>
    <col min="11777" max="11777" width="5.5703125" style="8" customWidth="1"/>
    <col min="11778" max="11778" width="9" style="8" customWidth="1"/>
    <col min="11779" max="11780" width="9.85546875" style="8" customWidth="1"/>
    <col min="11781" max="11781" width="11.140625" style="8" customWidth="1"/>
    <col min="11782" max="11782" width="2.85546875" style="8" customWidth="1"/>
    <col min="11783" max="11783" width="3.5703125" style="8" customWidth="1"/>
    <col min="11784" max="12028" width="9.140625" style="8"/>
    <col min="12029" max="12029" width="8.7109375" style="8" customWidth="1"/>
    <col min="12030" max="12030" width="9.85546875" style="8" customWidth="1"/>
    <col min="12031" max="12031" width="14.42578125" style="8" customWidth="1"/>
    <col min="12032" max="12032" width="7.28515625" style="8" customWidth="1"/>
    <col min="12033" max="12033" width="5.5703125" style="8" customWidth="1"/>
    <col min="12034" max="12034" width="9" style="8" customWidth="1"/>
    <col min="12035" max="12036" width="9.85546875" style="8" customWidth="1"/>
    <col min="12037" max="12037" width="11.140625" style="8" customWidth="1"/>
    <col min="12038" max="12038" width="2.85546875" style="8" customWidth="1"/>
    <col min="12039" max="12039" width="3.5703125" style="8" customWidth="1"/>
    <col min="12040" max="12284" width="9.140625" style="8"/>
    <col min="12285" max="12285" width="8.7109375" style="8" customWidth="1"/>
    <col min="12286" max="12286" width="9.85546875" style="8" customWidth="1"/>
    <col min="12287" max="12287" width="14.42578125" style="8" customWidth="1"/>
    <col min="12288" max="12288" width="7.28515625" style="8" customWidth="1"/>
    <col min="12289" max="12289" width="5.5703125" style="8" customWidth="1"/>
    <col min="12290" max="12290" width="9" style="8" customWidth="1"/>
    <col min="12291" max="12292" width="9.85546875" style="8" customWidth="1"/>
    <col min="12293" max="12293" width="11.140625" style="8" customWidth="1"/>
    <col min="12294" max="12294" width="2.85546875" style="8" customWidth="1"/>
    <col min="12295" max="12295" width="3.5703125" style="8" customWidth="1"/>
    <col min="12296" max="12540" width="9.140625" style="8"/>
    <col min="12541" max="12541" width="8.7109375" style="8" customWidth="1"/>
    <col min="12542" max="12542" width="9.85546875" style="8" customWidth="1"/>
    <col min="12543" max="12543" width="14.42578125" style="8" customWidth="1"/>
    <col min="12544" max="12544" width="7.28515625" style="8" customWidth="1"/>
    <col min="12545" max="12545" width="5.5703125" style="8" customWidth="1"/>
    <col min="12546" max="12546" width="9" style="8" customWidth="1"/>
    <col min="12547" max="12548" width="9.85546875" style="8" customWidth="1"/>
    <col min="12549" max="12549" width="11.140625" style="8" customWidth="1"/>
    <col min="12550" max="12550" width="2.85546875" style="8" customWidth="1"/>
    <col min="12551" max="12551" width="3.5703125" style="8" customWidth="1"/>
    <col min="12552" max="12796" width="9.140625" style="8"/>
    <col min="12797" max="12797" width="8.7109375" style="8" customWidth="1"/>
    <col min="12798" max="12798" width="9.85546875" style="8" customWidth="1"/>
    <col min="12799" max="12799" width="14.42578125" style="8" customWidth="1"/>
    <col min="12800" max="12800" width="7.28515625" style="8" customWidth="1"/>
    <col min="12801" max="12801" width="5.5703125" style="8" customWidth="1"/>
    <col min="12802" max="12802" width="9" style="8" customWidth="1"/>
    <col min="12803" max="12804" width="9.85546875" style="8" customWidth="1"/>
    <col min="12805" max="12805" width="11.140625" style="8" customWidth="1"/>
    <col min="12806" max="12806" width="2.85546875" style="8" customWidth="1"/>
    <col min="12807" max="12807" width="3.5703125" style="8" customWidth="1"/>
    <col min="12808" max="13052" width="9.140625" style="8"/>
    <col min="13053" max="13053" width="8.7109375" style="8" customWidth="1"/>
    <col min="13054" max="13054" width="9.85546875" style="8" customWidth="1"/>
    <col min="13055" max="13055" width="14.42578125" style="8" customWidth="1"/>
    <col min="13056" max="13056" width="7.28515625" style="8" customWidth="1"/>
    <col min="13057" max="13057" width="5.5703125" style="8" customWidth="1"/>
    <col min="13058" max="13058" width="9" style="8" customWidth="1"/>
    <col min="13059" max="13060" width="9.85546875" style="8" customWidth="1"/>
    <col min="13061" max="13061" width="11.140625" style="8" customWidth="1"/>
    <col min="13062" max="13062" width="2.85546875" style="8" customWidth="1"/>
    <col min="13063" max="13063" width="3.5703125" style="8" customWidth="1"/>
    <col min="13064" max="13308" width="9.140625" style="8"/>
    <col min="13309" max="13309" width="8.7109375" style="8" customWidth="1"/>
    <col min="13310" max="13310" width="9.85546875" style="8" customWidth="1"/>
    <col min="13311" max="13311" width="14.42578125" style="8" customWidth="1"/>
    <col min="13312" max="13312" width="7.28515625" style="8" customWidth="1"/>
    <col min="13313" max="13313" width="5.5703125" style="8" customWidth="1"/>
    <col min="13314" max="13314" width="9" style="8" customWidth="1"/>
    <col min="13315" max="13316" width="9.85546875" style="8" customWidth="1"/>
    <col min="13317" max="13317" width="11.140625" style="8" customWidth="1"/>
    <col min="13318" max="13318" width="2.85546875" style="8" customWidth="1"/>
    <col min="13319" max="13319" width="3.5703125" style="8" customWidth="1"/>
    <col min="13320" max="13564" width="9.140625" style="8"/>
    <col min="13565" max="13565" width="8.7109375" style="8" customWidth="1"/>
    <col min="13566" max="13566" width="9.85546875" style="8" customWidth="1"/>
    <col min="13567" max="13567" width="14.42578125" style="8" customWidth="1"/>
    <col min="13568" max="13568" width="7.28515625" style="8" customWidth="1"/>
    <col min="13569" max="13569" width="5.5703125" style="8" customWidth="1"/>
    <col min="13570" max="13570" width="9" style="8" customWidth="1"/>
    <col min="13571" max="13572" width="9.85546875" style="8" customWidth="1"/>
    <col min="13573" max="13573" width="11.140625" style="8" customWidth="1"/>
    <col min="13574" max="13574" width="2.85546875" style="8" customWidth="1"/>
    <col min="13575" max="13575" width="3.5703125" style="8" customWidth="1"/>
    <col min="13576" max="13820" width="9.140625" style="8"/>
    <col min="13821" max="13821" width="8.7109375" style="8" customWidth="1"/>
    <col min="13822" max="13822" width="9.85546875" style="8" customWidth="1"/>
    <col min="13823" max="13823" width="14.42578125" style="8" customWidth="1"/>
    <col min="13824" max="13824" width="7.28515625" style="8" customWidth="1"/>
    <col min="13825" max="13825" width="5.5703125" style="8" customWidth="1"/>
    <col min="13826" max="13826" width="9" style="8" customWidth="1"/>
    <col min="13827" max="13828" width="9.85546875" style="8" customWidth="1"/>
    <col min="13829" max="13829" width="11.140625" style="8" customWidth="1"/>
    <col min="13830" max="13830" width="2.85546875" style="8" customWidth="1"/>
    <col min="13831" max="13831" width="3.5703125" style="8" customWidth="1"/>
    <col min="13832" max="14076" width="9.140625" style="8"/>
    <col min="14077" max="14077" width="8.7109375" style="8" customWidth="1"/>
    <col min="14078" max="14078" width="9.85546875" style="8" customWidth="1"/>
    <col min="14079" max="14079" width="14.42578125" style="8" customWidth="1"/>
    <col min="14080" max="14080" width="7.28515625" style="8" customWidth="1"/>
    <col min="14081" max="14081" width="5.5703125" style="8" customWidth="1"/>
    <col min="14082" max="14082" width="9" style="8" customWidth="1"/>
    <col min="14083" max="14084" width="9.85546875" style="8" customWidth="1"/>
    <col min="14085" max="14085" width="11.140625" style="8" customWidth="1"/>
    <col min="14086" max="14086" width="2.85546875" style="8" customWidth="1"/>
    <col min="14087" max="14087" width="3.5703125" style="8" customWidth="1"/>
    <col min="14088" max="14332" width="9.140625" style="8"/>
    <col min="14333" max="14333" width="8.7109375" style="8" customWidth="1"/>
    <col min="14334" max="14334" width="9.85546875" style="8" customWidth="1"/>
    <col min="14335" max="14335" width="14.42578125" style="8" customWidth="1"/>
    <col min="14336" max="14336" width="7.28515625" style="8" customWidth="1"/>
    <col min="14337" max="14337" width="5.5703125" style="8" customWidth="1"/>
    <col min="14338" max="14338" width="9" style="8" customWidth="1"/>
    <col min="14339" max="14340" width="9.85546875" style="8" customWidth="1"/>
    <col min="14341" max="14341" width="11.140625" style="8" customWidth="1"/>
    <col min="14342" max="14342" width="2.85546875" style="8" customWidth="1"/>
    <col min="14343" max="14343" width="3.5703125" style="8" customWidth="1"/>
    <col min="14344" max="14588" width="9.140625" style="8"/>
    <col min="14589" max="14589" width="8.7109375" style="8" customWidth="1"/>
    <col min="14590" max="14590" width="9.85546875" style="8" customWidth="1"/>
    <col min="14591" max="14591" width="14.42578125" style="8" customWidth="1"/>
    <col min="14592" max="14592" width="7.28515625" style="8" customWidth="1"/>
    <col min="14593" max="14593" width="5.5703125" style="8" customWidth="1"/>
    <col min="14594" max="14594" width="9" style="8" customWidth="1"/>
    <col min="14595" max="14596" width="9.85546875" style="8" customWidth="1"/>
    <col min="14597" max="14597" width="11.140625" style="8" customWidth="1"/>
    <col min="14598" max="14598" width="2.85546875" style="8" customWidth="1"/>
    <col min="14599" max="14599" width="3.5703125" style="8" customWidth="1"/>
    <col min="14600" max="14844" width="9.140625" style="8"/>
    <col min="14845" max="14845" width="8.7109375" style="8" customWidth="1"/>
    <col min="14846" max="14846" width="9.85546875" style="8" customWidth="1"/>
    <col min="14847" max="14847" width="14.42578125" style="8" customWidth="1"/>
    <col min="14848" max="14848" width="7.28515625" style="8" customWidth="1"/>
    <col min="14849" max="14849" width="5.5703125" style="8" customWidth="1"/>
    <col min="14850" max="14850" width="9" style="8" customWidth="1"/>
    <col min="14851" max="14852" width="9.85546875" style="8" customWidth="1"/>
    <col min="14853" max="14853" width="11.140625" style="8" customWidth="1"/>
    <col min="14854" max="14854" width="2.85546875" style="8" customWidth="1"/>
    <col min="14855" max="14855" width="3.5703125" style="8" customWidth="1"/>
    <col min="14856" max="15100" width="9.140625" style="8"/>
    <col min="15101" max="15101" width="8.7109375" style="8" customWidth="1"/>
    <col min="15102" max="15102" width="9.85546875" style="8" customWidth="1"/>
    <col min="15103" max="15103" width="14.42578125" style="8" customWidth="1"/>
    <col min="15104" max="15104" width="7.28515625" style="8" customWidth="1"/>
    <col min="15105" max="15105" width="5.5703125" style="8" customWidth="1"/>
    <col min="15106" max="15106" width="9" style="8" customWidth="1"/>
    <col min="15107" max="15108" width="9.85546875" style="8" customWidth="1"/>
    <col min="15109" max="15109" width="11.140625" style="8" customWidth="1"/>
    <col min="15110" max="15110" width="2.85546875" style="8" customWidth="1"/>
    <col min="15111" max="15111" width="3.5703125" style="8" customWidth="1"/>
    <col min="15112" max="15356" width="9.140625" style="8"/>
    <col min="15357" max="15357" width="8.7109375" style="8" customWidth="1"/>
    <col min="15358" max="15358" width="9.85546875" style="8" customWidth="1"/>
    <col min="15359" max="15359" width="14.42578125" style="8" customWidth="1"/>
    <col min="15360" max="15360" width="7.28515625" style="8" customWidth="1"/>
    <col min="15361" max="15361" width="5.5703125" style="8" customWidth="1"/>
    <col min="15362" max="15362" width="9" style="8" customWidth="1"/>
    <col min="15363" max="15364" width="9.85546875" style="8" customWidth="1"/>
    <col min="15365" max="15365" width="11.140625" style="8" customWidth="1"/>
    <col min="15366" max="15366" width="2.85546875" style="8" customWidth="1"/>
    <col min="15367" max="15367" width="3.5703125" style="8" customWidth="1"/>
    <col min="15368" max="15612" width="9.140625" style="8"/>
    <col min="15613" max="15613" width="8.7109375" style="8" customWidth="1"/>
    <col min="15614" max="15614" width="9.85546875" style="8" customWidth="1"/>
    <col min="15615" max="15615" width="14.42578125" style="8" customWidth="1"/>
    <col min="15616" max="15616" width="7.28515625" style="8" customWidth="1"/>
    <col min="15617" max="15617" width="5.5703125" style="8" customWidth="1"/>
    <col min="15618" max="15618" width="9" style="8" customWidth="1"/>
    <col min="15619" max="15620" width="9.85546875" style="8" customWidth="1"/>
    <col min="15621" max="15621" width="11.140625" style="8" customWidth="1"/>
    <col min="15622" max="15622" width="2.85546875" style="8" customWidth="1"/>
    <col min="15623" max="15623" width="3.5703125" style="8" customWidth="1"/>
    <col min="15624" max="15868" width="9.140625" style="8"/>
    <col min="15869" max="15869" width="8.7109375" style="8" customWidth="1"/>
    <col min="15870" max="15870" width="9.85546875" style="8" customWidth="1"/>
    <col min="15871" max="15871" width="14.42578125" style="8" customWidth="1"/>
    <col min="15872" max="15872" width="7.28515625" style="8" customWidth="1"/>
    <col min="15873" max="15873" width="5.5703125" style="8" customWidth="1"/>
    <col min="15874" max="15874" width="9" style="8" customWidth="1"/>
    <col min="15875" max="15876" width="9.85546875" style="8" customWidth="1"/>
    <col min="15877" max="15877" width="11.140625" style="8" customWidth="1"/>
    <col min="15878" max="15878" width="2.85546875" style="8" customWidth="1"/>
    <col min="15879" max="15879" width="3.5703125" style="8" customWidth="1"/>
    <col min="15880" max="16124" width="9.140625" style="8"/>
    <col min="16125" max="16125" width="8.7109375" style="8" customWidth="1"/>
    <col min="16126" max="16126" width="9.85546875" style="8" customWidth="1"/>
    <col min="16127" max="16127" width="14.42578125" style="8" customWidth="1"/>
    <col min="16128" max="16128" width="7.28515625" style="8" customWidth="1"/>
    <col min="16129" max="16129" width="5.5703125" style="8" customWidth="1"/>
    <col min="16130" max="16130" width="9" style="8" customWidth="1"/>
    <col min="16131" max="16132" width="9.85546875" style="8" customWidth="1"/>
    <col min="16133" max="16133" width="11.140625" style="8" customWidth="1"/>
    <col min="16134" max="16134" width="2.85546875" style="8" customWidth="1"/>
    <col min="16135" max="16135" width="3.5703125" style="8" customWidth="1"/>
    <col min="16136" max="16384" width="9.140625" style="8"/>
  </cols>
  <sheetData>
    <row r="1" spans="1:12" ht="46.5" customHeight="1" x14ac:dyDescent="0.25">
      <c r="A1" s="132" t="s">
        <v>264</v>
      </c>
      <c r="B1" s="132"/>
      <c r="C1" s="132"/>
      <c r="D1" s="132"/>
      <c r="E1" s="132"/>
      <c r="F1" s="132"/>
      <c r="G1" s="132"/>
      <c r="H1" s="132"/>
      <c r="I1" s="11"/>
      <c r="J1" s="11"/>
      <c r="K1" s="11"/>
      <c r="L1" s="11"/>
    </row>
    <row r="2" spans="1:12" ht="16.5" customHeight="1" x14ac:dyDescent="0.25">
      <c r="A2" s="108" t="s">
        <v>0</v>
      </c>
      <c r="B2" s="108"/>
      <c r="C2" s="108"/>
      <c r="D2" s="108"/>
      <c r="E2" s="108"/>
      <c r="F2" s="108"/>
      <c r="G2" s="108"/>
      <c r="H2" s="108"/>
      <c r="I2" s="11"/>
      <c r="J2" s="11"/>
      <c r="K2" s="11"/>
      <c r="L2" s="11"/>
    </row>
    <row r="3" spans="1:12" x14ac:dyDescent="0.25">
      <c r="A3" s="89" t="s">
        <v>1</v>
      </c>
      <c r="B3" s="89"/>
      <c r="C3" s="89"/>
      <c r="D3" s="89"/>
      <c r="E3" s="133" t="str">
        <f ca="1">TEXT(TODAY(),"DD/MM/YYYY")</f>
        <v>28/07/2025</v>
      </c>
      <c r="F3" s="133"/>
      <c r="G3" s="133"/>
      <c r="H3" s="133"/>
      <c r="I3" s="11"/>
      <c r="J3" s="11"/>
      <c r="K3" s="11"/>
      <c r="L3" s="11"/>
    </row>
    <row r="4" spans="1:12" ht="15" customHeight="1" x14ac:dyDescent="0.25">
      <c r="A4" s="89" t="s">
        <v>2</v>
      </c>
      <c r="B4" s="89"/>
      <c r="C4" s="89"/>
      <c r="D4" s="89"/>
      <c r="E4" s="129" t="s">
        <v>167</v>
      </c>
      <c r="F4" s="129"/>
      <c r="G4" s="129"/>
      <c r="H4" s="129"/>
      <c r="I4" s="11"/>
      <c r="J4" s="11"/>
      <c r="K4" s="11"/>
      <c r="L4" s="11"/>
    </row>
    <row r="5" spans="1:12" x14ac:dyDescent="0.25">
      <c r="A5" s="89" t="s">
        <v>3</v>
      </c>
      <c r="B5" s="89"/>
      <c r="C5" s="89"/>
      <c r="D5" s="89"/>
      <c r="E5" s="133">
        <v>45853</v>
      </c>
      <c r="F5" s="133"/>
      <c r="G5" s="133"/>
      <c r="H5" s="133"/>
      <c r="I5" s="11"/>
      <c r="J5" s="11"/>
      <c r="K5" s="11"/>
      <c r="L5" s="11"/>
    </row>
    <row r="6" spans="1:12" ht="16.5" customHeight="1" x14ac:dyDescent="0.25">
      <c r="A6" s="89" t="s">
        <v>4</v>
      </c>
      <c r="B6" s="89"/>
      <c r="C6" s="89"/>
      <c r="D6" s="89"/>
      <c r="E6" s="106" t="s">
        <v>221</v>
      </c>
      <c r="F6" s="106"/>
      <c r="G6" s="106"/>
      <c r="H6" s="106"/>
      <c r="I6" s="11"/>
      <c r="J6" s="11"/>
      <c r="K6" s="11"/>
      <c r="L6" s="11"/>
    </row>
    <row r="7" spans="1:12" ht="15" customHeight="1" x14ac:dyDescent="0.25">
      <c r="A7" s="89" t="s">
        <v>5</v>
      </c>
      <c r="B7" s="89"/>
      <c r="C7" s="89"/>
      <c r="D7" s="89"/>
      <c r="E7" s="106" t="str">
        <f>E6</f>
        <v>M/s.Shree Sai Ganesh Developers</v>
      </c>
      <c r="F7" s="106"/>
      <c r="G7" s="106"/>
      <c r="H7" s="106"/>
      <c r="I7" s="11"/>
      <c r="J7" s="11"/>
      <c r="K7" s="11"/>
      <c r="L7" s="11"/>
    </row>
    <row r="8" spans="1:12" x14ac:dyDescent="0.25">
      <c r="A8" s="89" t="s">
        <v>6</v>
      </c>
      <c r="B8" s="89"/>
      <c r="C8" s="89"/>
      <c r="D8" s="89"/>
      <c r="E8" s="120" t="s">
        <v>168</v>
      </c>
      <c r="F8" s="120"/>
      <c r="G8" s="120"/>
      <c r="H8" s="120"/>
      <c r="I8" s="11"/>
      <c r="J8" s="11"/>
      <c r="K8" s="11"/>
      <c r="L8" s="11"/>
    </row>
    <row r="9" spans="1:12" x14ac:dyDescent="0.25">
      <c r="A9" s="89" t="s">
        <v>166</v>
      </c>
      <c r="B9" s="89"/>
      <c r="C9" s="89"/>
      <c r="D9" s="89"/>
      <c r="E9" s="89" t="s">
        <v>249</v>
      </c>
      <c r="F9" s="89"/>
      <c r="G9" s="89"/>
      <c r="H9" s="89"/>
      <c r="I9" s="11"/>
      <c r="J9" s="11"/>
      <c r="K9" s="11"/>
      <c r="L9" s="11"/>
    </row>
    <row r="10" spans="1:12" x14ac:dyDescent="0.25">
      <c r="A10" s="89" t="s">
        <v>267</v>
      </c>
      <c r="B10" s="89"/>
      <c r="C10" s="89"/>
      <c r="D10" s="89"/>
      <c r="E10" s="89" t="s">
        <v>270</v>
      </c>
      <c r="F10" s="89"/>
      <c r="G10" s="89"/>
      <c r="H10" s="89"/>
      <c r="I10" s="11"/>
      <c r="J10" s="11"/>
      <c r="K10" s="11"/>
      <c r="L10" s="11"/>
    </row>
    <row r="11" spans="1:12" x14ac:dyDescent="0.25">
      <c r="A11" s="89" t="s">
        <v>7</v>
      </c>
      <c r="B11" s="89"/>
      <c r="C11" s="89"/>
      <c r="D11" s="89"/>
      <c r="E11" s="106" t="s">
        <v>247</v>
      </c>
      <c r="F11" s="89"/>
      <c r="G11" s="89"/>
      <c r="H11" s="89"/>
      <c r="I11" s="11"/>
      <c r="J11" s="11"/>
      <c r="K11" s="11"/>
      <c r="L11" s="11"/>
    </row>
    <row r="12" spans="1:12" x14ac:dyDescent="0.25">
      <c r="A12" s="89" t="s">
        <v>8</v>
      </c>
      <c r="B12" s="89"/>
      <c r="C12" s="89"/>
      <c r="D12" s="89"/>
      <c r="E12" s="106" t="s">
        <v>220</v>
      </c>
      <c r="F12" s="106"/>
      <c r="G12" s="106"/>
      <c r="H12" s="106"/>
      <c r="I12" s="11"/>
      <c r="J12" s="11"/>
      <c r="K12" s="11"/>
      <c r="L12" s="11"/>
    </row>
    <row r="13" spans="1:12" x14ac:dyDescent="0.25">
      <c r="A13" s="89" t="s">
        <v>9</v>
      </c>
      <c r="B13" s="89"/>
      <c r="C13" s="89"/>
      <c r="D13" s="89"/>
      <c r="E13" s="89" t="s">
        <v>169</v>
      </c>
      <c r="F13" s="89"/>
      <c r="G13" s="89"/>
      <c r="H13" s="89"/>
      <c r="I13" s="11"/>
      <c r="J13" s="11"/>
      <c r="K13" s="11"/>
      <c r="L13" s="11"/>
    </row>
    <row r="14" spans="1:12" ht="34.5" customHeight="1" x14ac:dyDescent="0.25">
      <c r="A14" s="106" t="s">
        <v>10</v>
      </c>
      <c r="B14" s="106"/>
      <c r="C14" s="106" t="str">
        <f>CONCATENATE((IF(OR(E8="",E8="NA"),"",E8)),", ",(IF(OR(A15="",A15="NA"),"",A15)),".",(IF(OR(C15="",C15="NA"),"",C15)),", ",(IF(OR(C16="",C16="NA"),"",C16)),", ",(IF(OR(G16="",G16="NA"),"",G16)),", ",(IF(OR(C17="",C17="NA"),"",C17)),", ",(IF(OR(C18="",C18="NA"),"",C18)),", ",(IF(OR(G17="",G17="NA"),"",G17)),", ",(IF(OR(G18="",G18="NA"),"",G18)),".")</f>
        <v>Samruddhi Residency, Survey No.166, Diva Shil Road, Dawale, Thane, Thane, Thane, 400612.</v>
      </c>
      <c r="D14" s="106"/>
      <c r="E14" s="106"/>
      <c r="F14" s="106"/>
      <c r="G14" s="106"/>
      <c r="H14" s="106"/>
      <c r="I14" s="11"/>
      <c r="J14" s="11"/>
      <c r="K14" s="11"/>
      <c r="L14" s="11"/>
    </row>
    <row r="15" spans="1:12" ht="15.75" customHeight="1" x14ac:dyDescent="0.25">
      <c r="A15" s="106" t="s">
        <v>217</v>
      </c>
      <c r="B15" s="106"/>
      <c r="C15" s="106">
        <v>166</v>
      </c>
      <c r="D15" s="106"/>
      <c r="E15" s="106"/>
      <c r="F15" s="106"/>
      <c r="G15" s="106"/>
      <c r="H15" s="106"/>
      <c r="I15" s="11"/>
      <c r="J15" s="11"/>
      <c r="K15" s="11"/>
      <c r="L15" s="11"/>
    </row>
    <row r="16" spans="1:12" ht="15.75" customHeight="1" x14ac:dyDescent="0.25">
      <c r="A16" s="106" t="s">
        <v>11</v>
      </c>
      <c r="B16" s="106"/>
      <c r="C16" s="89" t="s">
        <v>176</v>
      </c>
      <c r="D16" s="89"/>
      <c r="E16" s="106" t="s">
        <v>110</v>
      </c>
      <c r="F16" s="106"/>
      <c r="G16" s="106" t="s">
        <v>175</v>
      </c>
      <c r="H16" s="106"/>
      <c r="I16" s="11"/>
      <c r="J16" s="11"/>
      <c r="K16" s="11"/>
      <c r="L16" s="11"/>
    </row>
    <row r="17" spans="1:12" x14ac:dyDescent="0.25">
      <c r="A17" s="89" t="s">
        <v>13</v>
      </c>
      <c r="B17" s="89"/>
      <c r="C17" s="106" t="s">
        <v>222</v>
      </c>
      <c r="D17" s="106"/>
      <c r="E17" s="106" t="s">
        <v>12</v>
      </c>
      <c r="F17" s="106"/>
      <c r="G17" s="115" t="s">
        <v>222</v>
      </c>
      <c r="H17" s="115"/>
      <c r="I17" s="11"/>
      <c r="J17" s="11"/>
      <c r="K17" s="11"/>
      <c r="L17" s="11"/>
    </row>
    <row r="18" spans="1:12" x14ac:dyDescent="0.25">
      <c r="A18" s="89" t="s">
        <v>111</v>
      </c>
      <c r="B18" s="89"/>
      <c r="C18" s="106" t="s">
        <v>222</v>
      </c>
      <c r="D18" s="106"/>
      <c r="E18" s="106" t="s">
        <v>14</v>
      </c>
      <c r="F18" s="106"/>
      <c r="G18" s="106">
        <v>400612</v>
      </c>
      <c r="H18" s="106"/>
      <c r="I18" s="11"/>
      <c r="J18" s="11"/>
      <c r="K18" s="11"/>
      <c r="L18" s="11"/>
    </row>
    <row r="19" spans="1:12" ht="32.25" customHeight="1" x14ac:dyDescent="0.25">
      <c r="A19" s="89" t="s">
        <v>15</v>
      </c>
      <c r="B19" s="89"/>
      <c r="C19" s="122" t="s">
        <v>180</v>
      </c>
      <c r="D19" s="122"/>
      <c r="E19" s="106" t="s">
        <v>16</v>
      </c>
      <c r="F19" s="106"/>
      <c r="G19" s="106" t="s">
        <v>181</v>
      </c>
      <c r="H19" s="106"/>
      <c r="I19" s="11"/>
      <c r="J19" s="11"/>
      <c r="K19" s="11"/>
      <c r="L19" s="11"/>
    </row>
    <row r="20" spans="1:12" ht="15" customHeight="1" x14ac:dyDescent="0.25">
      <c r="A20" s="106" t="s">
        <v>115</v>
      </c>
      <c r="B20" s="106"/>
      <c r="C20" s="106"/>
      <c r="D20" s="106"/>
      <c r="E20" s="89" t="s">
        <v>17</v>
      </c>
      <c r="F20" s="89"/>
      <c r="G20" s="89"/>
      <c r="H20" s="89"/>
      <c r="I20" s="11"/>
      <c r="J20" s="11"/>
      <c r="K20" s="11"/>
      <c r="L20" s="11"/>
    </row>
    <row r="21" spans="1:12" ht="18.75" customHeight="1" x14ac:dyDescent="0.25">
      <c r="A21" s="106"/>
      <c r="B21" s="106"/>
      <c r="C21" s="106"/>
      <c r="D21" s="106"/>
      <c r="E21" s="89"/>
      <c r="F21" s="89"/>
      <c r="G21" s="89"/>
      <c r="H21" s="89"/>
      <c r="I21" s="11"/>
      <c r="J21" s="11"/>
      <c r="K21" s="11"/>
      <c r="L21" s="11"/>
    </row>
    <row r="22" spans="1:12" ht="15" customHeight="1" x14ac:dyDescent="0.25">
      <c r="A22" s="106" t="s">
        <v>18</v>
      </c>
      <c r="B22" s="106"/>
      <c r="C22" s="106"/>
      <c r="D22" s="106"/>
      <c r="E22" s="106" t="s">
        <v>19</v>
      </c>
      <c r="F22" s="106"/>
      <c r="G22" s="106"/>
      <c r="H22" s="106"/>
      <c r="I22" s="11"/>
      <c r="J22" s="11"/>
      <c r="K22" s="11"/>
      <c r="L22" s="11"/>
    </row>
    <row r="23" spans="1:12" ht="15" customHeight="1" x14ac:dyDescent="0.25">
      <c r="A23" s="89" t="s">
        <v>20</v>
      </c>
      <c r="B23" s="89"/>
      <c r="C23" s="89"/>
      <c r="D23" s="89"/>
      <c r="E23" s="106" t="s">
        <v>173</v>
      </c>
      <c r="F23" s="106"/>
      <c r="G23" s="106"/>
      <c r="H23" s="106"/>
      <c r="I23" s="11"/>
      <c r="J23" s="11"/>
      <c r="K23" s="11"/>
      <c r="L23" s="11"/>
    </row>
    <row r="24" spans="1:12" x14ac:dyDescent="0.25">
      <c r="A24" s="89" t="s">
        <v>21</v>
      </c>
      <c r="B24" s="89"/>
      <c r="C24" s="89"/>
      <c r="D24" s="89"/>
      <c r="E24" s="106" t="s">
        <v>22</v>
      </c>
      <c r="F24" s="106"/>
      <c r="G24" s="106"/>
      <c r="H24" s="106"/>
      <c r="I24" s="11"/>
      <c r="J24" s="11"/>
      <c r="K24" s="11"/>
      <c r="L24" s="11"/>
    </row>
    <row r="25" spans="1:12" x14ac:dyDescent="0.25">
      <c r="A25" s="89" t="s">
        <v>23</v>
      </c>
      <c r="B25" s="89"/>
      <c r="C25" s="89"/>
      <c r="D25" s="89"/>
      <c r="E25" s="106" t="s">
        <v>174</v>
      </c>
      <c r="F25" s="106"/>
      <c r="G25" s="106"/>
      <c r="H25" s="106"/>
      <c r="I25" s="11"/>
      <c r="J25" s="11"/>
      <c r="K25" s="11"/>
      <c r="L25" s="11"/>
    </row>
    <row r="26" spans="1:12" x14ac:dyDescent="0.25">
      <c r="A26" s="89" t="s">
        <v>24</v>
      </c>
      <c r="B26" s="89"/>
      <c r="C26" s="89"/>
      <c r="D26" s="89"/>
      <c r="E26" s="106" t="s">
        <v>25</v>
      </c>
      <c r="F26" s="106"/>
      <c r="G26" s="106"/>
      <c r="H26" s="106"/>
      <c r="I26" s="11"/>
      <c r="J26" s="11"/>
      <c r="K26" s="11"/>
      <c r="L26" s="11"/>
    </row>
    <row r="27" spans="1:12" x14ac:dyDescent="0.25">
      <c r="A27" s="89" t="s">
        <v>121</v>
      </c>
      <c r="B27" s="89"/>
      <c r="C27" s="89"/>
      <c r="D27" s="89"/>
      <c r="E27" s="106" t="s">
        <v>122</v>
      </c>
      <c r="F27" s="106"/>
      <c r="G27" s="106"/>
      <c r="H27" s="106"/>
      <c r="I27" s="11"/>
      <c r="J27" s="11"/>
      <c r="K27" s="11"/>
      <c r="L27" s="11"/>
    </row>
    <row r="28" spans="1:12" ht="15" customHeight="1" x14ac:dyDescent="0.25">
      <c r="A28" s="106" t="s">
        <v>34</v>
      </c>
      <c r="B28" s="106"/>
      <c r="C28" s="106"/>
      <c r="D28" s="106"/>
      <c r="E28" s="129" t="s">
        <v>119</v>
      </c>
      <c r="F28" s="129"/>
      <c r="G28" s="129"/>
      <c r="H28" s="129"/>
      <c r="I28" s="11"/>
      <c r="J28" s="11"/>
      <c r="K28" s="11"/>
      <c r="L28" s="11"/>
    </row>
    <row r="29" spans="1:12" x14ac:dyDescent="0.25">
      <c r="A29" s="106" t="s">
        <v>135</v>
      </c>
      <c r="B29" s="106"/>
      <c r="C29" s="106"/>
      <c r="D29" s="106"/>
      <c r="E29" s="106" t="s">
        <v>35</v>
      </c>
      <c r="F29" s="106"/>
      <c r="G29" s="106"/>
      <c r="H29" s="106"/>
      <c r="I29" s="11"/>
      <c r="J29" s="11"/>
      <c r="K29" s="11"/>
      <c r="L29" s="11"/>
    </row>
    <row r="30" spans="1:12" s="12" customFormat="1" x14ac:dyDescent="0.25">
      <c r="A30" s="131" t="s">
        <v>136</v>
      </c>
      <c r="B30" s="131"/>
      <c r="C30" s="108" t="s">
        <v>30</v>
      </c>
      <c r="D30" s="108"/>
      <c r="E30" s="108"/>
      <c r="F30" s="108" t="s">
        <v>32</v>
      </c>
      <c r="G30" s="108"/>
      <c r="H30" s="108"/>
      <c r="I30" s="11"/>
      <c r="J30" s="11"/>
      <c r="K30" s="11"/>
      <c r="L30" s="11"/>
    </row>
    <row r="31" spans="1:12" s="12" customFormat="1" x14ac:dyDescent="0.25">
      <c r="A31" s="110" t="s">
        <v>26</v>
      </c>
      <c r="B31" s="110" t="s">
        <v>31</v>
      </c>
      <c r="C31" s="109" t="s">
        <v>31</v>
      </c>
      <c r="D31" s="109"/>
      <c r="E31" s="109"/>
      <c r="F31" s="109" t="s">
        <v>176</v>
      </c>
      <c r="G31" s="109"/>
      <c r="H31" s="109"/>
      <c r="I31" s="11"/>
      <c r="J31" s="11"/>
      <c r="K31" s="11"/>
      <c r="L31" s="11"/>
    </row>
    <row r="32" spans="1:12" x14ac:dyDescent="0.25">
      <c r="A32" s="110" t="s">
        <v>27</v>
      </c>
      <c r="B32" s="110" t="s">
        <v>31</v>
      </c>
      <c r="C32" s="109" t="s">
        <v>31</v>
      </c>
      <c r="D32" s="109"/>
      <c r="E32" s="109"/>
      <c r="F32" s="109" t="s">
        <v>177</v>
      </c>
      <c r="G32" s="109"/>
      <c r="H32" s="109"/>
      <c r="I32" s="11"/>
      <c r="J32" s="11"/>
      <c r="K32" s="11"/>
      <c r="L32" s="11"/>
    </row>
    <row r="33" spans="1:12" s="12" customFormat="1" x14ac:dyDescent="0.25">
      <c r="A33" s="110" t="s">
        <v>29</v>
      </c>
      <c r="B33" s="110" t="s">
        <v>31</v>
      </c>
      <c r="C33" s="109" t="s">
        <v>31</v>
      </c>
      <c r="D33" s="109"/>
      <c r="E33" s="109"/>
      <c r="F33" s="109" t="s">
        <v>178</v>
      </c>
      <c r="G33" s="109"/>
      <c r="H33" s="109"/>
      <c r="I33" s="11"/>
      <c r="J33" s="11"/>
      <c r="K33" s="11"/>
      <c r="L33" s="11"/>
    </row>
    <row r="34" spans="1:12" x14ac:dyDescent="0.25">
      <c r="A34" s="110" t="s">
        <v>28</v>
      </c>
      <c r="B34" s="110" t="s">
        <v>31</v>
      </c>
      <c r="C34" s="109" t="s">
        <v>31</v>
      </c>
      <c r="D34" s="109"/>
      <c r="E34" s="109"/>
      <c r="F34" s="109" t="s">
        <v>179</v>
      </c>
      <c r="G34" s="109"/>
      <c r="H34" s="109"/>
      <c r="I34" s="11"/>
      <c r="J34" s="11"/>
      <c r="K34" s="11"/>
      <c r="L34" s="11"/>
    </row>
    <row r="35" spans="1:12" x14ac:dyDescent="0.25">
      <c r="A35" s="89" t="s">
        <v>33</v>
      </c>
      <c r="B35" s="89"/>
      <c r="C35" s="89"/>
      <c r="D35" s="89"/>
      <c r="E35" s="89"/>
      <c r="F35" s="89"/>
      <c r="G35" s="89"/>
      <c r="H35" s="89"/>
      <c r="I35" s="11"/>
      <c r="J35" s="11"/>
      <c r="K35" s="11"/>
      <c r="L35" s="11"/>
    </row>
    <row r="36" spans="1:12" ht="15.75" customHeight="1" x14ac:dyDescent="0.25">
      <c r="A36" s="108" t="s">
        <v>257</v>
      </c>
      <c r="B36" s="108"/>
      <c r="C36" s="115" t="s">
        <v>258</v>
      </c>
      <c r="D36" s="115"/>
      <c r="E36" s="115"/>
      <c r="F36" s="115"/>
      <c r="G36" s="115"/>
      <c r="H36" s="115"/>
      <c r="I36" s="11"/>
      <c r="J36" s="11"/>
      <c r="K36" s="11"/>
      <c r="L36" s="11"/>
    </row>
    <row r="37" spans="1:12" ht="15.75" customHeight="1" x14ac:dyDescent="0.25">
      <c r="A37" s="108" t="s">
        <v>259</v>
      </c>
      <c r="B37" s="108"/>
      <c r="C37" s="116" t="s">
        <v>260</v>
      </c>
      <c r="D37" s="115"/>
      <c r="E37" s="115"/>
      <c r="F37" s="115"/>
      <c r="G37" s="115"/>
      <c r="H37" s="115"/>
      <c r="I37" s="11"/>
      <c r="J37" s="11"/>
      <c r="K37" s="11"/>
      <c r="L37" s="11"/>
    </row>
    <row r="38" spans="1:12" x14ac:dyDescent="0.25">
      <c r="A38" s="120" t="s">
        <v>36</v>
      </c>
      <c r="B38" s="120"/>
      <c r="C38" s="120"/>
      <c r="D38" s="120"/>
      <c r="E38" s="120"/>
      <c r="F38" s="120"/>
      <c r="G38" s="120"/>
      <c r="H38" s="120"/>
      <c r="I38" s="11"/>
      <c r="J38" s="11"/>
      <c r="K38" s="11"/>
      <c r="L38" s="11"/>
    </row>
    <row r="39" spans="1:12" x14ac:dyDescent="0.25">
      <c r="A39" s="89" t="s">
        <v>37</v>
      </c>
      <c r="B39" s="89"/>
      <c r="C39" s="89"/>
      <c r="D39" s="89"/>
      <c r="E39" s="130">
        <v>5526.09</v>
      </c>
      <c r="F39" s="130"/>
      <c r="G39" s="130"/>
      <c r="H39" s="130"/>
      <c r="I39" s="11"/>
      <c r="J39" s="11"/>
      <c r="K39" s="11"/>
      <c r="L39" s="11"/>
    </row>
    <row r="40" spans="1:12" x14ac:dyDescent="0.25">
      <c r="A40" s="89" t="s">
        <v>38</v>
      </c>
      <c r="B40" s="89"/>
      <c r="C40" s="89"/>
      <c r="D40" s="89"/>
      <c r="E40" s="111">
        <v>1</v>
      </c>
      <c r="F40" s="111"/>
      <c r="G40" s="111"/>
      <c r="H40" s="111"/>
      <c r="I40" s="11"/>
      <c r="J40" s="11"/>
      <c r="K40" s="11"/>
      <c r="L40" s="11"/>
    </row>
    <row r="41" spans="1:12" x14ac:dyDescent="0.25">
      <c r="A41" s="89" t="s">
        <v>39</v>
      </c>
      <c r="B41" s="89"/>
      <c r="C41" s="89"/>
      <c r="D41" s="89"/>
      <c r="E41" s="111">
        <f>E43/E39-E40</f>
        <v>0</v>
      </c>
      <c r="F41" s="111"/>
      <c r="G41" s="111"/>
      <c r="H41" s="111"/>
      <c r="I41" s="11"/>
      <c r="J41" s="11"/>
      <c r="K41" s="11"/>
      <c r="L41" s="11"/>
    </row>
    <row r="42" spans="1:12" x14ac:dyDescent="0.25">
      <c r="A42" s="89" t="s">
        <v>40</v>
      </c>
      <c r="B42" s="89"/>
      <c r="C42" s="89"/>
      <c r="D42" s="89"/>
      <c r="E42" s="111">
        <f>E40+E41</f>
        <v>1</v>
      </c>
      <c r="F42" s="111"/>
      <c r="G42" s="111"/>
      <c r="H42" s="111"/>
      <c r="I42" s="11"/>
      <c r="J42" s="11"/>
      <c r="K42" s="11"/>
      <c r="L42" s="11"/>
    </row>
    <row r="43" spans="1:12" x14ac:dyDescent="0.25">
      <c r="A43" s="89" t="s">
        <v>134</v>
      </c>
      <c r="B43" s="89"/>
      <c r="C43" s="89"/>
      <c r="D43" s="89"/>
      <c r="E43" s="119">
        <v>5526.09</v>
      </c>
      <c r="F43" s="119"/>
      <c r="G43" s="119"/>
      <c r="H43" s="119"/>
      <c r="I43" s="11"/>
      <c r="J43" s="11"/>
      <c r="K43" s="11"/>
      <c r="L43" s="11"/>
    </row>
    <row r="44" spans="1:12" x14ac:dyDescent="0.25">
      <c r="A44" s="89" t="s">
        <v>41</v>
      </c>
      <c r="B44" s="89"/>
      <c r="C44" s="89"/>
      <c r="D44" s="89"/>
      <c r="E44" s="89" t="s">
        <v>248</v>
      </c>
      <c r="F44" s="89"/>
      <c r="G44" s="89"/>
      <c r="H44" s="89"/>
      <c r="I44" s="11"/>
      <c r="J44" s="11"/>
      <c r="K44" s="11"/>
      <c r="L44" s="11"/>
    </row>
    <row r="45" spans="1:12" x14ac:dyDescent="0.25">
      <c r="A45" s="120" t="s">
        <v>42</v>
      </c>
      <c r="B45" s="120"/>
      <c r="C45" s="120"/>
      <c r="D45" s="120"/>
      <c r="E45" s="120"/>
      <c r="F45" s="120"/>
      <c r="G45" s="120"/>
      <c r="H45" s="120"/>
      <c r="I45" s="11"/>
      <c r="J45" s="11"/>
      <c r="K45" s="11"/>
      <c r="L45" s="11"/>
    </row>
    <row r="46" spans="1:12" x14ac:dyDescent="0.25">
      <c r="A46" s="106" t="s">
        <v>43</v>
      </c>
      <c r="B46" s="106"/>
      <c r="C46" s="122" t="s">
        <v>172</v>
      </c>
      <c r="D46" s="122"/>
      <c r="E46" s="122"/>
      <c r="F46" s="30" t="s">
        <v>44</v>
      </c>
      <c r="G46" s="106" t="s">
        <v>171</v>
      </c>
      <c r="H46" s="106"/>
      <c r="I46" s="11"/>
      <c r="J46" s="11"/>
      <c r="K46" s="11"/>
      <c r="L46" s="11"/>
    </row>
    <row r="47" spans="1:12" x14ac:dyDescent="0.25">
      <c r="A47" s="106" t="s">
        <v>45</v>
      </c>
      <c r="B47" s="106"/>
      <c r="C47" s="122" t="str">
        <f>C46</f>
        <v>TMC/TDD/3482/20</v>
      </c>
      <c r="D47" s="122"/>
      <c r="E47" s="122"/>
      <c r="F47" s="30" t="s">
        <v>44</v>
      </c>
      <c r="G47" s="106" t="str">
        <f>G46</f>
        <v>09/10/2020.</v>
      </c>
      <c r="H47" s="106"/>
      <c r="I47" s="11"/>
      <c r="J47" s="11"/>
      <c r="K47" s="11"/>
      <c r="L47" s="11"/>
    </row>
    <row r="48" spans="1:12" ht="47.25" customHeight="1" x14ac:dyDescent="0.25">
      <c r="A48" s="117" t="s">
        <v>278</v>
      </c>
      <c r="B48" s="117"/>
      <c r="C48" s="117" t="s">
        <v>274</v>
      </c>
      <c r="D48" s="117"/>
      <c r="E48" s="117"/>
      <c r="F48" s="86" t="s">
        <v>44</v>
      </c>
      <c r="G48" s="118">
        <v>44771</v>
      </c>
      <c r="H48" s="117"/>
      <c r="I48" s="11"/>
      <c r="J48" s="11"/>
      <c r="K48" s="11"/>
      <c r="L48" s="11"/>
    </row>
    <row r="49" spans="1:12" s="11" customFormat="1" x14ac:dyDescent="0.25">
      <c r="A49" s="106" t="s">
        <v>46</v>
      </c>
      <c r="B49" s="106"/>
      <c r="C49" s="122" t="s">
        <v>170</v>
      </c>
      <c r="D49" s="88"/>
      <c r="E49" s="88"/>
      <c r="F49" s="14" t="s">
        <v>44</v>
      </c>
      <c r="G49" s="88" t="s">
        <v>171</v>
      </c>
      <c r="H49" s="88"/>
    </row>
    <row r="50" spans="1:12" s="11" customFormat="1" ht="48.75" customHeight="1" x14ac:dyDescent="0.25">
      <c r="A50" s="106"/>
      <c r="B50" s="106"/>
      <c r="C50" s="112" t="s">
        <v>253</v>
      </c>
      <c r="D50" s="113"/>
      <c r="E50" s="113"/>
      <c r="F50" s="113"/>
      <c r="G50" s="113"/>
      <c r="H50" s="114"/>
    </row>
    <row r="51" spans="1:12" ht="48.75" customHeight="1" x14ac:dyDescent="0.25">
      <c r="A51" s="125" t="s">
        <v>254</v>
      </c>
      <c r="B51" s="125"/>
      <c r="C51" s="104" t="s">
        <v>265</v>
      </c>
      <c r="D51" s="105"/>
      <c r="E51" s="105" t="s">
        <v>47</v>
      </c>
      <c r="F51" s="32" t="s">
        <v>44</v>
      </c>
      <c r="G51" s="123" t="s">
        <v>266</v>
      </c>
      <c r="H51" s="124"/>
      <c r="I51" s="11"/>
      <c r="J51" s="11"/>
      <c r="K51" s="11"/>
      <c r="L51" s="11"/>
    </row>
    <row r="52" spans="1:12" x14ac:dyDescent="0.25">
      <c r="A52" s="121" t="s">
        <v>48</v>
      </c>
      <c r="B52" s="121"/>
      <c r="C52" s="121"/>
      <c r="D52" s="121"/>
      <c r="E52" s="121"/>
      <c r="F52" s="121"/>
      <c r="G52" s="121"/>
      <c r="H52" s="121"/>
      <c r="I52" s="11"/>
      <c r="J52" s="11"/>
      <c r="K52" s="11"/>
      <c r="L52" s="11"/>
    </row>
    <row r="53" spans="1:12" x14ac:dyDescent="0.25">
      <c r="A53" s="106" t="s">
        <v>133</v>
      </c>
      <c r="B53" s="106"/>
      <c r="C53" s="106"/>
      <c r="D53" s="89">
        <f>E43</f>
        <v>5526.09</v>
      </c>
      <c r="E53" s="89"/>
      <c r="F53" s="89"/>
      <c r="G53" s="89"/>
      <c r="H53" s="89"/>
      <c r="I53" s="11"/>
      <c r="J53" s="11"/>
      <c r="K53" s="11"/>
      <c r="L53" s="11"/>
    </row>
    <row r="54" spans="1:12" x14ac:dyDescent="0.25">
      <c r="A54" s="106" t="s">
        <v>49</v>
      </c>
      <c r="B54" s="89"/>
      <c r="C54" s="89"/>
      <c r="D54" s="89" t="s">
        <v>215</v>
      </c>
      <c r="E54" s="89"/>
      <c r="F54" s="89"/>
      <c r="G54" s="89"/>
      <c r="H54" s="89"/>
      <c r="I54" s="11"/>
      <c r="J54" s="11"/>
      <c r="K54" s="11"/>
      <c r="L54" s="11"/>
    </row>
    <row r="55" spans="1:12" ht="32.25" customHeight="1" x14ac:dyDescent="0.25">
      <c r="A55" s="106" t="s">
        <v>50</v>
      </c>
      <c r="B55" s="89"/>
      <c r="C55" s="89"/>
      <c r="D55" s="106" t="s">
        <v>225</v>
      </c>
      <c r="E55" s="89"/>
      <c r="F55" s="89"/>
      <c r="G55" s="89"/>
      <c r="H55" s="89"/>
      <c r="I55" s="11"/>
      <c r="J55" s="11"/>
      <c r="K55" s="11"/>
      <c r="L55" s="11"/>
    </row>
    <row r="56" spans="1:12" ht="33.75" customHeight="1" x14ac:dyDescent="0.25">
      <c r="A56" s="106" t="s">
        <v>131</v>
      </c>
      <c r="B56" s="89"/>
      <c r="C56" s="89"/>
      <c r="D56" s="106" t="s">
        <v>252</v>
      </c>
      <c r="E56" s="89"/>
      <c r="F56" s="89"/>
      <c r="G56" s="89"/>
      <c r="H56" s="89"/>
      <c r="I56" s="11"/>
      <c r="J56" s="11"/>
      <c r="K56" s="11"/>
      <c r="L56" s="11"/>
    </row>
    <row r="57" spans="1:12" ht="30" customHeight="1" x14ac:dyDescent="0.25">
      <c r="A57" s="89" t="s">
        <v>255</v>
      </c>
      <c r="B57" s="89"/>
      <c r="C57" s="89"/>
      <c r="D57" s="106" t="s">
        <v>256</v>
      </c>
      <c r="E57" s="106"/>
      <c r="F57" s="106"/>
      <c r="G57" s="106"/>
      <c r="H57" s="106"/>
      <c r="I57" s="11"/>
      <c r="J57" s="11"/>
      <c r="K57" s="11"/>
      <c r="L57" s="11"/>
    </row>
    <row r="58" spans="1:12" ht="15.75" customHeight="1" x14ac:dyDescent="0.25">
      <c r="A58" s="89" t="s">
        <v>128</v>
      </c>
      <c r="B58" s="89"/>
      <c r="C58" s="89"/>
      <c r="D58" s="106" t="s">
        <v>129</v>
      </c>
      <c r="E58" s="106"/>
      <c r="F58" s="106"/>
      <c r="G58" s="106"/>
      <c r="H58" s="106"/>
      <c r="I58" s="11"/>
      <c r="J58" s="11"/>
      <c r="K58" s="11"/>
      <c r="L58" s="11"/>
    </row>
    <row r="59" spans="1:12" ht="15.75" customHeight="1" x14ac:dyDescent="0.25">
      <c r="A59" s="89" t="s">
        <v>130</v>
      </c>
      <c r="B59" s="89"/>
      <c r="C59" s="89"/>
      <c r="D59" s="106" t="s">
        <v>25</v>
      </c>
      <c r="E59" s="106"/>
      <c r="F59" s="106"/>
      <c r="G59" s="106"/>
      <c r="H59" s="106"/>
      <c r="I59" s="11"/>
      <c r="J59" s="33"/>
      <c r="K59" s="33"/>
      <c r="L59" s="11"/>
    </row>
    <row r="60" spans="1:12" ht="15.75" customHeight="1" thickBot="1" x14ac:dyDescent="0.3">
      <c r="A60" s="146" t="s">
        <v>127</v>
      </c>
      <c r="B60" s="146"/>
      <c r="C60" s="146"/>
      <c r="D60" s="147" t="s">
        <v>224</v>
      </c>
      <c r="E60" s="147"/>
      <c r="F60" s="147"/>
      <c r="G60" s="147"/>
      <c r="H60" s="147"/>
      <c r="I60" s="11"/>
      <c r="J60" s="33"/>
      <c r="K60" s="33"/>
      <c r="L60" s="11"/>
    </row>
    <row r="61" spans="1:12" ht="15.75" customHeight="1" x14ac:dyDescent="0.25">
      <c r="A61" s="154" t="s">
        <v>228</v>
      </c>
      <c r="B61" s="155"/>
      <c r="C61" s="156" t="s">
        <v>251</v>
      </c>
      <c r="D61" s="157"/>
      <c r="E61" s="157"/>
      <c r="F61" s="157"/>
      <c r="G61" s="157"/>
      <c r="H61" s="158"/>
      <c r="I61" s="71" t="str">
        <f ca="1">(IF(E65&gt;99%,"All work completed. Please provide OC.",IF(E65&gt;89.8%,"Plinth, RCC, Brick, Plaster, Flooring, Painting work Completed. Finishing work is in process.",IF(E65&lt;94%,(IF(C65=0,"Work not yet Started.",IF(D65=25%,"Piling work in process",IF(D65=50%,"Excavation work in process",IF(D65=100%,"Excavation work Completed. ","0")))&amp;(IF(C66=0%,"",IF(C66=J67,"Footing work is process",IF(C66=J68,"Footing work Completed",IF(C66=J69,"1st Basement Completed",IF(C66=J70,"1st &amp; 2nd Basement Completed",IF(C66=J71,"1st to 3rd Basement Completed",IF(C66=J72,"1st to 4th Basement Completed",IF(C66=J73,"Plinth work is process",IF(C66=J74,"Plinth work completed","0")))))))))))&amp;(IF(C67=(D62+F62+H62),", RCC Slab",IF(C67&gt;0,", RCC upto "&amp;C67&amp;" Slab",""))&amp;(IF(C68=H62,", Brickwork",IF(C68&gt;0,", Brickwork upto "&amp;C68&amp;" Floor",""))&amp;(IF(C69=H62,", Internal Plaster",IF(C69&gt;0,", Internal Plaster upto "&amp;C69&amp;" Floor",""))&amp;(IF(C70=H62,", External Plaster",IF(C70&gt;0,", External Plaster upto "&amp;C70&amp;" Floor",""))&amp;(IF(C71=H62,", Flooring",IF(C71&gt;0,", Flooring upto "&amp;C71&amp;" Floor",""))&amp;(IF(C72=H62,", Painting",IF(C72&gt;0,", Painting upto "&amp;C72&amp;" Floor",""))&amp;(IF(C73&gt;0,", Finishing upto "&amp;C73&amp;" Floor","")&amp;(IF(C67&gt;0.5," Completed",""))))))))))))))</f>
        <v>Work not yet Started.</v>
      </c>
      <c r="J61" s="72"/>
      <c r="K61" s="33"/>
      <c r="L61" s="11"/>
    </row>
    <row r="62" spans="1:12" ht="15.75" customHeight="1" x14ac:dyDescent="0.25">
      <c r="A62" s="18" t="s">
        <v>107</v>
      </c>
      <c r="B62" s="31">
        <v>0</v>
      </c>
      <c r="C62" s="31" t="s">
        <v>109</v>
      </c>
      <c r="D62" s="31">
        <v>1</v>
      </c>
      <c r="E62" s="31" t="s">
        <v>108</v>
      </c>
      <c r="F62" s="31">
        <v>0</v>
      </c>
      <c r="G62" s="31" t="s">
        <v>120</v>
      </c>
      <c r="H62" s="37">
        <f ca="1">--TRIM(RIGHT(SUBSTITUTE(LEFT(C61,_xlfn.AGGREGATE(16,6,FIND({0,1,2,3,4,5,6,7,8,9},C61,ROW(INDIRECT("1:"&amp;LEN(C61)))),1))," ",REPT(" ",LEN(C61))),LEN(C61)))</f>
        <v>18</v>
      </c>
      <c r="I62" s="73"/>
      <c r="J62" s="74"/>
      <c r="K62" s="33"/>
      <c r="L62" s="11"/>
    </row>
    <row r="63" spans="1:12" ht="15.75" customHeight="1" x14ac:dyDescent="0.25">
      <c r="A63" s="159" t="s">
        <v>132</v>
      </c>
      <c r="B63" s="120"/>
      <c r="C63" s="160" t="str">
        <f ca="1">I61</f>
        <v>Work not yet Started.</v>
      </c>
      <c r="D63" s="161"/>
      <c r="E63" s="161"/>
      <c r="F63" s="161"/>
      <c r="G63" s="161"/>
      <c r="H63" s="162"/>
      <c r="I63" s="73" t="s">
        <v>152</v>
      </c>
      <c r="J63" s="74"/>
      <c r="K63" s="33"/>
      <c r="L63" s="11"/>
    </row>
    <row r="64" spans="1:12" ht="15.75" customHeight="1" x14ac:dyDescent="0.25">
      <c r="A64" s="137" t="s">
        <v>51</v>
      </c>
      <c r="B64" s="138"/>
      <c r="C64" s="40" t="s">
        <v>229</v>
      </c>
      <c r="D64" s="40" t="s">
        <v>124</v>
      </c>
      <c r="E64" s="163" t="s">
        <v>126</v>
      </c>
      <c r="F64" s="164"/>
      <c r="G64" s="163" t="s">
        <v>125</v>
      </c>
      <c r="H64" s="165"/>
      <c r="I64" s="75" t="s">
        <v>230</v>
      </c>
      <c r="J64" s="76">
        <f ca="1">H62*25%</f>
        <v>4.5</v>
      </c>
      <c r="K64" s="33"/>
      <c r="L64" s="11"/>
    </row>
    <row r="65" spans="1:12" ht="15.75" customHeight="1" x14ac:dyDescent="0.25">
      <c r="A65" s="137" t="s">
        <v>231</v>
      </c>
      <c r="B65" s="138"/>
      <c r="C65" s="42">
        <v>0</v>
      </c>
      <c r="D65" s="43">
        <f ca="1">((100/H62)*C65)/100</f>
        <v>0</v>
      </c>
      <c r="E65" s="166">
        <f ca="1">(((C66/H62*10)+(40/(D62+F62+H62)*C67)+(7.5/(H62)*C68)+(7.5/(H62)*C69)+(10/H62*C70)+(10/H62*C71)+(5/H62*C72)+(5/H62*C73)+(5/H62*C74))/100)</f>
        <v>0</v>
      </c>
      <c r="F65" s="167"/>
      <c r="G65" s="166">
        <f ca="1">((((C65/H62)*20)+((C66/H62)*25)+(30/(H62+F62+D62)*C67)+(5/H62*C68)+(5/H62*C69)+(5/H62*C70)+(5/H62*C71)+(0/H62*C72)+(0/H62*C73)+(5/H62*C74))/100)</f>
        <v>0</v>
      </c>
      <c r="H65" s="172"/>
      <c r="I65" s="75" t="s">
        <v>144</v>
      </c>
      <c r="J65" s="77">
        <f ca="1">H62*50%</f>
        <v>9</v>
      </c>
      <c r="K65" s="33"/>
      <c r="L65" s="11"/>
    </row>
    <row r="66" spans="1:12" ht="15.75" customHeight="1" x14ac:dyDescent="0.25">
      <c r="A66" s="137" t="s">
        <v>52</v>
      </c>
      <c r="B66" s="138"/>
      <c r="C66" s="45">
        <v>0</v>
      </c>
      <c r="D66" s="43">
        <f ca="1">((100/H62)*C66)/100</f>
        <v>0</v>
      </c>
      <c r="E66" s="168"/>
      <c r="F66" s="169"/>
      <c r="G66" s="168"/>
      <c r="H66" s="173"/>
      <c r="I66" s="75" t="s">
        <v>145</v>
      </c>
      <c r="J66" s="77">
        <f ca="1">H62</f>
        <v>18</v>
      </c>
      <c r="K66" s="33"/>
      <c r="L66" s="11"/>
    </row>
    <row r="67" spans="1:12" ht="15.75" customHeight="1" x14ac:dyDescent="0.25">
      <c r="A67" s="137" t="s">
        <v>232</v>
      </c>
      <c r="B67" s="138"/>
      <c r="C67" s="45">
        <v>0</v>
      </c>
      <c r="D67" s="43">
        <f ca="1">((100/(D62+F62+H62))*C67)/100</f>
        <v>0</v>
      </c>
      <c r="E67" s="168"/>
      <c r="F67" s="169"/>
      <c r="G67" s="168"/>
      <c r="H67" s="173"/>
      <c r="I67" s="75" t="s">
        <v>146</v>
      </c>
      <c r="J67" s="78">
        <f ca="1">(IF(B62&gt;1,(H62/(B62+2)),H62/4))</f>
        <v>4.5</v>
      </c>
      <c r="K67" s="33"/>
      <c r="L67" s="11"/>
    </row>
    <row r="68" spans="1:12" ht="15.75" customHeight="1" x14ac:dyDescent="0.25">
      <c r="A68" s="137" t="s">
        <v>233</v>
      </c>
      <c r="B68" s="138" t="s">
        <v>234</v>
      </c>
      <c r="C68" s="42">
        <v>0</v>
      </c>
      <c r="D68" s="43">
        <f ca="1">((100/H62)*C68)/100</f>
        <v>0</v>
      </c>
      <c r="E68" s="168"/>
      <c r="F68" s="169"/>
      <c r="G68" s="168"/>
      <c r="H68" s="173"/>
      <c r="I68" s="75" t="s">
        <v>147</v>
      </c>
      <c r="J68" s="78">
        <f ca="1">(IF(B62&gt;1,(H62/(B62+2)+J67),H62/4+J67))</f>
        <v>9</v>
      </c>
      <c r="K68" s="33"/>
      <c r="L68" s="11"/>
    </row>
    <row r="69" spans="1:12" ht="15.75" customHeight="1" x14ac:dyDescent="0.25">
      <c r="A69" s="137" t="s">
        <v>235</v>
      </c>
      <c r="B69" s="138" t="s">
        <v>234</v>
      </c>
      <c r="C69" s="42">
        <v>0</v>
      </c>
      <c r="D69" s="43">
        <f ca="1">((100/H62)*C69)/100</f>
        <v>0</v>
      </c>
      <c r="E69" s="168"/>
      <c r="F69" s="169"/>
      <c r="G69" s="168"/>
      <c r="H69" s="173"/>
      <c r="I69" s="75" t="s">
        <v>236</v>
      </c>
      <c r="J69" s="78">
        <f>(IF(B62&gt;1,(H62/(B62+2)+J68),0))</f>
        <v>0</v>
      </c>
      <c r="K69" s="33"/>
      <c r="L69" s="11"/>
    </row>
    <row r="70" spans="1:12" ht="15.75" customHeight="1" x14ac:dyDescent="0.25">
      <c r="A70" s="137" t="s">
        <v>237</v>
      </c>
      <c r="B70" s="138" t="s">
        <v>238</v>
      </c>
      <c r="C70" s="42">
        <v>0</v>
      </c>
      <c r="D70" s="43">
        <f ca="1">((100/(H62))*C70)/100</f>
        <v>0</v>
      </c>
      <c r="E70" s="168"/>
      <c r="F70" s="169"/>
      <c r="G70" s="168"/>
      <c r="H70" s="173"/>
      <c r="I70" s="75" t="s">
        <v>239</v>
      </c>
      <c r="J70" s="78">
        <f>(IF(B62&gt;2,(H62/(B62+2)+J69),0))</f>
        <v>0</v>
      </c>
      <c r="K70" s="33"/>
      <c r="L70" s="11"/>
    </row>
    <row r="71" spans="1:12" ht="15.75" customHeight="1" x14ac:dyDescent="0.25">
      <c r="A71" s="137" t="s">
        <v>240</v>
      </c>
      <c r="B71" s="138" t="s">
        <v>240</v>
      </c>
      <c r="C71" s="42">
        <v>0</v>
      </c>
      <c r="D71" s="43">
        <f ca="1">((100/H62)*C71)/100</f>
        <v>0</v>
      </c>
      <c r="E71" s="168"/>
      <c r="F71" s="169"/>
      <c r="G71" s="168"/>
      <c r="H71" s="173"/>
      <c r="I71" s="75" t="s">
        <v>241</v>
      </c>
      <c r="J71" s="79">
        <f>(IF(B62&gt;3,(H62/(B62+2)+J70),0))</f>
        <v>0</v>
      </c>
      <c r="K71" s="33"/>
      <c r="L71" s="11"/>
    </row>
    <row r="72" spans="1:12" ht="15.75" customHeight="1" x14ac:dyDescent="0.25">
      <c r="A72" s="137" t="s">
        <v>242</v>
      </c>
      <c r="B72" s="138"/>
      <c r="C72" s="42">
        <v>0</v>
      </c>
      <c r="D72" s="43">
        <f ca="1">((100/H62)*C72)/100</f>
        <v>0</v>
      </c>
      <c r="E72" s="168"/>
      <c r="F72" s="169"/>
      <c r="G72" s="168"/>
      <c r="H72" s="173"/>
      <c r="I72" s="75" t="s">
        <v>243</v>
      </c>
      <c r="J72" s="78">
        <f>(IF(B62&gt;4,(H62/(B62+2)+J71),0))</f>
        <v>0</v>
      </c>
      <c r="K72" s="33"/>
      <c r="L72" s="11"/>
    </row>
    <row r="73" spans="1:12" ht="15.75" customHeight="1" x14ac:dyDescent="0.25">
      <c r="A73" s="137" t="s">
        <v>244</v>
      </c>
      <c r="B73" s="138" t="s">
        <v>244</v>
      </c>
      <c r="C73" s="42">
        <v>0</v>
      </c>
      <c r="D73" s="43">
        <f ca="1">((100/(H62))*C73)/100</f>
        <v>0</v>
      </c>
      <c r="E73" s="168"/>
      <c r="F73" s="169"/>
      <c r="G73" s="168"/>
      <c r="H73" s="173"/>
      <c r="I73" s="75" t="s">
        <v>148</v>
      </c>
      <c r="J73" s="78">
        <f ca="1">(IF(B62=1,(H62/(B62+3)+J68),IF(B62=0,(H62/4+J68),IF(B62&gt;1,0))))</f>
        <v>13.5</v>
      </c>
      <c r="K73" s="33"/>
      <c r="L73" s="11"/>
    </row>
    <row r="74" spans="1:12" ht="15.75" customHeight="1" thickBot="1" x14ac:dyDescent="0.3">
      <c r="A74" s="139" t="s">
        <v>245</v>
      </c>
      <c r="B74" s="140"/>
      <c r="C74" s="49">
        <v>0</v>
      </c>
      <c r="D74" s="50">
        <f ca="1">((100/(H62))*C74)/100</f>
        <v>0</v>
      </c>
      <c r="E74" s="170"/>
      <c r="F74" s="171"/>
      <c r="G74" s="170"/>
      <c r="H74" s="174"/>
      <c r="I74" s="80" t="s">
        <v>149</v>
      </c>
      <c r="J74" s="81">
        <f ca="1">(IF(B62&gt;1.5,(H62/(B62+2)+J68+MAX(0,J69-J68)+MAX(0,J70-J69)+MAX(0,J71-J70)+MAX(0,J72-J71)+MAX(0,J73-J72)),IF(B62=1,(H62/(B62+3)+J73),IF(B62=0,H62/4+J73))))</f>
        <v>18</v>
      </c>
      <c r="K74" s="33"/>
      <c r="L74" s="11"/>
    </row>
    <row r="75" spans="1:12" ht="15.75" customHeight="1" x14ac:dyDescent="0.25">
      <c r="A75" s="154" t="s">
        <v>228</v>
      </c>
      <c r="B75" s="155"/>
      <c r="C75" s="156" t="s">
        <v>250</v>
      </c>
      <c r="D75" s="157"/>
      <c r="E75" s="157"/>
      <c r="F75" s="157"/>
      <c r="G75" s="157"/>
      <c r="H75" s="158"/>
      <c r="I75" s="71" t="str">
        <f ca="1">(IF(E79&gt;99%,"All work completed. Please provide OC.",IF(E79&gt;89.8%,"Plinth, RCC, Brick, Plaster, Flooring, Painting work Completed. Finishing work is in process.",IF(E79&lt;94%,(IF(C79=0,"Work not yet Started.",IF(D79=25%,"Piling work in process",IF(D79=50%,"Excavation work in process",IF(D79=100%,"Excavation work Completed. ","0")))&amp;(IF(C80=0%,"",IF(C80=J81,"Footing work is process",IF(C80=J82,"Footing work Completed",IF(C80=J83,"1st Basement Completed",IF(C80=J84,"1st &amp; 2nd Basement Completed",IF(C80=J85,"1st to 3rd Basement Completed",IF(C80=J86,"1st to 4th Basement Completed",IF(C80=J87,"Plinth work is process",IF(C80=J88,"Plinth work completed","0")))))))))))&amp;(IF(C81=(D76+F76+H76),", RCC Slab",IF(C81&gt;0,", RCC upto "&amp;C81&amp;" Slab",""))&amp;(IF(C82=H76,", Brickwork",IF(C82&gt;0,", Brickwork upto "&amp;C82&amp;" Floor",""))&amp;(IF(C83=H76,", Internal Plaster",IF(C83&gt;0,", Internal Plaster upto "&amp;C83&amp;" Floor",""))&amp;(IF(C84=H76,", External Plaster",IF(C84&gt;0,", External Plaster upto "&amp;C84&amp;" Floor",""))&amp;(IF(C85=H76,", Flooring",IF(C85&gt;0,", Flooring upto "&amp;C85&amp;" Floor",""))&amp;(IF(C86=H76,", Painting",IF(C86&gt;0,", Painting upto "&amp;C86&amp;" Floor",""))&amp;(IF(C87&gt;0,", Finishing upto "&amp;C87&amp;" Floor","")&amp;(IF(C81&gt;0.5," Completed",""))))))))))))))</f>
        <v>Excavation work Completed. Plinth work completed, RCC upto 7 Slab, Brickwork upto 2 Floor Completed</v>
      </c>
      <c r="J75" s="72"/>
      <c r="K75" s="33"/>
      <c r="L75" s="11"/>
    </row>
    <row r="76" spans="1:12" ht="15.75" customHeight="1" x14ac:dyDescent="0.25">
      <c r="A76" s="18" t="s">
        <v>107</v>
      </c>
      <c r="B76" s="31">
        <v>0</v>
      </c>
      <c r="C76" s="31" t="s">
        <v>109</v>
      </c>
      <c r="D76" s="31">
        <v>1</v>
      </c>
      <c r="E76" s="31" t="s">
        <v>108</v>
      </c>
      <c r="F76" s="31">
        <v>0</v>
      </c>
      <c r="G76" s="31" t="s">
        <v>120</v>
      </c>
      <c r="H76" s="37">
        <f ca="1">--TRIM(RIGHT(SUBSTITUTE(LEFT(C75,_xlfn.AGGREGATE(16,6,FIND({0,1,2,3,4,5,6,7,8,9},C75,ROW(INDIRECT("1:"&amp;LEN(C75)))),1))," ",REPT(" ",LEN(C75))),LEN(C75)))</f>
        <v>18</v>
      </c>
      <c r="I76" s="73"/>
      <c r="J76" s="74"/>
      <c r="K76" s="33"/>
      <c r="L76" s="11"/>
    </row>
    <row r="77" spans="1:12" ht="30.6" customHeight="1" x14ac:dyDescent="0.25">
      <c r="A77" s="159" t="s">
        <v>132</v>
      </c>
      <c r="B77" s="120"/>
      <c r="C77" s="160" t="str">
        <f ca="1">I75</f>
        <v>Excavation work Completed. Plinth work completed, RCC upto 7 Slab, Brickwork upto 2 Floor Completed</v>
      </c>
      <c r="D77" s="161"/>
      <c r="E77" s="161"/>
      <c r="F77" s="161"/>
      <c r="G77" s="161"/>
      <c r="H77" s="162"/>
      <c r="I77" s="73" t="s">
        <v>152</v>
      </c>
      <c r="J77" s="74"/>
      <c r="K77" s="33"/>
      <c r="L77" s="11"/>
    </row>
    <row r="78" spans="1:12" ht="15.75" customHeight="1" x14ac:dyDescent="0.25">
      <c r="A78" s="137" t="s">
        <v>51</v>
      </c>
      <c r="B78" s="138"/>
      <c r="C78" s="40" t="s">
        <v>229</v>
      </c>
      <c r="D78" s="40" t="s">
        <v>124</v>
      </c>
      <c r="E78" s="163" t="s">
        <v>126</v>
      </c>
      <c r="F78" s="164"/>
      <c r="G78" s="163" t="s">
        <v>125</v>
      </c>
      <c r="H78" s="165"/>
      <c r="I78" s="75" t="s">
        <v>230</v>
      </c>
      <c r="J78" s="76">
        <f ca="1">H76*25%</f>
        <v>4.5</v>
      </c>
      <c r="K78" s="33"/>
      <c r="L78" s="11"/>
    </row>
    <row r="79" spans="1:12" ht="15.75" customHeight="1" x14ac:dyDescent="0.25">
      <c r="A79" s="137" t="s">
        <v>231</v>
      </c>
      <c r="B79" s="138"/>
      <c r="C79" s="42">
        <f ca="1">J80</f>
        <v>18</v>
      </c>
      <c r="D79" s="43">
        <f ca="1">((100/H76)*C79)/100</f>
        <v>1</v>
      </c>
      <c r="E79" s="166">
        <f ca="1">(((C80/H76*10)+(40/(D76+F76+H76)*C81)+(7.5/(H76)*C82)+(7.5/(H76)*C83)+(10/H76*C84)+(10/H76*C85)+(5/H76*C86)+(5/H76*C87)+(5/H76*C88))/100)</f>
        <v>0.25570175438596487</v>
      </c>
      <c r="F79" s="167"/>
      <c r="G79" s="166">
        <f ca="1">((((C79/H76)*20)+((C80/H76)*25)+(30/(H76+F76+D76)*C81)+(5/H76*C82)+(5/H76*C83)+(5/H76*C84)+(5/H76*C85)+(0/H76*C86)+(0/H76*C87)+(5/H76*C88))/100)</f>
        <v>0.5660818713450293</v>
      </c>
      <c r="H79" s="172"/>
      <c r="I79" s="75" t="s">
        <v>144</v>
      </c>
      <c r="J79" s="77">
        <f ca="1">H76*50%</f>
        <v>9</v>
      </c>
      <c r="K79" s="33"/>
      <c r="L79" s="11"/>
    </row>
    <row r="80" spans="1:12" ht="15.75" customHeight="1" x14ac:dyDescent="0.25">
      <c r="A80" s="137" t="s">
        <v>52</v>
      </c>
      <c r="B80" s="138"/>
      <c r="C80" s="45">
        <f ca="1">J88</f>
        <v>18</v>
      </c>
      <c r="D80" s="43">
        <f ca="1">((100/H76)*C80)/100</f>
        <v>1</v>
      </c>
      <c r="E80" s="168"/>
      <c r="F80" s="169"/>
      <c r="G80" s="168"/>
      <c r="H80" s="173"/>
      <c r="I80" s="75" t="s">
        <v>145</v>
      </c>
      <c r="J80" s="77">
        <f ca="1">H76</f>
        <v>18</v>
      </c>
      <c r="K80" s="33"/>
      <c r="L80" s="11"/>
    </row>
    <row r="81" spans="1:12" ht="15.75" customHeight="1" x14ac:dyDescent="0.25">
      <c r="A81" s="137" t="s">
        <v>232</v>
      </c>
      <c r="B81" s="138"/>
      <c r="C81" s="45">
        <v>7</v>
      </c>
      <c r="D81" s="43">
        <f ca="1">((100/(D76+F76+H76))*C81)/100</f>
        <v>0.36842105263157898</v>
      </c>
      <c r="E81" s="168"/>
      <c r="F81" s="169"/>
      <c r="G81" s="168"/>
      <c r="H81" s="173"/>
      <c r="I81" s="75" t="s">
        <v>146</v>
      </c>
      <c r="J81" s="78">
        <f ca="1">(IF(B76&gt;1,(H76/(B76+2)),H76/4))</f>
        <v>4.5</v>
      </c>
      <c r="K81" s="33"/>
      <c r="L81" s="11"/>
    </row>
    <row r="82" spans="1:12" ht="15.75" customHeight="1" x14ac:dyDescent="0.25">
      <c r="A82" s="137" t="s">
        <v>233</v>
      </c>
      <c r="B82" s="138" t="s">
        <v>234</v>
      </c>
      <c r="C82" s="42">
        <v>2</v>
      </c>
      <c r="D82" s="43">
        <f ca="1">((100/H76)*C82)/100</f>
        <v>0.1111111111111111</v>
      </c>
      <c r="E82" s="168"/>
      <c r="F82" s="169"/>
      <c r="G82" s="168"/>
      <c r="H82" s="173"/>
      <c r="I82" s="75" t="s">
        <v>147</v>
      </c>
      <c r="J82" s="78">
        <f ca="1">(IF(B76&gt;1,(H76/(B76+2)+J81),H76/4+J81))</f>
        <v>9</v>
      </c>
      <c r="K82" s="33"/>
      <c r="L82" s="11"/>
    </row>
    <row r="83" spans="1:12" ht="15.75" customHeight="1" x14ac:dyDescent="0.25">
      <c r="A83" s="137" t="s">
        <v>235</v>
      </c>
      <c r="B83" s="138" t="s">
        <v>234</v>
      </c>
      <c r="C83" s="42">
        <v>0</v>
      </c>
      <c r="D83" s="43">
        <f ca="1">((100/H76)*C83)/100</f>
        <v>0</v>
      </c>
      <c r="E83" s="168"/>
      <c r="F83" s="169"/>
      <c r="G83" s="168"/>
      <c r="H83" s="173"/>
      <c r="I83" s="75" t="s">
        <v>236</v>
      </c>
      <c r="J83" s="78">
        <f>(IF(B76&gt;1,(H76/(B76+2)+J82),0))</f>
        <v>0</v>
      </c>
      <c r="K83" s="33"/>
      <c r="L83" s="11"/>
    </row>
    <row r="84" spans="1:12" ht="15.75" customHeight="1" x14ac:dyDescent="0.25">
      <c r="A84" s="137" t="s">
        <v>237</v>
      </c>
      <c r="B84" s="138" t="s">
        <v>238</v>
      </c>
      <c r="C84" s="42">
        <v>0</v>
      </c>
      <c r="D84" s="43">
        <f ca="1">((100/(H76))*C84)/100</f>
        <v>0</v>
      </c>
      <c r="E84" s="168"/>
      <c r="F84" s="169"/>
      <c r="G84" s="168"/>
      <c r="H84" s="173"/>
      <c r="I84" s="75" t="s">
        <v>239</v>
      </c>
      <c r="J84" s="78">
        <f>(IF(B76&gt;2,(H76/(B76+2)+J83),0))</f>
        <v>0</v>
      </c>
      <c r="K84" s="33"/>
      <c r="L84" s="11"/>
    </row>
    <row r="85" spans="1:12" ht="15.75" customHeight="1" x14ac:dyDescent="0.25">
      <c r="A85" s="137" t="s">
        <v>240</v>
      </c>
      <c r="B85" s="138" t="s">
        <v>240</v>
      </c>
      <c r="C85" s="42">
        <v>0</v>
      </c>
      <c r="D85" s="43">
        <f ca="1">((100/H76)*C85)/100</f>
        <v>0</v>
      </c>
      <c r="E85" s="168"/>
      <c r="F85" s="169"/>
      <c r="G85" s="168"/>
      <c r="H85" s="173"/>
      <c r="I85" s="75" t="s">
        <v>241</v>
      </c>
      <c r="J85" s="79">
        <f>(IF(B76&gt;3,(H76/(B76+2)+J84),0))</f>
        <v>0</v>
      </c>
      <c r="K85" s="33"/>
      <c r="L85" s="11"/>
    </row>
    <row r="86" spans="1:12" ht="15.75" customHeight="1" x14ac:dyDescent="0.25">
      <c r="A86" s="137" t="s">
        <v>242</v>
      </c>
      <c r="B86" s="138"/>
      <c r="C86" s="42">
        <v>0</v>
      </c>
      <c r="D86" s="43">
        <f ca="1">((100/H76)*C86)/100</f>
        <v>0</v>
      </c>
      <c r="E86" s="168"/>
      <c r="F86" s="169"/>
      <c r="G86" s="168"/>
      <c r="H86" s="173"/>
      <c r="I86" s="75" t="s">
        <v>243</v>
      </c>
      <c r="J86" s="78">
        <f>(IF(B76&gt;4,(H76/(B76+2)+J85),0))</f>
        <v>0</v>
      </c>
      <c r="K86" s="33"/>
      <c r="L86" s="11"/>
    </row>
    <row r="87" spans="1:12" ht="15.75" customHeight="1" x14ac:dyDescent="0.25">
      <c r="A87" s="137" t="s">
        <v>244</v>
      </c>
      <c r="B87" s="138" t="s">
        <v>244</v>
      </c>
      <c r="C87" s="42">
        <v>0</v>
      </c>
      <c r="D87" s="43">
        <f ca="1">((100/(H76))*C87)/100</f>
        <v>0</v>
      </c>
      <c r="E87" s="168"/>
      <c r="F87" s="169"/>
      <c r="G87" s="168"/>
      <c r="H87" s="173"/>
      <c r="I87" s="75" t="s">
        <v>148</v>
      </c>
      <c r="J87" s="78">
        <f ca="1">(IF(B76=1,(H76/(B76+3)+J82),IF(B76=0,(H76/4+J82),IF(B76&gt;1,0))))</f>
        <v>13.5</v>
      </c>
      <c r="K87" s="33"/>
      <c r="L87" s="11"/>
    </row>
    <row r="88" spans="1:12" ht="15.75" customHeight="1" thickBot="1" x14ac:dyDescent="0.3">
      <c r="A88" s="139" t="s">
        <v>245</v>
      </c>
      <c r="B88" s="140"/>
      <c r="C88" s="49">
        <v>0</v>
      </c>
      <c r="D88" s="50">
        <f ca="1">((100/(H76))*C88)/100</f>
        <v>0</v>
      </c>
      <c r="E88" s="170"/>
      <c r="F88" s="171"/>
      <c r="G88" s="170"/>
      <c r="H88" s="174"/>
      <c r="I88" s="80" t="s">
        <v>149</v>
      </c>
      <c r="J88" s="81">
        <f ca="1">(IF(B76&gt;1.5,(H76/(B76+2)+J82+MAX(0,J83-J82)+MAX(0,J84-J83)+MAX(0,J85-J84)+MAX(0,J86-J85)+MAX(0,J87-J86)),IF(B76=1,(H76/(B76+3)+J87),IF(B76=0,H76/4+J87))))</f>
        <v>18</v>
      </c>
      <c r="K88" s="33"/>
      <c r="L88" s="11"/>
    </row>
    <row r="89" spans="1:12" ht="15.75" customHeight="1" x14ac:dyDescent="0.25">
      <c r="A89" s="154" t="s">
        <v>228</v>
      </c>
      <c r="B89" s="155"/>
      <c r="C89" s="156" t="s">
        <v>246</v>
      </c>
      <c r="D89" s="157"/>
      <c r="E89" s="157"/>
      <c r="F89" s="157"/>
      <c r="G89" s="157"/>
      <c r="H89" s="158"/>
      <c r="I89" s="71" t="str">
        <f ca="1">(IF(E93&gt;99%,"All work completed. Please provide OC.",IF(E93&gt;89.8%,"Plinth, RCC, Brick, Plaster, Flooring, Painting work Completed. Finishing work is in process.",IF(E93&lt;94%,(IF(C93=0,"Work not yet Started.",IF(D93=25%,"Piling work in process",IF(D93=50%,"Excavation work in process",IF(D93=100%,"Excavation work Completed. ","0")))&amp;(IF(C94=0%,"",IF(C94=J95,"Footing work is process",IF(C94=J96,"Footing work Completed",IF(C94=J97,"1st Basement Completed",IF(C94=J98,"1st &amp; 2nd Basement Completed",IF(C94=J99,"1st to 3rd Basement Completed",IF(C94=J100,"1st to 4th Basement Completed",IF(C94=J101,"Plinth work is process",IF(C94=J102,"Plinth work completed","0")))))))))))&amp;(IF(C95=(D90+F90+H90),", RCC Slab",IF(C95&gt;0,", RCC upto "&amp;C95&amp;" Slab",""))&amp;(IF(C96=H90,", Brickwork",IF(C96&gt;0,", Brickwork upto "&amp;C96&amp;" Floor",""))&amp;(IF(C97=H90,", Internal Plaster",IF(C97&gt;0,", Internal Plaster upto "&amp;C97&amp;" Floor",""))&amp;(IF(C98=H90,", External Plaster",IF(C98&gt;0,", External Plaster upto "&amp;C98&amp;" Floor",""))&amp;(IF(C99=H90,", Flooring",IF(C99&gt;0,", Flooring upto "&amp;C99&amp;" Floor",""))&amp;(IF(C100=H90,", Painting",IF(C100&gt;0,", Painting upto "&amp;C100&amp;" Floor",""))&amp;(IF(C101&gt;0,", Finishing upto "&amp;C101&amp;" Floor","")&amp;(IF(C95&gt;0.5," Completed",""))))))))))))))</f>
        <v>All work completed. Please provide OC.</v>
      </c>
      <c r="J89" s="72"/>
      <c r="K89" s="33"/>
      <c r="L89" s="11"/>
    </row>
    <row r="90" spans="1:12" ht="15.75" customHeight="1" x14ac:dyDescent="0.25">
      <c r="A90" s="18" t="s">
        <v>107</v>
      </c>
      <c r="B90" s="31">
        <v>0</v>
      </c>
      <c r="C90" s="31" t="s">
        <v>109</v>
      </c>
      <c r="D90" s="31">
        <v>1</v>
      </c>
      <c r="E90" s="31" t="s">
        <v>108</v>
      </c>
      <c r="F90" s="31">
        <v>0</v>
      </c>
      <c r="G90" s="31" t="s">
        <v>120</v>
      </c>
      <c r="H90" s="37">
        <f ca="1">--TRIM(RIGHT(SUBSTITUTE(LEFT(C89,_xlfn.AGGREGATE(16,6,FIND({0,1,2,3,4,5,6,7,8,9},C89,ROW(INDIRECT("1:"&amp;LEN(C89)))),1))," ",REPT(" ",LEN(C89))),LEN(C89)))</f>
        <v>7</v>
      </c>
      <c r="I90" s="73"/>
      <c r="J90" s="74"/>
      <c r="K90" s="33"/>
      <c r="L90" s="11"/>
    </row>
    <row r="91" spans="1:12" x14ac:dyDescent="0.25">
      <c r="A91" s="159" t="s">
        <v>132</v>
      </c>
      <c r="B91" s="120"/>
      <c r="C91" s="160" t="s">
        <v>269</v>
      </c>
      <c r="D91" s="161"/>
      <c r="E91" s="161"/>
      <c r="F91" s="161"/>
      <c r="G91" s="161"/>
      <c r="H91" s="162"/>
      <c r="I91" s="73" t="s">
        <v>152</v>
      </c>
      <c r="J91" s="74"/>
      <c r="K91" s="33"/>
      <c r="L91" s="11"/>
    </row>
    <row r="92" spans="1:12" ht="15.75" customHeight="1" x14ac:dyDescent="0.25">
      <c r="A92" s="137" t="s">
        <v>51</v>
      </c>
      <c r="B92" s="138"/>
      <c r="C92" s="40" t="s">
        <v>229</v>
      </c>
      <c r="D92" s="40" t="s">
        <v>124</v>
      </c>
      <c r="E92" s="163" t="s">
        <v>126</v>
      </c>
      <c r="F92" s="164"/>
      <c r="G92" s="163" t="s">
        <v>125</v>
      </c>
      <c r="H92" s="165"/>
      <c r="I92" s="75" t="s">
        <v>230</v>
      </c>
      <c r="J92" s="76">
        <f ca="1">H90*25%</f>
        <v>1.75</v>
      </c>
      <c r="K92" s="33"/>
      <c r="L92" s="11"/>
    </row>
    <row r="93" spans="1:12" ht="15.75" customHeight="1" x14ac:dyDescent="0.25">
      <c r="A93" s="137" t="s">
        <v>231</v>
      </c>
      <c r="B93" s="138"/>
      <c r="C93" s="42">
        <f ca="1">J94</f>
        <v>7</v>
      </c>
      <c r="D93" s="43">
        <f ca="1">((100/H90)*C93)/100</f>
        <v>1</v>
      </c>
      <c r="E93" s="166">
        <f ca="1">(((C94/H90*10)+(40/(D90+F90+H90)*C95)+(7.5/(H90)*C96)+(7.5/(H90)*C97)+(10/H90*C98)+(10/H90*C99)+(5/H90*C100)+(5/H90*C101)+(5/H90*C102))/100)</f>
        <v>1</v>
      </c>
      <c r="F93" s="167"/>
      <c r="G93" s="166">
        <f ca="1">((((C93/H90)*20)+((C94/H90)*25)+(30/(H90+F90+D90)*C95)+(5/H90*C96)+(5/H90*C97)+(5/H90*C98)+(5/H90*C99)+(0/H90*C100)+(0/H90*C101)+(5/H90*C102))/100)</f>
        <v>1</v>
      </c>
      <c r="H93" s="172"/>
      <c r="I93" s="75" t="s">
        <v>144</v>
      </c>
      <c r="J93" s="77">
        <f ca="1">H90*50%</f>
        <v>3.5</v>
      </c>
      <c r="K93" s="33"/>
      <c r="L93" s="11"/>
    </row>
    <row r="94" spans="1:12" ht="15.75" customHeight="1" x14ac:dyDescent="0.25">
      <c r="A94" s="137" t="s">
        <v>52</v>
      </c>
      <c r="B94" s="138"/>
      <c r="C94" s="45">
        <f ca="1">J102</f>
        <v>7</v>
      </c>
      <c r="D94" s="43">
        <f ca="1">((100/H90)*C94)/100</f>
        <v>1</v>
      </c>
      <c r="E94" s="168"/>
      <c r="F94" s="169"/>
      <c r="G94" s="168"/>
      <c r="H94" s="173"/>
      <c r="I94" s="75" t="s">
        <v>145</v>
      </c>
      <c r="J94" s="77">
        <f ca="1">H90</f>
        <v>7</v>
      </c>
      <c r="K94" s="33"/>
      <c r="L94" s="11"/>
    </row>
    <row r="95" spans="1:12" ht="15.75" customHeight="1" x14ac:dyDescent="0.25">
      <c r="A95" s="137" t="s">
        <v>232</v>
      </c>
      <c r="B95" s="138"/>
      <c r="C95" s="45">
        <f ca="1">D90+H90</f>
        <v>8</v>
      </c>
      <c r="D95" s="43">
        <f ca="1">((100/(D90+F90+H90))*C95)/100</f>
        <v>1</v>
      </c>
      <c r="E95" s="168"/>
      <c r="F95" s="169"/>
      <c r="G95" s="168"/>
      <c r="H95" s="173"/>
      <c r="I95" s="75" t="s">
        <v>146</v>
      </c>
      <c r="J95" s="78">
        <f ca="1">(IF(B90&gt;1,(H90/(B90+2)),H90/4))</f>
        <v>1.75</v>
      </c>
      <c r="K95" s="33"/>
      <c r="L95" s="11"/>
    </row>
    <row r="96" spans="1:12" ht="15.75" customHeight="1" x14ac:dyDescent="0.25">
      <c r="A96" s="137" t="s">
        <v>233</v>
      </c>
      <c r="B96" s="138" t="s">
        <v>234</v>
      </c>
      <c r="C96" s="42">
        <v>7</v>
      </c>
      <c r="D96" s="43">
        <f ca="1">((100/H90)*C96)/100</f>
        <v>1</v>
      </c>
      <c r="E96" s="168"/>
      <c r="F96" s="169"/>
      <c r="G96" s="168"/>
      <c r="H96" s="173"/>
      <c r="I96" s="75" t="s">
        <v>147</v>
      </c>
      <c r="J96" s="78">
        <f ca="1">(IF(B90&gt;1,(H90/(B90+2)+J95),H90/4+J95))</f>
        <v>3.5</v>
      </c>
      <c r="K96" s="33"/>
      <c r="L96" s="11"/>
    </row>
    <row r="97" spans="1:12" ht="15.75" customHeight="1" x14ac:dyDescent="0.25">
      <c r="A97" s="137" t="s">
        <v>235</v>
      </c>
      <c r="B97" s="138" t="s">
        <v>234</v>
      </c>
      <c r="C97" s="42">
        <v>7</v>
      </c>
      <c r="D97" s="43">
        <f ca="1">((100/H90)*C97)/100</f>
        <v>1</v>
      </c>
      <c r="E97" s="168"/>
      <c r="F97" s="169"/>
      <c r="G97" s="168"/>
      <c r="H97" s="173"/>
      <c r="I97" s="75" t="s">
        <v>236</v>
      </c>
      <c r="J97" s="78">
        <f>(IF(B90&gt;1,(H90/(B90+2)+J96),0))</f>
        <v>0</v>
      </c>
      <c r="K97" s="33"/>
      <c r="L97" s="11"/>
    </row>
    <row r="98" spans="1:12" ht="15.75" customHeight="1" x14ac:dyDescent="0.25">
      <c r="A98" s="137" t="s">
        <v>237</v>
      </c>
      <c r="B98" s="138" t="s">
        <v>238</v>
      </c>
      <c r="C98" s="42">
        <v>7</v>
      </c>
      <c r="D98" s="43">
        <f ca="1">((100/(H90))*C98)/100</f>
        <v>1</v>
      </c>
      <c r="E98" s="168"/>
      <c r="F98" s="169"/>
      <c r="G98" s="168"/>
      <c r="H98" s="173"/>
      <c r="I98" s="75" t="s">
        <v>239</v>
      </c>
      <c r="J98" s="78">
        <f>(IF(B90&gt;2,(H90/(B90+2)+J97),0))</f>
        <v>0</v>
      </c>
      <c r="K98" s="33"/>
      <c r="L98" s="11"/>
    </row>
    <row r="99" spans="1:12" ht="15.75" customHeight="1" x14ac:dyDescent="0.25">
      <c r="A99" s="137" t="s">
        <v>240</v>
      </c>
      <c r="B99" s="138" t="s">
        <v>240</v>
      </c>
      <c r="C99" s="42">
        <v>7</v>
      </c>
      <c r="D99" s="43">
        <f ca="1">((100/H90)*C99)/100</f>
        <v>1</v>
      </c>
      <c r="E99" s="168"/>
      <c r="F99" s="169"/>
      <c r="G99" s="168"/>
      <c r="H99" s="173"/>
      <c r="I99" s="75" t="s">
        <v>241</v>
      </c>
      <c r="J99" s="79">
        <f>(IF(B90&gt;3,(H90/(B90+2)+J98),0))</f>
        <v>0</v>
      </c>
      <c r="K99" s="33"/>
      <c r="L99" s="11"/>
    </row>
    <row r="100" spans="1:12" ht="15.75" customHeight="1" x14ac:dyDescent="0.25">
      <c r="A100" s="137" t="s">
        <v>242</v>
      </c>
      <c r="B100" s="138"/>
      <c r="C100" s="42">
        <v>7</v>
      </c>
      <c r="D100" s="43">
        <f ca="1">((100/H90)*C100)/100</f>
        <v>1</v>
      </c>
      <c r="E100" s="168"/>
      <c r="F100" s="169"/>
      <c r="G100" s="168"/>
      <c r="H100" s="173"/>
      <c r="I100" s="75" t="s">
        <v>243</v>
      </c>
      <c r="J100" s="78">
        <f>(IF(B90&gt;4,(H90/(B90+2)+J99),0))</f>
        <v>0</v>
      </c>
      <c r="K100" s="33"/>
      <c r="L100" s="11"/>
    </row>
    <row r="101" spans="1:12" ht="15.75" customHeight="1" x14ac:dyDescent="0.25">
      <c r="A101" s="137" t="s">
        <v>244</v>
      </c>
      <c r="B101" s="138" t="s">
        <v>244</v>
      </c>
      <c r="C101" s="42">
        <v>7</v>
      </c>
      <c r="D101" s="43">
        <f ca="1">((100/(H90))*C101)/100</f>
        <v>1</v>
      </c>
      <c r="E101" s="168"/>
      <c r="F101" s="169"/>
      <c r="G101" s="168"/>
      <c r="H101" s="173"/>
      <c r="I101" s="75" t="s">
        <v>148</v>
      </c>
      <c r="J101" s="78">
        <f ca="1">(IF(B90=1,(H90/(B90+3)+J96),IF(B90=0,(H90/4+J96),IF(B90&gt;1,0))))</f>
        <v>5.25</v>
      </c>
      <c r="K101" s="33"/>
      <c r="L101" s="11"/>
    </row>
    <row r="102" spans="1:12" ht="15.75" customHeight="1" thickBot="1" x14ac:dyDescent="0.3">
      <c r="A102" s="139" t="s">
        <v>245</v>
      </c>
      <c r="B102" s="140"/>
      <c r="C102" s="49">
        <v>7</v>
      </c>
      <c r="D102" s="50">
        <f ca="1">((100/(H90))*C102)/100</f>
        <v>1</v>
      </c>
      <c r="E102" s="170"/>
      <c r="F102" s="171"/>
      <c r="G102" s="170"/>
      <c r="H102" s="174"/>
      <c r="I102" s="80" t="s">
        <v>149</v>
      </c>
      <c r="J102" s="81">
        <f ca="1">(IF(B90&gt;1.5,(H90/(B90+2)+J96+MAX(0,J97-J96)+MAX(0,J98-J97)+MAX(0,J99-J98)+MAX(0,J100-J99)+MAX(0,J101-J100)),IF(B90=1,(H90/(B90+3)+J101),IF(B90=0,H90/4+J101))))</f>
        <v>7</v>
      </c>
      <c r="K102" s="33"/>
      <c r="L102" s="11"/>
    </row>
    <row r="103" spans="1:12" hidden="1" x14ac:dyDescent="0.25">
      <c r="A103" s="149" t="s">
        <v>218</v>
      </c>
      <c r="B103" s="150"/>
      <c r="C103" s="150"/>
      <c r="D103" s="150"/>
      <c r="E103" s="150"/>
      <c r="F103" s="150"/>
      <c r="G103" s="150"/>
      <c r="H103" s="151"/>
      <c r="I103" s="34" t="str">
        <f>(IF(C107=0,"Work not yet Started.",IF(C107=1,"Excavation work in process",IF(C107=2,"Excavation work completed",IF(C107=4,"Footing work is process",IF(C107=5,"Footing work Completed",IF(C107=7,"Plinth work is process",IF(C107=10,"Plinth work completed","0")))))))&amp;(IF(C108&gt;0,", RCC upto "&amp;C108&amp;" Slab completed",""))&amp;(IF(C109&gt;0,", Brickwork upto "&amp;C109&amp;" Floor completed"," "))&amp;(IF(C110&gt;0,", Plaster upto "&amp;C110&amp;" Floor completed"," "))&amp;(IF(C111&gt;0,", Flooring upto "&amp;C111&amp;" Floor completed"," "))&amp;(IF(C112&gt;0,", Painting upto "&amp;C112&amp;" Floor completed"," "))&amp;(IF(C113&gt;0,", Finishing upto "&amp;C113&amp;" Floor completed"," ")))</f>
        <v xml:space="preserve">Plinth work completed, RCC upto 8 Slab completed, Brickwork upto 7 Floor completed, Plaster upto 7 Floor completed   </v>
      </c>
      <c r="J103" s="35"/>
      <c r="K103" s="36"/>
      <c r="L103" s="11"/>
    </row>
    <row r="104" spans="1:12" hidden="1" x14ac:dyDescent="0.25">
      <c r="A104" s="18" t="s">
        <v>107</v>
      </c>
      <c r="B104" s="31">
        <v>0</v>
      </c>
      <c r="C104" s="31" t="s">
        <v>109</v>
      </c>
      <c r="D104" s="31">
        <v>1</v>
      </c>
      <c r="E104" s="31" t="s">
        <v>108</v>
      </c>
      <c r="F104" s="31">
        <v>0</v>
      </c>
      <c r="G104" s="31" t="s">
        <v>120</v>
      </c>
      <c r="H104" s="37">
        <v>7</v>
      </c>
      <c r="I104" s="38" t="s">
        <v>151</v>
      </c>
      <c r="J104" s="33"/>
      <c r="K104" s="39"/>
      <c r="L104" s="11"/>
    </row>
    <row r="105" spans="1:12" ht="35.25" hidden="1" customHeight="1" x14ac:dyDescent="0.25">
      <c r="A105" s="107" t="s">
        <v>132</v>
      </c>
      <c r="B105" s="108"/>
      <c r="C105" s="125" t="str">
        <f>I103</f>
        <v xml:space="preserve">Plinth work completed, RCC upto 8 Slab completed, Brickwork upto 7 Floor completed, Plaster upto 7 Floor completed   </v>
      </c>
      <c r="D105" s="125"/>
      <c r="E105" s="125"/>
      <c r="F105" s="125"/>
      <c r="G105" s="125"/>
      <c r="H105" s="148"/>
      <c r="I105" s="38" t="s">
        <v>165</v>
      </c>
      <c r="J105" s="33"/>
      <c r="K105" s="39"/>
      <c r="L105" s="11"/>
    </row>
    <row r="106" spans="1:12" ht="36" hidden="1" customHeight="1" x14ac:dyDescent="0.25">
      <c r="A106" s="137" t="s">
        <v>51</v>
      </c>
      <c r="B106" s="138"/>
      <c r="C106" s="40" t="s">
        <v>123</v>
      </c>
      <c r="D106" s="40" t="s">
        <v>124</v>
      </c>
      <c r="E106" s="134" t="s">
        <v>126</v>
      </c>
      <c r="F106" s="134"/>
      <c r="G106" s="134" t="s">
        <v>125</v>
      </c>
      <c r="H106" s="152"/>
      <c r="I106" s="38" t="s">
        <v>152</v>
      </c>
      <c r="J106" s="11"/>
      <c r="K106" s="41"/>
      <c r="L106" s="11"/>
    </row>
    <row r="107" spans="1:12" hidden="1" x14ac:dyDescent="0.25">
      <c r="A107" s="137" t="s">
        <v>52</v>
      </c>
      <c r="B107" s="138"/>
      <c r="C107" s="42">
        <v>10</v>
      </c>
      <c r="D107" s="43">
        <f>((100/10)*C107)/100</f>
        <v>1</v>
      </c>
      <c r="E107" s="135">
        <f>(IF(C105=I105,"100%",IF(C105=I106,"100%",((C107+(40/(B104+D104+F104+H104)*C108)+(15/H104*C109)+(10/H104*C110)+(10/H104*C111)+(5/H104*C112)+(5/H104*C113))/100))))</f>
        <v>0.75</v>
      </c>
      <c r="F107" s="135"/>
      <c r="G107" s="135">
        <f>((IF(C107=1,"2",IF(C107=2,"4",IF(C107=4,"8",IF(C107=5,"15",IF(C107=7,"20",IF(C107=10,"30","0")))))))/100)+(((30/(H104+F104+D104+B104)*C108)+(15/H104*C109)+(10/H104*C110)+(5/H104*C111)+(5/H104*C112)+(5/H104*C113))/100)</f>
        <v>0.85000000000000009</v>
      </c>
      <c r="H107" s="144"/>
      <c r="I107" s="44"/>
      <c r="J107" s="11"/>
      <c r="K107" s="41"/>
      <c r="L107" s="11"/>
    </row>
    <row r="108" spans="1:12" hidden="1" x14ac:dyDescent="0.25">
      <c r="A108" s="137" t="s">
        <v>150</v>
      </c>
      <c r="B108" s="138"/>
      <c r="C108" s="45">
        <v>8</v>
      </c>
      <c r="D108" s="43">
        <f>((100/(B104+F104+D104+H104))*C108)/100</f>
        <v>1</v>
      </c>
      <c r="E108" s="135"/>
      <c r="F108" s="135"/>
      <c r="G108" s="135"/>
      <c r="H108" s="144"/>
      <c r="I108" s="46" t="s">
        <v>144</v>
      </c>
      <c r="J108" s="47">
        <v>0.01</v>
      </c>
      <c r="K108" s="48">
        <v>0.02</v>
      </c>
      <c r="L108" s="11"/>
    </row>
    <row r="109" spans="1:12" hidden="1" x14ac:dyDescent="0.25">
      <c r="A109" s="137" t="s">
        <v>53</v>
      </c>
      <c r="B109" s="138"/>
      <c r="C109" s="42">
        <v>7</v>
      </c>
      <c r="D109" s="43">
        <f>((100/H104)*C109)/100</f>
        <v>1</v>
      </c>
      <c r="E109" s="135"/>
      <c r="F109" s="135"/>
      <c r="G109" s="135"/>
      <c r="H109" s="144"/>
      <c r="I109" s="46" t="s">
        <v>145</v>
      </c>
      <c r="J109" s="47">
        <v>0.02</v>
      </c>
      <c r="K109" s="48">
        <v>0.04</v>
      </c>
      <c r="L109" s="11"/>
    </row>
    <row r="110" spans="1:12" hidden="1" x14ac:dyDescent="0.25">
      <c r="A110" s="137" t="s">
        <v>54</v>
      </c>
      <c r="B110" s="138"/>
      <c r="C110" s="42">
        <v>7</v>
      </c>
      <c r="D110" s="43">
        <f>((100/H104)*C110)/100</f>
        <v>1</v>
      </c>
      <c r="E110" s="135"/>
      <c r="F110" s="135"/>
      <c r="G110" s="135"/>
      <c r="H110" s="144"/>
      <c r="I110" s="46" t="s">
        <v>146</v>
      </c>
      <c r="J110" s="47">
        <v>0.04</v>
      </c>
      <c r="K110" s="48">
        <v>0.08</v>
      </c>
      <c r="L110" s="11"/>
    </row>
    <row r="111" spans="1:12" hidden="1" x14ac:dyDescent="0.25">
      <c r="A111" s="137" t="s">
        <v>55</v>
      </c>
      <c r="B111" s="138"/>
      <c r="C111" s="42">
        <v>0</v>
      </c>
      <c r="D111" s="43">
        <f>((100/H104)*C111)/100</f>
        <v>0</v>
      </c>
      <c r="E111" s="135"/>
      <c r="F111" s="135"/>
      <c r="G111" s="135"/>
      <c r="H111" s="144"/>
      <c r="I111" s="46" t="s">
        <v>147</v>
      </c>
      <c r="J111" s="47">
        <v>0.05</v>
      </c>
      <c r="K111" s="48">
        <v>0.15</v>
      </c>
      <c r="L111" s="11"/>
    </row>
    <row r="112" spans="1:12" ht="15" hidden="1" customHeight="1" x14ac:dyDescent="0.25">
      <c r="A112" s="137" t="s">
        <v>56</v>
      </c>
      <c r="B112" s="138"/>
      <c r="C112" s="42">
        <v>0</v>
      </c>
      <c r="D112" s="43">
        <f>((100/H104)*C112)/100</f>
        <v>0</v>
      </c>
      <c r="E112" s="135"/>
      <c r="F112" s="135"/>
      <c r="G112" s="135"/>
      <c r="H112" s="144"/>
      <c r="I112" s="46" t="s">
        <v>148</v>
      </c>
      <c r="J112" s="47">
        <v>7.0000000000000007E-2</v>
      </c>
      <c r="K112" s="48">
        <v>0.2</v>
      </c>
      <c r="L112" s="11"/>
    </row>
    <row r="113" spans="1:12" ht="16.5" hidden="1" thickBot="1" x14ac:dyDescent="0.3">
      <c r="A113" s="139" t="s">
        <v>57</v>
      </c>
      <c r="B113" s="140"/>
      <c r="C113" s="49">
        <v>0</v>
      </c>
      <c r="D113" s="50">
        <f>((100/H104)*C113)/100</f>
        <v>0</v>
      </c>
      <c r="E113" s="136"/>
      <c r="F113" s="136"/>
      <c r="G113" s="136"/>
      <c r="H113" s="145"/>
      <c r="I113" s="51" t="s">
        <v>149</v>
      </c>
      <c r="J113" s="52">
        <v>0.1</v>
      </c>
      <c r="K113" s="53">
        <v>0.3</v>
      </c>
      <c r="L113" s="11"/>
    </row>
    <row r="114" spans="1:12" x14ac:dyDescent="0.25">
      <c r="A114" s="153" t="s">
        <v>219</v>
      </c>
      <c r="B114" s="153"/>
      <c r="C114" s="153"/>
      <c r="D114" s="153"/>
      <c r="E114" s="153"/>
      <c r="F114" s="153"/>
      <c r="G114" s="153"/>
      <c r="H114" s="153"/>
      <c r="I114" s="11"/>
      <c r="J114" s="11"/>
      <c r="K114" s="11"/>
      <c r="L114" s="11"/>
    </row>
    <row r="115" spans="1:12" x14ac:dyDescent="0.25">
      <c r="A115" s="89" t="s">
        <v>58</v>
      </c>
      <c r="B115" s="89"/>
      <c r="C115" s="89"/>
      <c r="D115" s="89"/>
      <c r="E115" s="89"/>
      <c r="F115" s="89"/>
      <c r="G115" s="89"/>
      <c r="H115" s="89"/>
      <c r="I115" s="11"/>
      <c r="J115" s="11"/>
      <c r="K115" s="11"/>
      <c r="L115" s="11"/>
    </row>
    <row r="116" spans="1:12" ht="15" customHeight="1" x14ac:dyDescent="0.25">
      <c r="A116" s="120" t="s">
        <v>112</v>
      </c>
      <c r="B116" s="120"/>
      <c r="C116" s="125" t="s">
        <v>113</v>
      </c>
      <c r="D116" s="125"/>
      <c r="E116" s="125"/>
      <c r="F116" s="125"/>
      <c r="G116" s="125"/>
      <c r="H116" s="125"/>
      <c r="I116" s="11"/>
      <c r="J116" s="11"/>
      <c r="K116" s="11"/>
      <c r="L116" s="11"/>
    </row>
    <row r="117" spans="1:12" x14ac:dyDescent="0.25">
      <c r="A117" s="120" t="s">
        <v>59</v>
      </c>
      <c r="B117" s="120"/>
      <c r="C117" s="120"/>
      <c r="D117" s="120"/>
      <c r="E117" s="120"/>
      <c r="F117" s="120"/>
      <c r="G117" s="120"/>
      <c r="H117" s="120"/>
      <c r="I117" s="11"/>
      <c r="J117" s="11"/>
      <c r="K117" s="11"/>
      <c r="L117" s="11"/>
    </row>
    <row r="118" spans="1:12" x14ac:dyDescent="0.25">
      <c r="A118" s="89" t="s">
        <v>114</v>
      </c>
      <c r="B118" s="89"/>
      <c r="C118" s="89"/>
      <c r="D118" s="89"/>
      <c r="E118" s="89"/>
      <c r="F118" s="105">
        <v>6650</v>
      </c>
      <c r="G118" s="105"/>
      <c r="H118" s="105"/>
      <c r="I118" s="11"/>
      <c r="J118" s="11"/>
      <c r="K118" s="11"/>
      <c r="L118" s="11"/>
    </row>
    <row r="119" spans="1:12" ht="31.5" customHeight="1" x14ac:dyDescent="0.25">
      <c r="A119" s="106" t="s">
        <v>227</v>
      </c>
      <c r="B119" s="106"/>
      <c r="C119" s="106"/>
      <c r="D119" s="106"/>
      <c r="E119" s="106"/>
      <c r="F119" s="88">
        <v>10000</v>
      </c>
      <c r="G119" s="88"/>
      <c r="H119" s="88"/>
      <c r="I119" s="11"/>
      <c r="J119" s="11"/>
      <c r="K119" s="11"/>
      <c r="L119" s="11"/>
    </row>
    <row r="120" spans="1:12" ht="31.5" customHeight="1" x14ac:dyDescent="0.25">
      <c r="A120" s="106" t="s">
        <v>226</v>
      </c>
      <c r="B120" s="106"/>
      <c r="C120" s="106"/>
      <c r="D120" s="106"/>
      <c r="E120" s="106"/>
      <c r="F120" s="88">
        <v>8000</v>
      </c>
      <c r="G120" s="88"/>
      <c r="H120" s="88"/>
      <c r="I120" s="11"/>
      <c r="J120" s="11"/>
      <c r="K120" s="11"/>
      <c r="L120" s="11"/>
    </row>
    <row r="121" spans="1:12" s="13" customFormat="1" hidden="1" x14ac:dyDescent="0.25">
      <c r="A121" s="89" t="s">
        <v>137</v>
      </c>
      <c r="B121" s="89"/>
      <c r="C121" s="89"/>
      <c r="D121" s="89"/>
      <c r="E121" s="89"/>
      <c r="F121" s="88" t="s">
        <v>31</v>
      </c>
      <c r="G121" s="88"/>
      <c r="H121" s="88"/>
      <c r="I121" s="54"/>
      <c r="J121" s="54"/>
      <c r="K121" s="54"/>
      <c r="L121" s="54"/>
    </row>
    <row r="122" spans="1:12" s="13" customFormat="1" hidden="1" x14ac:dyDescent="0.25">
      <c r="A122" s="89" t="s">
        <v>138</v>
      </c>
      <c r="B122" s="89"/>
      <c r="C122" s="89"/>
      <c r="D122" s="89"/>
      <c r="E122" s="89"/>
      <c r="F122" s="88" t="s">
        <v>31</v>
      </c>
      <c r="G122" s="88"/>
      <c r="H122" s="88"/>
      <c r="I122" s="54"/>
      <c r="J122" s="54"/>
      <c r="K122" s="54"/>
      <c r="L122" s="54"/>
    </row>
    <row r="123" spans="1:12" s="13" customFormat="1" hidden="1" x14ac:dyDescent="0.25">
      <c r="A123" s="89" t="s">
        <v>139</v>
      </c>
      <c r="B123" s="89"/>
      <c r="C123" s="89"/>
      <c r="D123" s="89"/>
      <c r="E123" s="89"/>
      <c r="F123" s="88" t="s">
        <v>31</v>
      </c>
      <c r="G123" s="88"/>
      <c r="H123" s="88"/>
      <c r="I123" s="54"/>
      <c r="J123" s="54"/>
      <c r="K123" s="54"/>
      <c r="L123" s="54"/>
    </row>
    <row r="124" spans="1:12" s="13" customFormat="1" hidden="1" x14ac:dyDescent="0.25">
      <c r="A124" s="89" t="s">
        <v>140</v>
      </c>
      <c r="B124" s="89"/>
      <c r="C124" s="89"/>
      <c r="D124" s="89"/>
      <c r="E124" s="89"/>
      <c r="F124" s="88" t="s">
        <v>31</v>
      </c>
      <c r="G124" s="88"/>
      <c r="H124" s="88"/>
      <c r="I124" s="54"/>
      <c r="J124" s="54"/>
      <c r="K124" s="54"/>
      <c r="L124" s="54"/>
    </row>
    <row r="125" spans="1:12" s="13" customFormat="1" hidden="1" x14ac:dyDescent="0.25">
      <c r="A125" s="89" t="s">
        <v>141</v>
      </c>
      <c r="B125" s="89"/>
      <c r="C125" s="89"/>
      <c r="D125" s="89"/>
      <c r="E125" s="89"/>
      <c r="F125" s="88" t="s">
        <v>31</v>
      </c>
      <c r="G125" s="88"/>
      <c r="H125" s="88"/>
      <c r="I125" s="54"/>
      <c r="J125" s="54"/>
      <c r="K125" s="54"/>
      <c r="L125" s="54"/>
    </row>
    <row r="126" spans="1:12" s="13" customFormat="1" hidden="1" x14ac:dyDescent="0.25">
      <c r="A126" s="89" t="s">
        <v>142</v>
      </c>
      <c r="B126" s="89"/>
      <c r="C126" s="89"/>
      <c r="D126" s="89"/>
      <c r="E126" s="89"/>
      <c r="F126" s="88" t="s">
        <v>31</v>
      </c>
      <c r="G126" s="88"/>
      <c r="H126" s="88"/>
      <c r="I126" s="54"/>
      <c r="J126" s="54"/>
      <c r="K126" s="54"/>
      <c r="L126" s="54"/>
    </row>
    <row r="127" spans="1:12" s="13" customFormat="1" x14ac:dyDescent="0.25">
      <c r="A127" s="89" t="s">
        <v>216</v>
      </c>
      <c r="B127" s="89"/>
      <c r="C127" s="89"/>
      <c r="D127" s="89"/>
      <c r="E127" s="89"/>
      <c r="F127" s="88">
        <v>200000</v>
      </c>
      <c r="G127" s="88"/>
      <c r="H127" s="88"/>
      <c r="I127" s="54"/>
      <c r="J127" s="54"/>
      <c r="K127" s="54"/>
      <c r="L127" s="54"/>
    </row>
    <row r="128" spans="1:12" s="13" customFormat="1" hidden="1" x14ac:dyDescent="0.25">
      <c r="A128" s="89" t="s">
        <v>143</v>
      </c>
      <c r="B128" s="89"/>
      <c r="C128" s="89"/>
      <c r="D128" s="89"/>
      <c r="E128" s="89"/>
      <c r="F128" s="88" t="s">
        <v>31</v>
      </c>
      <c r="G128" s="88"/>
      <c r="H128" s="88"/>
      <c r="I128" s="54"/>
      <c r="J128" s="54"/>
      <c r="K128" s="54"/>
      <c r="L128" s="54"/>
    </row>
    <row r="129" spans="1:12" x14ac:dyDescent="0.25">
      <c r="A129" s="89" t="s">
        <v>60</v>
      </c>
      <c r="B129" s="89"/>
      <c r="C129" s="89"/>
      <c r="D129" s="89"/>
      <c r="E129" s="89"/>
      <c r="F129" s="122">
        <v>300000</v>
      </c>
      <c r="G129" s="122"/>
      <c r="H129" s="122"/>
      <c r="I129" s="11"/>
      <c r="J129" s="11"/>
      <c r="K129" s="11"/>
      <c r="L129" s="11"/>
    </row>
    <row r="130" spans="1:12" s="9" customFormat="1" x14ac:dyDescent="0.25">
      <c r="A130" s="120" t="s">
        <v>61</v>
      </c>
      <c r="B130" s="120"/>
      <c r="C130" s="120"/>
      <c r="D130" s="120"/>
      <c r="E130" s="120"/>
      <c r="F130" s="88">
        <f>F118*0.8</f>
        <v>5320</v>
      </c>
      <c r="G130" s="88"/>
      <c r="H130" s="88"/>
      <c r="I130" s="55"/>
      <c r="J130" s="55"/>
      <c r="K130" s="55"/>
      <c r="L130" s="55"/>
    </row>
    <row r="131" spans="1:12" s="1" customFormat="1" ht="15.75" customHeight="1" x14ac:dyDescent="0.25">
      <c r="A131" s="90" t="s">
        <v>213</v>
      </c>
      <c r="B131" s="90"/>
      <c r="C131" s="90"/>
      <c r="D131" s="90"/>
      <c r="E131" s="90"/>
      <c r="F131" s="90"/>
      <c r="G131" s="90"/>
      <c r="H131" s="90"/>
      <c r="I131" s="56"/>
      <c r="J131" s="56"/>
      <c r="K131" s="56"/>
      <c r="L131" s="56"/>
    </row>
    <row r="132" spans="1:12" s="1" customFormat="1" ht="15.75" customHeight="1" x14ac:dyDescent="0.25">
      <c r="A132" s="91" t="s">
        <v>62</v>
      </c>
      <c r="B132" s="91"/>
      <c r="C132" s="57" t="s">
        <v>117</v>
      </c>
      <c r="D132" s="92" t="s">
        <v>63</v>
      </c>
      <c r="E132" s="92"/>
      <c r="F132" s="91" t="s">
        <v>64</v>
      </c>
      <c r="G132" s="91"/>
      <c r="H132" s="91"/>
      <c r="I132" s="56"/>
      <c r="J132" s="56"/>
      <c r="K132" s="56"/>
      <c r="L132" s="56"/>
    </row>
    <row r="133" spans="1:12" s="1" customFormat="1" ht="15.75" customHeight="1" x14ac:dyDescent="0.25">
      <c r="A133" s="95" t="s">
        <v>199</v>
      </c>
      <c r="B133" s="95"/>
      <c r="C133" s="58">
        <f>COUNT(D202)</f>
        <v>1</v>
      </c>
      <c r="D133" s="87">
        <f>SUM(D202)</f>
        <v>246.70657439999994</v>
      </c>
      <c r="E133" s="87"/>
      <c r="F133" s="87">
        <f>SUM(F202)</f>
        <v>370.05986159999992</v>
      </c>
      <c r="G133" s="87"/>
      <c r="H133" s="87"/>
      <c r="I133" s="56"/>
      <c r="J133" s="56"/>
      <c r="K133" s="56"/>
      <c r="L133" s="56"/>
    </row>
    <row r="134" spans="1:12" s="1" customFormat="1" x14ac:dyDescent="0.25">
      <c r="A134" s="95" t="s">
        <v>206</v>
      </c>
      <c r="B134" s="95"/>
      <c r="C134" s="58">
        <f>COUNT(D210:D213)</f>
        <v>4</v>
      </c>
      <c r="D134" s="87">
        <f>SUM(D210:D213)</f>
        <v>566.51793120000002</v>
      </c>
      <c r="E134" s="87"/>
      <c r="F134" s="87">
        <f>SUM(F210:F213)</f>
        <v>849.77689680000003</v>
      </c>
      <c r="G134" s="87"/>
      <c r="H134" s="87"/>
      <c r="I134" s="56"/>
      <c r="J134" s="56"/>
      <c r="K134" s="56"/>
      <c r="L134" s="56"/>
    </row>
    <row r="135" spans="1:12" s="1" customFormat="1" ht="15.75" customHeight="1" x14ac:dyDescent="0.25">
      <c r="A135" s="91" t="s">
        <v>66</v>
      </c>
      <c r="B135" s="91"/>
      <c r="C135" s="59">
        <f>C133+C134</f>
        <v>5</v>
      </c>
      <c r="D135" s="91">
        <f>D133+D134</f>
        <v>813.22450559999993</v>
      </c>
      <c r="E135" s="92"/>
      <c r="F135" s="91">
        <f>F133+F134</f>
        <v>1219.8367584</v>
      </c>
      <c r="G135" s="91"/>
      <c r="H135" s="91"/>
      <c r="I135" s="56"/>
      <c r="J135" s="56"/>
      <c r="K135" s="56"/>
      <c r="L135" s="56"/>
    </row>
    <row r="136" spans="1:12" s="1" customFormat="1" ht="15.75" customHeight="1" x14ac:dyDescent="0.25">
      <c r="A136" s="90" t="s">
        <v>214</v>
      </c>
      <c r="B136" s="90"/>
      <c r="C136" s="90"/>
      <c r="D136" s="90"/>
      <c r="E136" s="90"/>
      <c r="F136" s="90"/>
      <c r="G136" s="90"/>
      <c r="H136" s="90"/>
      <c r="I136" s="56"/>
      <c r="J136" s="56"/>
      <c r="K136" s="56"/>
      <c r="L136" s="56"/>
    </row>
    <row r="137" spans="1:12" s="1" customFormat="1" ht="15.75" customHeight="1" x14ac:dyDescent="0.25">
      <c r="A137" s="91" t="s">
        <v>62</v>
      </c>
      <c r="B137" s="91"/>
      <c r="C137" s="57" t="s">
        <v>117</v>
      </c>
      <c r="D137" s="92" t="s">
        <v>63</v>
      </c>
      <c r="E137" s="92"/>
      <c r="F137" s="91" t="s">
        <v>64</v>
      </c>
      <c r="G137" s="91"/>
      <c r="H137" s="91"/>
      <c r="I137" s="56"/>
      <c r="J137" s="56"/>
      <c r="K137" s="56"/>
      <c r="L137" s="56"/>
    </row>
    <row r="138" spans="1:12" s="1" customFormat="1" ht="15.75" customHeight="1" x14ac:dyDescent="0.25">
      <c r="A138" s="95" t="s">
        <v>200</v>
      </c>
      <c r="B138" s="95"/>
      <c r="C138" s="58">
        <f>COUNT(D151:D163)+COUNT(D165:D177)</f>
        <v>26</v>
      </c>
      <c r="D138" s="87">
        <f>SUM(D151:D163)+SUM(D165:D177)</f>
        <v>3949.6333111999998</v>
      </c>
      <c r="E138" s="87"/>
      <c r="F138" s="87">
        <f>SUM(F151:F163)+SUM(F165:F177)</f>
        <v>5924.4499667999999</v>
      </c>
      <c r="G138" s="87"/>
      <c r="H138" s="87"/>
      <c r="I138" s="56"/>
      <c r="J138" s="56"/>
      <c r="K138" s="56"/>
      <c r="L138" s="56"/>
    </row>
    <row r="139" spans="1:12" s="1" customFormat="1" x14ac:dyDescent="0.25">
      <c r="A139" s="90" t="s">
        <v>106</v>
      </c>
      <c r="B139" s="90"/>
      <c r="C139" s="90"/>
      <c r="D139" s="90"/>
      <c r="E139" s="90"/>
      <c r="F139" s="90"/>
      <c r="G139" s="90"/>
      <c r="H139" s="90"/>
      <c r="I139" s="56"/>
      <c r="J139" s="56"/>
      <c r="K139" s="56"/>
      <c r="L139" s="56"/>
    </row>
    <row r="140" spans="1:12" s="1" customFormat="1" x14ac:dyDescent="0.25">
      <c r="A140" s="91" t="s">
        <v>62</v>
      </c>
      <c r="B140" s="91"/>
      <c r="C140" s="57" t="s">
        <v>117</v>
      </c>
      <c r="D140" s="92" t="s">
        <v>63</v>
      </c>
      <c r="E140" s="92"/>
      <c r="F140" s="91" t="s">
        <v>64</v>
      </c>
      <c r="G140" s="91"/>
      <c r="H140" s="91"/>
      <c r="I140" s="56"/>
      <c r="J140" s="56"/>
      <c r="K140" s="56"/>
      <c r="L140" s="56"/>
    </row>
    <row r="141" spans="1:12" s="1" customFormat="1" x14ac:dyDescent="0.25">
      <c r="A141" s="95" t="s">
        <v>200</v>
      </c>
      <c r="B141" s="95"/>
      <c r="C141" s="58">
        <f>COUNT(D178:D181)+COUNT(D183:D190)+COUNT(D192:D199)*4</f>
        <v>44</v>
      </c>
      <c r="D141" s="87">
        <f>SUM(D178:D181)+SUM(D183:D190)+SUM(D192:D199)*4</f>
        <v>16754.071449980162</v>
      </c>
      <c r="E141" s="87"/>
      <c r="F141" s="87">
        <f>SUM(F178:F181)+SUM(F183:F190)+SUM(F192:F199)*4</f>
        <v>24716.231462471234</v>
      </c>
      <c r="G141" s="87"/>
      <c r="H141" s="87"/>
      <c r="I141" s="56"/>
      <c r="J141" s="56"/>
      <c r="K141" s="56"/>
      <c r="L141" s="56"/>
    </row>
    <row r="142" spans="1:12" s="1" customFormat="1" ht="15.75" customHeight="1" x14ac:dyDescent="0.25">
      <c r="A142" s="95" t="s">
        <v>199</v>
      </c>
      <c r="B142" s="95"/>
      <c r="C142" s="58">
        <f>COUNT(D204:D207)*7</f>
        <v>28</v>
      </c>
      <c r="D142" s="87">
        <f>SUM(D204:D207)*7</f>
        <v>9087.3606095999985</v>
      </c>
      <c r="E142" s="87"/>
      <c r="F142" s="87">
        <f>SUM(F204:F207)*7</f>
        <v>13176.67288392</v>
      </c>
      <c r="G142" s="87"/>
      <c r="H142" s="87"/>
      <c r="I142" s="56"/>
      <c r="J142" s="56"/>
      <c r="K142" s="56"/>
      <c r="L142" s="56"/>
    </row>
    <row r="143" spans="1:12" s="1" customFormat="1" ht="15.75" customHeight="1" x14ac:dyDescent="0.25">
      <c r="A143" s="95" t="s">
        <v>206</v>
      </c>
      <c r="B143" s="95"/>
      <c r="C143" s="58">
        <f>COUNT(D215:D220)*7</f>
        <v>42</v>
      </c>
      <c r="D143" s="87">
        <f>SUM(D215:D220)*7</f>
        <v>14867.411176799997</v>
      </c>
      <c r="E143" s="87"/>
      <c r="F143" s="87">
        <f>SUM(F215:F220)*7</f>
        <v>21557.746206359996</v>
      </c>
      <c r="G143" s="87"/>
      <c r="H143" s="87"/>
      <c r="I143" s="56"/>
      <c r="J143" s="56"/>
      <c r="K143" s="56"/>
      <c r="L143" s="56"/>
    </row>
    <row r="144" spans="1:12" s="1" customFormat="1" x14ac:dyDescent="0.25">
      <c r="A144" s="91" t="s">
        <v>66</v>
      </c>
      <c r="B144" s="91"/>
      <c r="C144" s="59">
        <f>SUM(C141:C143)</f>
        <v>114</v>
      </c>
      <c r="D144" s="91">
        <f>D141+D142+D143</f>
        <v>40708.843236380155</v>
      </c>
      <c r="E144" s="92"/>
      <c r="F144" s="91">
        <f>F141+F142+F143</f>
        <v>59450.650552751234</v>
      </c>
      <c r="G144" s="91"/>
      <c r="H144" s="91"/>
      <c r="I144" s="56"/>
      <c r="J144" s="56"/>
      <c r="K144" s="56"/>
      <c r="L144" s="56"/>
    </row>
    <row r="145" spans="1:12" s="1" customFormat="1" x14ac:dyDescent="0.25">
      <c r="A145" s="91" t="s">
        <v>263</v>
      </c>
      <c r="B145" s="91"/>
      <c r="C145" s="59">
        <f>C135+C138+C144</f>
        <v>145</v>
      </c>
      <c r="D145" s="91">
        <f>D135+D138+D144</f>
        <v>45471.701053180157</v>
      </c>
      <c r="E145" s="92"/>
      <c r="F145" s="91">
        <f>F135+F138+F144</f>
        <v>66594.937277951234</v>
      </c>
      <c r="G145" s="91"/>
      <c r="H145" s="91"/>
      <c r="I145" s="56"/>
      <c r="J145" s="56"/>
      <c r="K145" s="56"/>
      <c r="L145" s="56"/>
    </row>
    <row r="146" spans="1:12" s="9" customFormat="1" x14ac:dyDescent="0.25">
      <c r="A146" s="108" t="s">
        <v>67</v>
      </c>
      <c r="B146" s="108"/>
      <c r="C146" s="108"/>
      <c r="D146" s="108"/>
      <c r="E146" s="108"/>
      <c r="F146" s="108"/>
      <c r="G146" s="108"/>
      <c r="H146" s="108"/>
      <c r="I146" s="55"/>
      <c r="J146" s="55"/>
      <c r="K146" s="55"/>
      <c r="L146" s="55"/>
    </row>
    <row r="147" spans="1:12" x14ac:dyDescent="0.25">
      <c r="A147" s="108" t="s">
        <v>68</v>
      </c>
      <c r="B147" s="108"/>
      <c r="C147" s="108"/>
      <c r="D147" s="108"/>
      <c r="E147" s="108"/>
      <c r="F147" s="108"/>
      <c r="G147" s="108"/>
      <c r="H147" s="108"/>
      <c r="I147" s="11"/>
      <c r="J147" s="11"/>
      <c r="K147" s="11"/>
      <c r="L147" s="11"/>
    </row>
    <row r="148" spans="1:12" ht="63.75" customHeight="1" x14ac:dyDescent="0.25">
      <c r="A148" s="83" t="s">
        <v>272</v>
      </c>
      <c r="B148" s="84" t="s">
        <v>273</v>
      </c>
      <c r="C148" s="60" t="s">
        <v>69</v>
      </c>
      <c r="D148" s="60" t="s">
        <v>70</v>
      </c>
      <c r="E148" s="61" t="s">
        <v>71</v>
      </c>
      <c r="F148" s="60" t="s">
        <v>72</v>
      </c>
      <c r="G148" s="128" t="s">
        <v>73</v>
      </c>
      <c r="H148" s="128"/>
      <c r="I148" s="11"/>
      <c r="J148" s="11"/>
      <c r="K148" s="11"/>
      <c r="L148" s="11"/>
    </row>
    <row r="149" spans="1:12" s="2" customFormat="1" x14ac:dyDescent="0.25">
      <c r="A149" s="94" t="s">
        <v>261</v>
      </c>
      <c r="B149" s="94"/>
      <c r="C149" s="94"/>
      <c r="D149" s="94"/>
      <c r="E149" s="94"/>
      <c r="F149" s="94"/>
      <c r="G149" s="94"/>
      <c r="H149" s="94"/>
      <c r="I149" s="62"/>
      <c r="J149" s="62"/>
      <c r="K149" s="62"/>
      <c r="L149" s="62"/>
    </row>
    <row r="150" spans="1:12" s="2" customFormat="1" x14ac:dyDescent="0.25">
      <c r="A150" s="94" t="s">
        <v>182</v>
      </c>
      <c r="B150" s="94"/>
      <c r="C150" s="94"/>
      <c r="D150" s="94"/>
      <c r="E150" s="94"/>
      <c r="F150" s="94"/>
      <c r="G150" s="94"/>
      <c r="H150" s="94"/>
      <c r="I150" s="62"/>
      <c r="J150" s="62"/>
      <c r="K150" s="62"/>
      <c r="L150" s="62"/>
    </row>
    <row r="151" spans="1:12" s="2" customFormat="1" x14ac:dyDescent="0.25">
      <c r="A151" s="93">
        <v>1</v>
      </c>
      <c r="B151" s="93"/>
      <c r="C151" s="63" t="s">
        <v>183</v>
      </c>
      <c r="D151" s="63">
        <f>(2.9*5.26+1.1*1.3)*10.764</f>
        <v>179.58657600000001</v>
      </c>
      <c r="E151" s="63">
        <v>0</v>
      </c>
      <c r="F151" s="63">
        <f>D151*1.5+E151</f>
        <v>269.379864</v>
      </c>
      <c r="G151" s="98" t="s">
        <v>184</v>
      </c>
      <c r="H151" s="99"/>
      <c r="I151" s="62"/>
      <c r="J151" s="62"/>
      <c r="K151" s="62"/>
      <c r="L151" s="62"/>
    </row>
    <row r="152" spans="1:12" s="2" customFormat="1" x14ac:dyDescent="0.25">
      <c r="A152" s="93">
        <v>2</v>
      </c>
      <c r="B152" s="93"/>
      <c r="C152" s="63" t="s">
        <v>183</v>
      </c>
      <c r="D152" s="63">
        <f>(4.57*5.26-1.2*1.5)*10.764</f>
        <v>239.37198479999998</v>
      </c>
      <c r="E152" s="63">
        <v>0</v>
      </c>
      <c r="F152" s="63">
        <f t="shared" ref="F152:F177" si="0">D152*1.5+E152</f>
        <v>359.05797719999998</v>
      </c>
      <c r="G152" s="100"/>
      <c r="H152" s="101"/>
      <c r="I152" s="62"/>
      <c r="J152" s="62"/>
      <c r="K152" s="62"/>
      <c r="L152" s="62"/>
    </row>
    <row r="153" spans="1:12" s="2" customFormat="1" x14ac:dyDescent="0.25">
      <c r="A153" s="93">
        <v>3</v>
      </c>
      <c r="B153" s="93"/>
      <c r="C153" s="63" t="s">
        <v>183</v>
      </c>
      <c r="D153" s="63">
        <f>(2.13*2.97*10.764)</f>
        <v>68.094140400000001</v>
      </c>
      <c r="E153" s="63">
        <v>0</v>
      </c>
      <c r="F153" s="63">
        <f t="shared" si="0"/>
        <v>102.14121059999999</v>
      </c>
      <c r="G153" s="100"/>
      <c r="H153" s="101"/>
      <c r="I153" s="62"/>
      <c r="J153" s="62"/>
      <c r="K153" s="62"/>
      <c r="L153" s="62"/>
    </row>
    <row r="154" spans="1:12" s="2" customFormat="1" x14ac:dyDescent="0.25">
      <c r="A154" s="93">
        <v>4</v>
      </c>
      <c r="B154" s="93"/>
      <c r="C154" s="63" t="s">
        <v>183</v>
      </c>
      <c r="D154" s="63">
        <f>(3.05*6.02+2.13*1.22)*10.764</f>
        <v>225.60913439999996</v>
      </c>
      <c r="E154" s="63">
        <v>0</v>
      </c>
      <c r="F154" s="63">
        <f t="shared" si="0"/>
        <v>338.41370159999997</v>
      </c>
      <c r="G154" s="100"/>
      <c r="H154" s="101"/>
      <c r="I154" s="62"/>
      <c r="J154" s="62"/>
      <c r="K154" s="62"/>
      <c r="L154" s="62"/>
    </row>
    <row r="155" spans="1:12" s="2" customFormat="1" x14ac:dyDescent="0.25">
      <c r="A155" s="93">
        <v>5</v>
      </c>
      <c r="B155" s="93"/>
      <c r="C155" s="63" t="s">
        <v>183</v>
      </c>
      <c r="D155" s="63">
        <f>(2.9*5.5+1.22*1.22+1.5*0.7)*10.764</f>
        <v>199.00913759999997</v>
      </c>
      <c r="E155" s="63">
        <v>0</v>
      </c>
      <c r="F155" s="63">
        <f t="shared" si="0"/>
        <v>298.51370639999993</v>
      </c>
      <c r="G155" s="100"/>
      <c r="H155" s="101"/>
      <c r="I155" s="62"/>
      <c r="J155" s="62"/>
      <c r="K155" s="62"/>
      <c r="L155" s="62"/>
    </row>
    <row r="156" spans="1:12" s="2" customFormat="1" x14ac:dyDescent="0.25">
      <c r="A156" s="93">
        <v>6</v>
      </c>
      <c r="B156" s="93"/>
      <c r="C156" s="63" t="s">
        <v>183</v>
      </c>
      <c r="D156" s="63">
        <f>(2.44*2.9+1*1.22+1.07*1.22)*10.764</f>
        <v>103.34946959999999</v>
      </c>
      <c r="E156" s="63">
        <v>0</v>
      </c>
      <c r="F156" s="63">
        <f t="shared" si="0"/>
        <v>155.02420439999997</v>
      </c>
      <c r="G156" s="100"/>
      <c r="H156" s="101"/>
      <c r="I156" s="62"/>
      <c r="J156" s="62"/>
      <c r="K156" s="62"/>
      <c r="L156" s="62"/>
    </row>
    <row r="157" spans="1:12" s="2" customFormat="1" x14ac:dyDescent="0.25">
      <c r="A157" s="93">
        <v>7</v>
      </c>
      <c r="B157" s="93"/>
      <c r="C157" s="63" t="s">
        <v>183</v>
      </c>
      <c r="D157" s="63">
        <f>(2.9*2.9+0.5*1.22+1.22*1.22)*10.764</f>
        <v>113.11241759999999</v>
      </c>
      <c r="E157" s="63">
        <v>0</v>
      </c>
      <c r="F157" s="63">
        <f t="shared" si="0"/>
        <v>169.66862639999999</v>
      </c>
      <c r="G157" s="100"/>
      <c r="H157" s="101"/>
      <c r="I157" s="62"/>
      <c r="J157" s="62"/>
      <c r="K157" s="62"/>
      <c r="L157" s="62"/>
    </row>
    <row r="158" spans="1:12" s="2" customFormat="1" x14ac:dyDescent="0.25">
      <c r="A158" s="93">
        <v>8</v>
      </c>
      <c r="B158" s="93"/>
      <c r="C158" s="63" t="s">
        <v>183</v>
      </c>
      <c r="D158" s="63">
        <f>(2.44*2.9+1*1.22+1.83*1.22)*10.764</f>
        <v>113.32985039999998</v>
      </c>
      <c r="E158" s="63">
        <v>0</v>
      </c>
      <c r="F158" s="63">
        <f t="shared" si="0"/>
        <v>169.99477559999997</v>
      </c>
      <c r="G158" s="100"/>
      <c r="H158" s="101"/>
      <c r="I158" s="62"/>
      <c r="J158" s="62"/>
      <c r="K158" s="62"/>
      <c r="L158" s="62"/>
    </row>
    <row r="159" spans="1:12" s="2" customFormat="1" x14ac:dyDescent="0.25">
      <c r="A159" s="93">
        <v>9</v>
      </c>
      <c r="B159" s="93"/>
      <c r="C159" s="63" t="s">
        <v>183</v>
      </c>
      <c r="D159" s="63">
        <f>(2.9*5.41+1.22*1.22+1.5*0.7)*10.764</f>
        <v>196.19973359999997</v>
      </c>
      <c r="E159" s="63">
        <v>0</v>
      </c>
      <c r="F159" s="63">
        <f t="shared" si="0"/>
        <v>294.29960039999997</v>
      </c>
      <c r="G159" s="100"/>
      <c r="H159" s="101"/>
      <c r="I159" s="62"/>
      <c r="J159" s="62"/>
      <c r="K159" s="62"/>
      <c r="L159" s="62"/>
    </row>
    <row r="160" spans="1:12" s="2" customFormat="1" x14ac:dyDescent="0.25">
      <c r="A160" s="93">
        <v>10</v>
      </c>
      <c r="B160" s="93"/>
      <c r="C160" s="63" t="s">
        <v>183</v>
      </c>
      <c r="D160" s="63">
        <f>(2.9*5.41+1.22*1.22+1.5*0.7)*10.764</f>
        <v>196.19973359999997</v>
      </c>
      <c r="E160" s="63">
        <v>0</v>
      </c>
      <c r="F160" s="63">
        <f>D160*1.5+E160</f>
        <v>294.29960039999997</v>
      </c>
      <c r="G160" s="100"/>
      <c r="H160" s="101"/>
      <c r="I160" s="62"/>
      <c r="J160" s="62"/>
      <c r="K160" s="62"/>
      <c r="L160" s="62"/>
    </row>
    <row r="161" spans="1:12" s="2" customFormat="1" x14ac:dyDescent="0.25">
      <c r="A161" s="93">
        <v>11</v>
      </c>
      <c r="B161" s="93"/>
      <c r="C161" s="63" t="s">
        <v>183</v>
      </c>
      <c r="D161" s="63">
        <f>(2.44*2.9+1*1.22+1.83*1.22)*10.764</f>
        <v>113.32985039999998</v>
      </c>
      <c r="E161" s="63">
        <v>0</v>
      </c>
      <c r="F161" s="63">
        <f t="shared" si="0"/>
        <v>169.99477559999997</v>
      </c>
      <c r="G161" s="100"/>
      <c r="H161" s="101"/>
      <c r="I161" s="62"/>
      <c r="J161" s="62"/>
      <c r="K161" s="62"/>
      <c r="L161" s="62"/>
    </row>
    <row r="162" spans="1:12" s="2" customFormat="1" x14ac:dyDescent="0.25">
      <c r="A162" s="93">
        <v>12</v>
      </c>
      <c r="B162" s="93"/>
      <c r="C162" s="63" t="s">
        <v>183</v>
      </c>
      <c r="D162" s="63">
        <f>(2.97*2.89+1*0.8+1.6*1.22)*10.76</f>
        <v>121.96782800000001</v>
      </c>
      <c r="E162" s="63">
        <v>0</v>
      </c>
      <c r="F162" s="63">
        <f t="shared" si="0"/>
        <v>182.95174200000002</v>
      </c>
      <c r="G162" s="100"/>
      <c r="H162" s="101"/>
      <c r="I162" s="62"/>
      <c r="J162" s="62"/>
      <c r="K162" s="62"/>
      <c r="L162" s="62"/>
    </row>
    <row r="163" spans="1:12" s="2" customFormat="1" x14ac:dyDescent="0.25">
      <c r="A163" s="93">
        <v>13</v>
      </c>
      <c r="B163" s="93"/>
      <c r="C163" s="63" t="s">
        <v>183</v>
      </c>
      <c r="D163" s="63">
        <f>(3.19+3.89+2.68+1.2+1.22*1.22)*10.764</f>
        <v>133.99457759999999</v>
      </c>
      <c r="E163" s="63">
        <v>0</v>
      </c>
      <c r="F163" s="63">
        <f t="shared" si="0"/>
        <v>200.99186639999999</v>
      </c>
      <c r="G163" s="102"/>
      <c r="H163" s="103"/>
      <c r="I163" s="62"/>
      <c r="J163" s="62"/>
      <c r="K163" s="62"/>
      <c r="L163" s="62"/>
    </row>
    <row r="164" spans="1:12" s="2" customFormat="1" x14ac:dyDescent="0.25">
      <c r="A164" s="94" t="s">
        <v>185</v>
      </c>
      <c r="B164" s="94"/>
      <c r="C164" s="94"/>
      <c r="D164" s="94"/>
      <c r="E164" s="94"/>
      <c r="F164" s="94"/>
      <c r="G164" s="94"/>
      <c r="H164" s="94"/>
      <c r="I164" s="62"/>
      <c r="J164" s="62"/>
      <c r="K164" s="62"/>
      <c r="L164" s="62"/>
    </row>
    <row r="165" spans="1:12" s="2" customFormat="1" x14ac:dyDescent="0.25">
      <c r="A165" s="93">
        <v>14</v>
      </c>
      <c r="B165" s="93"/>
      <c r="C165" s="82" t="s">
        <v>183</v>
      </c>
      <c r="D165" s="82">
        <f>(3.19*3.43+1.82*1.37+1.22*1.22)*10.764</f>
        <v>160.63655400000002</v>
      </c>
      <c r="E165" s="82">
        <v>0</v>
      </c>
      <c r="F165" s="82">
        <f t="shared" si="0"/>
        <v>240.95483100000001</v>
      </c>
      <c r="G165" s="93" t="s">
        <v>187</v>
      </c>
      <c r="H165" s="93"/>
      <c r="I165" s="62"/>
      <c r="J165" s="62"/>
      <c r="K165" s="62"/>
      <c r="L165" s="62"/>
    </row>
    <row r="166" spans="1:12" s="2" customFormat="1" x14ac:dyDescent="0.25">
      <c r="A166" s="93">
        <v>15</v>
      </c>
      <c r="B166" s="93"/>
      <c r="C166" s="82" t="s">
        <v>183</v>
      </c>
      <c r="D166" s="82">
        <f>(2.97*3.43+1.22*1.22+1.22*0.6)*10.764</f>
        <v>133.55432999999999</v>
      </c>
      <c r="E166" s="82">
        <v>0</v>
      </c>
      <c r="F166" s="82">
        <f t="shared" si="0"/>
        <v>200.33149499999999</v>
      </c>
      <c r="G166" s="93"/>
      <c r="H166" s="93"/>
      <c r="I166" s="62"/>
      <c r="J166" s="62"/>
      <c r="K166" s="62"/>
      <c r="L166" s="62"/>
    </row>
    <row r="167" spans="1:12" s="2" customFormat="1" x14ac:dyDescent="0.25">
      <c r="A167" s="93">
        <v>16</v>
      </c>
      <c r="B167" s="93"/>
      <c r="C167" s="82" t="s">
        <v>183</v>
      </c>
      <c r="D167" s="82">
        <f>(2.44*2.44+1.83*1.22+1.2*1)*10.764</f>
        <v>101.03305679999998</v>
      </c>
      <c r="E167" s="82">
        <v>0</v>
      </c>
      <c r="F167" s="82">
        <f t="shared" si="0"/>
        <v>151.54958519999997</v>
      </c>
      <c r="G167" s="93"/>
      <c r="H167" s="93"/>
      <c r="I167" s="62"/>
      <c r="J167" s="62"/>
      <c r="K167" s="62"/>
      <c r="L167" s="62"/>
    </row>
    <row r="168" spans="1:12" s="2" customFormat="1" x14ac:dyDescent="0.25">
      <c r="A168" s="93">
        <v>17</v>
      </c>
      <c r="B168" s="93"/>
      <c r="C168" s="82" t="s">
        <v>183</v>
      </c>
      <c r="D168" s="82">
        <f>(2.9*4.8+1.22*1.22)*10.764</f>
        <v>165.8560176</v>
      </c>
      <c r="E168" s="82">
        <v>0</v>
      </c>
      <c r="F168" s="82">
        <f t="shared" si="0"/>
        <v>248.78402640000002</v>
      </c>
      <c r="G168" s="93"/>
      <c r="H168" s="93"/>
      <c r="I168" s="62"/>
      <c r="J168" s="62"/>
      <c r="K168" s="62"/>
      <c r="L168" s="62"/>
    </row>
    <row r="169" spans="1:12" s="2" customFormat="1" x14ac:dyDescent="0.25">
      <c r="A169" s="93">
        <v>18</v>
      </c>
      <c r="B169" s="93"/>
      <c r="C169" s="82" t="s">
        <v>183</v>
      </c>
      <c r="D169" s="82">
        <f>(2.9*4.8+1.22*1.22)*10.764</f>
        <v>165.8560176</v>
      </c>
      <c r="E169" s="82">
        <v>0</v>
      </c>
      <c r="F169" s="82">
        <f t="shared" si="0"/>
        <v>248.78402640000002</v>
      </c>
      <c r="G169" s="93"/>
      <c r="H169" s="93"/>
      <c r="I169" s="62"/>
      <c r="J169" s="62"/>
      <c r="K169" s="62"/>
      <c r="L169" s="62"/>
    </row>
    <row r="170" spans="1:12" s="2" customFormat="1" x14ac:dyDescent="0.25">
      <c r="A170" s="93">
        <v>19</v>
      </c>
      <c r="B170" s="93"/>
      <c r="C170" s="82" t="s">
        <v>183</v>
      </c>
      <c r="D170" s="82">
        <f>(2.44*2.44+1*1.22+1.83*1.22)*10.764</f>
        <v>101.24833679999999</v>
      </c>
      <c r="E170" s="82">
        <v>0</v>
      </c>
      <c r="F170" s="82">
        <f t="shared" si="0"/>
        <v>151.87250519999998</v>
      </c>
      <c r="G170" s="93"/>
      <c r="H170" s="93"/>
      <c r="I170" s="62"/>
      <c r="J170" s="62"/>
      <c r="K170" s="62"/>
      <c r="L170" s="62"/>
    </row>
    <row r="171" spans="1:12" s="2" customFormat="1" x14ac:dyDescent="0.25">
      <c r="A171" s="93">
        <v>20</v>
      </c>
      <c r="B171" s="93"/>
      <c r="C171" s="82" t="s">
        <v>183</v>
      </c>
      <c r="D171" s="82">
        <f>(2.9*2.44+2.2*1.8+1.4*0.7+1.22*1.22)*10.764</f>
        <v>145.36136160000001</v>
      </c>
      <c r="E171" s="82">
        <v>0</v>
      </c>
      <c r="F171" s="82">
        <f t="shared" si="0"/>
        <v>218.04204240000001</v>
      </c>
      <c r="G171" s="93"/>
      <c r="H171" s="93"/>
      <c r="I171" s="62"/>
      <c r="J171" s="62"/>
      <c r="K171" s="62"/>
      <c r="L171" s="62"/>
    </row>
    <row r="172" spans="1:12" s="2" customFormat="1" x14ac:dyDescent="0.25">
      <c r="A172" s="93">
        <v>21</v>
      </c>
      <c r="B172" s="93"/>
      <c r="C172" s="82" t="s">
        <v>183</v>
      </c>
      <c r="D172" s="82">
        <f>(2.44*2.44+1.07*1.22+1.22*1)*10.764</f>
        <v>91.267955999999998</v>
      </c>
      <c r="E172" s="82">
        <v>0</v>
      </c>
      <c r="F172" s="82">
        <f t="shared" si="0"/>
        <v>136.90193399999998</v>
      </c>
      <c r="G172" s="93"/>
      <c r="H172" s="93"/>
      <c r="I172" s="62"/>
      <c r="J172" s="62"/>
      <c r="K172" s="62"/>
      <c r="L172" s="62"/>
    </row>
    <row r="173" spans="1:12" s="2" customFormat="1" x14ac:dyDescent="0.25">
      <c r="A173" s="93">
        <v>22</v>
      </c>
      <c r="B173" s="93"/>
      <c r="C173" s="82" t="s">
        <v>183</v>
      </c>
      <c r="D173" s="82">
        <f>(2.9*4.8+1.22*1.22)*10.764</f>
        <v>165.8560176</v>
      </c>
      <c r="E173" s="82">
        <v>0</v>
      </c>
      <c r="F173" s="82">
        <f t="shared" si="0"/>
        <v>248.78402640000002</v>
      </c>
      <c r="G173" s="93"/>
      <c r="H173" s="93"/>
      <c r="I173" s="62"/>
      <c r="J173" s="62"/>
      <c r="K173" s="62"/>
      <c r="L173" s="62"/>
    </row>
    <row r="174" spans="1:12" s="2" customFormat="1" x14ac:dyDescent="0.25">
      <c r="A174" s="93">
        <v>23</v>
      </c>
      <c r="B174" s="93"/>
      <c r="C174" s="82" t="s">
        <v>183</v>
      </c>
      <c r="D174" s="82">
        <f>(3.05*4.8+2.13*1.22)*10.764</f>
        <v>185.55629039999997</v>
      </c>
      <c r="E174" s="82">
        <v>0</v>
      </c>
      <c r="F174" s="82">
        <f t="shared" si="0"/>
        <v>278.33443559999995</v>
      </c>
      <c r="G174" s="93"/>
      <c r="H174" s="93"/>
      <c r="I174" s="62"/>
      <c r="J174" s="62"/>
      <c r="K174" s="62"/>
      <c r="L174" s="62"/>
    </row>
    <row r="175" spans="1:12" s="2" customFormat="1" x14ac:dyDescent="0.25">
      <c r="A175" s="93">
        <v>24</v>
      </c>
      <c r="B175" s="93"/>
      <c r="C175" s="82" t="s">
        <v>183</v>
      </c>
      <c r="D175" s="82">
        <f>(2.13*2.51)*10.764</f>
        <v>57.547573199999988</v>
      </c>
      <c r="E175" s="82">
        <v>0</v>
      </c>
      <c r="F175" s="82">
        <f t="shared" si="0"/>
        <v>86.321359799999982</v>
      </c>
      <c r="G175" s="93"/>
      <c r="H175" s="93"/>
      <c r="I175" s="62"/>
      <c r="J175" s="62"/>
      <c r="K175" s="62"/>
      <c r="L175" s="62"/>
    </row>
    <row r="176" spans="1:12" s="2" customFormat="1" x14ac:dyDescent="0.25">
      <c r="A176" s="93">
        <v>25</v>
      </c>
      <c r="B176" s="93"/>
      <c r="C176" s="82" t="s">
        <v>183</v>
      </c>
      <c r="D176" s="82">
        <f>(1.22*1.22+1.22*2.13+3.7*1+1.4*1.6+1.9*4+1.4*2.5)*10.764</f>
        <v>227.41102799999999</v>
      </c>
      <c r="E176" s="82">
        <v>0</v>
      </c>
      <c r="F176" s="82">
        <f t="shared" si="0"/>
        <v>341.11654199999998</v>
      </c>
      <c r="G176" s="93"/>
      <c r="H176" s="93"/>
      <c r="I176" s="62"/>
      <c r="J176" s="62"/>
      <c r="K176" s="62"/>
      <c r="L176" s="62"/>
    </row>
    <row r="177" spans="1:12" s="2" customFormat="1" x14ac:dyDescent="0.25">
      <c r="A177" s="93">
        <v>26</v>
      </c>
      <c r="B177" s="93"/>
      <c r="C177" s="82" t="s">
        <v>183</v>
      </c>
      <c r="D177" s="82">
        <f>(1.22*1.22+1.6*1.4+3*5.4+1.1*2.6)*10.764</f>
        <v>245.29433760000001</v>
      </c>
      <c r="E177" s="82">
        <v>0</v>
      </c>
      <c r="F177" s="82">
        <f t="shared" si="0"/>
        <v>367.94150639999998</v>
      </c>
      <c r="G177" s="93"/>
      <c r="H177" s="93"/>
      <c r="I177" s="62"/>
      <c r="J177" s="62"/>
      <c r="K177" s="62"/>
      <c r="L177" s="62"/>
    </row>
    <row r="178" spans="1:12" s="2" customFormat="1" x14ac:dyDescent="0.25">
      <c r="A178" s="93">
        <v>101</v>
      </c>
      <c r="B178" s="93"/>
      <c r="C178" s="82" t="s">
        <v>186</v>
      </c>
      <c r="D178" s="82">
        <f>((2.9*3.35+2.44*3.05+2.9*2.29+2.13*1.22+1.22*2.13)+(0.92*2.82+2.9*0.76)+1.9*0.45)*10.764</f>
        <v>372.9575304</v>
      </c>
      <c r="E178" s="82">
        <v>0</v>
      </c>
      <c r="F178" s="82">
        <f>D178*1.45+E178</f>
        <v>540.78841907999993</v>
      </c>
      <c r="G178" s="93"/>
      <c r="H178" s="93"/>
      <c r="I178" s="62"/>
      <c r="J178" s="62"/>
      <c r="K178" s="62"/>
      <c r="L178" s="62"/>
    </row>
    <row r="179" spans="1:12" s="2" customFormat="1" x14ac:dyDescent="0.25">
      <c r="A179" s="93">
        <v>102</v>
      </c>
      <c r="B179" s="93"/>
      <c r="C179" s="82" t="s">
        <v>186</v>
      </c>
      <c r="D179" s="82">
        <f>((3.35*2.9+2.29*2.9+2.9*2.29+1.22*1.83*0.92*1.22+0.9*2.14+0.9*0.9)+(0.92*1.86+2.9*0.61))*10.764</f>
        <v>341.42407206335997</v>
      </c>
      <c r="E179" s="82">
        <v>0</v>
      </c>
      <c r="F179" s="82">
        <f t="shared" ref="F179:F199" si="1">D179*1.45+E179</f>
        <v>495.06490449187197</v>
      </c>
      <c r="G179" s="93"/>
      <c r="H179" s="93"/>
      <c r="I179" s="62"/>
      <c r="J179" s="62"/>
      <c r="K179" s="62"/>
      <c r="L179" s="62"/>
    </row>
    <row r="180" spans="1:12" s="2" customFormat="1" x14ac:dyDescent="0.25">
      <c r="A180" s="93">
        <v>103</v>
      </c>
      <c r="B180" s="93"/>
      <c r="C180" s="82" t="s">
        <v>186</v>
      </c>
      <c r="D180" s="82">
        <f>((2.9*3.51+2.44*3.05+2.9*2.29+1.83*1.22+1.22*1.22+1.22*1)+(0.92*2.82+2.9*0.76)+2*0.45)*10.764</f>
        <v>375.67866959999992</v>
      </c>
      <c r="E180" s="82">
        <v>0</v>
      </c>
      <c r="F180" s="82">
        <f t="shared" si="1"/>
        <v>544.73407091999991</v>
      </c>
      <c r="G180" s="93"/>
      <c r="H180" s="93"/>
      <c r="I180" s="62"/>
      <c r="J180" s="62"/>
      <c r="K180" s="62"/>
      <c r="L180" s="62"/>
    </row>
    <row r="181" spans="1:12" s="2" customFormat="1" x14ac:dyDescent="0.25">
      <c r="A181" s="93">
        <v>104</v>
      </c>
      <c r="B181" s="93"/>
      <c r="C181" s="82" t="s">
        <v>186</v>
      </c>
      <c r="D181" s="82">
        <f>((2.9*3.35+2.44*3.05+2.9*2.29+2.13*1.22+1.22*2.13)+(0.92*2.82+2.9*0.7)+2*0.45)*10.746</f>
        <v>370.94762160000005</v>
      </c>
      <c r="E181" s="82">
        <v>0</v>
      </c>
      <c r="F181" s="82">
        <f t="shared" si="1"/>
        <v>537.87405132000004</v>
      </c>
      <c r="G181" s="93"/>
      <c r="H181" s="93"/>
      <c r="I181" s="62"/>
      <c r="J181" s="62"/>
      <c r="K181" s="62"/>
      <c r="L181" s="62"/>
    </row>
    <row r="182" spans="1:12" s="2" customFormat="1" x14ac:dyDescent="0.25">
      <c r="A182" s="94" t="s">
        <v>188</v>
      </c>
      <c r="B182" s="94"/>
      <c r="C182" s="94"/>
      <c r="D182" s="94"/>
      <c r="E182" s="94"/>
      <c r="F182" s="94"/>
      <c r="G182" s="94"/>
      <c r="H182" s="94"/>
      <c r="I182" s="62"/>
      <c r="J182" s="62"/>
      <c r="K182" s="62"/>
      <c r="L182" s="62"/>
    </row>
    <row r="183" spans="1:12" s="2" customFormat="1" x14ac:dyDescent="0.25">
      <c r="A183" s="93">
        <v>201</v>
      </c>
      <c r="B183" s="93"/>
      <c r="C183" s="63" t="s">
        <v>186</v>
      </c>
      <c r="D183" s="63">
        <f>((2.9*3.35+2.44*3.05+2.9*2.29+2.13*1.22+1.22*2.13)+(0.92*2.82+2.9*0.76)+1.9*0.45)*10.764</f>
        <v>372.9575304</v>
      </c>
      <c r="E183" s="63">
        <v>0</v>
      </c>
      <c r="F183" s="63">
        <f t="shared" si="1"/>
        <v>540.78841907999993</v>
      </c>
      <c r="G183" s="98" t="s">
        <v>189</v>
      </c>
      <c r="H183" s="99"/>
      <c r="I183" s="62"/>
      <c r="J183" s="62"/>
      <c r="K183" s="62"/>
      <c r="L183" s="62"/>
    </row>
    <row r="184" spans="1:12" s="2" customFormat="1" x14ac:dyDescent="0.25">
      <c r="A184" s="93">
        <v>202</v>
      </c>
      <c r="B184" s="93"/>
      <c r="C184" s="63" t="s">
        <v>186</v>
      </c>
      <c r="D184" s="63">
        <f>((3.35*2.9+2.29*2.9+2.9*2.29+1.22*1.83*0.92*1.22+0.9*2.14+0.9*0.9)+(0.92*1.86+2.9*0.61))*10.764</f>
        <v>341.42407206335997</v>
      </c>
      <c r="E184" s="63">
        <v>0</v>
      </c>
      <c r="F184" s="63">
        <f t="shared" si="1"/>
        <v>495.06490449187197</v>
      </c>
      <c r="G184" s="100"/>
      <c r="H184" s="101"/>
      <c r="I184" s="62"/>
      <c r="J184" s="62"/>
      <c r="K184" s="62"/>
      <c r="L184" s="62"/>
    </row>
    <row r="185" spans="1:12" s="2" customFormat="1" x14ac:dyDescent="0.25">
      <c r="A185" s="93">
        <v>203</v>
      </c>
      <c r="B185" s="93"/>
      <c r="C185" s="63" t="s">
        <v>186</v>
      </c>
      <c r="D185" s="63">
        <f>((2.9*3.35+2.44*2.9+2.9*2.29+1.22*1.22+1.83*1.22+1.22*1)+(0.92*2.82+2.9*0.61)+2*0.45)*10.764</f>
        <v>362.06220960000002</v>
      </c>
      <c r="E185" s="63">
        <f>(1.5*2.5+7.1*7+2.9*1.2+2.44*1.2+2.9*2.3)*10.764</f>
        <v>716.10739199999989</v>
      </c>
      <c r="F185" s="63">
        <f>D185*1.45+E185/4</f>
        <v>704.01705191999997</v>
      </c>
      <c r="G185" s="100"/>
      <c r="H185" s="101"/>
      <c r="I185" s="62"/>
      <c r="J185" s="62"/>
      <c r="K185" s="62"/>
      <c r="L185" s="62"/>
    </row>
    <row r="186" spans="1:12" s="2" customFormat="1" x14ac:dyDescent="0.25">
      <c r="A186" s="93">
        <v>204</v>
      </c>
      <c r="B186" s="93"/>
      <c r="C186" s="63" t="s">
        <v>186</v>
      </c>
      <c r="D186" s="63">
        <f>((2.9*3.35+2.44*2.9+2.9*2.29+1.22*1.22+1.83*1.22+1.22*1)+(0.92*2.82+2.9*0.61)+2*0.45)*10.764</f>
        <v>362.06220960000002</v>
      </c>
      <c r="E186" s="63">
        <f>(2.9*2.3+2.44*1.2+2.9*1.2)*10.764</f>
        <v>140.771592</v>
      </c>
      <c r="F186" s="63">
        <f>D186*1.45+E186/2</f>
        <v>595.37599992000003</v>
      </c>
      <c r="G186" s="100"/>
      <c r="H186" s="101"/>
      <c r="I186" s="62"/>
      <c r="J186" s="62"/>
      <c r="K186" s="62"/>
      <c r="L186" s="62"/>
    </row>
    <row r="187" spans="1:12" s="2" customFormat="1" x14ac:dyDescent="0.25">
      <c r="A187" s="93">
        <v>205</v>
      </c>
      <c r="B187" s="93"/>
      <c r="C187" s="63" t="s">
        <v>186</v>
      </c>
      <c r="D187" s="63">
        <f>((2.9*3.35+2.44*2.9+2.9*2.29+1.22*1.22+1.83*1.22+1.22*1)+(0.92*2.82+3.05*0.61)+2*0.45)*10.764</f>
        <v>363.04711559999998</v>
      </c>
      <c r="E187" s="63">
        <f>(2.9*2.3+2.44*1.2+2.9*1.2)*10.764</f>
        <v>140.771592</v>
      </c>
      <c r="F187" s="63">
        <f>D187*1.45+E187/2</f>
        <v>596.80411361999995</v>
      </c>
      <c r="G187" s="100"/>
      <c r="H187" s="101"/>
      <c r="I187" s="62"/>
      <c r="J187" s="62"/>
      <c r="K187" s="62"/>
      <c r="L187" s="62"/>
    </row>
    <row r="188" spans="1:12" s="2" customFormat="1" x14ac:dyDescent="0.25">
      <c r="A188" s="93">
        <v>206</v>
      </c>
      <c r="B188" s="93"/>
      <c r="C188" s="63" t="s">
        <v>223</v>
      </c>
      <c r="D188" s="63">
        <f>((3.05*3.2+3.05*1.07+2.13*2.9+2.9*2.13+2.9*0.76+3.2*3.2+1.22*2.13+2.13*1.22+1.5*0.45+2.5*0.45)+(1.22+2.23)*1)*10.764</f>
        <v>519.56428679999988</v>
      </c>
      <c r="E188" s="63">
        <f>(3.05*2.3+3.1*7)*10.764</f>
        <v>309.08825999999993</v>
      </c>
      <c r="F188" s="63">
        <f>D188*1.45+E188/3</f>
        <v>856.39763585999981</v>
      </c>
      <c r="G188" s="100"/>
      <c r="H188" s="101"/>
      <c r="I188" s="62"/>
      <c r="J188" s="62"/>
      <c r="K188" s="62"/>
      <c r="L188" s="62"/>
    </row>
    <row r="189" spans="1:12" s="2" customFormat="1" x14ac:dyDescent="0.25">
      <c r="A189" s="93">
        <v>207</v>
      </c>
      <c r="B189" s="93"/>
      <c r="C189" s="63" t="s">
        <v>186</v>
      </c>
      <c r="D189" s="63">
        <f>((2.9*3.51+2.44*3.05+2.9*2.29+1.83*1.22+1.22*1.22+0.22*0.9)+(0.92*2.82+2.9*0.76)+2*0.45)*10.764</f>
        <v>364.67786159999997</v>
      </c>
      <c r="E189" s="63">
        <v>0</v>
      </c>
      <c r="F189" s="63">
        <f t="shared" si="1"/>
        <v>528.78289931999996</v>
      </c>
      <c r="G189" s="100"/>
      <c r="H189" s="101"/>
      <c r="I189" s="62"/>
      <c r="J189" s="62"/>
      <c r="K189" s="62"/>
      <c r="L189" s="62"/>
    </row>
    <row r="190" spans="1:12" s="2" customFormat="1" x14ac:dyDescent="0.25">
      <c r="A190" s="93">
        <v>208</v>
      </c>
      <c r="B190" s="93"/>
      <c r="C190" s="63" t="s">
        <v>186</v>
      </c>
      <c r="D190" s="63">
        <f>((2.9*3.35+2.44*3.05+2.9*2.29+2.13*1.22+1.22*2.13)+(0.92*2.82+2.9*0.76)+2*0.45)*10.746</f>
        <v>372.81742560000004</v>
      </c>
      <c r="E190" s="63">
        <v>0</v>
      </c>
      <c r="F190" s="63">
        <f t="shared" si="1"/>
        <v>540.58526712000003</v>
      </c>
      <c r="G190" s="102"/>
      <c r="H190" s="103"/>
      <c r="I190" s="62"/>
      <c r="J190" s="62">
        <f>F190/D190</f>
        <v>1.45</v>
      </c>
      <c r="K190" s="62"/>
      <c r="L190" s="62"/>
    </row>
    <row r="191" spans="1:12" s="2" customFormat="1" x14ac:dyDescent="0.25">
      <c r="A191" s="94" t="s">
        <v>190</v>
      </c>
      <c r="B191" s="94"/>
      <c r="C191" s="94"/>
      <c r="D191" s="94"/>
      <c r="E191" s="94"/>
      <c r="F191" s="94"/>
      <c r="G191" s="94"/>
      <c r="H191" s="94"/>
      <c r="I191" s="62"/>
      <c r="J191" s="62"/>
      <c r="K191" s="62"/>
      <c r="L191" s="62"/>
    </row>
    <row r="192" spans="1:12" s="2" customFormat="1" x14ac:dyDescent="0.25">
      <c r="A192" s="93" t="s">
        <v>191</v>
      </c>
      <c r="B192" s="93"/>
      <c r="C192" s="63" t="s">
        <v>186</v>
      </c>
      <c r="D192" s="63">
        <f>((2.9*3.35+2.44*3.05+2.9*2.29+2.13*1.22+1.22*2.13)+(0.92*2.82+2.9*0.76)+1.9*0.45)*10.764</f>
        <v>372.9575304</v>
      </c>
      <c r="E192" s="63">
        <v>0</v>
      </c>
      <c r="F192" s="63">
        <f t="shared" si="1"/>
        <v>540.78841907999993</v>
      </c>
      <c r="G192" s="98" t="str">
        <f>A191</f>
        <v>3rd to 6th Floor</v>
      </c>
      <c r="H192" s="99"/>
      <c r="I192" s="62"/>
      <c r="J192" s="62"/>
      <c r="K192" s="62"/>
      <c r="L192" s="62"/>
    </row>
    <row r="193" spans="1:12" s="2" customFormat="1" x14ac:dyDescent="0.25">
      <c r="A193" s="93" t="s">
        <v>192</v>
      </c>
      <c r="B193" s="93"/>
      <c r="C193" s="63" t="s">
        <v>186</v>
      </c>
      <c r="D193" s="63">
        <f>((3.35*2.9+2.29*2.9+2.9*2.29+1.22*1.83*0.92*1.22+0.9*2.14+0.9*0.9)+(0.92*1.86+2.9*0.61))*10.764</f>
        <v>341.42407206335997</v>
      </c>
      <c r="E193" s="63">
        <v>0</v>
      </c>
      <c r="F193" s="63">
        <f t="shared" si="1"/>
        <v>495.06490449187197</v>
      </c>
      <c r="G193" s="100"/>
      <c r="H193" s="101"/>
      <c r="I193" s="62"/>
      <c r="J193" s="62"/>
      <c r="K193" s="62"/>
      <c r="L193" s="62"/>
    </row>
    <row r="194" spans="1:12" s="2" customFormat="1" x14ac:dyDescent="0.25">
      <c r="A194" s="93" t="s">
        <v>193</v>
      </c>
      <c r="B194" s="93"/>
      <c r="C194" s="63" t="s">
        <v>186</v>
      </c>
      <c r="D194" s="63">
        <f>((2.9*3.35+2.44*2.9+2.9*2.29+1.22*1.22+1.83*1.22+1.22*1)+(0.92*2.82+2.9*0.61)+2*0.45)*10.764</f>
        <v>362.06220960000002</v>
      </c>
      <c r="E194" s="63">
        <v>0</v>
      </c>
      <c r="F194" s="63">
        <f t="shared" si="1"/>
        <v>524.99020392</v>
      </c>
      <c r="G194" s="100"/>
      <c r="H194" s="101"/>
      <c r="I194" s="62"/>
      <c r="J194" s="62"/>
      <c r="K194" s="62"/>
      <c r="L194" s="62"/>
    </row>
    <row r="195" spans="1:12" s="2" customFormat="1" x14ac:dyDescent="0.25">
      <c r="A195" s="93" t="s">
        <v>194</v>
      </c>
      <c r="B195" s="93"/>
      <c r="C195" s="63" t="s">
        <v>186</v>
      </c>
      <c r="D195" s="63">
        <f>((2.9*3.35+2.44*2.9+2.9*2.29+1.22*1.22+1.83*1.22+1.22*1)+(0.92*2.82+2.9*0.61)+2*0.45)*10.764</f>
        <v>362.06220960000002</v>
      </c>
      <c r="E195" s="63">
        <v>0</v>
      </c>
      <c r="F195" s="63">
        <f t="shared" si="1"/>
        <v>524.99020392</v>
      </c>
      <c r="G195" s="100"/>
      <c r="H195" s="101"/>
      <c r="I195" s="62"/>
      <c r="J195" s="62"/>
      <c r="K195" s="62"/>
      <c r="L195" s="62"/>
    </row>
    <row r="196" spans="1:12" s="2" customFormat="1" x14ac:dyDescent="0.25">
      <c r="A196" s="93" t="s">
        <v>195</v>
      </c>
      <c r="B196" s="93"/>
      <c r="C196" s="63" t="s">
        <v>186</v>
      </c>
      <c r="D196" s="63">
        <f>((2.9*3.35+2.44*2.9+2.9*2.29+1.22*1.22+1.83*1.22+1.22*1)+(0.92*2.82+3.05*0.61)+2*0.45)*10.764</f>
        <v>363.04711559999998</v>
      </c>
      <c r="E196" s="63">
        <v>0</v>
      </c>
      <c r="F196" s="63">
        <f t="shared" si="1"/>
        <v>526.41831761999993</v>
      </c>
      <c r="G196" s="100"/>
      <c r="H196" s="101"/>
      <c r="I196" s="62"/>
      <c r="J196" s="62"/>
      <c r="K196" s="62"/>
      <c r="L196" s="62"/>
    </row>
    <row r="197" spans="1:12" s="2" customFormat="1" x14ac:dyDescent="0.25">
      <c r="A197" s="93" t="s">
        <v>196</v>
      </c>
      <c r="B197" s="93"/>
      <c r="C197" s="63" t="s">
        <v>223</v>
      </c>
      <c r="D197" s="63">
        <f>((3.05*3.2+3.05*1.07+2.13*2.9+2.9*2.13+2.9*0.76+3.2*3.2+1.22*2.13+2.13*1.22+1.5*0.45+2.5*0.45)+(1.22+2.23)*1)*10.764</f>
        <v>519.56428679999988</v>
      </c>
      <c r="E197" s="63">
        <v>0</v>
      </c>
      <c r="F197" s="63">
        <f t="shared" si="1"/>
        <v>753.36821585999985</v>
      </c>
      <c r="G197" s="100"/>
      <c r="H197" s="101"/>
      <c r="I197" s="62"/>
      <c r="J197" s="62"/>
      <c r="K197" s="62"/>
      <c r="L197" s="62"/>
    </row>
    <row r="198" spans="1:12" s="2" customFormat="1" x14ac:dyDescent="0.25">
      <c r="A198" s="93" t="s">
        <v>197</v>
      </c>
      <c r="B198" s="93"/>
      <c r="C198" s="63" t="s">
        <v>186</v>
      </c>
      <c r="D198" s="63">
        <f>((2.9*3.51+2.44*3.05+2.9*2.29+1.83*1.22+1.22*1.22+0.22*0.9)+(0.92*2.82+2.9*0.76)+2*0.45)*10.764</f>
        <v>364.67786159999997</v>
      </c>
      <c r="E198" s="63">
        <v>0</v>
      </c>
      <c r="F198" s="63">
        <f t="shared" si="1"/>
        <v>528.78289931999996</v>
      </c>
      <c r="G198" s="100"/>
      <c r="H198" s="101"/>
      <c r="I198" s="62"/>
      <c r="J198" s="62"/>
      <c r="K198" s="62"/>
      <c r="L198" s="62"/>
    </row>
    <row r="199" spans="1:12" s="2" customFormat="1" x14ac:dyDescent="0.25">
      <c r="A199" s="93" t="s">
        <v>198</v>
      </c>
      <c r="B199" s="93"/>
      <c r="C199" s="63" t="s">
        <v>186</v>
      </c>
      <c r="D199" s="63">
        <f>((2.9*3.35+2.44*3.05+2.9*2.29+2.13*1.22+1.22*2.13)+(0.92*2.82+2.9*0.76)+2*0.45)*10.746</f>
        <v>372.81742560000004</v>
      </c>
      <c r="E199" s="63">
        <v>0</v>
      </c>
      <c r="F199" s="63">
        <f t="shared" si="1"/>
        <v>540.58526712000003</v>
      </c>
      <c r="G199" s="102"/>
      <c r="H199" s="103"/>
      <c r="I199" s="62"/>
      <c r="J199" s="62"/>
      <c r="K199" s="62"/>
      <c r="L199" s="62"/>
    </row>
    <row r="200" spans="1:12" s="2" customFormat="1" x14ac:dyDescent="0.25">
      <c r="A200" s="94" t="s">
        <v>199</v>
      </c>
      <c r="B200" s="94"/>
      <c r="C200" s="94"/>
      <c r="D200" s="94"/>
      <c r="E200" s="94"/>
      <c r="F200" s="94"/>
      <c r="G200" s="94"/>
      <c r="H200" s="94"/>
      <c r="I200" s="62"/>
      <c r="J200" s="62"/>
      <c r="K200" s="62"/>
      <c r="L200" s="62"/>
    </row>
    <row r="201" spans="1:12" s="2" customFormat="1" x14ac:dyDescent="0.25">
      <c r="A201" s="94" t="s">
        <v>201</v>
      </c>
      <c r="B201" s="94"/>
      <c r="C201" s="94"/>
      <c r="D201" s="94"/>
      <c r="E201" s="94"/>
      <c r="F201" s="94"/>
      <c r="G201" s="94"/>
      <c r="H201" s="94"/>
      <c r="I201" s="62"/>
      <c r="J201" s="62"/>
      <c r="K201" s="62"/>
      <c r="L201" s="62"/>
    </row>
    <row r="202" spans="1:12" s="2" customFormat="1" x14ac:dyDescent="0.25">
      <c r="A202" s="93">
        <v>1</v>
      </c>
      <c r="B202" s="93"/>
      <c r="C202" s="63" t="s">
        <v>202</v>
      </c>
      <c r="D202" s="63">
        <f>((5.03*4.27+0.75*1.07+0.3*2.13))*10.764</f>
        <v>246.70657439999994</v>
      </c>
      <c r="E202" s="63">
        <v>0</v>
      </c>
      <c r="F202" s="63">
        <f>D202*1.5+E202</f>
        <v>370.05986159999992</v>
      </c>
      <c r="G202" s="93" t="s">
        <v>184</v>
      </c>
      <c r="H202" s="93"/>
      <c r="I202" s="62"/>
      <c r="J202" s="62"/>
      <c r="K202" s="62"/>
      <c r="L202" s="62"/>
    </row>
    <row r="203" spans="1:12" s="2" customFormat="1" x14ac:dyDescent="0.25">
      <c r="A203" s="94" t="s">
        <v>204</v>
      </c>
      <c r="B203" s="94"/>
      <c r="C203" s="94"/>
      <c r="D203" s="94"/>
      <c r="E203" s="94"/>
      <c r="F203" s="94"/>
      <c r="G203" s="94"/>
      <c r="H203" s="94"/>
      <c r="I203" s="62"/>
      <c r="J203" s="62"/>
      <c r="K203" s="62"/>
      <c r="L203" s="62"/>
    </row>
    <row r="204" spans="1:12" s="2" customFormat="1" x14ac:dyDescent="0.25">
      <c r="A204" s="93">
        <v>101</v>
      </c>
      <c r="B204" s="93"/>
      <c r="C204" s="63" t="s">
        <v>186</v>
      </c>
      <c r="D204" s="63">
        <f>((3.2*3.2+2.59*2.59+3.05*3.05+1.83*1.22+0.92*1.22+0.9*1.22)+(3.05*1.22+2*0.45))*10.764</f>
        <v>380.23399439999992</v>
      </c>
      <c r="E204" s="63">
        <v>0</v>
      </c>
      <c r="F204" s="63">
        <f>D204*1.45+E204</f>
        <v>551.33929187999991</v>
      </c>
      <c r="G204" s="98" t="s">
        <v>203</v>
      </c>
      <c r="H204" s="99"/>
      <c r="I204" s="68">
        <f>3000000/F204</f>
        <v>5441.2954857078385</v>
      </c>
      <c r="J204" s="62"/>
      <c r="K204" s="62"/>
      <c r="L204" s="62"/>
    </row>
    <row r="205" spans="1:12" s="2" customFormat="1" x14ac:dyDescent="0.25">
      <c r="A205" s="93">
        <v>102</v>
      </c>
      <c r="B205" s="93"/>
      <c r="C205" s="63" t="s">
        <v>205</v>
      </c>
      <c r="D205" s="63">
        <f>((3.2*3.2+2.9*2.13+0.92*1.22+1.83*1.22+0.9*0.9)+(3.05*1.22+1.5*0.45))*10.764</f>
        <v>268.86319200000003</v>
      </c>
      <c r="E205" s="63">
        <v>0</v>
      </c>
      <c r="F205" s="63">
        <f>D205*1.45+E205</f>
        <v>389.85162840000004</v>
      </c>
      <c r="G205" s="100"/>
      <c r="H205" s="101"/>
      <c r="I205" s="68">
        <f>2208000/F205</f>
        <v>5663.693156963096</v>
      </c>
      <c r="J205" s="62"/>
      <c r="K205" s="62"/>
      <c r="L205" s="62"/>
    </row>
    <row r="206" spans="1:12" s="2" customFormat="1" x14ac:dyDescent="0.25">
      <c r="A206" s="93">
        <v>103</v>
      </c>
      <c r="B206" s="93"/>
      <c r="C206" s="63" t="s">
        <v>205</v>
      </c>
      <c r="D206" s="63">
        <f>((3.2*3.2+2.9*2.13+0.92*1.22+1.83*1.22+0.9*0.9)+(3.05*1.22+1.5*0.45))*10.764</f>
        <v>268.86319200000003</v>
      </c>
      <c r="E206" s="63">
        <v>0</v>
      </c>
      <c r="F206" s="63">
        <f>D206*1.45+E206</f>
        <v>389.85162840000004</v>
      </c>
      <c r="G206" s="100"/>
      <c r="H206" s="101"/>
      <c r="I206" s="62"/>
      <c r="J206" s="62"/>
      <c r="K206" s="62"/>
      <c r="L206" s="62"/>
    </row>
    <row r="207" spans="1:12" s="2" customFormat="1" x14ac:dyDescent="0.25">
      <c r="A207" s="93">
        <v>104</v>
      </c>
      <c r="B207" s="93"/>
      <c r="C207" s="63" t="s">
        <v>186</v>
      </c>
      <c r="D207" s="63">
        <f>((3.2*3.2+2.59*2.59+3.05*3.05+1.83*1.22+0.92*1.22+0.9*1.22)+(3.05*1.22+2*0.45))*10.764</f>
        <v>380.23399439999992</v>
      </c>
      <c r="E207" s="63">
        <v>0</v>
      </c>
      <c r="F207" s="63">
        <f>D207*1.45+E207</f>
        <v>551.33929187999991</v>
      </c>
      <c r="G207" s="102"/>
      <c r="H207" s="103"/>
      <c r="I207" s="62">
        <f>2100000/F207</f>
        <v>3808.9068399954872</v>
      </c>
      <c r="J207" s="62"/>
      <c r="K207" s="62"/>
      <c r="L207" s="62"/>
    </row>
    <row r="208" spans="1:12" s="2" customFormat="1" x14ac:dyDescent="0.25">
      <c r="A208" s="94" t="s">
        <v>262</v>
      </c>
      <c r="B208" s="94"/>
      <c r="C208" s="94"/>
      <c r="D208" s="94"/>
      <c r="E208" s="94"/>
      <c r="F208" s="94"/>
      <c r="G208" s="94"/>
      <c r="H208" s="94"/>
      <c r="I208" s="62"/>
      <c r="J208" s="62"/>
      <c r="K208" s="62"/>
      <c r="L208" s="62"/>
    </row>
    <row r="209" spans="1:12" s="2" customFormat="1" x14ac:dyDescent="0.25">
      <c r="A209" s="94" t="s">
        <v>275</v>
      </c>
      <c r="B209" s="94"/>
      <c r="C209" s="94"/>
      <c r="D209" s="94"/>
      <c r="E209" s="94"/>
      <c r="F209" s="94"/>
      <c r="G209" s="94"/>
      <c r="H209" s="94"/>
      <c r="I209" s="62"/>
      <c r="J209" s="62"/>
      <c r="K209" s="62"/>
      <c r="L209" s="62"/>
    </row>
    <row r="210" spans="1:12" s="2" customFormat="1" x14ac:dyDescent="0.25">
      <c r="A210" s="93">
        <v>1</v>
      </c>
      <c r="B210" s="93"/>
      <c r="C210" s="82" t="s">
        <v>183</v>
      </c>
      <c r="D210" s="82">
        <f>(2.9*2.29+2.59*1.07+1.83*1.37)*10.764</f>
        <v>128.30042159999999</v>
      </c>
      <c r="E210" s="82">
        <v>0</v>
      </c>
      <c r="F210" s="82">
        <f>D210*1.5+E210</f>
        <v>192.45063239999999</v>
      </c>
      <c r="G210" s="93" t="s">
        <v>184</v>
      </c>
      <c r="H210" s="93"/>
      <c r="I210" s="62"/>
      <c r="J210" s="62"/>
      <c r="K210" s="62"/>
      <c r="L210" s="62"/>
    </row>
    <row r="211" spans="1:12" s="2" customFormat="1" x14ac:dyDescent="0.25">
      <c r="A211" s="93">
        <v>2</v>
      </c>
      <c r="B211" s="93"/>
      <c r="C211" s="85" t="s">
        <v>183</v>
      </c>
      <c r="D211" s="82">
        <f>(3.05*4.72)*10.764</f>
        <v>154.95854399999999</v>
      </c>
      <c r="E211" s="82">
        <v>0</v>
      </c>
      <c r="F211" s="82">
        <f>D211*1.5+E211</f>
        <v>232.437816</v>
      </c>
      <c r="G211" s="93"/>
      <c r="H211" s="93"/>
      <c r="I211" s="62"/>
      <c r="J211" s="62"/>
      <c r="K211" s="62"/>
      <c r="L211" s="62"/>
    </row>
    <row r="212" spans="1:12" s="2" customFormat="1" x14ac:dyDescent="0.25">
      <c r="A212" s="93">
        <v>3</v>
      </c>
      <c r="B212" s="93"/>
      <c r="C212" s="85" t="s">
        <v>183</v>
      </c>
      <c r="D212" s="82">
        <f>(3.05*4.72)*10.764</f>
        <v>154.95854399999999</v>
      </c>
      <c r="E212" s="82">
        <v>0</v>
      </c>
      <c r="F212" s="82">
        <f>D212*1.5+E212</f>
        <v>232.437816</v>
      </c>
      <c r="G212" s="93"/>
      <c r="H212" s="93"/>
      <c r="I212" s="62"/>
      <c r="J212" s="62"/>
      <c r="K212" s="62"/>
      <c r="L212" s="62"/>
    </row>
    <row r="213" spans="1:12" s="2" customFormat="1" x14ac:dyDescent="0.25">
      <c r="A213" s="93">
        <v>4</v>
      </c>
      <c r="B213" s="93"/>
      <c r="C213" s="85" t="s">
        <v>183</v>
      </c>
      <c r="D213" s="85">
        <f>(2.9*2.29+2.59*1.07+1.83*1.37)*10.764</f>
        <v>128.30042159999999</v>
      </c>
      <c r="E213" s="82">
        <v>0</v>
      </c>
      <c r="F213" s="82">
        <f>D213*1.5+E213</f>
        <v>192.45063239999999</v>
      </c>
      <c r="G213" s="93"/>
      <c r="H213" s="93"/>
      <c r="I213" s="62"/>
      <c r="J213" s="62"/>
      <c r="K213" s="62"/>
      <c r="L213" s="62"/>
    </row>
    <row r="214" spans="1:12" s="2" customFormat="1" x14ac:dyDescent="0.25">
      <c r="A214" s="94" t="s">
        <v>204</v>
      </c>
      <c r="B214" s="94"/>
      <c r="C214" s="94"/>
      <c r="D214" s="94"/>
      <c r="E214" s="94"/>
      <c r="F214" s="94"/>
      <c r="G214" s="94"/>
      <c r="H214" s="94"/>
      <c r="I214" s="62"/>
      <c r="J214" s="62"/>
      <c r="K214" s="62"/>
      <c r="L214" s="62"/>
    </row>
    <row r="215" spans="1:12" s="2" customFormat="1" x14ac:dyDescent="0.25">
      <c r="A215" s="96">
        <v>1</v>
      </c>
      <c r="B215" s="97"/>
      <c r="C215" s="85" t="s">
        <v>186</v>
      </c>
      <c r="D215" s="85">
        <f>(3.35*3.05+2.44*2.59+3.05*3.05+1.83*1.22+0.91*1.22+0.6*1.22+1.98*0.6+2.13*0.6+0.8*1.22+1.3*1.22+(1.52*3.05))*10.764</f>
        <v>426.02189759999993</v>
      </c>
      <c r="E215" s="82">
        <v>0</v>
      </c>
      <c r="F215" s="82">
        <f t="shared" ref="F215:F220" si="2">D215*1.45+E215</f>
        <v>617.73175151999988</v>
      </c>
      <c r="G215" s="93" t="s">
        <v>203</v>
      </c>
      <c r="H215" s="93"/>
      <c r="I215" s="68">
        <f>2260800/F215</f>
        <v>3659.8410142218563</v>
      </c>
      <c r="J215" s="62"/>
      <c r="K215" s="62"/>
      <c r="L215" s="62"/>
    </row>
    <row r="216" spans="1:12" s="2" customFormat="1" x14ac:dyDescent="0.25">
      <c r="A216" s="96">
        <v>2</v>
      </c>
      <c r="B216" s="97"/>
      <c r="C216" s="85" t="s">
        <v>186</v>
      </c>
      <c r="D216" s="85">
        <f t="shared" ref="D216:D217" si="3">(3.35*3.05+2.44*2.59+3.05*3.05+1.83*1.22+0.91*1.22+0.6*1.22+1.98*0.6+2.13*0.6+0.8*1.22+1.3*1.22+(1.52*3.05))*10.764</f>
        <v>426.02189759999993</v>
      </c>
      <c r="E216" s="82">
        <v>0</v>
      </c>
      <c r="F216" s="82">
        <f t="shared" si="2"/>
        <v>617.73175151999988</v>
      </c>
      <c r="G216" s="93"/>
      <c r="H216" s="93"/>
      <c r="I216" s="68"/>
      <c r="J216" s="62"/>
      <c r="K216" s="62"/>
      <c r="L216" s="62"/>
    </row>
    <row r="217" spans="1:12" s="2" customFormat="1" x14ac:dyDescent="0.25">
      <c r="A217" s="96">
        <v>3</v>
      </c>
      <c r="B217" s="97"/>
      <c r="C217" s="85" t="s">
        <v>186</v>
      </c>
      <c r="D217" s="85">
        <f t="shared" si="3"/>
        <v>426.02189759999993</v>
      </c>
      <c r="E217" s="82">
        <v>0</v>
      </c>
      <c r="F217" s="82">
        <f t="shared" si="2"/>
        <v>617.73175151999988</v>
      </c>
      <c r="G217" s="93"/>
      <c r="H217" s="93"/>
      <c r="I217" s="68"/>
      <c r="J217" s="62"/>
      <c r="K217" s="62"/>
      <c r="L217" s="62"/>
    </row>
    <row r="218" spans="1:12" s="2" customFormat="1" x14ac:dyDescent="0.25">
      <c r="A218" s="96">
        <v>4</v>
      </c>
      <c r="B218" s="97"/>
      <c r="C218" s="85" t="s">
        <v>205</v>
      </c>
      <c r="D218" s="85">
        <f>(3.05*3.2+2.9*2.13+0.91*1.22+1.83*1.22+1.5*1+1.83*0.6+0.6*1.5+(1.12*3.05))*10.764</f>
        <v>281.95006319999999</v>
      </c>
      <c r="E218" s="82">
        <v>0</v>
      </c>
      <c r="F218" s="82">
        <f t="shared" si="2"/>
        <v>408.82759163999998</v>
      </c>
      <c r="G218" s="93"/>
      <c r="H218" s="93"/>
      <c r="I218" s="68">
        <f>3528000/F218</f>
        <v>8629.5545411882085</v>
      </c>
      <c r="J218" s="62"/>
      <c r="K218" s="62"/>
      <c r="L218" s="62"/>
    </row>
    <row r="219" spans="1:12" s="2" customFormat="1" x14ac:dyDescent="0.25">
      <c r="A219" s="96">
        <v>5</v>
      </c>
      <c r="B219" s="97"/>
      <c r="C219" s="85" t="s">
        <v>205</v>
      </c>
      <c r="D219" s="85">
        <f t="shared" ref="D219:D220" si="4">(3.05*3.2+2.9*2.13+0.91*1.22+1.83*1.22+1.5*1+1.83*0.6+0.6*1.5+(1.12*3.05))*10.764</f>
        <v>281.95006319999999</v>
      </c>
      <c r="E219" s="82">
        <v>0</v>
      </c>
      <c r="F219" s="82">
        <f t="shared" si="2"/>
        <v>408.82759163999998</v>
      </c>
      <c r="G219" s="93"/>
      <c r="H219" s="93"/>
      <c r="I219" s="62">
        <f>5442000/F220</f>
        <v>13311.234640914463</v>
      </c>
      <c r="J219" s="62"/>
      <c r="K219" s="62"/>
      <c r="L219" s="62"/>
    </row>
    <row r="220" spans="1:12" s="2" customFormat="1" x14ac:dyDescent="0.25">
      <c r="A220" s="96">
        <v>6</v>
      </c>
      <c r="B220" s="97"/>
      <c r="C220" s="85" t="s">
        <v>205</v>
      </c>
      <c r="D220" s="85">
        <f t="shared" si="4"/>
        <v>281.95006319999999</v>
      </c>
      <c r="E220" s="82">
        <v>0</v>
      </c>
      <c r="F220" s="82">
        <f t="shared" si="2"/>
        <v>408.82759163999998</v>
      </c>
      <c r="G220" s="93"/>
      <c r="H220" s="93"/>
      <c r="I220" s="68">
        <f>F220*6650+200000</f>
        <v>2918703.484406</v>
      </c>
      <c r="J220" s="68">
        <f>(4200000-200000)/F220</f>
        <v>9784.0754435240451</v>
      </c>
      <c r="K220" s="62"/>
      <c r="L220" s="62"/>
    </row>
    <row r="221" spans="1:12" s="1" customFormat="1" x14ac:dyDescent="0.25">
      <c r="A221" s="142" t="s">
        <v>83</v>
      </c>
      <c r="B221" s="142"/>
      <c r="C221" s="142"/>
      <c r="D221" s="142"/>
      <c r="E221" s="142"/>
      <c r="F221" s="142"/>
      <c r="G221" s="142"/>
      <c r="H221" s="142"/>
      <c r="I221" s="56"/>
      <c r="J221" s="56"/>
      <c r="K221" s="56"/>
      <c r="L221" s="56"/>
    </row>
    <row r="222" spans="1:12" s="10" customFormat="1" ht="245.25" customHeight="1" x14ac:dyDescent="0.25">
      <c r="A222" s="143" t="s">
        <v>276</v>
      </c>
      <c r="B222" s="143"/>
      <c r="C222" s="143"/>
      <c r="D222" s="143"/>
      <c r="E222" s="143"/>
      <c r="F222" s="143"/>
      <c r="G222" s="143"/>
      <c r="H222" s="143"/>
      <c r="I222" s="64"/>
      <c r="J222" s="64"/>
      <c r="K222" s="64"/>
      <c r="L222" s="64"/>
    </row>
    <row r="223" spans="1:12" x14ac:dyDescent="0.25">
      <c r="A223" s="141" t="s">
        <v>74</v>
      </c>
      <c r="B223" s="141"/>
      <c r="C223" s="141"/>
      <c r="D223" s="141"/>
      <c r="E223" s="141"/>
      <c r="F223" s="141"/>
      <c r="G223" s="141"/>
      <c r="H223" s="141"/>
      <c r="I223" s="11"/>
      <c r="J223" s="11"/>
      <c r="K223" s="11"/>
      <c r="L223" s="11"/>
    </row>
    <row r="224" spans="1:12" x14ac:dyDescent="0.25">
      <c r="A224" s="89" t="s">
        <v>75</v>
      </c>
      <c r="B224" s="89"/>
      <c r="C224" s="89"/>
      <c r="D224" s="89"/>
      <c r="E224" s="89"/>
      <c r="F224" s="89"/>
      <c r="G224" s="89"/>
      <c r="H224" s="89"/>
      <c r="I224" s="11"/>
      <c r="J224" s="11"/>
      <c r="K224" s="11"/>
      <c r="L224" s="11"/>
    </row>
    <row r="225" spans="1:12" ht="15.75" customHeight="1" x14ac:dyDescent="0.25">
      <c r="A225" s="141" t="s">
        <v>76</v>
      </c>
      <c r="B225" s="141"/>
      <c r="C225" s="141"/>
      <c r="D225" s="141"/>
      <c r="E225" s="141"/>
      <c r="F225" s="141"/>
      <c r="G225" s="141"/>
      <c r="H225" s="141"/>
      <c r="I225" s="11"/>
      <c r="J225" s="11"/>
      <c r="K225" s="11"/>
      <c r="L225" s="11"/>
    </row>
    <row r="226" spans="1:12" x14ac:dyDescent="0.25">
      <c r="A226" s="89" t="s">
        <v>77</v>
      </c>
      <c r="B226" s="89"/>
      <c r="C226" s="89"/>
      <c r="D226" s="89"/>
      <c r="E226" s="89"/>
      <c r="F226" s="89"/>
      <c r="G226" s="89"/>
      <c r="H226" s="89"/>
      <c r="I226" s="11"/>
      <c r="J226" s="11"/>
      <c r="K226" s="11"/>
      <c r="L226" s="11"/>
    </row>
    <row r="227" spans="1:12" x14ac:dyDescent="0.25">
      <c r="A227" s="89" t="s">
        <v>78</v>
      </c>
      <c r="B227" s="89"/>
      <c r="C227" s="89"/>
      <c r="D227" s="89"/>
      <c r="E227" s="89"/>
      <c r="F227" s="89"/>
      <c r="G227" s="89"/>
      <c r="H227" s="89"/>
      <c r="I227" s="11"/>
      <c r="J227" s="11"/>
      <c r="K227" s="11"/>
      <c r="L227" s="11"/>
    </row>
    <row r="228" spans="1:12" x14ac:dyDescent="0.25">
      <c r="A228" s="89" t="s">
        <v>79</v>
      </c>
      <c r="B228" s="89"/>
      <c r="C228" s="89"/>
      <c r="D228" s="89"/>
      <c r="E228" s="89"/>
      <c r="F228" s="89"/>
      <c r="G228" s="89"/>
      <c r="H228" s="89"/>
      <c r="I228" s="11"/>
      <c r="J228" s="11"/>
      <c r="K228" s="11"/>
      <c r="L228" s="11"/>
    </row>
    <row r="229" spans="1:12" x14ac:dyDescent="0.25">
      <c r="A229" s="106" t="s">
        <v>80</v>
      </c>
      <c r="B229" s="106"/>
      <c r="C229" s="106"/>
      <c r="D229" s="106"/>
      <c r="E229" s="106"/>
      <c r="F229" s="106"/>
      <c r="G229" s="106"/>
      <c r="H229" s="106"/>
      <c r="I229" s="11"/>
      <c r="J229" s="11"/>
      <c r="K229" s="11"/>
      <c r="L229" s="11"/>
    </row>
    <row r="230" spans="1:12" x14ac:dyDescent="0.25">
      <c r="A230" s="127" t="s">
        <v>116</v>
      </c>
      <c r="B230" s="127"/>
      <c r="C230" s="127" t="s">
        <v>271</v>
      </c>
      <c r="D230" s="127"/>
      <c r="E230" s="127" t="s">
        <v>153</v>
      </c>
      <c r="F230" s="127"/>
      <c r="G230" s="127" t="s">
        <v>268</v>
      </c>
      <c r="H230" s="127"/>
      <c r="I230" s="11"/>
      <c r="J230" s="11"/>
      <c r="K230" s="11"/>
      <c r="L230" s="11"/>
    </row>
    <row r="231" spans="1:12" x14ac:dyDescent="0.25">
      <c r="A231" s="126" t="s">
        <v>118</v>
      </c>
      <c r="B231" s="126"/>
      <c r="C231" s="126"/>
      <c r="D231" s="126"/>
      <c r="E231" s="126"/>
      <c r="F231" s="126"/>
      <c r="G231" s="126"/>
      <c r="H231" s="126"/>
      <c r="I231" s="11"/>
      <c r="J231" s="11"/>
      <c r="K231" s="11"/>
      <c r="L231" s="11"/>
    </row>
    <row r="232" spans="1:12" x14ac:dyDescent="0.25">
      <c r="A232" s="126"/>
      <c r="B232" s="126"/>
      <c r="C232" s="126"/>
      <c r="D232" s="126"/>
      <c r="E232" s="126"/>
      <c r="F232" s="126"/>
      <c r="G232" s="126"/>
      <c r="H232" s="126"/>
      <c r="I232" s="11"/>
      <c r="J232" s="11"/>
      <c r="K232" s="11"/>
      <c r="L232" s="11"/>
    </row>
    <row r="233" spans="1:12" x14ac:dyDescent="0.25">
      <c r="A233" s="126"/>
      <c r="B233" s="126"/>
      <c r="C233" s="126"/>
      <c r="D233" s="126"/>
      <c r="E233" s="126"/>
      <c r="F233" s="126"/>
      <c r="G233" s="126"/>
      <c r="H233" s="126"/>
      <c r="I233" s="11"/>
      <c r="J233" s="11"/>
      <c r="K233" s="11"/>
      <c r="L233" s="11"/>
    </row>
    <row r="234" spans="1:12" ht="12" customHeight="1" x14ac:dyDescent="0.25">
      <c r="A234" s="126"/>
      <c r="B234" s="126"/>
      <c r="C234" s="126"/>
      <c r="D234" s="126"/>
      <c r="E234" s="126"/>
      <c r="F234" s="126"/>
      <c r="G234" s="126"/>
      <c r="H234" s="126"/>
      <c r="I234" s="11"/>
      <c r="J234" s="11"/>
      <c r="K234" s="11"/>
      <c r="L234" s="11"/>
    </row>
    <row r="235" spans="1:12" x14ac:dyDescent="0.25">
      <c r="A235" s="65" t="s">
        <v>81</v>
      </c>
      <c r="B235" s="66"/>
      <c r="C235" s="66"/>
      <c r="D235" s="65" t="str">
        <f>E8</f>
        <v>Samruddhi Residency</v>
      </c>
      <c r="E235" s="67"/>
      <c r="F235" s="66"/>
      <c r="G235" s="66"/>
      <c r="H235" s="66"/>
      <c r="I235" s="11"/>
      <c r="J235" s="11"/>
      <c r="K235" s="11"/>
      <c r="L235" s="11"/>
    </row>
    <row r="236" spans="1:12" x14ac:dyDescent="0.25">
      <c r="A236" s="15"/>
      <c r="B236" s="15"/>
      <c r="C236" s="15"/>
      <c r="D236" s="15"/>
      <c r="E236" s="15"/>
      <c r="F236" s="15"/>
      <c r="G236" s="15"/>
      <c r="H236" s="15"/>
    </row>
    <row r="237" spans="1:12" x14ac:dyDescent="0.25">
      <c r="A237" s="15"/>
      <c r="B237" s="15"/>
      <c r="C237" s="15"/>
      <c r="D237" s="15"/>
      <c r="E237" s="15"/>
      <c r="F237" s="15"/>
      <c r="G237" s="15"/>
      <c r="H237" s="15"/>
    </row>
    <row r="238" spans="1:12" ht="15" customHeight="1" x14ac:dyDescent="0.25"/>
    <row r="276" spans="1:1" x14ac:dyDescent="0.25">
      <c r="A276" s="17" t="s">
        <v>277</v>
      </c>
    </row>
    <row r="308" spans="1:1" x14ac:dyDescent="0.25">
      <c r="A308" s="17" t="s">
        <v>82</v>
      </c>
    </row>
  </sheetData>
  <mergeCells count="368">
    <mergeCell ref="A75:B75"/>
    <mergeCell ref="C75:H75"/>
    <mergeCell ref="A77:B77"/>
    <mergeCell ref="C77:H77"/>
    <mergeCell ref="A78:B78"/>
    <mergeCell ref="E78:F78"/>
    <mergeCell ref="G78:H78"/>
    <mergeCell ref="A79:B79"/>
    <mergeCell ref="E79:F88"/>
    <mergeCell ref="G79:H88"/>
    <mergeCell ref="A80:B80"/>
    <mergeCell ref="A81:B81"/>
    <mergeCell ref="A82:B82"/>
    <mergeCell ref="A83:B83"/>
    <mergeCell ref="A84:B84"/>
    <mergeCell ref="A85:B85"/>
    <mergeCell ref="A86:B86"/>
    <mergeCell ref="A87:B87"/>
    <mergeCell ref="A88:B88"/>
    <mergeCell ref="A89:B89"/>
    <mergeCell ref="C89:H89"/>
    <mergeCell ref="A91:B91"/>
    <mergeCell ref="C91:H91"/>
    <mergeCell ref="A92:B92"/>
    <mergeCell ref="E92:F92"/>
    <mergeCell ref="G92:H92"/>
    <mergeCell ref="A93:B93"/>
    <mergeCell ref="E93:F102"/>
    <mergeCell ref="G93:H102"/>
    <mergeCell ref="A94:B94"/>
    <mergeCell ref="A95:B95"/>
    <mergeCell ref="A96:B96"/>
    <mergeCell ref="A97:B97"/>
    <mergeCell ref="A98:B98"/>
    <mergeCell ref="A99:B99"/>
    <mergeCell ref="A100:B100"/>
    <mergeCell ref="A101:B101"/>
    <mergeCell ref="A102:B102"/>
    <mergeCell ref="A63:B63"/>
    <mergeCell ref="C63:H63"/>
    <mergeCell ref="A64:B64"/>
    <mergeCell ref="E64:F64"/>
    <mergeCell ref="G64:H64"/>
    <mergeCell ref="A65:B65"/>
    <mergeCell ref="E65:F74"/>
    <mergeCell ref="G65:H74"/>
    <mergeCell ref="A66:B66"/>
    <mergeCell ref="A67:B67"/>
    <mergeCell ref="A68:B68"/>
    <mergeCell ref="A69:B69"/>
    <mergeCell ref="A70:B70"/>
    <mergeCell ref="A71:B71"/>
    <mergeCell ref="A72:B72"/>
    <mergeCell ref="A73:B73"/>
    <mergeCell ref="A74:B74"/>
    <mergeCell ref="A59:C59"/>
    <mergeCell ref="D59:H59"/>
    <mergeCell ref="A111:B111"/>
    <mergeCell ref="A112:B112"/>
    <mergeCell ref="F140:H140"/>
    <mergeCell ref="A137:B137"/>
    <mergeCell ref="A170:B170"/>
    <mergeCell ref="A171:B171"/>
    <mergeCell ref="G107:H113"/>
    <mergeCell ref="A60:C60"/>
    <mergeCell ref="D60:H60"/>
    <mergeCell ref="A121:E121"/>
    <mergeCell ref="F121:H121"/>
    <mergeCell ref="C105:H105"/>
    <mergeCell ref="A106:B106"/>
    <mergeCell ref="A107:B107"/>
    <mergeCell ref="A103:H103"/>
    <mergeCell ref="G106:H106"/>
    <mergeCell ref="A114:H114"/>
    <mergeCell ref="A120:E120"/>
    <mergeCell ref="A117:H117"/>
    <mergeCell ref="A118:E118"/>
    <mergeCell ref="A61:B61"/>
    <mergeCell ref="C61:H61"/>
    <mergeCell ref="A221:H221"/>
    <mergeCell ref="A222:H222"/>
    <mergeCell ref="A223:H223"/>
    <mergeCell ref="A224:H224"/>
    <mergeCell ref="A187:B187"/>
    <mergeCell ref="A188:B188"/>
    <mergeCell ref="A147:H147"/>
    <mergeCell ref="A143:B143"/>
    <mergeCell ref="A205:B205"/>
    <mergeCell ref="A206:B206"/>
    <mergeCell ref="A202:B202"/>
    <mergeCell ref="A151:B151"/>
    <mergeCell ref="A152:B152"/>
    <mergeCell ref="A153:B153"/>
    <mergeCell ref="A154:B154"/>
    <mergeCell ref="A155:B155"/>
    <mergeCell ref="A156:B156"/>
    <mergeCell ref="A157:B157"/>
    <mergeCell ref="A158:B158"/>
    <mergeCell ref="A159:B159"/>
    <mergeCell ref="A166:B166"/>
    <mergeCell ref="A167:B167"/>
    <mergeCell ref="A168:B168"/>
    <mergeCell ref="A169:B169"/>
    <mergeCell ref="A225:H225"/>
    <mergeCell ref="A226:H226"/>
    <mergeCell ref="A227:H227"/>
    <mergeCell ref="A228:H228"/>
    <mergeCell ref="A229:H229"/>
    <mergeCell ref="A172:B172"/>
    <mergeCell ref="A173:B173"/>
    <mergeCell ref="A174:B174"/>
    <mergeCell ref="A175:B175"/>
    <mergeCell ref="A197:B197"/>
    <mergeCell ref="A198:B198"/>
    <mergeCell ref="A204:B204"/>
    <mergeCell ref="A183:B183"/>
    <mergeCell ref="A185:B185"/>
    <mergeCell ref="A186:B186"/>
    <mergeCell ref="A177:B177"/>
    <mergeCell ref="G202:H202"/>
    <mergeCell ref="G165:H181"/>
    <mergeCell ref="A182:H182"/>
    <mergeCell ref="G183:H190"/>
    <mergeCell ref="A165:B165"/>
    <mergeCell ref="A200:H200"/>
    <mergeCell ref="G210:H213"/>
    <mergeCell ref="A214:H214"/>
    <mergeCell ref="F118:H118"/>
    <mergeCell ref="A115:H115"/>
    <mergeCell ref="A116:B116"/>
    <mergeCell ref="C116:H116"/>
    <mergeCell ref="F119:H119"/>
    <mergeCell ref="A119:E119"/>
    <mergeCell ref="A108:B108"/>
    <mergeCell ref="A109:B109"/>
    <mergeCell ref="A113:B113"/>
    <mergeCell ref="E106:F106"/>
    <mergeCell ref="E107:F113"/>
    <mergeCell ref="F120:H120"/>
    <mergeCell ref="A110:B110"/>
    <mergeCell ref="A16:B16"/>
    <mergeCell ref="C16:D16"/>
    <mergeCell ref="E16:F16"/>
    <mergeCell ref="G16:H16"/>
    <mergeCell ref="A24:D24"/>
    <mergeCell ref="A25:D25"/>
    <mergeCell ref="E25:H25"/>
    <mergeCell ref="E24:H24"/>
    <mergeCell ref="A26:D26"/>
    <mergeCell ref="E26:H26"/>
    <mergeCell ref="A23:D23"/>
    <mergeCell ref="E23:H23"/>
    <mergeCell ref="A18:B18"/>
    <mergeCell ref="C18:D18"/>
    <mergeCell ref="E18:F18"/>
    <mergeCell ref="G18:H18"/>
    <mergeCell ref="A19:B19"/>
    <mergeCell ref="C19:D19"/>
    <mergeCell ref="E19:F19"/>
    <mergeCell ref="G19:H19"/>
    <mergeCell ref="A20:D21"/>
    <mergeCell ref="E20:H21"/>
    <mergeCell ref="A22:D22"/>
    <mergeCell ref="E22:H22"/>
    <mergeCell ref="A11:D11"/>
    <mergeCell ref="E11:H11"/>
    <mergeCell ref="A5:D5"/>
    <mergeCell ref="E5:H5"/>
    <mergeCell ref="A6:D6"/>
    <mergeCell ref="E6:H6"/>
    <mergeCell ref="A7:D7"/>
    <mergeCell ref="E7:H7"/>
    <mergeCell ref="A15:B15"/>
    <mergeCell ref="A12:D12"/>
    <mergeCell ref="E12:H12"/>
    <mergeCell ref="A13:D13"/>
    <mergeCell ref="E13:H13"/>
    <mergeCell ref="A14:B14"/>
    <mergeCell ref="C14:H14"/>
    <mergeCell ref="C15:H15"/>
    <mergeCell ref="A17:B17"/>
    <mergeCell ref="C17:D17"/>
    <mergeCell ref="E17:F17"/>
    <mergeCell ref="G17:H17"/>
    <mergeCell ref="A1:H1"/>
    <mergeCell ref="A2:H2"/>
    <mergeCell ref="A3:D3"/>
    <mergeCell ref="E3:H3"/>
    <mergeCell ref="A4:D4"/>
    <mergeCell ref="A8:D8"/>
    <mergeCell ref="E8:H8"/>
    <mergeCell ref="A10:D10"/>
    <mergeCell ref="E10:H10"/>
    <mergeCell ref="E4:H4"/>
    <mergeCell ref="A9:D9"/>
    <mergeCell ref="E9:H9"/>
    <mergeCell ref="A27:D27"/>
    <mergeCell ref="E27:H27"/>
    <mergeCell ref="A40:D40"/>
    <mergeCell ref="E40:H40"/>
    <mergeCell ref="A28:D28"/>
    <mergeCell ref="E28:H28"/>
    <mergeCell ref="A35:H35"/>
    <mergeCell ref="A34:B34"/>
    <mergeCell ref="A29:D29"/>
    <mergeCell ref="E29:H29"/>
    <mergeCell ref="A38:H38"/>
    <mergeCell ref="A39:D39"/>
    <mergeCell ref="E39:H39"/>
    <mergeCell ref="F31:H31"/>
    <mergeCell ref="F32:H32"/>
    <mergeCell ref="C30:E30"/>
    <mergeCell ref="F33:H33"/>
    <mergeCell ref="F34:H34"/>
    <mergeCell ref="F30:H30"/>
    <mergeCell ref="A31:B31"/>
    <mergeCell ref="A30:B30"/>
    <mergeCell ref="A36:B36"/>
    <mergeCell ref="C31:E31"/>
    <mergeCell ref="A32:B32"/>
    <mergeCell ref="A231:H234"/>
    <mergeCell ref="A230:B230"/>
    <mergeCell ref="E230:F230"/>
    <mergeCell ref="C230:D230"/>
    <mergeCell ref="G230:H230"/>
    <mergeCell ref="A136:H136"/>
    <mergeCell ref="A129:E129"/>
    <mergeCell ref="F129:H129"/>
    <mergeCell ref="A130:E130"/>
    <mergeCell ref="F130:H130"/>
    <mergeCell ref="D141:E141"/>
    <mergeCell ref="F141:H141"/>
    <mergeCell ref="A149:H149"/>
    <mergeCell ref="A141:B141"/>
    <mergeCell ref="A160:B160"/>
    <mergeCell ref="A161:B161"/>
    <mergeCell ref="A146:H146"/>
    <mergeCell ref="A140:B140"/>
    <mergeCell ref="D140:E140"/>
    <mergeCell ref="G148:H148"/>
    <mergeCell ref="A139:H139"/>
    <mergeCell ref="A178:B178"/>
    <mergeCell ref="A179:B179"/>
    <mergeCell ref="A201:H201"/>
    <mergeCell ref="A56:C56"/>
    <mergeCell ref="D56:H56"/>
    <mergeCell ref="A54:C54"/>
    <mergeCell ref="D54:H54"/>
    <mergeCell ref="D53:H53"/>
    <mergeCell ref="E42:H42"/>
    <mergeCell ref="E43:H43"/>
    <mergeCell ref="E44:H44"/>
    <mergeCell ref="A42:D42"/>
    <mergeCell ref="A43:D43"/>
    <mergeCell ref="A44:D44"/>
    <mergeCell ref="A45:H45"/>
    <mergeCell ref="A52:H52"/>
    <mergeCell ref="A53:C53"/>
    <mergeCell ref="G47:H47"/>
    <mergeCell ref="A47:B47"/>
    <mergeCell ref="C47:E47"/>
    <mergeCell ref="C49:E49"/>
    <mergeCell ref="A46:B46"/>
    <mergeCell ref="C46:E46"/>
    <mergeCell ref="D55:H55"/>
    <mergeCell ref="A55:C55"/>
    <mergeCell ref="G51:H51"/>
    <mergeCell ref="A51:B51"/>
    <mergeCell ref="C32:E32"/>
    <mergeCell ref="A33:B33"/>
    <mergeCell ref="C33:E33"/>
    <mergeCell ref="C34:E34"/>
    <mergeCell ref="A49:B50"/>
    <mergeCell ref="G49:H49"/>
    <mergeCell ref="A41:D41"/>
    <mergeCell ref="E41:H41"/>
    <mergeCell ref="C50:H50"/>
    <mergeCell ref="C36:H36"/>
    <mergeCell ref="A37:B37"/>
    <mergeCell ref="C37:H37"/>
    <mergeCell ref="A48:B48"/>
    <mergeCell ref="C48:E48"/>
    <mergeCell ref="G48:H48"/>
    <mergeCell ref="C51:E51"/>
    <mergeCell ref="G46:H46"/>
    <mergeCell ref="A57:C57"/>
    <mergeCell ref="A58:C58"/>
    <mergeCell ref="D57:H57"/>
    <mergeCell ref="D58:H58"/>
    <mergeCell ref="A203:H203"/>
    <mergeCell ref="G204:H207"/>
    <mergeCell ref="A105:B105"/>
    <mergeCell ref="A193:B193"/>
    <mergeCell ref="A194:B194"/>
    <mergeCell ref="A195:B195"/>
    <mergeCell ref="A189:B189"/>
    <mergeCell ref="A190:B190"/>
    <mergeCell ref="A196:B196"/>
    <mergeCell ref="A199:B199"/>
    <mergeCell ref="A207:B207"/>
    <mergeCell ref="A150:H150"/>
    <mergeCell ref="A128:E128"/>
    <mergeCell ref="F128:H128"/>
    <mergeCell ref="A122:E122"/>
    <mergeCell ref="F122:H122"/>
    <mergeCell ref="A126:E126"/>
    <mergeCell ref="F126:H126"/>
    <mergeCell ref="A191:H191"/>
    <mergeCell ref="G192:H199"/>
    <mergeCell ref="A127:E127"/>
    <mergeCell ref="F127:H127"/>
    <mergeCell ref="A123:E123"/>
    <mergeCell ref="F123:H123"/>
    <mergeCell ref="A124:E124"/>
    <mergeCell ref="A162:B162"/>
    <mergeCell ref="A142:B142"/>
    <mergeCell ref="D142:E142"/>
    <mergeCell ref="F142:H142"/>
    <mergeCell ref="D143:E143"/>
    <mergeCell ref="F143:H143"/>
    <mergeCell ref="A144:B144"/>
    <mergeCell ref="D144:E144"/>
    <mergeCell ref="F144:H144"/>
    <mergeCell ref="A145:B145"/>
    <mergeCell ref="D145:E145"/>
    <mergeCell ref="F145:H145"/>
    <mergeCell ref="A133:B133"/>
    <mergeCell ref="D133:E133"/>
    <mergeCell ref="F133:H133"/>
    <mergeCell ref="D137:E137"/>
    <mergeCell ref="F137:H137"/>
    <mergeCell ref="G215:H220"/>
    <mergeCell ref="A208:H208"/>
    <mergeCell ref="A209:H209"/>
    <mergeCell ref="A210:B210"/>
    <mergeCell ref="A211:B211"/>
    <mergeCell ref="A212:B212"/>
    <mergeCell ref="A213:B213"/>
    <mergeCell ref="A138:B138"/>
    <mergeCell ref="D138:E138"/>
    <mergeCell ref="F138:H138"/>
    <mergeCell ref="A215:B215"/>
    <mergeCell ref="A216:B216"/>
    <mergeCell ref="A217:B217"/>
    <mergeCell ref="A218:B218"/>
    <mergeCell ref="A219:B219"/>
    <mergeCell ref="A220:B220"/>
    <mergeCell ref="A163:B163"/>
    <mergeCell ref="G151:H163"/>
    <mergeCell ref="A164:H164"/>
    <mergeCell ref="A180:B180"/>
    <mergeCell ref="A181:B181"/>
    <mergeCell ref="A176:B176"/>
    <mergeCell ref="A192:B192"/>
    <mergeCell ref="A184:B184"/>
    <mergeCell ref="F134:H134"/>
    <mergeCell ref="F124:H124"/>
    <mergeCell ref="A125:E125"/>
    <mergeCell ref="F125:H125"/>
    <mergeCell ref="A131:H131"/>
    <mergeCell ref="A132:B132"/>
    <mergeCell ref="D132:E132"/>
    <mergeCell ref="F132:H132"/>
    <mergeCell ref="A135:B135"/>
    <mergeCell ref="D135:E135"/>
    <mergeCell ref="F135:H135"/>
    <mergeCell ref="A134:B134"/>
    <mergeCell ref="D134:E134"/>
  </mergeCells>
  <hyperlinks>
    <hyperlink ref="C37" r:id="rId1"/>
  </hyperlinks>
  <printOptions horizontalCentered="1"/>
  <pageMargins left="0.39370078740157483" right="0.39370078740157483" top="0.78740157480314965" bottom="0.78740157480314965" header="0.19685039370078741" footer="0.19685039370078741"/>
  <pageSetup fitToHeight="0" orientation="portrait" r:id="rId2"/>
  <headerFooter>
    <oddHeader>&amp;C&amp;G</oddHeader>
    <oddFooter>&amp;L&amp;"Times New Roman,Bold"&amp;12Ref No: &amp;F&amp;C&amp;G&amp;R&amp;"Times New Roman,Bold"&amp;12                                                                   &amp;P</oddFooter>
  </headerFooter>
  <rowBreaks count="4" manualBreakCount="4">
    <brk id="74" max="16383" man="1"/>
    <brk id="234" max="16383" man="1"/>
    <brk id="275" max="16383" man="1"/>
    <brk id="307"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activeCell="M197" sqref="M197"/>
    </sheetView>
  </sheetViews>
  <sheetFormatPr defaultRowHeight="15" x14ac:dyDescent="0.25"/>
  <cols>
    <col min="2" max="2" width="12.28515625" customWidth="1"/>
  </cols>
  <sheetData>
    <row r="2" spans="1:12" x14ac:dyDescent="0.25">
      <c r="B2" s="3" t="s">
        <v>84</v>
      </c>
      <c r="C2" s="175"/>
      <c r="D2" s="175"/>
    </row>
    <row r="3" spans="1:12" x14ac:dyDescent="0.25">
      <c r="D3" s="4"/>
      <c r="E3" s="4"/>
      <c r="F3" s="4"/>
      <c r="G3" s="4"/>
      <c r="H3" s="4"/>
      <c r="I3" s="4"/>
    </row>
    <row r="4" spans="1:12" x14ac:dyDescent="0.25">
      <c r="A4" s="3" t="s">
        <v>85</v>
      </c>
      <c r="B4" s="5" t="s">
        <v>86</v>
      </c>
      <c r="C4" s="176" t="s">
        <v>87</v>
      </c>
      <c r="D4" s="176"/>
      <c r="E4" s="176"/>
      <c r="F4" s="6"/>
      <c r="G4" s="176" t="s">
        <v>88</v>
      </c>
      <c r="H4" s="176"/>
      <c r="I4" s="176"/>
      <c r="J4" s="176" t="s">
        <v>89</v>
      </c>
      <c r="K4" s="176"/>
      <c r="L4" s="176"/>
    </row>
    <row r="5" spans="1:12" x14ac:dyDescent="0.25">
      <c r="A5" s="3">
        <v>202</v>
      </c>
      <c r="B5" s="5"/>
      <c r="C5" s="5" t="s">
        <v>90</v>
      </c>
      <c r="D5" s="5" t="s">
        <v>91</v>
      </c>
      <c r="E5" s="5" t="s">
        <v>65</v>
      </c>
      <c r="F5" s="5"/>
      <c r="G5" s="5" t="s">
        <v>90</v>
      </c>
      <c r="H5" s="5" t="s">
        <v>91</v>
      </c>
      <c r="I5" s="5" t="s">
        <v>65</v>
      </c>
      <c r="J5" s="5" t="s">
        <v>90</v>
      </c>
      <c r="K5" s="5" t="s">
        <v>91</v>
      </c>
      <c r="L5" s="5" t="s">
        <v>65</v>
      </c>
    </row>
    <row r="6" spans="1:12" x14ac:dyDescent="0.25">
      <c r="B6" s="7" t="s">
        <v>92</v>
      </c>
      <c r="C6" s="7">
        <v>4.5</v>
      </c>
      <c r="D6" s="7">
        <v>2.9</v>
      </c>
      <c r="E6" s="7">
        <f>C6*D6</f>
        <v>13.049999999999999</v>
      </c>
      <c r="F6" s="7" t="s">
        <v>93</v>
      </c>
      <c r="G6" s="7"/>
      <c r="H6" s="7"/>
      <c r="I6" s="7">
        <f>G6*H6</f>
        <v>0</v>
      </c>
      <c r="J6" s="7"/>
      <c r="K6" s="7"/>
      <c r="L6" s="7">
        <f>J6*K6</f>
        <v>0</v>
      </c>
    </row>
    <row r="7" spans="1:12" x14ac:dyDescent="0.25">
      <c r="B7" s="7"/>
      <c r="C7" s="7"/>
      <c r="D7" s="7"/>
      <c r="E7" s="7">
        <f t="shared" ref="E7:E33" si="0">C7*D7</f>
        <v>0</v>
      </c>
      <c r="F7" s="7" t="s">
        <v>94</v>
      </c>
      <c r="G7" s="7"/>
      <c r="H7" s="7"/>
      <c r="I7" s="7">
        <f t="shared" ref="I7:I29" si="1">G7*H7</f>
        <v>0</v>
      </c>
      <c r="J7" s="7"/>
      <c r="K7" s="7"/>
      <c r="L7" s="7">
        <f t="shared" ref="L7:L29" si="2">J7*K7</f>
        <v>0</v>
      </c>
    </row>
    <row r="8" spans="1:12" x14ac:dyDescent="0.25">
      <c r="B8" s="7"/>
      <c r="C8" s="7"/>
      <c r="D8" s="7"/>
      <c r="E8" s="7">
        <f t="shared" si="0"/>
        <v>0</v>
      </c>
      <c r="F8" s="7"/>
      <c r="G8" s="7"/>
      <c r="H8" s="7"/>
      <c r="I8" s="7">
        <f t="shared" si="1"/>
        <v>0</v>
      </c>
      <c r="J8" s="7"/>
      <c r="K8" s="7"/>
      <c r="L8" s="7">
        <f t="shared" si="2"/>
        <v>0</v>
      </c>
    </row>
    <row r="9" spans="1:12" x14ac:dyDescent="0.25">
      <c r="B9" s="7" t="s">
        <v>95</v>
      </c>
      <c r="C9" s="7">
        <v>1.88</v>
      </c>
      <c r="D9" s="7">
        <v>2.13</v>
      </c>
      <c r="E9" s="7">
        <f t="shared" si="0"/>
        <v>4.0043999999999995</v>
      </c>
      <c r="F9" s="7" t="s">
        <v>93</v>
      </c>
      <c r="G9" s="7"/>
      <c r="H9" s="7"/>
      <c r="I9" s="7">
        <f t="shared" si="1"/>
        <v>0</v>
      </c>
      <c r="J9" s="7"/>
      <c r="K9" s="7"/>
      <c r="L9" s="7">
        <f t="shared" si="2"/>
        <v>0</v>
      </c>
    </row>
    <row r="10" spans="1:12" x14ac:dyDescent="0.25">
      <c r="B10" s="7"/>
      <c r="C10" s="7"/>
      <c r="D10" s="7"/>
      <c r="E10" s="7">
        <f t="shared" si="0"/>
        <v>0</v>
      </c>
      <c r="F10" s="7" t="s">
        <v>94</v>
      </c>
      <c r="G10" s="7"/>
      <c r="H10" s="7"/>
      <c r="I10" s="7">
        <f t="shared" si="1"/>
        <v>0</v>
      </c>
      <c r="J10" s="7"/>
      <c r="K10" s="7"/>
      <c r="L10" s="7">
        <f t="shared" si="2"/>
        <v>0</v>
      </c>
    </row>
    <row r="11" spans="1:12" x14ac:dyDescent="0.25">
      <c r="B11" s="7"/>
      <c r="C11" s="7"/>
      <c r="D11" s="7"/>
      <c r="E11" s="7">
        <f t="shared" si="0"/>
        <v>0</v>
      </c>
      <c r="F11" s="7"/>
      <c r="G11" s="7"/>
      <c r="H11" s="7"/>
      <c r="I11" s="7">
        <f t="shared" si="1"/>
        <v>0</v>
      </c>
      <c r="J11" s="7"/>
      <c r="K11" s="7"/>
      <c r="L11" s="7">
        <f t="shared" si="2"/>
        <v>0</v>
      </c>
    </row>
    <row r="12" spans="1:12" x14ac:dyDescent="0.25">
      <c r="B12" s="7"/>
      <c r="C12" s="7"/>
      <c r="D12" s="7"/>
      <c r="E12" s="7">
        <f t="shared" si="0"/>
        <v>0</v>
      </c>
      <c r="F12" s="7"/>
      <c r="G12" s="7"/>
      <c r="H12" s="7"/>
      <c r="I12" s="7">
        <f t="shared" si="1"/>
        <v>0</v>
      </c>
      <c r="J12" s="7"/>
      <c r="K12" s="7"/>
      <c r="L12" s="7">
        <f t="shared" si="2"/>
        <v>0</v>
      </c>
    </row>
    <row r="13" spans="1:12" x14ac:dyDescent="0.25">
      <c r="B13" s="7" t="s">
        <v>96</v>
      </c>
      <c r="C13" s="7"/>
      <c r="D13" s="7"/>
      <c r="E13" s="7">
        <f t="shared" si="0"/>
        <v>0</v>
      </c>
      <c r="F13" s="7" t="s">
        <v>93</v>
      </c>
      <c r="G13" s="7"/>
      <c r="H13" s="7"/>
      <c r="I13" s="7">
        <f t="shared" si="1"/>
        <v>0</v>
      </c>
      <c r="J13" s="7"/>
      <c r="K13" s="7"/>
      <c r="L13" s="7">
        <f t="shared" si="2"/>
        <v>0</v>
      </c>
    </row>
    <row r="14" spans="1:12" x14ac:dyDescent="0.25">
      <c r="B14" s="7"/>
      <c r="C14" s="7"/>
      <c r="D14" s="7"/>
      <c r="E14" s="7">
        <f t="shared" si="0"/>
        <v>0</v>
      </c>
      <c r="F14" s="7" t="s">
        <v>94</v>
      </c>
      <c r="G14" s="7"/>
      <c r="H14" s="7"/>
      <c r="I14" s="7">
        <f t="shared" si="1"/>
        <v>0</v>
      </c>
      <c r="J14" s="7"/>
      <c r="K14" s="7"/>
      <c r="L14" s="7">
        <f t="shared" si="2"/>
        <v>0</v>
      </c>
    </row>
    <row r="15" spans="1:12" x14ac:dyDescent="0.25">
      <c r="B15" s="7"/>
      <c r="C15" s="7"/>
      <c r="D15" s="7"/>
      <c r="E15" s="7">
        <f t="shared" si="0"/>
        <v>0</v>
      </c>
      <c r="F15" s="7"/>
      <c r="G15" s="7"/>
      <c r="H15" s="7"/>
      <c r="I15" s="7">
        <f t="shared" si="1"/>
        <v>0</v>
      </c>
      <c r="J15" s="7"/>
      <c r="K15" s="7"/>
      <c r="L15" s="7">
        <f t="shared" si="2"/>
        <v>0</v>
      </c>
    </row>
    <row r="16" spans="1:12" x14ac:dyDescent="0.25">
      <c r="B16" s="7"/>
      <c r="C16" s="7"/>
      <c r="D16" s="7"/>
      <c r="E16" s="7">
        <f t="shared" si="0"/>
        <v>0</v>
      </c>
      <c r="F16" s="7"/>
      <c r="G16" s="7"/>
      <c r="H16" s="7"/>
      <c r="I16" s="7">
        <f t="shared" si="1"/>
        <v>0</v>
      </c>
      <c r="J16" s="7"/>
      <c r="K16" s="7"/>
      <c r="L16" s="7">
        <f t="shared" si="2"/>
        <v>0</v>
      </c>
    </row>
    <row r="17" spans="2:12" x14ac:dyDescent="0.25">
      <c r="B17" s="7" t="s">
        <v>97</v>
      </c>
      <c r="C17" s="7"/>
      <c r="D17" s="7"/>
      <c r="E17" s="7">
        <f t="shared" si="0"/>
        <v>0</v>
      </c>
      <c r="F17" s="7" t="s">
        <v>93</v>
      </c>
      <c r="G17" s="7"/>
      <c r="H17" s="7"/>
      <c r="I17" s="7">
        <f t="shared" si="1"/>
        <v>0</v>
      </c>
      <c r="J17" s="7"/>
      <c r="K17" s="7"/>
      <c r="L17" s="7">
        <f t="shared" si="2"/>
        <v>0</v>
      </c>
    </row>
    <row r="18" spans="2:12" x14ac:dyDescent="0.25">
      <c r="B18" s="7"/>
      <c r="C18" s="7"/>
      <c r="D18" s="7"/>
      <c r="E18" s="7">
        <f t="shared" si="0"/>
        <v>0</v>
      </c>
      <c r="F18" s="7" t="s">
        <v>94</v>
      </c>
      <c r="G18" s="7"/>
      <c r="H18" s="7"/>
      <c r="I18" s="7">
        <f t="shared" si="1"/>
        <v>0</v>
      </c>
      <c r="J18" s="7"/>
      <c r="K18" s="7"/>
      <c r="L18" s="7">
        <f t="shared" si="2"/>
        <v>0</v>
      </c>
    </row>
    <row r="19" spans="2:12" x14ac:dyDescent="0.25">
      <c r="B19" s="7"/>
      <c r="C19" s="7"/>
      <c r="D19" s="7"/>
      <c r="E19" s="7">
        <f t="shared" si="0"/>
        <v>0</v>
      </c>
      <c r="F19" s="7"/>
      <c r="G19" s="7"/>
      <c r="H19" s="7"/>
      <c r="I19" s="7">
        <f t="shared" si="1"/>
        <v>0</v>
      </c>
      <c r="J19" s="7"/>
      <c r="K19" s="7"/>
      <c r="L19" s="7">
        <f t="shared" si="2"/>
        <v>0</v>
      </c>
    </row>
    <row r="20" spans="2:12" x14ac:dyDescent="0.25">
      <c r="B20" s="7" t="s">
        <v>97</v>
      </c>
      <c r="C20" s="7"/>
      <c r="D20" s="7"/>
      <c r="E20" s="7">
        <f t="shared" si="0"/>
        <v>0</v>
      </c>
      <c r="F20" s="7" t="s">
        <v>93</v>
      </c>
      <c r="G20" s="7"/>
      <c r="H20" s="7"/>
      <c r="I20" s="7">
        <f t="shared" si="1"/>
        <v>0</v>
      </c>
      <c r="J20" s="7"/>
      <c r="K20" s="7"/>
      <c r="L20" s="7">
        <f t="shared" si="2"/>
        <v>0</v>
      </c>
    </row>
    <row r="21" spans="2:12" x14ac:dyDescent="0.25">
      <c r="B21" s="7"/>
      <c r="C21" s="7"/>
      <c r="D21" s="7"/>
      <c r="E21" s="7">
        <f t="shared" si="0"/>
        <v>0</v>
      </c>
      <c r="F21" s="7" t="s">
        <v>94</v>
      </c>
      <c r="G21" s="7"/>
      <c r="H21" s="7"/>
      <c r="I21" s="7">
        <f t="shared" si="1"/>
        <v>0</v>
      </c>
      <c r="J21" s="7"/>
      <c r="K21" s="7"/>
      <c r="L21" s="7">
        <f t="shared" si="2"/>
        <v>0</v>
      </c>
    </row>
    <row r="22" spans="2:12" x14ac:dyDescent="0.25">
      <c r="B22" s="7"/>
      <c r="C22" s="7"/>
      <c r="D22" s="7"/>
      <c r="E22" s="7">
        <f t="shared" si="0"/>
        <v>0</v>
      </c>
      <c r="F22" s="7"/>
      <c r="G22" s="7"/>
      <c r="H22" s="7"/>
      <c r="I22" s="7">
        <f t="shared" si="1"/>
        <v>0</v>
      </c>
      <c r="J22" s="7"/>
      <c r="K22" s="7"/>
      <c r="L22" s="7">
        <f t="shared" si="2"/>
        <v>0</v>
      </c>
    </row>
    <row r="23" spans="2:12" x14ac:dyDescent="0.25">
      <c r="B23" s="7" t="s">
        <v>98</v>
      </c>
      <c r="C23" s="7">
        <v>1.9</v>
      </c>
      <c r="D23" s="7">
        <v>1.07</v>
      </c>
      <c r="E23" s="7">
        <f t="shared" si="0"/>
        <v>2.0329999999999999</v>
      </c>
      <c r="F23" s="7" t="s">
        <v>99</v>
      </c>
      <c r="G23" s="7"/>
      <c r="H23" s="7"/>
      <c r="I23" s="7">
        <f t="shared" si="1"/>
        <v>0</v>
      </c>
      <c r="J23" s="7"/>
      <c r="K23" s="7"/>
      <c r="L23" s="7">
        <f t="shared" si="2"/>
        <v>0</v>
      </c>
    </row>
    <row r="24" spans="2:12" x14ac:dyDescent="0.25">
      <c r="B24" s="7" t="s">
        <v>100</v>
      </c>
      <c r="C24" s="7"/>
      <c r="D24" s="7"/>
      <c r="E24" s="7">
        <f t="shared" si="0"/>
        <v>0</v>
      </c>
      <c r="F24" s="7" t="s">
        <v>99</v>
      </c>
      <c r="G24" s="7"/>
      <c r="H24" s="7"/>
      <c r="I24" s="7">
        <f t="shared" si="1"/>
        <v>0</v>
      </c>
      <c r="J24" s="7"/>
      <c r="K24" s="7"/>
      <c r="L24" s="7">
        <f t="shared" si="2"/>
        <v>0</v>
      </c>
    </row>
    <row r="25" spans="2:12" x14ac:dyDescent="0.25">
      <c r="B25" s="7" t="s">
        <v>101</v>
      </c>
      <c r="C25" s="7"/>
      <c r="D25" s="7"/>
      <c r="E25" s="7">
        <f t="shared" si="0"/>
        <v>0</v>
      </c>
      <c r="F25" s="7" t="s">
        <v>99</v>
      </c>
      <c r="G25" s="7"/>
      <c r="H25" s="7"/>
      <c r="I25" s="7">
        <f t="shared" si="1"/>
        <v>0</v>
      </c>
      <c r="J25" s="7"/>
      <c r="K25" s="7"/>
      <c r="L25" s="7">
        <f t="shared" si="2"/>
        <v>0</v>
      </c>
    </row>
    <row r="26" spans="2:12" x14ac:dyDescent="0.25">
      <c r="B26" s="7"/>
      <c r="C26" s="7"/>
      <c r="D26" s="7"/>
      <c r="E26" s="7">
        <f t="shared" si="0"/>
        <v>0</v>
      </c>
      <c r="F26" s="7"/>
      <c r="G26" s="7"/>
      <c r="H26" s="7"/>
      <c r="I26" s="7">
        <f t="shared" si="1"/>
        <v>0</v>
      </c>
      <c r="J26" s="7"/>
      <c r="K26" s="7"/>
      <c r="L26" s="7">
        <f t="shared" si="2"/>
        <v>0</v>
      </c>
    </row>
    <row r="27" spans="2:12" x14ac:dyDescent="0.25">
      <c r="B27" s="7" t="s">
        <v>102</v>
      </c>
      <c r="C27" s="7"/>
      <c r="D27" s="7"/>
      <c r="E27" s="7">
        <f t="shared" si="0"/>
        <v>0</v>
      </c>
      <c r="F27" s="7"/>
      <c r="G27" s="7"/>
      <c r="H27" s="7"/>
      <c r="I27" s="7">
        <f t="shared" si="1"/>
        <v>0</v>
      </c>
      <c r="J27" s="7"/>
      <c r="K27" s="7"/>
      <c r="L27" s="7">
        <f t="shared" si="2"/>
        <v>0</v>
      </c>
    </row>
    <row r="28" spans="2:12" x14ac:dyDescent="0.25">
      <c r="B28" s="7" t="s">
        <v>103</v>
      </c>
      <c r="C28" s="7"/>
      <c r="D28" s="7"/>
      <c r="E28" s="7">
        <f t="shared" si="0"/>
        <v>0</v>
      </c>
      <c r="F28" s="7"/>
      <c r="G28" s="7"/>
      <c r="H28" s="7"/>
      <c r="I28" s="7">
        <f t="shared" si="1"/>
        <v>0</v>
      </c>
      <c r="J28" s="7"/>
      <c r="K28" s="7"/>
      <c r="L28" s="7">
        <f t="shared" si="2"/>
        <v>0</v>
      </c>
    </row>
    <row r="29" spans="2:12" x14ac:dyDescent="0.25">
      <c r="B29" s="7" t="s">
        <v>104</v>
      </c>
      <c r="C29" s="7"/>
      <c r="D29" s="7"/>
      <c r="E29" s="7">
        <f t="shared" si="0"/>
        <v>0</v>
      </c>
      <c r="F29" s="7"/>
      <c r="G29" s="7"/>
      <c r="H29" s="7"/>
      <c r="I29" s="7">
        <f t="shared" si="1"/>
        <v>0</v>
      </c>
      <c r="J29" s="7"/>
      <c r="K29" s="7"/>
      <c r="L29" s="7">
        <f t="shared" si="2"/>
        <v>0</v>
      </c>
    </row>
    <row r="30" spans="2:12" x14ac:dyDescent="0.25">
      <c r="B30" s="7" t="s">
        <v>105</v>
      </c>
      <c r="C30" s="7"/>
      <c r="D30" s="7"/>
      <c r="E30" s="7">
        <f t="shared" si="0"/>
        <v>0</v>
      </c>
      <c r="F30" s="7"/>
      <c r="G30" s="7"/>
      <c r="H30" s="7"/>
      <c r="I30" s="7">
        <f>G30*H30</f>
        <v>0</v>
      </c>
      <c r="J30" s="7"/>
      <c r="K30" s="7"/>
      <c r="L30" s="7">
        <f>J30*K30</f>
        <v>0</v>
      </c>
    </row>
    <row r="31" spans="2:12" x14ac:dyDescent="0.25">
      <c r="B31" s="7"/>
      <c r="C31" s="7"/>
      <c r="D31" s="7"/>
      <c r="E31" s="7">
        <f t="shared" si="0"/>
        <v>0</v>
      </c>
      <c r="F31" s="7"/>
      <c r="G31" s="7"/>
      <c r="H31" s="7"/>
      <c r="I31" s="7">
        <f>G31*H31</f>
        <v>0</v>
      </c>
      <c r="J31" s="7"/>
      <c r="K31" s="7"/>
      <c r="L31" s="7">
        <f>J31*K31</f>
        <v>0</v>
      </c>
    </row>
    <row r="32" spans="2:12" x14ac:dyDescent="0.25">
      <c r="B32" s="7"/>
      <c r="C32" s="7"/>
      <c r="D32" s="7"/>
      <c r="E32" s="7">
        <f t="shared" si="0"/>
        <v>0</v>
      </c>
      <c r="F32" s="7"/>
      <c r="G32" s="7"/>
      <c r="H32" s="7"/>
      <c r="I32" s="7">
        <f>G32*H32</f>
        <v>0</v>
      </c>
      <c r="J32" s="7"/>
      <c r="K32" s="7"/>
      <c r="L32" s="7">
        <f>J32*K32</f>
        <v>0</v>
      </c>
    </row>
    <row r="33" spans="2:12" x14ac:dyDescent="0.25">
      <c r="B33" s="7"/>
      <c r="C33" s="7"/>
      <c r="D33" s="7"/>
      <c r="E33" s="7">
        <f t="shared" si="0"/>
        <v>0</v>
      </c>
      <c r="F33" s="7"/>
      <c r="G33" s="7"/>
      <c r="H33" s="7"/>
      <c r="I33" s="7">
        <f>G33*H33</f>
        <v>0</v>
      </c>
      <c r="J33" s="7"/>
      <c r="K33" s="7"/>
      <c r="L33" s="7">
        <f>J33*K33</f>
        <v>0</v>
      </c>
    </row>
    <row r="34" spans="2:12" x14ac:dyDescent="0.25">
      <c r="B34" s="7" t="s">
        <v>66</v>
      </c>
      <c r="C34" s="7"/>
      <c r="D34" s="7">
        <f>E34*10.764</f>
        <v>205.45677359999996</v>
      </c>
      <c r="E34" s="7">
        <f>SUM(E6:E33)</f>
        <v>19.087399999999999</v>
      </c>
      <c r="F34" s="7"/>
      <c r="G34" s="7"/>
      <c r="H34" s="7">
        <f>I34*10.764</f>
        <v>0</v>
      </c>
      <c r="I34" s="7">
        <f>SUM(I6:I33)</f>
        <v>0</v>
      </c>
      <c r="J34" s="7"/>
      <c r="K34" s="7">
        <f>L34*10.764</f>
        <v>0</v>
      </c>
      <c r="L34" s="7">
        <f>SUM(L6:L33)</f>
        <v>0</v>
      </c>
    </row>
    <row r="36" spans="2:12" x14ac:dyDescent="0.25">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workbookViewId="0">
      <selection activeCell="J2" sqref="J2:J7"/>
    </sheetView>
  </sheetViews>
  <sheetFormatPr defaultRowHeight="15" x14ac:dyDescent="0.25"/>
  <sheetData>
    <row r="1" spans="1:10" x14ac:dyDescent="0.25">
      <c r="A1">
        <v>301</v>
      </c>
      <c r="B1">
        <v>401</v>
      </c>
      <c r="C1">
        <v>501</v>
      </c>
      <c r="D1">
        <v>601</v>
      </c>
      <c r="E1" t="str">
        <f>A1&amp;",..,"&amp;B1&amp;",..,"&amp;C1&amp;",…,"&amp;D1</f>
        <v>301,..,401,..,501,…,601</v>
      </c>
    </row>
    <row r="2" spans="1:10" x14ac:dyDescent="0.25">
      <c r="A2">
        <v>302</v>
      </c>
      <c r="B2">
        <v>402</v>
      </c>
      <c r="C2">
        <v>502</v>
      </c>
      <c r="D2">
        <v>602</v>
      </c>
      <c r="E2" t="str">
        <f>A1&amp;" to "&amp;D1</f>
        <v>301 to 601</v>
      </c>
      <c r="F2" t="s">
        <v>191</v>
      </c>
      <c r="G2">
        <v>101</v>
      </c>
      <c r="H2">
        <v>701</v>
      </c>
      <c r="I2" t="str">
        <f t="shared" ref="I2:I7" si="0">G2&amp;" to "&amp;H2</f>
        <v>101 to 701</v>
      </c>
      <c r="J2" t="s">
        <v>207</v>
      </c>
    </row>
    <row r="3" spans="1:10" x14ac:dyDescent="0.25">
      <c r="A3">
        <v>303</v>
      </c>
      <c r="B3">
        <v>403</v>
      </c>
      <c r="C3">
        <v>503</v>
      </c>
      <c r="D3">
        <v>603</v>
      </c>
      <c r="E3" t="str">
        <f t="shared" ref="E3:E8" si="1">A2&amp;" to "&amp;D2</f>
        <v>302 to 602</v>
      </c>
      <c r="F3" t="s">
        <v>192</v>
      </c>
      <c r="G3">
        <v>102</v>
      </c>
      <c r="H3">
        <v>702</v>
      </c>
      <c r="I3" t="str">
        <f t="shared" si="0"/>
        <v>102 to 702</v>
      </c>
      <c r="J3" t="s">
        <v>208</v>
      </c>
    </row>
    <row r="4" spans="1:10" x14ac:dyDescent="0.25">
      <c r="A4">
        <v>304</v>
      </c>
      <c r="B4">
        <v>404</v>
      </c>
      <c r="C4">
        <v>504</v>
      </c>
      <c r="D4">
        <v>604</v>
      </c>
      <c r="E4" t="str">
        <f t="shared" si="1"/>
        <v>303 to 603</v>
      </c>
      <c r="F4" t="s">
        <v>193</v>
      </c>
      <c r="G4">
        <v>103</v>
      </c>
      <c r="H4">
        <v>703</v>
      </c>
      <c r="I4" t="str">
        <f t="shared" si="0"/>
        <v>103 to 703</v>
      </c>
      <c r="J4" t="s">
        <v>209</v>
      </c>
    </row>
    <row r="5" spans="1:10" x14ac:dyDescent="0.25">
      <c r="A5">
        <v>305</v>
      </c>
      <c r="B5">
        <v>405</v>
      </c>
      <c r="C5">
        <v>505</v>
      </c>
      <c r="D5">
        <v>605</v>
      </c>
      <c r="E5" t="str">
        <f t="shared" si="1"/>
        <v>304 to 604</v>
      </c>
      <c r="F5" t="s">
        <v>194</v>
      </c>
      <c r="G5">
        <v>104</v>
      </c>
      <c r="H5">
        <v>704</v>
      </c>
      <c r="I5" t="str">
        <f t="shared" si="0"/>
        <v>104 to 704</v>
      </c>
      <c r="J5" t="s">
        <v>210</v>
      </c>
    </row>
    <row r="6" spans="1:10" x14ac:dyDescent="0.25">
      <c r="A6">
        <v>306</v>
      </c>
      <c r="B6">
        <v>406</v>
      </c>
      <c r="C6">
        <v>506</v>
      </c>
      <c r="D6">
        <v>606</v>
      </c>
      <c r="E6" t="str">
        <f t="shared" si="1"/>
        <v>305 to 605</v>
      </c>
      <c r="F6" t="s">
        <v>195</v>
      </c>
      <c r="G6">
        <v>105</v>
      </c>
      <c r="H6">
        <v>705</v>
      </c>
      <c r="I6" t="str">
        <f t="shared" si="0"/>
        <v>105 to 705</v>
      </c>
      <c r="J6" t="s">
        <v>211</v>
      </c>
    </row>
    <row r="7" spans="1:10" x14ac:dyDescent="0.25">
      <c r="A7">
        <v>307</v>
      </c>
      <c r="B7">
        <v>407</v>
      </c>
      <c r="C7">
        <v>507</v>
      </c>
      <c r="D7">
        <v>607</v>
      </c>
      <c r="E7" t="str">
        <f t="shared" si="1"/>
        <v>306 to 606</v>
      </c>
      <c r="F7" t="s">
        <v>196</v>
      </c>
      <c r="G7">
        <v>106</v>
      </c>
      <c r="H7">
        <v>706</v>
      </c>
      <c r="I7" t="str">
        <f t="shared" si="0"/>
        <v>106 to 706</v>
      </c>
      <c r="J7" t="s">
        <v>212</v>
      </c>
    </row>
    <row r="8" spans="1:10" x14ac:dyDescent="0.25">
      <c r="A8">
        <v>308</v>
      </c>
      <c r="B8">
        <v>408</v>
      </c>
      <c r="C8">
        <v>508</v>
      </c>
      <c r="D8">
        <v>608</v>
      </c>
      <c r="E8" t="str">
        <f t="shared" si="1"/>
        <v>307 to 607</v>
      </c>
      <c r="F8" t="s">
        <v>197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topLeftCell="C1" zoomScale="115" zoomScaleNormal="115" workbookViewId="0">
      <selection activeCell="F5" sqref="F5"/>
    </sheetView>
  </sheetViews>
  <sheetFormatPr defaultColWidth="8.7109375" defaultRowHeight="15" x14ac:dyDescent="0.25"/>
  <cols>
    <col min="1" max="1" width="8.7109375" style="19"/>
    <col min="2" max="2" width="22.140625" style="19" customWidth="1"/>
    <col min="3" max="3" width="37" style="19" customWidth="1"/>
    <col min="4" max="5" width="11.42578125" style="19" customWidth="1"/>
    <col min="6" max="6" width="14" style="19" customWidth="1"/>
    <col min="7" max="7" width="20" style="19" customWidth="1"/>
    <col min="8" max="8" width="16.42578125" style="19" customWidth="1"/>
    <col min="9" max="16384" width="8.7109375" style="19"/>
  </cols>
  <sheetData>
    <row r="1" spans="1:9" ht="15" customHeight="1" x14ac:dyDescent="0.25"/>
    <row r="2" spans="1:9" ht="15" customHeight="1" x14ac:dyDescent="0.25">
      <c r="A2" s="20"/>
      <c r="B2" s="20"/>
      <c r="C2" s="20"/>
      <c r="D2" s="20"/>
      <c r="E2" s="20"/>
      <c r="F2" s="20"/>
      <c r="G2" s="20"/>
      <c r="H2" s="20"/>
    </row>
    <row r="3" spans="1:9" ht="15.75" customHeight="1" x14ac:dyDescent="0.25">
      <c r="A3" s="20"/>
      <c r="B3" s="177" t="s">
        <v>154</v>
      </c>
      <c r="C3" s="177"/>
      <c r="D3" s="177"/>
      <c r="E3" s="177"/>
      <c r="F3" s="177"/>
      <c r="G3" s="177"/>
      <c r="H3" s="177"/>
    </row>
    <row r="4" spans="1:9" x14ac:dyDescent="0.25">
      <c r="A4" s="20"/>
      <c r="B4" s="21" t="s">
        <v>155</v>
      </c>
      <c r="C4" s="21" t="s">
        <v>156</v>
      </c>
      <c r="D4" s="21" t="s">
        <v>85</v>
      </c>
      <c r="E4" s="21" t="s">
        <v>157</v>
      </c>
      <c r="F4" s="21" t="s">
        <v>163</v>
      </c>
      <c r="G4" s="21" t="s">
        <v>164</v>
      </c>
      <c r="H4" s="21" t="s">
        <v>158</v>
      </c>
    </row>
    <row r="5" spans="1:9" ht="15" customHeight="1" x14ac:dyDescent="0.25">
      <c r="A5" s="20"/>
      <c r="B5" s="23" t="s">
        <v>160</v>
      </c>
      <c r="C5" s="69" t="s">
        <v>168</v>
      </c>
      <c r="D5" s="70" t="s">
        <v>205</v>
      </c>
      <c r="E5" s="23">
        <v>315</v>
      </c>
      <c r="F5" s="25">
        <f>E5*1.45</f>
        <v>456.75</v>
      </c>
      <c r="G5" s="25">
        <f>H5/F5</f>
        <v>4597.7011494252874</v>
      </c>
      <c r="H5" s="26">
        <v>2100000</v>
      </c>
    </row>
    <row r="6" spans="1:9" x14ac:dyDescent="0.25">
      <c r="A6" s="20"/>
      <c r="B6" s="23" t="s">
        <v>159</v>
      </c>
      <c r="C6" s="69" t="s">
        <v>168</v>
      </c>
      <c r="D6" s="23"/>
      <c r="E6" s="23"/>
      <c r="F6" s="25">
        <f t="shared" ref="F6:F11" si="0">E6*1.6</f>
        <v>0</v>
      </c>
      <c r="G6" s="25" t="e">
        <f t="shared" ref="G6:G11" si="1">H6/F6</f>
        <v>#DIV/0!</v>
      </c>
      <c r="H6" s="26"/>
    </row>
    <row r="7" spans="1:9" ht="15" customHeight="1" x14ac:dyDescent="0.25">
      <c r="A7" s="20"/>
      <c r="B7" s="23" t="s">
        <v>159</v>
      </c>
      <c r="C7" s="69" t="s">
        <v>168</v>
      </c>
      <c r="D7" s="23"/>
      <c r="E7" s="23"/>
      <c r="F7" s="25">
        <f t="shared" si="0"/>
        <v>0</v>
      </c>
      <c r="G7" s="25" t="e">
        <f t="shared" si="1"/>
        <v>#DIV/0!</v>
      </c>
      <c r="H7" s="26"/>
    </row>
    <row r="8" spans="1:9" x14ac:dyDescent="0.25">
      <c r="A8" s="20"/>
      <c r="B8" s="23" t="s">
        <v>159</v>
      </c>
      <c r="C8" s="69" t="s">
        <v>168</v>
      </c>
      <c r="D8" s="23"/>
      <c r="E8" s="23"/>
      <c r="F8" s="25">
        <f t="shared" si="0"/>
        <v>0</v>
      </c>
      <c r="G8" s="25" t="e">
        <f t="shared" si="1"/>
        <v>#DIV/0!</v>
      </c>
      <c r="H8" s="26"/>
    </row>
    <row r="9" spans="1:9" ht="15" customHeight="1" x14ac:dyDescent="0.25">
      <c r="A9" s="20"/>
      <c r="B9" s="23" t="s">
        <v>159</v>
      </c>
      <c r="C9" s="69" t="s">
        <v>168</v>
      </c>
      <c r="D9" s="23"/>
      <c r="E9" s="23"/>
      <c r="F9" s="25">
        <f t="shared" si="0"/>
        <v>0</v>
      </c>
      <c r="G9" s="25" t="e">
        <f t="shared" si="1"/>
        <v>#DIV/0!</v>
      </c>
      <c r="H9" s="26"/>
    </row>
    <row r="10" spans="1:9" ht="15" customHeight="1" x14ac:dyDescent="0.25">
      <c r="A10" s="20"/>
      <c r="B10" s="23" t="s">
        <v>160</v>
      </c>
      <c r="C10" s="24"/>
      <c r="D10" s="23"/>
      <c r="E10" s="23"/>
      <c r="F10" s="25">
        <f t="shared" si="0"/>
        <v>0</v>
      </c>
      <c r="G10" s="25" t="e">
        <f t="shared" si="1"/>
        <v>#DIV/0!</v>
      </c>
      <c r="H10" s="26"/>
    </row>
    <row r="11" spans="1:9" ht="15" customHeight="1" x14ac:dyDescent="0.25">
      <c r="A11" s="20"/>
      <c r="B11" s="23" t="s">
        <v>160</v>
      </c>
      <c r="C11" s="24"/>
      <c r="D11" s="23"/>
      <c r="E11" s="23"/>
      <c r="F11" s="25">
        <f t="shared" si="0"/>
        <v>0</v>
      </c>
      <c r="G11" s="25" t="e">
        <f t="shared" si="1"/>
        <v>#DIV/0!</v>
      </c>
      <c r="H11" s="26"/>
    </row>
    <row r="12" spans="1:9" ht="15" customHeight="1" x14ac:dyDescent="0.25">
      <c r="A12" s="20"/>
      <c r="B12" s="27" t="s">
        <v>161</v>
      </c>
      <c r="C12" s="23"/>
      <c r="D12" s="23"/>
      <c r="E12" s="23"/>
      <c r="F12" s="23"/>
      <c r="G12" s="28" t="e">
        <f>AVERAGE(G5:G11)</f>
        <v>#DIV/0!</v>
      </c>
      <c r="H12" s="23"/>
    </row>
    <row r="13" spans="1:9" ht="15" customHeight="1" x14ac:dyDescent="0.25">
      <c r="B13" s="27" t="s">
        <v>162</v>
      </c>
      <c r="C13" s="23"/>
      <c r="D13" s="23"/>
      <c r="E13" s="23"/>
      <c r="F13" s="29"/>
      <c r="G13" s="27"/>
      <c r="H13" s="27"/>
      <c r="I13" s="22"/>
    </row>
    <row r="14" spans="1:9" ht="15" customHeight="1" x14ac:dyDescent="0.25"/>
    <row r="15" spans="1:9" ht="15" customHeight="1" x14ac:dyDescent="0.25"/>
    <row r="16" spans="1:9" ht="15" customHeight="1" x14ac:dyDescent="0.25"/>
  </sheetData>
  <mergeCells count="1">
    <mergeCell ref="B3:H3"/>
  </mergeCell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PC-51</cp:lastModifiedBy>
  <cp:lastPrinted>2025-07-28T13:09:56Z</cp:lastPrinted>
  <dcterms:created xsi:type="dcterms:W3CDTF">2019-07-16T09:29:46Z</dcterms:created>
  <dcterms:modified xsi:type="dcterms:W3CDTF">2025-07-28T13:12:28Z</dcterms:modified>
</cp:coreProperties>
</file>