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16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Report!$A$1:$H$755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1" l="1"/>
  <c r="C90" i="1"/>
  <c r="C89" i="1" l="1"/>
  <c r="C131" i="1" l="1"/>
  <c r="C75" i="1"/>
  <c r="J107" i="1"/>
  <c r="J106" i="1"/>
  <c r="J105" i="1"/>
  <c r="J104" i="1"/>
  <c r="H97" i="1"/>
  <c r="J101" i="1" l="1"/>
  <c r="J102" i="1"/>
  <c r="J103" i="1" s="1"/>
  <c r="J108" i="1" s="1"/>
  <c r="J109" i="1" s="1"/>
  <c r="D102" i="1"/>
  <c r="D109" i="1"/>
  <c r="D105" i="1"/>
  <c r="D101" i="1"/>
  <c r="J99" i="1"/>
  <c r="J100" i="1"/>
  <c r="D106" i="1"/>
  <c r="D108" i="1"/>
  <c r="D104" i="1"/>
  <c r="G100" i="1"/>
  <c r="E100" i="1"/>
  <c r="D107" i="1"/>
  <c r="D103" i="1"/>
  <c r="D100" i="1"/>
  <c r="J96" i="1"/>
  <c r="J98" i="1" s="1"/>
  <c r="J97" i="1" l="1"/>
  <c r="I97" i="1"/>
  <c r="I98" i="1" s="1"/>
  <c r="J121" i="1"/>
  <c r="J120" i="1"/>
  <c r="J119" i="1"/>
  <c r="J118" i="1"/>
  <c r="H111" i="1"/>
  <c r="I96" i="1" l="1"/>
  <c r="C98" i="1" s="1"/>
  <c r="J116" i="1"/>
  <c r="J117" i="1" s="1"/>
  <c r="J122" i="1" s="1"/>
  <c r="J123" i="1" s="1"/>
  <c r="J114" i="1"/>
  <c r="J113" i="1"/>
  <c r="D122" i="1"/>
  <c r="D120" i="1"/>
  <c r="D118" i="1"/>
  <c r="D116" i="1"/>
  <c r="G114" i="1"/>
  <c r="J115" i="1"/>
  <c r="E114" i="1"/>
  <c r="D123" i="1"/>
  <c r="D121" i="1"/>
  <c r="D119" i="1"/>
  <c r="D117" i="1"/>
  <c r="D115" i="1"/>
  <c r="D114" i="1"/>
  <c r="J110" i="1"/>
  <c r="J112" i="1" s="1"/>
  <c r="C159" i="1"/>
  <c r="C173" i="1"/>
  <c r="C145" i="1"/>
  <c r="C146" i="1" l="1"/>
  <c r="J111" i="1"/>
  <c r="I111" i="1"/>
  <c r="I112" i="1" s="1"/>
  <c r="J163" i="1"/>
  <c r="J162" i="1"/>
  <c r="J161" i="1"/>
  <c r="J160" i="1"/>
  <c r="J149" i="1"/>
  <c r="J148" i="1"/>
  <c r="J147" i="1"/>
  <c r="J146" i="1"/>
  <c r="H153" i="1"/>
  <c r="H139" i="1"/>
  <c r="H69" i="1"/>
  <c r="I110" i="1" l="1"/>
  <c r="C112" i="1" s="1"/>
  <c r="J158" i="1"/>
  <c r="J159" i="1" s="1"/>
  <c r="J164" i="1" s="1"/>
  <c r="J165" i="1" s="1"/>
  <c r="D164" i="1"/>
  <c r="D158" i="1"/>
  <c r="J157" i="1"/>
  <c r="D163" i="1"/>
  <c r="D157" i="1"/>
  <c r="J152" i="1"/>
  <c r="J154" i="1" s="1"/>
  <c r="J156" i="1"/>
  <c r="D162" i="1"/>
  <c r="G156" i="1"/>
  <c r="D156" i="1"/>
  <c r="E156" i="1"/>
  <c r="D161" i="1"/>
  <c r="J155" i="1"/>
  <c r="D160" i="1"/>
  <c r="D165" i="1"/>
  <c r="D159" i="1"/>
  <c r="D151" i="1"/>
  <c r="D145" i="1"/>
  <c r="J144" i="1"/>
  <c r="J145" i="1" s="1"/>
  <c r="J150" i="1" s="1"/>
  <c r="J151" i="1" s="1"/>
  <c r="D150" i="1"/>
  <c r="D144" i="1"/>
  <c r="J143" i="1"/>
  <c r="J142" i="1"/>
  <c r="G142" i="1"/>
  <c r="E142" i="1"/>
  <c r="D148" i="1"/>
  <c r="D147" i="1"/>
  <c r="J141" i="1"/>
  <c r="D149" i="1"/>
  <c r="D143" i="1"/>
  <c r="J138" i="1"/>
  <c r="J140" i="1" s="1"/>
  <c r="D142" i="1"/>
  <c r="D146" i="1"/>
  <c r="J68" i="1"/>
  <c r="J70" i="1" s="1"/>
  <c r="J71" i="1"/>
  <c r="J72" i="1"/>
  <c r="J73" i="1"/>
  <c r="C72" i="1" s="1"/>
  <c r="D74" i="1"/>
  <c r="J74" i="1"/>
  <c r="J75" i="1" s="1"/>
  <c r="J80" i="1" s="1"/>
  <c r="J81" i="1" s="1"/>
  <c r="C73" i="1" s="1"/>
  <c r="D75" i="1"/>
  <c r="D76" i="1"/>
  <c r="J76" i="1"/>
  <c r="D77" i="1"/>
  <c r="J77" i="1"/>
  <c r="D78" i="1"/>
  <c r="J78" i="1"/>
  <c r="D79" i="1"/>
  <c r="J79" i="1"/>
  <c r="D80" i="1"/>
  <c r="D81" i="1"/>
  <c r="J153" i="1" l="1"/>
  <c r="I153" i="1"/>
  <c r="I154" i="1" s="1"/>
  <c r="J139" i="1"/>
  <c r="I139" i="1"/>
  <c r="I140" i="1" s="1"/>
  <c r="E72" i="1"/>
  <c r="D73" i="1"/>
  <c r="G72" i="1"/>
  <c r="D72" i="1"/>
  <c r="J135" i="1"/>
  <c r="J134" i="1"/>
  <c r="J133" i="1"/>
  <c r="J132" i="1"/>
  <c r="H125" i="1"/>
  <c r="I152" i="1" l="1"/>
  <c r="C154" i="1" s="1"/>
  <c r="I138" i="1"/>
  <c r="C140" i="1" s="1"/>
  <c r="I69" i="1"/>
  <c r="I70" i="1" s="1"/>
  <c r="J69" i="1"/>
  <c r="J130" i="1"/>
  <c r="J131" i="1" s="1"/>
  <c r="J136" i="1" s="1"/>
  <c r="J137" i="1" s="1"/>
  <c r="J129" i="1"/>
  <c r="J128" i="1"/>
  <c r="E128" i="1"/>
  <c r="J127" i="1"/>
  <c r="D137" i="1"/>
  <c r="D136" i="1"/>
  <c r="D135" i="1"/>
  <c r="D134" i="1"/>
  <c r="D133" i="1"/>
  <c r="D132" i="1"/>
  <c r="D131" i="1"/>
  <c r="D130" i="1"/>
  <c r="D129" i="1"/>
  <c r="G128" i="1"/>
  <c r="D128" i="1"/>
  <c r="J124" i="1"/>
  <c r="J126" i="1" s="1"/>
  <c r="J93" i="1"/>
  <c r="J92" i="1"/>
  <c r="J91" i="1"/>
  <c r="J90" i="1"/>
  <c r="H83" i="1"/>
  <c r="I68" i="1" l="1"/>
  <c r="C70" i="1" s="1"/>
  <c r="J125" i="1"/>
  <c r="I125" i="1"/>
  <c r="I126" i="1" s="1"/>
  <c r="J88" i="1"/>
  <c r="J89" i="1" s="1"/>
  <c r="J94" i="1" s="1"/>
  <c r="J95" i="1" s="1"/>
  <c r="J86" i="1"/>
  <c r="J85" i="1"/>
  <c r="D94" i="1"/>
  <c r="D92" i="1"/>
  <c r="D90" i="1"/>
  <c r="D88" i="1"/>
  <c r="G86" i="1"/>
  <c r="J87" i="1"/>
  <c r="E86" i="1"/>
  <c r="D95" i="1"/>
  <c r="D93" i="1"/>
  <c r="D91" i="1"/>
  <c r="D89" i="1"/>
  <c r="D87" i="1"/>
  <c r="D86" i="1"/>
  <c r="J82" i="1"/>
  <c r="J84" i="1" s="1"/>
  <c r="D517" i="1"/>
  <c r="F517" i="1" s="1"/>
  <c r="D516" i="1"/>
  <c r="F516" i="1" s="1"/>
  <c r="D515" i="1"/>
  <c r="F515" i="1" s="1"/>
  <c r="D514" i="1"/>
  <c r="F514" i="1" s="1"/>
  <c r="D513" i="1"/>
  <c r="F513" i="1" s="1"/>
  <c r="D511" i="1"/>
  <c r="F511" i="1" s="1"/>
  <c r="A511" i="1"/>
  <c r="A512" i="1" s="1"/>
  <c r="A513" i="1" s="1"/>
  <c r="A514" i="1" s="1"/>
  <c r="A515" i="1" s="1"/>
  <c r="A516" i="1" s="1"/>
  <c r="A517" i="1" s="1"/>
  <c r="G510" i="1"/>
  <c r="D510" i="1"/>
  <c r="F510" i="1" s="1"/>
  <c r="D508" i="1"/>
  <c r="F508" i="1" s="1"/>
  <c r="D507" i="1"/>
  <c r="F507" i="1" s="1"/>
  <c r="D506" i="1"/>
  <c r="F506" i="1" s="1"/>
  <c r="D505" i="1"/>
  <c r="F505" i="1" s="1"/>
  <c r="D504" i="1"/>
  <c r="F504" i="1" s="1"/>
  <c r="D503" i="1"/>
  <c r="F503" i="1" s="1"/>
  <c r="D502" i="1"/>
  <c r="F502" i="1" s="1"/>
  <c r="A502" i="1"/>
  <c r="A503" i="1" s="1"/>
  <c r="A504" i="1" s="1"/>
  <c r="A505" i="1" s="1"/>
  <c r="A506" i="1" s="1"/>
  <c r="A507" i="1" s="1"/>
  <c r="A508" i="1" s="1"/>
  <c r="G501" i="1"/>
  <c r="D501" i="1"/>
  <c r="F501" i="1" s="1"/>
  <c r="E499" i="1"/>
  <c r="D499" i="1"/>
  <c r="E498" i="1"/>
  <c r="D498" i="1"/>
  <c r="E497" i="1"/>
  <c r="D497" i="1"/>
  <c r="D496" i="1"/>
  <c r="F496" i="1" s="1"/>
  <c r="D495" i="1"/>
  <c r="F495" i="1" s="1"/>
  <c r="D494" i="1"/>
  <c r="F494" i="1" s="1"/>
  <c r="D493" i="1"/>
  <c r="F493" i="1" s="1"/>
  <c r="A493" i="1"/>
  <c r="A494" i="1" s="1"/>
  <c r="A495" i="1" s="1"/>
  <c r="A496" i="1" s="1"/>
  <c r="A497" i="1" s="1"/>
  <c r="A498" i="1" s="1"/>
  <c r="A499" i="1" s="1"/>
  <c r="G492" i="1"/>
  <c r="E492" i="1"/>
  <c r="D492" i="1"/>
  <c r="D490" i="1"/>
  <c r="F490" i="1" s="1"/>
  <c r="D489" i="1"/>
  <c r="F489" i="1" s="1"/>
  <c r="D488" i="1"/>
  <c r="F488" i="1" s="1"/>
  <c r="A488" i="1"/>
  <c r="A489" i="1" s="1"/>
  <c r="A490" i="1" s="1"/>
  <c r="G487" i="1"/>
  <c r="D487" i="1"/>
  <c r="F487" i="1" s="1"/>
  <c r="D485" i="1"/>
  <c r="F485" i="1" s="1"/>
  <c r="G484" i="1"/>
  <c r="D484" i="1"/>
  <c r="F484" i="1" s="1"/>
  <c r="D301" i="1"/>
  <c r="F301" i="1" s="1"/>
  <c r="D300" i="1"/>
  <c r="F300" i="1" s="1"/>
  <c r="D299" i="1"/>
  <c r="F299" i="1" s="1"/>
  <c r="D298" i="1"/>
  <c r="F298" i="1" s="1"/>
  <c r="D297" i="1"/>
  <c r="F297" i="1" s="1"/>
  <c r="D294" i="1"/>
  <c r="F294" i="1" s="1"/>
  <c r="D293" i="1"/>
  <c r="F293" i="1" s="1"/>
  <c r="D292" i="1"/>
  <c r="F292" i="1" s="1"/>
  <c r="D291" i="1"/>
  <c r="F291" i="1" s="1"/>
  <c r="D290" i="1"/>
  <c r="F290" i="1" s="1"/>
  <c r="A298" i="1"/>
  <c r="A299" i="1" s="1"/>
  <c r="A300" i="1" s="1"/>
  <c r="A301" i="1" s="1"/>
  <c r="G297" i="1"/>
  <c r="A291" i="1"/>
  <c r="A292" i="1" s="1"/>
  <c r="A293" i="1" s="1"/>
  <c r="A294" i="1" s="1"/>
  <c r="G290" i="1"/>
  <c r="F498" i="1" l="1"/>
  <c r="F497" i="1"/>
  <c r="C200" i="1"/>
  <c r="F499" i="1"/>
  <c r="C210" i="1"/>
  <c r="G200" i="1"/>
  <c r="E210" i="1"/>
  <c r="E200" i="1"/>
  <c r="F492" i="1"/>
  <c r="I124" i="1"/>
  <c r="C126" i="1" s="1"/>
  <c r="J83" i="1"/>
  <c r="I83" i="1"/>
  <c r="I84" i="1" s="1"/>
  <c r="J215" i="1"/>
  <c r="J214" i="1"/>
  <c r="D333" i="1"/>
  <c r="F333" i="1" s="1"/>
  <c r="D332" i="1"/>
  <c r="F332" i="1" s="1"/>
  <c r="J624" i="1"/>
  <c r="G614" i="1"/>
  <c r="D618" i="1"/>
  <c r="F618" i="1" s="1"/>
  <c r="D615" i="1"/>
  <c r="F615" i="1" s="1"/>
  <c r="A615" i="1"/>
  <c r="A616" i="1" s="1"/>
  <c r="A617" i="1" s="1"/>
  <c r="A618" i="1" s="1"/>
  <c r="A619" i="1" s="1"/>
  <c r="A620" i="1" s="1"/>
  <c r="A621" i="1" s="1"/>
  <c r="D639" i="1"/>
  <c r="F639" i="1" s="1"/>
  <c r="D638" i="1"/>
  <c r="F638" i="1" s="1"/>
  <c r="D637" i="1"/>
  <c r="F637" i="1" s="1"/>
  <c r="D636" i="1"/>
  <c r="F636" i="1" s="1"/>
  <c r="D634" i="1"/>
  <c r="F634" i="1" s="1"/>
  <c r="D633" i="1"/>
  <c r="F633" i="1" s="1"/>
  <c r="D632" i="1"/>
  <c r="F632" i="1" s="1"/>
  <c r="D630" i="1"/>
  <c r="D629" i="1"/>
  <c r="D628" i="1"/>
  <c r="D627" i="1"/>
  <c r="F627" i="1" s="1"/>
  <c r="D626" i="1"/>
  <c r="F626" i="1" s="1"/>
  <c r="D625" i="1"/>
  <c r="F625" i="1" s="1"/>
  <c r="D624" i="1"/>
  <c r="F624" i="1" s="1"/>
  <c r="D623" i="1"/>
  <c r="A633" i="1"/>
  <c r="A634" i="1" s="1"/>
  <c r="A635" i="1" s="1"/>
  <c r="A636" i="1" s="1"/>
  <c r="A637" i="1" s="1"/>
  <c r="A638" i="1" s="1"/>
  <c r="A639" i="1" s="1"/>
  <c r="G632" i="1"/>
  <c r="A624" i="1"/>
  <c r="A625" i="1" s="1"/>
  <c r="A626" i="1" s="1"/>
  <c r="A627" i="1" s="1"/>
  <c r="A628" i="1" s="1"/>
  <c r="A629" i="1" s="1"/>
  <c r="A630" i="1" s="1"/>
  <c r="G623" i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A327" i="1"/>
  <c r="A328" i="1" s="1"/>
  <c r="A329" i="1" s="1"/>
  <c r="A330" i="1" s="1"/>
  <c r="A331" i="1" s="1"/>
  <c r="A332" i="1" s="1"/>
  <c r="A333" i="1" s="1"/>
  <c r="G326" i="1"/>
  <c r="G210" i="1" l="1"/>
  <c r="I82" i="1"/>
  <c r="C84" i="1" s="1"/>
  <c r="C202" i="1"/>
  <c r="C214" i="1"/>
  <c r="E214" i="1"/>
  <c r="G202" i="1"/>
  <c r="E202" i="1"/>
  <c r="F628" i="1"/>
  <c r="F630" i="1"/>
  <c r="F629" i="1"/>
  <c r="F623" i="1"/>
  <c r="D570" i="1"/>
  <c r="F570" i="1" s="1"/>
  <c r="D575" i="1"/>
  <c r="F575" i="1" s="1"/>
  <c r="D574" i="1"/>
  <c r="F574" i="1" s="1"/>
  <c r="D573" i="1"/>
  <c r="F573" i="1" s="1"/>
  <c r="D572" i="1"/>
  <c r="F572" i="1" s="1"/>
  <c r="D569" i="1"/>
  <c r="F569" i="1" s="1"/>
  <c r="A569" i="1"/>
  <c r="A570" i="1" s="1"/>
  <c r="A571" i="1" s="1"/>
  <c r="A572" i="1" s="1"/>
  <c r="A573" i="1" s="1"/>
  <c r="A574" i="1" s="1"/>
  <c r="A575" i="1" s="1"/>
  <c r="G568" i="1"/>
  <c r="D568" i="1"/>
  <c r="F568" i="1" s="1"/>
  <c r="D566" i="1"/>
  <c r="F566" i="1" s="1"/>
  <c r="D565" i="1"/>
  <c r="F565" i="1" s="1"/>
  <c r="D564" i="1"/>
  <c r="F564" i="1" s="1"/>
  <c r="D563" i="1"/>
  <c r="F563" i="1" s="1"/>
  <c r="D562" i="1"/>
  <c r="F562" i="1" s="1"/>
  <c r="D561" i="1"/>
  <c r="F561" i="1" s="1"/>
  <c r="D560" i="1"/>
  <c r="F560" i="1" s="1"/>
  <c r="A560" i="1"/>
  <c r="A561" i="1" s="1"/>
  <c r="A562" i="1" s="1"/>
  <c r="A563" i="1" s="1"/>
  <c r="A564" i="1" s="1"/>
  <c r="A565" i="1" s="1"/>
  <c r="A566" i="1" s="1"/>
  <c r="G559" i="1"/>
  <c r="D559" i="1"/>
  <c r="F559" i="1" s="1"/>
  <c r="D557" i="1"/>
  <c r="F557" i="1" s="1"/>
  <c r="D556" i="1"/>
  <c r="F556" i="1" s="1"/>
  <c r="D555" i="1"/>
  <c r="F555" i="1" s="1"/>
  <c r="D554" i="1"/>
  <c r="F554" i="1" s="1"/>
  <c r="D551" i="1"/>
  <c r="F551" i="1" s="1"/>
  <c r="A551" i="1"/>
  <c r="A552" i="1" s="1"/>
  <c r="A553" i="1" s="1"/>
  <c r="A554" i="1" s="1"/>
  <c r="A555" i="1" s="1"/>
  <c r="A556" i="1" s="1"/>
  <c r="A557" i="1" s="1"/>
  <c r="G550" i="1"/>
  <c r="D550" i="1"/>
  <c r="F550" i="1" s="1"/>
  <c r="D528" i="1"/>
  <c r="F528" i="1" s="1"/>
  <c r="D527" i="1"/>
  <c r="F527" i="1" s="1"/>
  <c r="D526" i="1"/>
  <c r="F526" i="1" s="1"/>
  <c r="D525" i="1"/>
  <c r="F525" i="1" s="1"/>
  <c r="D522" i="1"/>
  <c r="F522" i="1" s="1"/>
  <c r="D521" i="1"/>
  <c r="F521" i="1" s="1"/>
  <c r="D546" i="1"/>
  <c r="F546" i="1" s="1"/>
  <c r="D545" i="1"/>
  <c r="F545" i="1" s="1"/>
  <c r="D544" i="1"/>
  <c r="F544" i="1" s="1"/>
  <c r="D543" i="1"/>
  <c r="F543" i="1" s="1"/>
  <c r="D542" i="1"/>
  <c r="F542" i="1" s="1"/>
  <c r="D540" i="1"/>
  <c r="F540" i="1" s="1"/>
  <c r="A540" i="1"/>
  <c r="A541" i="1" s="1"/>
  <c r="A542" i="1" s="1"/>
  <c r="A543" i="1" s="1"/>
  <c r="A544" i="1" s="1"/>
  <c r="A545" i="1" s="1"/>
  <c r="A546" i="1" s="1"/>
  <c r="G539" i="1"/>
  <c r="D539" i="1"/>
  <c r="F539" i="1" s="1"/>
  <c r="D537" i="1"/>
  <c r="F537" i="1" s="1"/>
  <c r="D536" i="1"/>
  <c r="F536" i="1" s="1"/>
  <c r="D535" i="1"/>
  <c r="F535" i="1" s="1"/>
  <c r="D534" i="1"/>
  <c r="F534" i="1" s="1"/>
  <c r="D533" i="1"/>
  <c r="F533" i="1" s="1"/>
  <c r="D532" i="1"/>
  <c r="F532" i="1" s="1"/>
  <c r="D531" i="1"/>
  <c r="F531" i="1" s="1"/>
  <c r="A531" i="1"/>
  <c r="A532" i="1" s="1"/>
  <c r="A533" i="1" s="1"/>
  <c r="A534" i="1" s="1"/>
  <c r="A535" i="1" s="1"/>
  <c r="A536" i="1" s="1"/>
  <c r="A537" i="1" s="1"/>
  <c r="G530" i="1"/>
  <c r="D530" i="1"/>
  <c r="F530" i="1" s="1"/>
  <c r="A522" i="1"/>
  <c r="A523" i="1" s="1"/>
  <c r="A524" i="1" s="1"/>
  <c r="A525" i="1" s="1"/>
  <c r="A526" i="1" s="1"/>
  <c r="A527" i="1" s="1"/>
  <c r="A528" i="1" s="1"/>
  <c r="G521" i="1"/>
  <c r="J177" i="1"/>
  <c r="J176" i="1"/>
  <c r="J175" i="1"/>
  <c r="J174" i="1"/>
  <c r="H167" i="1"/>
  <c r="G214" i="1" l="1"/>
  <c r="G211" i="1"/>
  <c r="G212" i="1"/>
  <c r="E211" i="1"/>
  <c r="C211" i="1"/>
  <c r="C212" i="1"/>
  <c r="E212" i="1"/>
  <c r="J171" i="1"/>
  <c r="D179" i="1"/>
  <c r="D175" i="1"/>
  <c r="D171" i="1"/>
  <c r="J170" i="1"/>
  <c r="J166" i="1"/>
  <c r="J168" i="1" s="1"/>
  <c r="D178" i="1"/>
  <c r="D174" i="1"/>
  <c r="E170" i="1"/>
  <c r="D177" i="1"/>
  <c r="D173" i="1"/>
  <c r="D176" i="1"/>
  <c r="J169" i="1"/>
  <c r="D170" i="1" s="1"/>
  <c r="J172" i="1"/>
  <c r="J173" i="1" s="1"/>
  <c r="J178" i="1" s="1"/>
  <c r="J179" i="1" s="1"/>
  <c r="D172" i="1"/>
  <c r="D593" i="1"/>
  <c r="D592" i="1"/>
  <c r="D586" i="1"/>
  <c r="D591" i="1"/>
  <c r="A312" i="1"/>
  <c r="A313" i="1" s="1"/>
  <c r="A314" i="1" s="1"/>
  <c r="A315" i="1" s="1"/>
  <c r="A316" i="1" s="1"/>
  <c r="G311" i="1"/>
  <c r="I167" i="1" l="1"/>
  <c r="I168" i="1" s="1"/>
  <c r="G170" i="1"/>
  <c r="J167" i="1"/>
  <c r="D323" i="1"/>
  <c r="F323" i="1" s="1"/>
  <c r="D322" i="1"/>
  <c r="F322" i="1" s="1"/>
  <c r="D321" i="1"/>
  <c r="F321" i="1" s="1"/>
  <c r="D320" i="1"/>
  <c r="F320" i="1" s="1"/>
  <c r="D319" i="1"/>
  <c r="F319" i="1" s="1"/>
  <c r="D318" i="1"/>
  <c r="F318" i="1" s="1"/>
  <c r="A319" i="1"/>
  <c r="A320" i="1" s="1"/>
  <c r="A321" i="1" s="1"/>
  <c r="A322" i="1" s="1"/>
  <c r="A323" i="1" s="1"/>
  <c r="G318" i="1"/>
  <c r="D611" i="1"/>
  <c r="F611" i="1" s="1"/>
  <c r="D610" i="1"/>
  <c r="F610" i="1" s="1"/>
  <c r="D609" i="1"/>
  <c r="F609" i="1" s="1"/>
  <c r="D608" i="1"/>
  <c r="F608" i="1" s="1"/>
  <c r="D607" i="1"/>
  <c r="F607" i="1" s="1"/>
  <c r="D605" i="1"/>
  <c r="F605" i="1" s="1"/>
  <c r="A605" i="1"/>
  <c r="A606" i="1" s="1"/>
  <c r="A607" i="1" s="1"/>
  <c r="A608" i="1" s="1"/>
  <c r="A609" i="1" s="1"/>
  <c r="A610" i="1" s="1"/>
  <c r="A611" i="1" s="1"/>
  <c r="G604" i="1"/>
  <c r="D604" i="1"/>
  <c r="F604" i="1" s="1"/>
  <c r="D600" i="1"/>
  <c r="F600" i="1" s="1"/>
  <c r="D599" i="1"/>
  <c r="F599" i="1" s="1"/>
  <c r="D601" i="1"/>
  <c r="F601" i="1" s="1"/>
  <c r="D602" i="1"/>
  <c r="F602" i="1" s="1"/>
  <c r="D598" i="1"/>
  <c r="F598" i="1" s="1"/>
  <c r="D596" i="1"/>
  <c r="F596" i="1" s="1"/>
  <c r="D597" i="1"/>
  <c r="F597" i="1" s="1"/>
  <c r="A596" i="1"/>
  <c r="A597" i="1" s="1"/>
  <c r="A598" i="1" s="1"/>
  <c r="A599" i="1" s="1"/>
  <c r="A600" i="1" s="1"/>
  <c r="A601" i="1" s="1"/>
  <c r="A602" i="1" s="1"/>
  <c r="G595" i="1"/>
  <c r="D595" i="1"/>
  <c r="F595" i="1" s="1"/>
  <c r="E591" i="1"/>
  <c r="E586" i="1"/>
  <c r="E592" i="1"/>
  <c r="E593" i="1"/>
  <c r="E456" i="1"/>
  <c r="D590" i="1"/>
  <c r="F590" i="1" s="1"/>
  <c r="D589" i="1"/>
  <c r="F589" i="1" s="1"/>
  <c r="D587" i="1"/>
  <c r="F587" i="1" s="1"/>
  <c r="D588" i="1"/>
  <c r="F588" i="1" s="1"/>
  <c r="A587" i="1"/>
  <c r="A588" i="1" s="1"/>
  <c r="A589" i="1" s="1"/>
  <c r="A590" i="1" s="1"/>
  <c r="A591" i="1" s="1"/>
  <c r="A592" i="1" s="1"/>
  <c r="A593" i="1" s="1"/>
  <c r="G586" i="1"/>
  <c r="D583" i="1"/>
  <c r="D582" i="1"/>
  <c r="D584" i="1"/>
  <c r="D581" i="1"/>
  <c r="D579" i="1"/>
  <c r="F579" i="1" s="1"/>
  <c r="G578" i="1"/>
  <c r="D578" i="1"/>
  <c r="D309" i="1"/>
  <c r="F309" i="1" s="1"/>
  <c r="D308" i="1"/>
  <c r="F308" i="1" s="1"/>
  <c r="D307" i="1"/>
  <c r="F307" i="1" s="1"/>
  <c r="D306" i="1"/>
  <c r="F306" i="1" s="1"/>
  <c r="D305" i="1"/>
  <c r="F305" i="1" s="1"/>
  <c r="D304" i="1"/>
  <c r="A305" i="1"/>
  <c r="A306" i="1" s="1"/>
  <c r="A307" i="1" s="1"/>
  <c r="A308" i="1" s="1"/>
  <c r="A309" i="1" s="1"/>
  <c r="G304" i="1"/>
  <c r="L233" i="1"/>
  <c r="C213" i="1" l="1"/>
  <c r="E213" i="1"/>
  <c r="E201" i="1"/>
  <c r="C201" i="1"/>
  <c r="I166" i="1"/>
  <c r="C168" i="1" s="1"/>
  <c r="F592" i="1"/>
  <c r="F591" i="1"/>
  <c r="F578" i="1"/>
  <c r="F304" i="1"/>
  <c r="F586" i="1"/>
  <c r="F593" i="1"/>
  <c r="J56" i="1"/>
  <c r="G201" i="1" l="1"/>
  <c r="D288" i="1"/>
  <c r="F288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A282" i="1"/>
  <c r="A283" i="1" s="1"/>
  <c r="A284" i="1" s="1"/>
  <c r="A285" i="1" s="1"/>
  <c r="A286" i="1" s="1"/>
  <c r="A287" i="1" s="1"/>
  <c r="A288" i="1" s="1"/>
  <c r="G281" i="1"/>
  <c r="D281" i="1"/>
  <c r="F281" i="1" s="1"/>
  <c r="D279" i="1"/>
  <c r="F279" i="1" s="1"/>
  <c r="D278" i="1"/>
  <c r="F278" i="1" s="1"/>
  <c r="D277" i="1"/>
  <c r="F277" i="1" s="1"/>
  <c r="D276" i="1"/>
  <c r="F276" i="1" s="1"/>
  <c r="D275" i="1"/>
  <c r="F275" i="1" s="1"/>
  <c r="D274" i="1"/>
  <c r="F274" i="1" s="1"/>
  <c r="D273" i="1"/>
  <c r="F273" i="1" s="1"/>
  <c r="A273" i="1"/>
  <c r="A274" i="1" s="1"/>
  <c r="A275" i="1" s="1"/>
  <c r="A276" i="1" s="1"/>
  <c r="A277" i="1" s="1"/>
  <c r="A278" i="1" s="1"/>
  <c r="A279" i="1" s="1"/>
  <c r="G272" i="1"/>
  <c r="D272" i="1"/>
  <c r="F272" i="1" s="1"/>
  <c r="D269" i="1"/>
  <c r="F269" i="1" s="1"/>
  <c r="D268" i="1"/>
  <c r="F268" i="1" s="1"/>
  <c r="D267" i="1"/>
  <c r="F267" i="1" s="1"/>
  <c r="D266" i="1"/>
  <c r="F266" i="1" s="1"/>
  <c r="D265" i="1"/>
  <c r="F265" i="1" s="1"/>
  <c r="A265" i="1"/>
  <c r="A266" i="1" s="1"/>
  <c r="A267" i="1" s="1"/>
  <c r="A268" i="1" s="1"/>
  <c r="A269" i="1" s="1"/>
  <c r="G264" i="1"/>
  <c r="D264" i="1"/>
  <c r="F264" i="1" s="1"/>
  <c r="D262" i="1"/>
  <c r="F262" i="1" s="1"/>
  <c r="D261" i="1"/>
  <c r="F261" i="1" s="1"/>
  <c r="D260" i="1"/>
  <c r="F260" i="1" s="1"/>
  <c r="D259" i="1"/>
  <c r="F259" i="1" s="1"/>
  <c r="D258" i="1"/>
  <c r="F258" i="1" s="1"/>
  <c r="A258" i="1"/>
  <c r="A259" i="1" s="1"/>
  <c r="A260" i="1" s="1"/>
  <c r="A261" i="1" s="1"/>
  <c r="A262" i="1" s="1"/>
  <c r="G257" i="1"/>
  <c r="D257" i="1"/>
  <c r="J256" i="1"/>
  <c r="E427" i="1"/>
  <c r="E426" i="1"/>
  <c r="E425" i="1"/>
  <c r="E420" i="1"/>
  <c r="E353" i="1"/>
  <c r="E355" i="1"/>
  <c r="E354" i="1"/>
  <c r="E348" i="1"/>
  <c r="E463" i="1"/>
  <c r="E462" i="1"/>
  <c r="E461" i="1"/>
  <c r="E384" i="1"/>
  <c r="E389" i="1"/>
  <c r="E391" i="1"/>
  <c r="E390" i="1"/>
  <c r="D481" i="1"/>
  <c r="F481" i="1" s="1"/>
  <c r="D480" i="1"/>
  <c r="F480" i="1" s="1"/>
  <c r="D479" i="1"/>
  <c r="F479" i="1" s="1"/>
  <c r="D478" i="1"/>
  <c r="F478" i="1" s="1"/>
  <c r="D477" i="1"/>
  <c r="F477" i="1" s="1"/>
  <c r="D475" i="1"/>
  <c r="F475" i="1" s="1"/>
  <c r="A475" i="1"/>
  <c r="A476" i="1" s="1"/>
  <c r="A477" i="1" s="1"/>
  <c r="A478" i="1" s="1"/>
  <c r="A479" i="1" s="1"/>
  <c r="A480" i="1" s="1"/>
  <c r="A481" i="1" s="1"/>
  <c r="G474" i="1"/>
  <c r="D474" i="1"/>
  <c r="F474" i="1" s="1"/>
  <c r="D472" i="1"/>
  <c r="F472" i="1" s="1"/>
  <c r="D471" i="1"/>
  <c r="F471" i="1" s="1"/>
  <c r="D470" i="1"/>
  <c r="F470" i="1" s="1"/>
  <c r="D469" i="1"/>
  <c r="F469" i="1" s="1"/>
  <c r="D468" i="1"/>
  <c r="F468" i="1" s="1"/>
  <c r="D467" i="1"/>
  <c r="F467" i="1" s="1"/>
  <c r="D466" i="1"/>
  <c r="F466" i="1" s="1"/>
  <c r="A466" i="1"/>
  <c r="A467" i="1" s="1"/>
  <c r="A468" i="1" s="1"/>
  <c r="A469" i="1" s="1"/>
  <c r="A470" i="1" s="1"/>
  <c r="A471" i="1" s="1"/>
  <c r="A472" i="1" s="1"/>
  <c r="G465" i="1"/>
  <c r="D465" i="1"/>
  <c r="F465" i="1" s="1"/>
  <c r="D463" i="1"/>
  <c r="D462" i="1"/>
  <c r="D461" i="1"/>
  <c r="D460" i="1"/>
  <c r="F460" i="1" s="1"/>
  <c r="D459" i="1"/>
  <c r="F459" i="1" s="1"/>
  <c r="D458" i="1"/>
  <c r="F458" i="1" s="1"/>
  <c r="D457" i="1"/>
  <c r="F457" i="1" s="1"/>
  <c r="A457" i="1"/>
  <c r="A458" i="1" s="1"/>
  <c r="A459" i="1" s="1"/>
  <c r="A460" i="1" s="1"/>
  <c r="A461" i="1" s="1"/>
  <c r="A462" i="1" s="1"/>
  <c r="A463" i="1" s="1"/>
  <c r="G456" i="1"/>
  <c r="D456" i="1"/>
  <c r="D454" i="1"/>
  <c r="F454" i="1" s="1"/>
  <c r="D453" i="1"/>
  <c r="F453" i="1" s="1"/>
  <c r="D452" i="1"/>
  <c r="F452" i="1" s="1"/>
  <c r="A452" i="1"/>
  <c r="A453" i="1" s="1"/>
  <c r="A454" i="1" s="1"/>
  <c r="G451" i="1"/>
  <c r="D451" i="1"/>
  <c r="F451" i="1" s="1"/>
  <c r="D449" i="1"/>
  <c r="F449" i="1" s="1"/>
  <c r="G448" i="1"/>
  <c r="D448" i="1"/>
  <c r="F448" i="1" s="1"/>
  <c r="D445" i="1"/>
  <c r="F445" i="1" s="1"/>
  <c r="D444" i="1"/>
  <c r="F444" i="1" s="1"/>
  <c r="D443" i="1"/>
  <c r="F443" i="1" s="1"/>
  <c r="D442" i="1"/>
  <c r="F442" i="1" s="1"/>
  <c r="D440" i="1"/>
  <c r="F440" i="1" s="1"/>
  <c r="D439" i="1"/>
  <c r="F439" i="1" s="1"/>
  <c r="A439" i="1"/>
  <c r="A440" i="1" s="1"/>
  <c r="A441" i="1" s="1"/>
  <c r="A442" i="1" s="1"/>
  <c r="A443" i="1" s="1"/>
  <c r="A444" i="1" s="1"/>
  <c r="A445" i="1" s="1"/>
  <c r="G438" i="1"/>
  <c r="D438" i="1"/>
  <c r="F438" i="1" s="1"/>
  <c r="D436" i="1"/>
  <c r="F436" i="1" s="1"/>
  <c r="D435" i="1"/>
  <c r="F435" i="1" s="1"/>
  <c r="D434" i="1"/>
  <c r="F434" i="1" s="1"/>
  <c r="D433" i="1"/>
  <c r="F433" i="1" s="1"/>
  <c r="D432" i="1"/>
  <c r="F432" i="1" s="1"/>
  <c r="D431" i="1"/>
  <c r="F431" i="1" s="1"/>
  <c r="D430" i="1"/>
  <c r="F430" i="1" s="1"/>
  <c r="A430" i="1"/>
  <c r="A431" i="1" s="1"/>
  <c r="A432" i="1" s="1"/>
  <c r="A433" i="1" s="1"/>
  <c r="A434" i="1" s="1"/>
  <c r="A435" i="1" s="1"/>
  <c r="A436" i="1" s="1"/>
  <c r="G429" i="1"/>
  <c r="D429" i="1"/>
  <c r="F429" i="1" s="1"/>
  <c r="D427" i="1"/>
  <c r="D426" i="1"/>
  <c r="D425" i="1"/>
  <c r="D424" i="1"/>
  <c r="F424" i="1" s="1"/>
  <c r="D423" i="1"/>
  <c r="F423" i="1" s="1"/>
  <c r="D422" i="1"/>
  <c r="F422" i="1" s="1"/>
  <c r="D421" i="1"/>
  <c r="F421" i="1" s="1"/>
  <c r="A421" i="1"/>
  <c r="A422" i="1" s="1"/>
  <c r="A423" i="1" s="1"/>
  <c r="A424" i="1" s="1"/>
  <c r="A425" i="1" s="1"/>
  <c r="A426" i="1" s="1"/>
  <c r="A427" i="1" s="1"/>
  <c r="G420" i="1"/>
  <c r="D420" i="1"/>
  <c r="D418" i="1"/>
  <c r="F418" i="1" s="1"/>
  <c r="D417" i="1"/>
  <c r="F417" i="1" s="1"/>
  <c r="D416" i="1"/>
  <c r="F416" i="1" s="1"/>
  <c r="A416" i="1"/>
  <c r="A417" i="1" s="1"/>
  <c r="A418" i="1" s="1"/>
  <c r="G415" i="1"/>
  <c r="D415" i="1"/>
  <c r="F415" i="1" s="1"/>
  <c r="D413" i="1"/>
  <c r="F413" i="1" s="1"/>
  <c r="J412" i="1"/>
  <c r="G412" i="1"/>
  <c r="D412" i="1"/>
  <c r="D409" i="1"/>
  <c r="F409" i="1" s="1"/>
  <c r="D408" i="1"/>
  <c r="F408" i="1" s="1"/>
  <c r="D407" i="1"/>
  <c r="F407" i="1" s="1"/>
  <c r="D406" i="1"/>
  <c r="F406" i="1" s="1"/>
  <c r="D405" i="1"/>
  <c r="F405" i="1" s="1"/>
  <c r="D403" i="1"/>
  <c r="F403" i="1" s="1"/>
  <c r="A403" i="1"/>
  <c r="A404" i="1" s="1"/>
  <c r="A405" i="1" s="1"/>
  <c r="A406" i="1" s="1"/>
  <c r="A407" i="1" s="1"/>
  <c r="A408" i="1" s="1"/>
  <c r="A409" i="1" s="1"/>
  <c r="G402" i="1"/>
  <c r="D402" i="1"/>
  <c r="F402" i="1" s="1"/>
  <c r="D400" i="1"/>
  <c r="F400" i="1" s="1"/>
  <c r="D399" i="1"/>
  <c r="F399" i="1" s="1"/>
  <c r="D398" i="1"/>
  <c r="F398" i="1" s="1"/>
  <c r="D397" i="1"/>
  <c r="F397" i="1" s="1"/>
  <c r="D396" i="1"/>
  <c r="F396" i="1" s="1"/>
  <c r="D395" i="1"/>
  <c r="F395" i="1" s="1"/>
  <c r="D394" i="1"/>
  <c r="F394" i="1" s="1"/>
  <c r="A394" i="1"/>
  <c r="A395" i="1" s="1"/>
  <c r="A396" i="1" s="1"/>
  <c r="A397" i="1" s="1"/>
  <c r="A398" i="1" s="1"/>
  <c r="A399" i="1" s="1"/>
  <c r="A400" i="1" s="1"/>
  <c r="G393" i="1"/>
  <c r="D393" i="1"/>
  <c r="F393" i="1" s="1"/>
  <c r="D391" i="1"/>
  <c r="D390" i="1"/>
  <c r="D389" i="1"/>
  <c r="D388" i="1"/>
  <c r="F388" i="1" s="1"/>
  <c r="D387" i="1"/>
  <c r="F387" i="1" s="1"/>
  <c r="D386" i="1"/>
  <c r="F386" i="1" s="1"/>
  <c r="D385" i="1"/>
  <c r="F385" i="1" s="1"/>
  <c r="A385" i="1"/>
  <c r="A386" i="1" s="1"/>
  <c r="A387" i="1" s="1"/>
  <c r="A388" i="1" s="1"/>
  <c r="A389" i="1" s="1"/>
  <c r="A390" i="1" s="1"/>
  <c r="A391" i="1" s="1"/>
  <c r="G384" i="1"/>
  <c r="D384" i="1"/>
  <c r="D382" i="1"/>
  <c r="F382" i="1" s="1"/>
  <c r="D381" i="1"/>
  <c r="F381" i="1" s="1"/>
  <c r="D380" i="1"/>
  <c r="F380" i="1" s="1"/>
  <c r="A380" i="1"/>
  <c r="A381" i="1" s="1"/>
  <c r="A382" i="1" s="1"/>
  <c r="G379" i="1"/>
  <c r="D379" i="1"/>
  <c r="F379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A248" i="1"/>
  <c r="A249" i="1" s="1"/>
  <c r="A250" i="1" s="1"/>
  <c r="A251" i="1" s="1"/>
  <c r="A252" i="1" s="1"/>
  <c r="A253" i="1" s="1"/>
  <c r="A254" i="1" s="1"/>
  <c r="G247" i="1"/>
  <c r="D377" i="1"/>
  <c r="F377" i="1" s="1"/>
  <c r="G376" i="1"/>
  <c r="D376" i="1"/>
  <c r="F376" i="1" s="1"/>
  <c r="F581" i="1"/>
  <c r="G581" i="1"/>
  <c r="A582" i="1"/>
  <c r="A583" i="1" s="1"/>
  <c r="A584" i="1" s="1"/>
  <c r="F582" i="1"/>
  <c r="D245" i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F245" i="1"/>
  <c r="A239" i="1"/>
  <c r="A240" i="1" s="1"/>
  <c r="A241" i="1" s="1"/>
  <c r="A242" i="1" s="1"/>
  <c r="A243" i="1" s="1"/>
  <c r="A244" i="1" s="1"/>
  <c r="A245" i="1" s="1"/>
  <c r="G238" i="1"/>
  <c r="F584" i="1"/>
  <c r="F583" i="1"/>
  <c r="D373" i="1"/>
  <c r="F373" i="1" s="1"/>
  <c r="D372" i="1"/>
  <c r="F372" i="1" s="1"/>
  <c r="D371" i="1"/>
  <c r="F371" i="1" s="1"/>
  <c r="D370" i="1"/>
  <c r="F370" i="1" s="1"/>
  <c r="D368" i="1"/>
  <c r="F368" i="1" s="1"/>
  <c r="D367" i="1"/>
  <c r="F367" i="1" s="1"/>
  <c r="D366" i="1"/>
  <c r="F366" i="1" s="1"/>
  <c r="D364" i="1"/>
  <c r="F364" i="1" s="1"/>
  <c r="D363" i="1"/>
  <c r="F363" i="1" s="1"/>
  <c r="I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55" i="1"/>
  <c r="D354" i="1"/>
  <c r="D353" i="1"/>
  <c r="D352" i="1"/>
  <c r="D351" i="1"/>
  <c r="D350" i="1"/>
  <c r="D349" i="1"/>
  <c r="D348" i="1"/>
  <c r="D346" i="1"/>
  <c r="D345" i="1"/>
  <c r="D344" i="1"/>
  <c r="D343" i="1"/>
  <c r="D341" i="1"/>
  <c r="D340" i="1"/>
  <c r="A367" i="1"/>
  <c r="A368" i="1" s="1"/>
  <c r="A369" i="1" s="1"/>
  <c r="A370" i="1" s="1"/>
  <c r="A371" i="1" s="1"/>
  <c r="A372" i="1" s="1"/>
  <c r="A373" i="1" s="1"/>
  <c r="G366" i="1"/>
  <c r="A358" i="1"/>
  <c r="A359" i="1" s="1"/>
  <c r="A360" i="1" s="1"/>
  <c r="A361" i="1" s="1"/>
  <c r="A362" i="1" s="1"/>
  <c r="A363" i="1" s="1"/>
  <c r="A364" i="1" s="1"/>
  <c r="G357" i="1"/>
  <c r="G213" i="1" l="1"/>
  <c r="F463" i="1"/>
  <c r="F384" i="1"/>
  <c r="F427" i="1"/>
  <c r="F461" i="1"/>
  <c r="G199" i="1"/>
  <c r="F425" i="1"/>
  <c r="F426" i="1"/>
  <c r="C208" i="1"/>
  <c r="C198" i="1"/>
  <c r="C206" i="1"/>
  <c r="F412" i="1"/>
  <c r="C197" i="1"/>
  <c r="E199" i="1"/>
  <c r="G197" i="1"/>
  <c r="F390" i="1"/>
  <c r="E198" i="1"/>
  <c r="E208" i="1"/>
  <c r="C207" i="1"/>
  <c r="E197" i="1"/>
  <c r="C199" i="1"/>
  <c r="F257" i="1"/>
  <c r="G198" i="1" s="1"/>
  <c r="E206" i="1"/>
  <c r="E209" i="1"/>
  <c r="E207" i="1"/>
  <c r="C209" i="1"/>
  <c r="F420" i="1"/>
  <c r="F456" i="1"/>
  <c r="F462" i="1"/>
  <c r="F391" i="1"/>
  <c r="F389" i="1"/>
  <c r="F355" i="1"/>
  <c r="F348" i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J222" i="1"/>
  <c r="F354" i="1"/>
  <c r="F353" i="1"/>
  <c r="F352" i="1"/>
  <c r="F351" i="1"/>
  <c r="F350" i="1"/>
  <c r="J350" i="1" s="1"/>
  <c r="F349" i="1"/>
  <c r="A349" i="1"/>
  <c r="A350" i="1" s="1"/>
  <c r="A351" i="1" s="1"/>
  <c r="A352" i="1" s="1"/>
  <c r="A353" i="1" s="1"/>
  <c r="A354" i="1" s="1"/>
  <c r="A355" i="1" s="1"/>
  <c r="G348" i="1"/>
  <c r="F346" i="1"/>
  <c r="F341" i="1"/>
  <c r="F343" i="1"/>
  <c r="F345" i="1"/>
  <c r="F344" i="1"/>
  <c r="A344" i="1"/>
  <c r="A345" i="1" s="1"/>
  <c r="A346" i="1" s="1"/>
  <c r="G343" i="1"/>
  <c r="A231" i="1"/>
  <c r="A232" i="1" s="1"/>
  <c r="A233" i="1" s="1"/>
  <c r="A234" i="1" s="1"/>
  <c r="A235" i="1" s="1"/>
  <c r="G230" i="1"/>
  <c r="J340" i="1"/>
  <c r="G340" i="1"/>
  <c r="F340" i="1"/>
  <c r="A224" i="1"/>
  <c r="A225" i="1" s="1"/>
  <c r="A226" i="1" s="1"/>
  <c r="A227" i="1" s="1"/>
  <c r="A228" i="1" s="1"/>
  <c r="G223" i="1"/>
  <c r="J219" i="1"/>
  <c r="C215" i="1" l="1"/>
  <c r="E215" i="1"/>
  <c r="D66" i="1"/>
  <c r="G206" i="1"/>
  <c r="G209" i="1"/>
  <c r="G207" i="1"/>
  <c r="G208" i="1"/>
  <c r="G196" i="1"/>
  <c r="G203" i="1" s="1"/>
  <c r="E196" i="1"/>
  <c r="C196" i="1"/>
  <c r="C203" i="1" s="1"/>
  <c r="C14" i="1"/>
  <c r="E203" i="1" l="1"/>
  <c r="K207" i="1" s="1"/>
  <c r="G215" i="1"/>
  <c r="K206" i="1" s="1"/>
  <c r="E29" i="1"/>
  <c r="F193" i="1" l="1"/>
  <c r="B643" i="1" l="1"/>
  <c r="B64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668" i="1"/>
  <c r="D55" i="1"/>
  <c r="G49" i="1"/>
  <c r="G50" i="1" s="1"/>
  <c r="C49" i="1"/>
  <c r="E42" i="1"/>
  <c r="E43" i="1" s="1"/>
  <c r="E26" i="1"/>
  <c r="E24" i="1"/>
  <c r="E7" i="1"/>
  <c r="E3" i="1"/>
  <c r="D62" i="1" l="1"/>
  <c r="F67" i="1" l="1"/>
  <c r="D67" i="1"/>
</calcChain>
</file>

<file path=xl/sharedStrings.xml><?xml version="1.0" encoding="utf-8"?>
<sst xmlns="http://schemas.openxmlformats.org/spreadsheetml/2006/main" count="739" uniqueCount="265">
  <si>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</si>
  <si>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</si>
  <si>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</si>
  <si>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</si>
  <si>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</si>
  <si>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</si>
  <si>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</si>
  <si>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</si>
  <si>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</si>
  <si>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</si>
  <si>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</si>
  <si>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</si>
  <si>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</si>
  <si>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</si>
  <si>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</si>
  <si>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</si>
  <si>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</si>
  <si>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</si>
  <si>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</si>
  <si>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</si>
  <si>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</si>
  <si>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</si>
  <si>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</si>
  <si>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</si>
  <si>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</si>
  <si>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</si>
  <si>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</si>
  <si>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</si>
  <si>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</si>
  <si>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</si>
  <si>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</si>
  <si>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</si>
  <si>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</si>
  <si>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</si>
  <si>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</si>
  <si>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</si>
  <si>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</si>
  <si>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</si>
  <si>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</si>
  <si>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</si>
  <si>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</si>
  <si>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</si>
  <si>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</si>
  <si>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</si>
  <si>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</si>
  <si>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</si>
  <si>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</si>
  <si>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</si>
  <si>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</si>
  <si>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</si>
  <si>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</si>
  <si>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</si>
  <si>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</si>
  <si>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</si>
  <si>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</si>
  <si>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</si>
  <si>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</si>
  <si>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</si>
  <si>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</si>
  <si>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</si>
  <si>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</si>
  <si>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</si>
  <si>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</si>
  <si>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</si>
  <si>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</si>
  <si>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</si>
  <si>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</si>
  <si>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</si>
  <si>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</si>
  <si>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</si>
  <si>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</si>
  <si>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</si>
  <si>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</si>
  <si>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</si>
  <si>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</si>
  <si>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</si>
  <si>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</si>
  <si>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</si>
  <si>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</si>
  <si>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</si>
  <si>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</si>
  <si>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</si>
  <si>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</si>
  <si>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</si>
  <si>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</si>
  <si>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</si>
  <si>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</si>
  <si>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</si>
  <si>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</si>
  <si>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</si>
  <si>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</si>
  <si>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</si>
  <si>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</si>
  <si>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</si>
  <si>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</si>
  <si>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</si>
  <si>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</si>
  <si>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</si>
  <si>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</si>
  <si>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</si>
  <si>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</si>
  <si>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</si>
  <si>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</si>
  <si>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</si>
  <si>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</si>
  <si>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</si>
  <si>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</si>
  <si>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</si>
  <si>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</si>
  <si>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</si>
  <si>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</si>
  <si>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</si>
  <si>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</si>
  <si>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</si>
  <si>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</si>
  <si>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</si>
  <si>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</si>
  <si>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</si>
  <si>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</si>
  <si>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</si>
  <si>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</si>
  <si>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</si>
  <si>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</si>
  <si>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</si>
  <si>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</si>
  <si>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</si>
  <si>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</si>
  <si>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</si>
  <si>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</si>
  <si>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</si>
  <si>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</si>
  <si>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</si>
  <si>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</si>
  <si>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</si>
  <si>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</si>
  <si>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</si>
  <si>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</si>
  <si>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</si>
  <si>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</si>
  <si>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</si>
  <si>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</si>
  <si>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</si>
  <si>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</si>
  <si>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</si>
  <si>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</si>
  <si>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</si>
  <si>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</si>
  <si>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</si>
  <si>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</si>
  <si>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</si>
  <si>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</si>
  <si>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</si>
  <si>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</si>
  <si>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</si>
  <si>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</si>
  <si>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</si>
  <si>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</si>
  <si>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</si>
  <si>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</si>
  <si>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</si>
  <si>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</si>
  <si>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</si>
  <si>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</si>
  <si>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</si>
  <si>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</si>
  <si>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</si>
  <si>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</si>
  <si>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</si>
  <si>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</si>
  <si>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</si>
  <si>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Goregaon</t>
  </si>
  <si>
    <t>Sunteck Realty Limited</t>
  </si>
  <si>
    <t>Approved Plans, CC, Cost Sheet</t>
  </si>
  <si>
    <t>Survey No</t>
  </si>
  <si>
    <t>Tivri</t>
  </si>
  <si>
    <t>Palghar</t>
  </si>
  <si>
    <t>Vasai</t>
  </si>
  <si>
    <t>Naigaon East</t>
  </si>
  <si>
    <t>Naigaon East Vasai Link Road</t>
  </si>
  <si>
    <t>3.4KM from Naigaon Railway Station</t>
  </si>
  <si>
    <t>Main Road</t>
  </si>
  <si>
    <t>Open Plot</t>
  </si>
  <si>
    <t>Railway Track</t>
  </si>
  <si>
    <t xml:space="preserve">https://goo.gl/maps/AKyJowbHLcAZig728
</t>
  </si>
  <si>
    <t>Vasai-Virar City Municipal Corporation</t>
  </si>
  <si>
    <t>VVCMC/TP/AMEND/SPA/VP/006/058/2021-22</t>
  </si>
  <si>
    <t>VVCMC/TP/CC/SPA/VP-0006/059/2021-22</t>
  </si>
  <si>
    <t>Sector I</t>
  </si>
  <si>
    <t>Tower 2</t>
  </si>
  <si>
    <t>Shop</t>
  </si>
  <si>
    <t>Sector - I</t>
  </si>
  <si>
    <t>3rd Floor</t>
  </si>
  <si>
    <t>4th to 7th, 9th to 12th, 14th to 17th, 19th to 23rd Floor</t>
  </si>
  <si>
    <t>Refuge Area</t>
  </si>
  <si>
    <t>8th, 13th &amp; 18th Floor (Part Refuge Area)</t>
  </si>
  <si>
    <t>Tower 3</t>
  </si>
  <si>
    <t>Tower 4</t>
  </si>
  <si>
    <t>Tower 5</t>
  </si>
  <si>
    <t>Ground Floor For Commercial &amp; Parking</t>
  </si>
  <si>
    <t>Shops</t>
  </si>
  <si>
    <t>Flats</t>
  </si>
  <si>
    <t>We considered Gross carpet area = Net carpet + D.B Area + F.B Area.</t>
  </si>
  <si>
    <t>Navnath</t>
  </si>
  <si>
    <t>1st Floor For Residential &amp; Parking</t>
  </si>
  <si>
    <t>Sunteck West World</t>
  </si>
  <si>
    <t>2 H.No.3, S.No.3 H.No.1,7,10, ... , S.No.126 H.No.2,4,12</t>
  </si>
  <si>
    <t>Society Formation &amp; Other legal Charges</t>
  </si>
  <si>
    <t>Tower 1 is Club house.</t>
  </si>
  <si>
    <t>Site Meet Person Details ( Name &amp; Contect No.)</t>
  </si>
  <si>
    <t xml:space="preserve">1.Vitrified tiles flooring 2. Granite Kitchen Platform  3. Decorative Enternace  etc. 
</t>
  </si>
  <si>
    <t>Tower 9</t>
  </si>
  <si>
    <t>2nd Floor For Part Commercial</t>
  </si>
  <si>
    <t xml:space="preserve">Commencement-CC No
Valid Up to: </t>
  </si>
  <si>
    <t>Ground Floor For Commercial, Parking, Entrance Lobby, Society Office, Drivers Room &amp; Meter Room</t>
  </si>
  <si>
    <t>1st Floor For Residential</t>
  </si>
  <si>
    <t>1st Floor</t>
  </si>
  <si>
    <t>Double Height Shop No.1</t>
  </si>
  <si>
    <t>Double Height Shop No.2</t>
  </si>
  <si>
    <t>Double Height Shop No.3</t>
  </si>
  <si>
    <t>Double Height Shop No.4</t>
  </si>
  <si>
    <t>Double Height Shop No.5</t>
  </si>
  <si>
    <t>Double Height Shop No.6</t>
  </si>
  <si>
    <t>We have updated Approved plan &amp; CC of  Tower 9 on 04/01/2023.</t>
  </si>
  <si>
    <t>Tower 7 &amp; 8 = G + 1st to 23rd Floor</t>
  </si>
  <si>
    <t>Tower 7</t>
  </si>
  <si>
    <t>Ground Floor For Parking &amp; Society Office</t>
  </si>
  <si>
    <t>2nd to 7th, 9th to 12th, 14th to 17th, 19th to 23rd Floor</t>
  </si>
  <si>
    <t>Tower 8</t>
  </si>
  <si>
    <t>Ground Floor For Parking &amp; Society Office, Drivers Room</t>
  </si>
  <si>
    <t>Double Heighted Entrance Lobby</t>
  </si>
  <si>
    <t>We have updated Approved plan &amp; CC of  Tower 7 &amp; 8 on 18/01/2023.</t>
  </si>
  <si>
    <t>Latitude &amp; Longitude</t>
  </si>
  <si>
    <t>Details taken from Mr.Mahesh(sales) - 9920729702.</t>
  </si>
  <si>
    <t>as per architect letter plinth is given to Tower 2</t>
  </si>
  <si>
    <t>P99000032855- Tower 2
P99000032834- Tower 3 &amp; 4
P99000033099- Tower 5 &amp; 6
P99000033218- Tower 7 &amp; 8
P99000033157- Tower 9 &amp; 10</t>
  </si>
  <si>
    <t>9 Towers</t>
  </si>
  <si>
    <t>Tower 2, 3, 4, 5, 9 &amp; 10 = G + 1st to 23rd Floor</t>
  </si>
  <si>
    <t>Tower 10</t>
  </si>
  <si>
    <t>We have updated Approved plan &amp; CC of  Tower 10 on 27/03/2023</t>
  </si>
  <si>
    <t>Void</t>
  </si>
  <si>
    <t>Tower 2, 3, 4, 5, 6, 7 to 9 &amp; 10 = G + 1st to 23rd Floor</t>
  </si>
  <si>
    <t>As per RERA - 31/12/2025 (T-2,3,4)
                         31/12/2026 (T- 5, 6,7,8,9,10)</t>
  </si>
  <si>
    <t>Tower 6 = G + 1st to 23rd Floor</t>
  </si>
  <si>
    <t>Tower 6</t>
  </si>
  <si>
    <t>1st Floor For Parking</t>
  </si>
  <si>
    <t>Flats - 1533, Shops - 84</t>
  </si>
  <si>
    <t>We have updated Approved plan &amp; CC of  Tower 6 (on 21/07/2023).</t>
  </si>
  <si>
    <t>6200 to 6750</t>
  </si>
  <si>
    <t>igr</t>
  </si>
  <si>
    <t>Sanjay</t>
  </si>
  <si>
    <t>Tower 7 = G + 1st to 23rd Floor</t>
  </si>
  <si>
    <t>Office No. 1031, Wing J, Akshar Business Park, Plot No. 03 Sector 25, Near APMC Market,
Vashi, Navi Mumbai, Maharashtra 400703 TEL: 022-46090378/79/80                                                                                                     Email : vsjcapf@gmail.com. Web site : www.vsjadon.com</t>
  </si>
  <si>
    <t>Mr. Dev 9657602983</t>
  </si>
  <si>
    <t>19.3671268,72.8613243</t>
  </si>
  <si>
    <t>Tower  8 = G + 1st to 23rd Floor</t>
  </si>
  <si>
    <t>Tower  10 = G + 1st to 23rd Floor</t>
  </si>
  <si>
    <t>Tower  9 = G + 1st to 23rd Floor</t>
  </si>
  <si>
    <t>Tower 2 to 10</t>
  </si>
  <si>
    <t>Sunteck One World 2 to 10</t>
  </si>
  <si>
    <t>Tower 2 = G + 1st to 23rd Floor</t>
  </si>
  <si>
    <t>Tower  3 &amp; 4 = G + 1st to 23rd Floor</t>
  </si>
  <si>
    <t>Tower  5 = G + 1st to 23rd Floor</t>
  </si>
  <si>
    <t>Pooja</t>
  </si>
  <si>
    <t>Security</t>
  </si>
  <si>
    <t>Building No. 2 to 4 &amp; 7 to 10 =Constrcution work is in process. Internal photo was not allowed.
Building No. 5 &amp; 6 = Work is same as last visit.09/10/2023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</si>
</sst>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4" xfId="0" applyFont="1" applyFill="1" applyBorder="1"/>
    <xf numFmtId="0" fontId="25" fillId="0" borderId="8" xfId="0" applyFont="1" applyBorder="1"/>
    <xf numFmtId="0" fontId="7" fillId="0" borderId="2" xfId="1" applyFont="1" applyBorder="1" applyAlignment="1" applyProtection="1">
      <alignment horizontal="center" vertical="top" wrapText="1"/>
      <protection locked="0"/>
    </xf>
    <xf numFmtId="9" fontId="7" fillId="0" borderId="2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34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35" xfId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68" fontId="6" fillId="0" borderId="16" xfId="1" applyNumberFormat="1" applyFont="1" applyBorder="1" applyAlignment="1" applyProtection="1">
      <alignment horizontal="center" vertical="center" wrapText="1"/>
      <protection locked="0"/>
    </xf>
    <xf numFmtId="168" fontId="6" fillId="0" borderId="23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32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2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31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0" xfId="1" applyNumberFormat="1" applyFont="1" applyBorder="1" applyAlignment="1" applyProtection="1">
      <alignment horizontal="center" vertical="center" wrapText="1"/>
      <protection locked="0"/>
    </xf>
    <xf numFmtId="168" fontId="6" fillId="0" borderId="25" xfId="1" applyNumberFormat="1" applyFont="1" applyBorder="1" applyAlignment="1" applyProtection="1">
      <alignment horizontal="center" vertical="center" wrapText="1"/>
      <protection locked="0"/>
    </xf>
    <xf numFmtId="0" fontId="7" fillId="0" borderId="33" xfId="1" applyFont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</xdr:colOff>
      <xdr:row>733</xdr:row>
      <xdr:rowOff>108585</xdr:rowOff>
    </xdr:from>
    <xdr:to>
      <xdr:col>7</xdr:col>
      <xdr:colOff>200152</xdr:colOff>
      <xdr:row>752</xdr:row>
      <xdr:rowOff>46756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0605" y="150329265"/>
          <a:ext cx="5014087" cy="37024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245745</xdr:colOff>
      <xdr:row>714</xdr:row>
      <xdr:rowOff>22860</xdr:rowOff>
    </xdr:from>
    <xdr:to>
      <xdr:col>7</xdr:col>
      <xdr:colOff>200152</xdr:colOff>
      <xdr:row>732</xdr:row>
      <xdr:rowOff>159153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0605" y="146479260"/>
          <a:ext cx="5014087" cy="37024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890221</xdr:colOff>
      <xdr:row>683</xdr:row>
      <xdr:rowOff>91587</xdr:rowOff>
    </xdr:from>
    <xdr:to>
      <xdr:col>9</xdr:col>
      <xdr:colOff>445476</xdr:colOff>
      <xdr:row>684</xdr:row>
      <xdr:rowOff>186836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14846" y="138908937"/>
          <a:ext cx="717305" cy="295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T - 2 &amp; 3</a:t>
          </a:r>
        </a:p>
      </xdr:txBody>
    </xdr:sp>
    <xdr:clientData/>
  </xdr:twoCellAnchor>
  <xdr:twoCellAnchor>
    <xdr:from>
      <xdr:col>11</xdr:col>
      <xdr:colOff>507803</xdr:colOff>
      <xdr:row>671</xdr:row>
      <xdr:rowOff>69618</xdr:rowOff>
    </xdr:from>
    <xdr:to>
      <xdr:col>12</xdr:col>
      <xdr:colOff>403028</xdr:colOff>
      <xdr:row>672</xdr:row>
      <xdr:rowOff>164868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661328" y="129333393"/>
          <a:ext cx="7143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T - 4 &amp; 5</a:t>
          </a:r>
        </a:p>
      </xdr:txBody>
    </xdr:sp>
    <xdr:clientData/>
  </xdr:twoCellAnchor>
  <xdr:twoCellAnchor>
    <xdr:from>
      <xdr:col>13</xdr:col>
      <xdr:colOff>703729</xdr:colOff>
      <xdr:row>671</xdr:row>
      <xdr:rowOff>66675</xdr:rowOff>
    </xdr:from>
    <xdr:to>
      <xdr:col>14</xdr:col>
      <xdr:colOff>381001</xdr:colOff>
      <xdr:row>672</xdr:row>
      <xdr:rowOff>104775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1466979" y="129330450"/>
          <a:ext cx="515472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T - 6</a:t>
          </a:r>
        </a:p>
      </xdr:txBody>
    </xdr:sp>
    <xdr:clientData/>
  </xdr:twoCellAnchor>
  <xdr:twoCellAnchor>
    <xdr:from>
      <xdr:col>11</xdr:col>
      <xdr:colOff>507803</xdr:colOff>
      <xdr:row>683</xdr:row>
      <xdr:rowOff>92797</xdr:rowOff>
    </xdr:from>
    <xdr:to>
      <xdr:col>12</xdr:col>
      <xdr:colOff>152400</xdr:colOff>
      <xdr:row>684</xdr:row>
      <xdr:rowOff>180976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661328" y="131756872"/>
          <a:ext cx="463747" cy="2882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T - 8</a:t>
          </a:r>
        </a:p>
      </xdr:txBody>
    </xdr:sp>
    <xdr:clientData/>
  </xdr:twoCellAnchor>
  <xdr:twoCellAnchor>
    <xdr:from>
      <xdr:col>13</xdr:col>
      <xdr:colOff>703729</xdr:colOff>
      <xdr:row>683</xdr:row>
      <xdr:rowOff>92796</xdr:rowOff>
    </xdr:from>
    <xdr:to>
      <xdr:col>14</xdr:col>
      <xdr:colOff>323851</xdr:colOff>
      <xdr:row>684</xdr:row>
      <xdr:rowOff>152400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1466979" y="131756871"/>
          <a:ext cx="458322" cy="2596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T - 9</a:t>
          </a:r>
        </a:p>
      </xdr:txBody>
    </xdr:sp>
    <xdr:clientData/>
  </xdr:twoCellAnchor>
  <xdr:twoCellAnchor>
    <xdr:from>
      <xdr:col>10</xdr:col>
      <xdr:colOff>403496</xdr:colOff>
      <xdr:row>694</xdr:row>
      <xdr:rowOff>171485</xdr:rowOff>
    </xdr:from>
    <xdr:to>
      <xdr:col>11</xdr:col>
      <xdr:colOff>413021</xdr:colOff>
      <xdr:row>696</xdr:row>
      <xdr:rowOff>66710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2171" y="134035835"/>
          <a:ext cx="7143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T - 10</a:t>
          </a:r>
        </a:p>
      </xdr:txBody>
    </xdr:sp>
    <xdr:clientData/>
  </xdr:twoCellAnchor>
  <xdr:twoCellAnchor>
    <xdr:from>
      <xdr:col>8</xdr:col>
      <xdr:colOff>301017</xdr:colOff>
      <xdr:row>669</xdr:row>
      <xdr:rowOff>17967</xdr:rowOff>
    </xdr:from>
    <xdr:to>
      <xdr:col>15</xdr:col>
      <xdr:colOff>673055</xdr:colOff>
      <xdr:row>704</xdr:row>
      <xdr:rowOff>132503</xdr:rowOff>
    </xdr:to>
    <xdr:grpSp>
      <xdr:nvGrpSpPr>
        <xdr:cNvPr id="5" name="Group 4"/>
        <xdr:cNvGrpSpPr/>
      </xdr:nvGrpSpPr>
      <xdr:grpSpPr>
        <a:xfrm>
          <a:off x="7495567" y="136822367"/>
          <a:ext cx="6391838" cy="6997936"/>
          <a:chOff x="205767" y="135949242"/>
          <a:chExt cx="6106088" cy="7105886"/>
        </a:xfrm>
      </xdr:grpSpPr>
      <xdr:pic>
        <xdr:nvPicPr>
          <xdr:cNvPr id="20" name="Picture 19" descr="https://vsjcllp.vsjadon.com/upload/insp-203797-861.jpg">
            <a:extLst>
              <a:ext uri="{FF2B5EF4-FFF2-40B4-BE49-F238E27FC236}">
                <a16:creationId xmlns:a16="http://schemas.microsoft.com/office/drawing/2014/main" id="{BEBD6CA8-E329-4489-8D86-043880ED48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47881" y="135949242"/>
            <a:ext cx="1906104" cy="26376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03797-862.jpg">
            <a:extLst>
              <a:ext uri="{FF2B5EF4-FFF2-40B4-BE49-F238E27FC236}">
                <a16:creationId xmlns:a16="http://schemas.microsoft.com/office/drawing/2014/main" id="{CC301EED-254D-447A-9FB7-1DDCF247F4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5158" y="135949243"/>
            <a:ext cx="1928084" cy="26376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03797-860.jpg">
            <a:extLst>
              <a:ext uri="{FF2B5EF4-FFF2-40B4-BE49-F238E27FC236}">
                <a16:creationId xmlns:a16="http://schemas.microsoft.com/office/drawing/2014/main" id="{57C11F62-F7BB-4BA5-9346-A138B06F9C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767" y="141092825"/>
            <a:ext cx="1420912" cy="196230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03797-871.jpg">
            <a:extLst>
              <a:ext uri="{FF2B5EF4-FFF2-40B4-BE49-F238E27FC236}">
                <a16:creationId xmlns:a16="http://schemas.microsoft.com/office/drawing/2014/main" id="{8ECF1B35-2F83-4CF0-A668-1EAAF1712A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62583" y="135953255"/>
            <a:ext cx="1928085" cy="26376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03797-874.jpg">
            <a:extLst>
              <a:ext uri="{FF2B5EF4-FFF2-40B4-BE49-F238E27FC236}">
                <a16:creationId xmlns:a16="http://schemas.microsoft.com/office/drawing/2014/main" id="{B8D6E66C-8D24-42C1-9CB6-5DCADE91F3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4388" y="138695503"/>
            <a:ext cx="1637358" cy="22518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>
          <a:xfrm>
            <a:off x="520327" y="142546691"/>
            <a:ext cx="746999" cy="25160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Tower</a:t>
            </a:r>
            <a:r>
              <a:rPr lang="en-IN" sz="1100" baseline="0"/>
              <a:t> </a:t>
            </a:r>
            <a:r>
              <a:rPr lang="en-IN" sz="1100"/>
              <a:t>8</a:t>
            </a:r>
          </a:p>
        </xdr:txBody>
      </xdr:sp>
      <xdr:pic>
        <xdr:nvPicPr>
          <xdr:cNvPr id="25" name="Picture 24" descr="https://vsjcllp.vsjadon.com/upload/insp-203797-883.jpg">
            <a:extLst>
              <a:ext uri="{FF2B5EF4-FFF2-40B4-BE49-F238E27FC236}">
                <a16:creationId xmlns:a16="http://schemas.microsoft.com/office/drawing/2014/main" id="{2E14E2FC-909F-41B6-A92B-7E611BF985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79201" y="138695503"/>
            <a:ext cx="1637359" cy="22518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03797-916.jpg">
            <a:extLst>
              <a:ext uri="{FF2B5EF4-FFF2-40B4-BE49-F238E27FC236}">
                <a16:creationId xmlns:a16="http://schemas.microsoft.com/office/drawing/2014/main" id="{5B2D8471-79F1-42AA-B190-A767A57689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90942" y="141067296"/>
            <a:ext cx="1420913" cy="196230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03797-843.jpg">
            <a:extLst>
              <a:ext uri="{FF2B5EF4-FFF2-40B4-BE49-F238E27FC236}">
                <a16:creationId xmlns:a16="http://schemas.microsoft.com/office/drawing/2014/main" id="{6AC25F92-7AAB-49D6-A0CD-9E574FD7BC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29447" y="138691705"/>
            <a:ext cx="1634428" cy="22518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03797-845.jpg">
            <a:extLst>
              <a:ext uri="{FF2B5EF4-FFF2-40B4-BE49-F238E27FC236}">
                <a16:creationId xmlns:a16="http://schemas.microsoft.com/office/drawing/2014/main" id="{48FBBA37-1B3F-4841-8E1B-AD393F0729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34835" y="141065582"/>
            <a:ext cx="1418714" cy="196230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03797-844.jpg">
            <a:extLst>
              <a:ext uri="{FF2B5EF4-FFF2-40B4-BE49-F238E27FC236}">
                <a16:creationId xmlns:a16="http://schemas.microsoft.com/office/drawing/2014/main" id="{07AE2B37-D686-4220-A301-B1998451B8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5795" y="141081103"/>
            <a:ext cx="1445092" cy="196230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37C8AA7F-64FB-4285-937A-3BA1F8CE0F4B}"/>
              </a:ext>
            </a:extLst>
          </xdr:cNvPr>
          <xdr:cNvCxnSpPr/>
        </xdr:nvCxnSpPr>
        <xdr:spPr>
          <a:xfrm flipV="1">
            <a:off x="766011" y="142217775"/>
            <a:ext cx="128337" cy="320341"/>
          </a:xfrm>
          <a:prstGeom prst="straightConnector1">
            <a:avLst/>
          </a:prstGeom>
          <a:ln>
            <a:solidFill>
              <a:schemeClr val="bg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A6A5CE05-2C6B-4ADD-BA2C-B7F43814E863}"/>
              </a:ext>
            </a:extLst>
          </xdr:cNvPr>
          <xdr:cNvSpPr txBox="1"/>
        </xdr:nvSpPr>
        <xdr:spPr>
          <a:xfrm>
            <a:off x="2230817" y="142642443"/>
            <a:ext cx="656261" cy="2355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Tower</a:t>
            </a:r>
            <a:r>
              <a:rPr lang="en-IN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9</a:t>
            </a:r>
            <a:endParaRPr lang="en-US">
              <a:effectLst/>
            </a:endParaRPr>
          </a:p>
        </xdr:txBody>
      </xdr:sp>
      <xdr:cxnSp macro="">
        <xdr:nvCxnSpPr>
          <xdr:cNvPr id="48" name="Straight Arrow Connector 47">
            <a:extLst>
              <a:ext uri="{FF2B5EF4-FFF2-40B4-BE49-F238E27FC236}">
                <a16:creationId xmlns:a16="http://schemas.microsoft.com/office/drawing/2014/main" id="{0E0015C7-17A1-4D3E-842E-D75DE83FF393}"/>
              </a:ext>
            </a:extLst>
          </xdr:cNvPr>
          <xdr:cNvCxnSpPr>
            <a:stCxn id="47" idx="0"/>
          </xdr:cNvCxnSpPr>
        </xdr:nvCxnSpPr>
        <xdr:spPr>
          <a:xfrm flipV="1">
            <a:off x="2547668" y="142297985"/>
            <a:ext cx="102789" cy="344458"/>
          </a:xfrm>
          <a:prstGeom prst="straightConnector1">
            <a:avLst/>
          </a:prstGeom>
          <a:ln>
            <a:solidFill>
              <a:schemeClr val="bg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C356A0C3-8025-4169-B040-E79BB672F76C}"/>
              </a:ext>
            </a:extLst>
          </xdr:cNvPr>
          <xdr:cNvSpPr txBox="1"/>
        </xdr:nvSpPr>
        <xdr:spPr>
          <a:xfrm>
            <a:off x="3849064" y="142634423"/>
            <a:ext cx="806155" cy="21551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Tower</a:t>
            </a:r>
            <a:r>
              <a:rPr lang="en-IN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10</a:t>
            </a:r>
            <a:endParaRPr lang="en-US">
              <a:effectLst/>
            </a:endParaRPr>
          </a:p>
        </xdr:txBody>
      </xdr:sp>
      <xdr:cxnSp macro="">
        <xdr:nvCxnSpPr>
          <xdr:cNvPr id="50" name="Straight Arrow Connector 49">
            <a:extLst>
              <a:ext uri="{FF2B5EF4-FFF2-40B4-BE49-F238E27FC236}">
                <a16:creationId xmlns:a16="http://schemas.microsoft.com/office/drawing/2014/main" id="{14F64451-5ECF-4F76-B882-836D1FC66454}"/>
              </a:ext>
            </a:extLst>
          </xdr:cNvPr>
          <xdr:cNvCxnSpPr>
            <a:stCxn id="49" idx="0"/>
          </xdr:cNvCxnSpPr>
        </xdr:nvCxnSpPr>
        <xdr:spPr>
          <a:xfrm flipH="1" flipV="1">
            <a:off x="4157914" y="142342101"/>
            <a:ext cx="83700" cy="292322"/>
          </a:xfrm>
          <a:prstGeom prst="straightConnector1">
            <a:avLst/>
          </a:prstGeom>
          <a:ln>
            <a:solidFill>
              <a:schemeClr val="bg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9</xdr:col>
      <xdr:colOff>273050</xdr:colOff>
      <xdr:row>664</xdr:row>
      <xdr:rowOff>139700</xdr:rowOff>
    </xdr:from>
    <xdr:ext cx="721801" cy="264560"/>
    <xdr:sp macro="" textlink="">
      <xdr:nvSpPr>
        <xdr:cNvPr id="8" name="TextBox 7"/>
        <xdr:cNvSpPr txBox="1"/>
      </xdr:nvSpPr>
      <xdr:spPr>
        <a:xfrm>
          <a:off x="8686800" y="135959850"/>
          <a:ext cx="7218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no.2</a:t>
          </a:r>
        </a:p>
      </xdr:txBody>
    </xdr:sp>
    <xdr:clientData/>
  </xdr:oneCellAnchor>
  <xdr:twoCellAnchor>
    <xdr:from>
      <xdr:col>0</xdr:col>
      <xdr:colOff>323850</xdr:colOff>
      <xdr:row>668</xdr:row>
      <xdr:rowOff>107950</xdr:rowOff>
    </xdr:from>
    <xdr:to>
      <xdr:col>7</xdr:col>
      <xdr:colOff>842376</xdr:colOff>
      <xdr:row>708</xdr:row>
      <xdr:rowOff>130214</xdr:rowOff>
    </xdr:to>
    <xdr:grpSp>
      <xdr:nvGrpSpPr>
        <xdr:cNvPr id="9" name="Group 8"/>
        <xdr:cNvGrpSpPr/>
      </xdr:nvGrpSpPr>
      <xdr:grpSpPr>
        <a:xfrm>
          <a:off x="323850" y="136715500"/>
          <a:ext cx="6462126" cy="7889914"/>
          <a:chOff x="323850" y="136715500"/>
          <a:chExt cx="6462126" cy="7889914"/>
        </a:xfrm>
      </xdr:grpSpPr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9844" y="14244541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9982" y="136715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851" y="136715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36113" y="136715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850" y="13958045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9981" y="13958045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36113" y="13958045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5263" y="14244541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30682" y="14244541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4" name="TextBox 63"/>
          <xdr:cNvSpPr txBox="1"/>
        </xdr:nvSpPr>
        <xdr:spPr>
          <a:xfrm>
            <a:off x="787401" y="137134600"/>
            <a:ext cx="72180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</xdr:txBody>
      </xdr:sp>
      <xdr:sp macro="" textlink="">
        <xdr:nvSpPr>
          <xdr:cNvPr id="65" name="TextBox 64"/>
          <xdr:cNvSpPr txBox="1"/>
        </xdr:nvSpPr>
        <xdr:spPr>
          <a:xfrm>
            <a:off x="2822082" y="136867900"/>
            <a:ext cx="72180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no.3</a:t>
            </a:r>
          </a:p>
        </xdr:txBody>
      </xdr:sp>
      <xdr:sp macro="" textlink="">
        <xdr:nvSpPr>
          <xdr:cNvPr id="66" name="TextBox 65"/>
          <xdr:cNvSpPr txBox="1"/>
        </xdr:nvSpPr>
        <xdr:spPr>
          <a:xfrm>
            <a:off x="5117113" y="136817100"/>
            <a:ext cx="72180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no.4</a:t>
            </a:r>
          </a:p>
        </xdr:txBody>
      </xdr:sp>
      <xdr:sp macro="" textlink="">
        <xdr:nvSpPr>
          <xdr:cNvPr id="67" name="TextBox 66"/>
          <xdr:cNvSpPr txBox="1"/>
        </xdr:nvSpPr>
        <xdr:spPr>
          <a:xfrm>
            <a:off x="1212850" y="140329757"/>
            <a:ext cx="72180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no.5</a:t>
            </a:r>
          </a:p>
        </xdr:txBody>
      </xdr:sp>
      <xdr:sp macro="" textlink="">
        <xdr:nvSpPr>
          <xdr:cNvPr id="68" name="TextBox 67"/>
          <xdr:cNvSpPr txBox="1"/>
        </xdr:nvSpPr>
        <xdr:spPr>
          <a:xfrm>
            <a:off x="2949081" y="141244157"/>
            <a:ext cx="72180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KyJowbHLcAZig72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713"/>
  <sheetViews>
    <sheetView tabSelected="1" view="pageBreakPreview" zoomScaleNormal="100" zoomScaleSheetLayoutView="100" zoomScalePageLayoutView="55" workbookViewId="0">
      <selection activeCell="K5" sqref="K5"/>
    </sheetView>
  </sheetViews>
  <sheetFormatPr defaultColWidth="9.08984375" defaultRowHeight="15.5" x14ac:dyDescent="0.35"/>
  <cols>
    <col min="1" max="1" width="11.453125" style="40" customWidth="1"/>
    <col min="2" max="2" width="12" style="40" customWidth="1"/>
    <col min="3" max="3" width="12.6328125" style="40" customWidth="1"/>
    <col min="4" max="4" width="14.08984375" style="40" customWidth="1"/>
    <col min="5" max="7" width="11.6328125" style="40" customWidth="1"/>
    <col min="8" max="8" width="17.906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2.36328125" style="21" customWidth="1"/>
    <col min="13" max="13" width="11.90625" style="21" customWidth="1"/>
    <col min="14" max="14" width="12.54296875" style="21" customWidth="1"/>
    <col min="15" max="15" width="9.90625" style="21" customWidth="1"/>
    <col min="16" max="16" width="11.6328125" style="21" customWidth="1"/>
    <col min="17" max="247" width="9.08984375" style="21"/>
    <col min="248" max="248" width="8.6328125" style="21" customWidth="1"/>
    <col min="249" max="249" width="9.90625" style="21" customWidth="1"/>
    <col min="250" max="250" width="14.453125" style="21" customWidth="1"/>
    <col min="251" max="251" width="7.36328125" style="21" customWidth="1"/>
    <col min="252" max="252" width="5.54296875" style="21" customWidth="1"/>
    <col min="253" max="253" width="9" style="21" customWidth="1"/>
    <col min="254" max="255" width="9.90625" style="21" customWidth="1"/>
    <col min="256" max="256" width="11.08984375" style="21" customWidth="1"/>
    <col min="257" max="257" width="2.90625" style="21" customWidth="1"/>
    <col min="258" max="258" width="3.54296875" style="21" customWidth="1"/>
    <col min="259" max="503" width="9.08984375" style="21"/>
    <col min="504" max="504" width="8.6328125" style="21" customWidth="1"/>
    <col min="505" max="505" width="9.90625" style="21" customWidth="1"/>
    <col min="506" max="506" width="14.453125" style="21" customWidth="1"/>
    <col min="507" max="507" width="7.36328125" style="21" customWidth="1"/>
    <col min="508" max="508" width="5.54296875" style="21" customWidth="1"/>
    <col min="509" max="509" width="9" style="21" customWidth="1"/>
    <col min="510" max="511" width="9.90625" style="21" customWidth="1"/>
    <col min="512" max="512" width="11.08984375" style="21" customWidth="1"/>
    <col min="513" max="513" width="2.90625" style="21" customWidth="1"/>
    <col min="514" max="514" width="3.54296875" style="21" customWidth="1"/>
    <col min="515" max="759" width="9.08984375" style="21"/>
    <col min="760" max="760" width="8.6328125" style="21" customWidth="1"/>
    <col min="761" max="761" width="9.90625" style="21" customWidth="1"/>
    <col min="762" max="762" width="14.453125" style="21" customWidth="1"/>
    <col min="763" max="763" width="7.36328125" style="21" customWidth="1"/>
    <col min="764" max="764" width="5.54296875" style="21" customWidth="1"/>
    <col min="765" max="765" width="9" style="21" customWidth="1"/>
    <col min="766" max="767" width="9.90625" style="21" customWidth="1"/>
    <col min="768" max="768" width="11.08984375" style="21" customWidth="1"/>
    <col min="769" max="769" width="2.90625" style="21" customWidth="1"/>
    <col min="770" max="770" width="3.54296875" style="21" customWidth="1"/>
    <col min="771" max="1015" width="9.08984375" style="21"/>
    <col min="1016" max="1016" width="8.6328125" style="21" customWidth="1"/>
    <col min="1017" max="1017" width="9.90625" style="21" customWidth="1"/>
    <col min="1018" max="1018" width="14.453125" style="21" customWidth="1"/>
    <col min="1019" max="1019" width="7.36328125" style="21" customWidth="1"/>
    <col min="1020" max="1020" width="5.54296875" style="21" customWidth="1"/>
    <col min="1021" max="1021" width="9" style="21" customWidth="1"/>
    <col min="1022" max="1023" width="9.90625" style="21" customWidth="1"/>
    <col min="1024" max="1024" width="11.08984375" style="21" customWidth="1"/>
    <col min="1025" max="1025" width="2.90625" style="21" customWidth="1"/>
    <col min="1026" max="1026" width="3.54296875" style="21" customWidth="1"/>
    <col min="1027" max="1271" width="9.08984375" style="21"/>
    <col min="1272" max="1272" width="8.6328125" style="21" customWidth="1"/>
    <col min="1273" max="1273" width="9.90625" style="21" customWidth="1"/>
    <col min="1274" max="1274" width="14.453125" style="21" customWidth="1"/>
    <col min="1275" max="1275" width="7.36328125" style="21" customWidth="1"/>
    <col min="1276" max="1276" width="5.54296875" style="21" customWidth="1"/>
    <col min="1277" max="1277" width="9" style="21" customWidth="1"/>
    <col min="1278" max="1279" width="9.90625" style="21" customWidth="1"/>
    <col min="1280" max="1280" width="11.08984375" style="21" customWidth="1"/>
    <col min="1281" max="1281" width="2.90625" style="21" customWidth="1"/>
    <col min="1282" max="1282" width="3.54296875" style="21" customWidth="1"/>
    <col min="1283" max="1527" width="9.08984375" style="21"/>
    <col min="1528" max="1528" width="8.6328125" style="21" customWidth="1"/>
    <col min="1529" max="1529" width="9.90625" style="21" customWidth="1"/>
    <col min="1530" max="1530" width="14.453125" style="21" customWidth="1"/>
    <col min="1531" max="1531" width="7.36328125" style="21" customWidth="1"/>
    <col min="1532" max="1532" width="5.54296875" style="21" customWidth="1"/>
    <col min="1533" max="1533" width="9" style="21" customWidth="1"/>
    <col min="1534" max="1535" width="9.90625" style="21" customWidth="1"/>
    <col min="1536" max="1536" width="11.08984375" style="21" customWidth="1"/>
    <col min="1537" max="1537" width="2.90625" style="21" customWidth="1"/>
    <col min="1538" max="1538" width="3.54296875" style="21" customWidth="1"/>
    <col min="1539" max="1783" width="9.08984375" style="21"/>
    <col min="1784" max="1784" width="8.6328125" style="21" customWidth="1"/>
    <col min="1785" max="1785" width="9.90625" style="21" customWidth="1"/>
    <col min="1786" max="1786" width="14.453125" style="21" customWidth="1"/>
    <col min="1787" max="1787" width="7.36328125" style="21" customWidth="1"/>
    <col min="1788" max="1788" width="5.54296875" style="21" customWidth="1"/>
    <col min="1789" max="1789" width="9" style="21" customWidth="1"/>
    <col min="1790" max="1791" width="9.90625" style="21" customWidth="1"/>
    <col min="1792" max="1792" width="11.08984375" style="21" customWidth="1"/>
    <col min="1793" max="1793" width="2.90625" style="21" customWidth="1"/>
    <col min="1794" max="1794" width="3.54296875" style="21" customWidth="1"/>
    <col min="1795" max="2039" width="9.08984375" style="21"/>
    <col min="2040" max="2040" width="8.6328125" style="21" customWidth="1"/>
    <col min="2041" max="2041" width="9.90625" style="21" customWidth="1"/>
    <col min="2042" max="2042" width="14.453125" style="21" customWidth="1"/>
    <col min="2043" max="2043" width="7.36328125" style="21" customWidth="1"/>
    <col min="2044" max="2044" width="5.54296875" style="21" customWidth="1"/>
    <col min="2045" max="2045" width="9" style="21" customWidth="1"/>
    <col min="2046" max="2047" width="9.90625" style="21" customWidth="1"/>
    <col min="2048" max="2048" width="11.08984375" style="21" customWidth="1"/>
    <col min="2049" max="2049" width="2.90625" style="21" customWidth="1"/>
    <col min="2050" max="2050" width="3.54296875" style="21" customWidth="1"/>
    <col min="2051" max="2295" width="9.08984375" style="21"/>
    <col min="2296" max="2296" width="8.6328125" style="21" customWidth="1"/>
    <col min="2297" max="2297" width="9.90625" style="21" customWidth="1"/>
    <col min="2298" max="2298" width="14.453125" style="21" customWidth="1"/>
    <col min="2299" max="2299" width="7.36328125" style="21" customWidth="1"/>
    <col min="2300" max="2300" width="5.54296875" style="21" customWidth="1"/>
    <col min="2301" max="2301" width="9" style="21" customWidth="1"/>
    <col min="2302" max="2303" width="9.90625" style="21" customWidth="1"/>
    <col min="2304" max="2304" width="11.08984375" style="21" customWidth="1"/>
    <col min="2305" max="2305" width="2.90625" style="21" customWidth="1"/>
    <col min="2306" max="2306" width="3.54296875" style="21" customWidth="1"/>
    <col min="2307" max="2551" width="9.08984375" style="21"/>
    <col min="2552" max="2552" width="8.6328125" style="21" customWidth="1"/>
    <col min="2553" max="2553" width="9.90625" style="21" customWidth="1"/>
    <col min="2554" max="2554" width="14.453125" style="21" customWidth="1"/>
    <col min="2555" max="2555" width="7.36328125" style="21" customWidth="1"/>
    <col min="2556" max="2556" width="5.54296875" style="21" customWidth="1"/>
    <col min="2557" max="2557" width="9" style="21" customWidth="1"/>
    <col min="2558" max="2559" width="9.90625" style="21" customWidth="1"/>
    <col min="2560" max="2560" width="11.08984375" style="21" customWidth="1"/>
    <col min="2561" max="2561" width="2.90625" style="21" customWidth="1"/>
    <col min="2562" max="2562" width="3.54296875" style="21" customWidth="1"/>
    <col min="2563" max="2807" width="9.08984375" style="21"/>
    <col min="2808" max="2808" width="8.6328125" style="21" customWidth="1"/>
    <col min="2809" max="2809" width="9.90625" style="21" customWidth="1"/>
    <col min="2810" max="2810" width="14.453125" style="21" customWidth="1"/>
    <col min="2811" max="2811" width="7.36328125" style="21" customWidth="1"/>
    <col min="2812" max="2812" width="5.54296875" style="21" customWidth="1"/>
    <col min="2813" max="2813" width="9" style="21" customWidth="1"/>
    <col min="2814" max="2815" width="9.90625" style="21" customWidth="1"/>
    <col min="2816" max="2816" width="11.08984375" style="21" customWidth="1"/>
    <col min="2817" max="2817" width="2.90625" style="21" customWidth="1"/>
    <col min="2818" max="2818" width="3.54296875" style="21" customWidth="1"/>
    <col min="2819" max="3063" width="9.08984375" style="21"/>
    <col min="3064" max="3064" width="8.6328125" style="21" customWidth="1"/>
    <col min="3065" max="3065" width="9.90625" style="21" customWidth="1"/>
    <col min="3066" max="3066" width="14.453125" style="21" customWidth="1"/>
    <col min="3067" max="3067" width="7.36328125" style="21" customWidth="1"/>
    <col min="3068" max="3068" width="5.54296875" style="21" customWidth="1"/>
    <col min="3069" max="3069" width="9" style="21" customWidth="1"/>
    <col min="3070" max="3071" width="9.90625" style="21" customWidth="1"/>
    <col min="3072" max="3072" width="11.08984375" style="21" customWidth="1"/>
    <col min="3073" max="3073" width="2.90625" style="21" customWidth="1"/>
    <col min="3074" max="3074" width="3.54296875" style="21" customWidth="1"/>
    <col min="3075" max="3319" width="9.08984375" style="21"/>
    <col min="3320" max="3320" width="8.6328125" style="21" customWidth="1"/>
    <col min="3321" max="3321" width="9.90625" style="21" customWidth="1"/>
    <col min="3322" max="3322" width="14.453125" style="21" customWidth="1"/>
    <col min="3323" max="3323" width="7.36328125" style="21" customWidth="1"/>
    <col min="3324" max="3324" width="5.54296875" style="21" customWidth="1"/>
    <col min="3325" max="3325" width="9" style="21" customWidth="1"/>
    <col min="3326" max="3327" width="9.90625" style="21" customWidth="1"/>
    <col min="3328" max="3328" width="11.08984375" style="21" customWidth="1"/>
    <col min="3329" max="3329" width="2.90625" style="21" customWidth="1"/>
    <col min="3330" max="3330" width="3.54296875" style="21" customWidth="1"/>
    <col min="3331" max="3575" width="9.08984375" style="21"/>
    <col min="3576" max="3576" width="8.6328125" style="21" customWidth="1"/>
    <col min="3577" max="3577" width="9.90625" style="21" customWidth="1"/>
    <col min="3578" max="3578" width="14.453125" style="21" customWidth="1"/>
    <col min="3579" max="3579" width="7.36328125" style="21" customWidth="1"/>
    <col min="3580" max="3580" width="5.54296875" style="21" customWidth="1"/>
    <col min="3581" max="3581" width="9" style="21" customWidth="1"/>
    <col min="3582" max="3583" width="9.90625" style="21" customWidth="1"/>
    <col min="3584" max="3584" width="11.08984375" style="21" customWidth="1"/>
    <col min="3585" max="3585" width="2.90625" style="21" customWidth="1"/>
    <col min="3586" max="3586" width="3.54296875" style="21" customWidth="1"/>
    <col min="3587" max="3831" width="9.08984375" style="21"/>
    <col min="3832" max="3832" width="8.6328125" style="21" customWidth="1"/>
    <col min="3833" max="3833" width="9.90625" style="21" customWidth="1"/>
    <col min="3834" max="3834" width="14.453125" style="21" customWidth="1"/>
    <col min="3835" max="3835" width="7.36328125" style="21" customWidth="1"/>
    <col min="3836" max="3836" width="5.54296875" style="21" customWidth="1"/>
    <col min="3837" max="3837" width="9" style="21" customWidth="1"/>
    <col min="3838" max="3839" width="9.90625" style="21" customWidth="1"/>
    <col min="3840" max="3840" width="11.08984375" style="21" customWidth="1"/>
    <col min="3841" max="3841" width="2.90625" style="21" customWidth="1"/>
    <col min="3842" max="3842" width="3.54296875" style="21" customWidth="1"/>
    <col min="3843" max="4087" width="9.08984375" style="21"/>
    <col min="4088" max="4088" width="8.6328125" style="21" customWidth="1"/>
    <col min="4089" max="4089" width="9.90625" style="21" customWidth="1"/>
    <col min="4090" max="4090" width="14.453125" style="21" customWidth="1"/>
    <col min="4091" max="4091" width="7.36328125" style="21" customWidth="1"/>
    <col min="4092" max="4092" width="5.54296875" style="21" customWidth="1"/>
    <col min="4093" max="4093" width="9" style="21" customWidth="1"/>
    <col min="4094" max="4095" width="9.90625" style="21" customWidth="1"/>
    <col min="4096" max="4096" width="11.08984375" style="21" customWidth="1"/>
    <col min="4097" max="4097" width="2.90625" style="21" customWidth="1"/>
    <col min="4098" max="4098" width="3.54296875" style="21" customWidth="1"/>
    <col min="4099" max="4343" width="9.08984375" style="21"/>
    <col min="4344" max="4344" width="8.6328125" style="21" customWidth="1"/>
    <col min="4345" max="4345" width="9.90625" style="21" customWidth="1"/>
    <col min="4346" max="4346" width="14.453125" style="21" customWidth="1"/>
    <col min="4347" max="4347" width="7.36328125" style="21" customWidth="1"/>
    <col min="4348" max="4348" width="5.54296875" style="21" customWidth="1"/>
    <col min="4349" max="4349" width="9" style="21" customWidth="1"/>
    <col min="4350" max="4351" width="9.90625" style="21" customWidth="1"/>
    <col min="4352" max="4352" width="11.08984375" style="21" customWidth="1"/>
    <col min="4353" max="4353" width="2.90625" style="21" customWidth="1"/>
    <col min="4354" max="4354" width="3.54296875" style="21" customWidth="1"/>
    <col min="4355" max="4599" width="9.08984375" style="21"/>
    <col min="4600" max="4600" width="8.6328125" style="21" customWidth="1"/>
    <col min="4601" max="4601" width="9.90625" style="21" customWidth="1"/>
    <col min="4602" max="4602" width="14.453125" style="21" customWidth="1"/>
    <col min="4603" max="4603" width="7.36328125" style="21" customWidth="1"/>
    <col min="4604" max="4604" width="5.54296875" style="21" customWidth="1"/>
    <col min="4605" max="4605" width="9" style="21" customWidth="1"/>
    <col min="4606" max="4607" width="9.90625" style="21" customWidth="1"/>
    <col min="4608" max="4608" width="11.08984375" style="21" customWidth="1"/>
    <col min="4609" max="4609" width="2.90625" style="21" customWidth="1"/>
    <col min="4610" max="4610" width="3.54296875" style="21" customWidth="1"/>
    <col min="4611" max="4855" width="9.08984375" style="21"/>
    <col min="4856" max="4856" width="8.6328125" style="21" customWidth="1"/>
    <col min="4857" max="4857" width="9.90625" style="21" customWidth="1"/>
    <col min="4858" max="4858" width="14.453125" style="21" customWidth="1"/>
    <col min="4859" max="4859" width="7.36328125" style="21" customWidth="1"/>
    <col min="4860" max="4860" width="5.54296875" style="21" customWidth="1"/>
    <col min="4861" max="4861" width="9" style="21" customWidth="1"/>
    <col min="4862" max="4863" width="9.90625" style="21" customWidth="1"/>
    <col min="4864" max="4864" width="11.08984375" style="21" customWidth="1"/>
    <col min="4865" max="4865" width="2.90625" style="21" customWidth="1"/>
    <col min="4866" max="4866" width="3.54296875" style="21" customWidth="1"/>
    <col min="4867" max="5111" width="9.08984375" style="21"/>
    <col min="5112" max="5112" width="8.6328125" style="21" customWidth="1"/>
    <col min="5113" max="5113" width="9.90625" style="21" customWidth="1"/>
    <col min="5114" max="5114" width="14.453125" style="21" customWidth="1"/>
    <col min="5115" max="5115" width="7.36328125" style="21" customWidth="1"/>
    <col min="5116" max="5116" width="5.54296875" style="21" customWidth="1"/>
    <col min="5117" max="5117" width="9" style="21" customWidth="1"/>
    <col min="5118" max="5119" width="9.90625" style="21" customWidth="1"/>
    <col min="5120" max="5120" width="11.08984375" style="21" customWidth="1"/>
    <col min="5121" max="5121" width="2.90625" style="21" customWidth="1"/>
    <col min="5122" max="5122" width="3.54296875" style="21" customWidth="1"/>
    <col min="5123" max="5367" width="9.08984375" style="21"/>
    <col min="5368" max="5368" width="8.6328125" style="21" customWidth="1"/>
    <col min="5369" max="5369" width="9.90625" style="21" customWidth="1"/>
    <col min="5370" max="5370" width="14.453125" style="21" customWidth="1"/>
    <col min="5371" max="5371" width="7.36328125" style="21" customWidth="1"/>
    <col min="5372" max="5372" width="5.54296875" style="21" customWidth="1"/>
    <col min="5373" max="5373" width="9" style="21" customWidth="1"/>
    <col min="5374" max="5375" width="9.90625" style="21" customWidth="1"/>
    <col min="5376" max="5376" width="11.08984375" style="21" customWidth="1"/>
    <col min="5377" max="5377" width="2.90625" style="21" customWidth="1"/>
    <col min="5378" max="5378" width="3.54296875" style="21" customWidth="1"/>
    <col min="5379" max="5623" width="9.08984375" style="21"/>
    <col min="5624" max="5624" width="8.6328125" style="21" customWidth="1"/>
    <col min="5625" max="5625" width="9.90625" style="21" customWidth="1"/>
    <col min="5626" max="5626" width="14.453125" style="21" customWidth="1"/>
    <col min="5627" max="5627" width="7.36328125" style="21" customWidth="1"/>
    <col min="5628" max="5628" width="5.54296875" style="21" customWidth="1"/>
    <col min="5629" max="5629" width="9" style="21" customWidth="1"/>
    <col min="5630" max="5631" width="9.90625" style="21" customWidth="1"/>
    <col min="5632" max="5632" width="11.08984375" style="21" customWidth="1"/>
    <col min="5633" max="5633" width="2.90625" style="21" customWidth="1"/>
    <col min="5634" max="5634" width="3.54296875" style="21" customWidth="1"/>
    <col min="5635" max="5879" width="9.08984375" style="21"/>
    <col min="5880" max="5880" width="8.6328125" style="21" customWidth="1"/>
    <col min="5881" max="5881" width="9.90625" style="21" customWidth="1"/>
    <col min="5882" max="5882" width="14.453125" style="21" customWidth="1"/>
    <col min="5883" max="5883" width="7.36328125" style="21" customWidth="1"/>
    <col min="5884" max="5884" width="5.54296875" style="21" customWidth="1"/>
    <col min="5885" max="5885" width="9" style="21" customWidth="1"/>
    <col min="5886" max="5887" width="9.90625" style="21" customWidth="1"/>
    <col min="5888" max="5888" width="11.08984375" style="21" customWidth="1"/>
    <col min="5889" max="5889" width="2.90625" style="21" customWidth="1"/>
    <col min="5890" max="5890" width="3.54296875" style="21" customWidth="1"/>
    <col min="5891" max="6135" width="9.08984375" style="21"/>
    <col min="6136" max="6136" width="8.6328125" style="21" customWidth="1"/>
    <col min="6137" max="6137" width="9.90625" style="21" customWidth="1"/>
    <col min="6138" max="6138" width="14.453125" style="21" customWidth="1"/>
    <col min="6139" max="6139" width="7.36328125" style="21" customWidth="1"/>
    <col min="6140" max="6140" width="5.54296875" style="21" customWidth="1"/>
    <col min="6141" max="6141" width="9" style="21" customWidth="1"/>
    <col min="6142" max="6143" width="9.90625" style="21" customWidth="1"/>
    <col min="6144" max="6144" width="11.08984375" style="21" customWidth="1"/>
    <col min="6145" max="6145" width="2.90625" style="21" customWidth="1"/>
    <col min="6146" max="6146" width="3.54296875" style="21" customWidth="1"/>
    <col min="6147" max="6391" width="9.08984375" style="21"/>
    <col min="6392" max="6392" width="8.6328125" style="21" customWidth="1"/>
    <col min="6393" max="6393" width="9.90625" style="21" customWidth="1"/>
    <col min="6394" max="6394" width="14.453125" style="21" customWidth="1"/>
    <col min="6395" max="6395" width="7.36328125" style="21" customWidth="1"/>
    <col min="6396" max="6396" width="5.54296875" style="21" customWidth="1"/>
    <col min="6397" max="6397" width="9" style="21" customWidth="1"/>
    <col min="6398" max="6399" width="9.90625" style="21" customWidth="1"/>
    <col min="6400" max="6400" width="11.08984375" style="21" customWidth="1"/>
    <col min="6401" max="6401" width="2.90625" style="21" customWidth="1"/>
    <col min="6402" max="6402" width="3.54296875" style="21" customWidth="1"/>
    <col min="6403" max="6647" width="9.08984375" style="21"/>
    <col min="6648" max="6648" width="8.6328125" style="21" customWidth="1"/>
    <col min="6649" max="6649" width="9.90625" style="21" customWidth="1"/>
    <col min="6650" max="6650" width="14.453125" style="21" customWidth="1"/>
    <col min="6651" max="6651" width="7.36328125" style="21" customWidth="1"/>
    <col min="6652" max="6652" width="5.54296875" style="21" customWidth="1"/>
    <col min="6653" max="6653" width="9" style="21" customWidth="1"/>
    <col min="6654" max="6655" width="9.90625" style="21" customWidth="1"/>
    <col min="6656" max="6656" width="11.08984375" style="21" customWidth="1"/>
    <col min="6657" max="6657" width="2.90625" style="21" customWidth="1"/>
    <col min="6658" max="6658" width="3.54296875" style="21" customWidth="1"/>
    <col min="6659" max="6903" width="9.08984375" style="21"/>
    <col min="6904" max="6904" width="8.6328125" style="21" customWidth="1"/>
    <col min="6905" max="6905" width="9.90625" style="21" customWidth="1"/>
    <col min="6906" max="6906" width="14.453125" style="21" customWidth="1"/>
    <col min="6907" max="6907" width="7.36328125" style="21" customWidth="1"/>
    <col min="6908" max="6908" width="5.54296875" style="21" customWidth="1"/>
    <col min="6909" max="6909" width="9" style="21" customWidth="1"/>
    <col min="6910" max="6911" width="9.90625" style="21" customWidth="1"/>
    <col min="6912" max="6912" width="11.08984375" style="21" customWidth="1"/>
    <col min="6913" max="6913" width="2.90625" style="21" customWidth="1"/>
    <col min="6914" max="6914" width="3.54296875" style="21" customWidth="1"/>
    <col min="6915" max="7159" width="9.08984375" style="21"/>
    <col min="7160" max="7160" width="8.6328125" style="21" customWidth="1"/>
    <col min="7161" max="7161" width="9.90625" style="21" customWidth="1"/>
    <col min="7162" max="7162" width="14.453125" style="21" customWidth="1"/>
    <col min="7163" max="7163" width="7.36328125" style="21" customWidth="1"/>
    <col min="7164" max="7164" width="5.54296875" style="21" customWidth="1"/>
    <col min="7165" max="7165" width="9" style="21" customWidth="1"/>
    <col min="7166" max="7167" width="9.90625" style="21" customWidth="1"/>
    <col min="7168" max="7168" width="11.08984375" style="21" customWidth="1"/>
    <col min="7169" max="7169" width="2.90625" style="21" customWidth="1"/>
    <col min="7170" max="7170" width="3.54296875" style="21" customWidth="1"/>
    <col min="7171" max="7415" width="9.08984375" style="21"/>
    <col min="7416" max="7416" width="8.6328125" style="21" customWidth="1"/>
    <col min="7417" max="7417" width="9.90625" style="21" customWidth="1"/>
    <col min="7418" max="7418" width="14.453125" style="21" customWidth="1"/>
    <col min="7419" max="7419" width="7.36328125" style="21" customWidth="1"/>
    <col min="7420" max="7420" width="5.54296875" style="21" customWidth="1"/>
    <col min="7421" max="7421" width="9" style="21" customWidth="1"/>
    <col min="7422" max="7423" width="9.90625" style="21" customWidth="1"/>
    <col min="7424" max="7424" width="11.08984375" style="21" customWidth="1"/>
    <col min="7425" max="7425" width="2.90625" style="21" customWidth="1"/>
    <col min="7426" max="7426" width="3.54296875" style="21" customWidth="1"/>
    <col min="7427" max="7671" width="9.08984375" style="21"/>
    <col min="7672" max="7672" width="8.6328125" style="21" customWidth="1"/>
    <col min="7673" max="7673" width="9.90625" style="21" customWidth="1"/>
    <col min="7674" max="7674" width="14.453125" style="21" customWidth="1"/>
    <col min="7675" max="7675" width="7.36328125" style="21" customWidth="1"/>
    <col min="7676" max="7676" width="5.54296875" style="21" customWidth="1"/>
    <col min="7677" max="7677" width="9" style="21" customWidth="1"/>
    <col min="7678" max="7679" width="9.90625" style="21" customWidth="1"/>
    <col min="7680" max="7680" width="11.08984375" style="21" customWidth="1"/>
    <col min="7681" max="7681" width="2.90625" style="21" customWidth="1"/>
    <col min="7682" max="7682" width="3.54296875" style="21" customWidth="1"/>
    <col min="7683" max="7927" width="9.08984375" style="21"/>
    <col min="7928" max="7928" width="8.6328125" style="21" customWidth="1"/>
    <col min="7929" max="7929" width="9.90625" style="21" customWidth="1"/>
    <col min="7930" max="7930" width="14.453125" style="21" customWidth="1"/>
    <col min="7931" max="7931" width="7.36328125" style="21" customWidth="1"/>
    <col min="7932" max="7932" width="5.54296875" style="21" customWidth="1"/>
    <col min="7933" max="7933" width="9" style="21" customWidth="1"/>
    <col min="7934" max="7935" width="9.90625" style="21" customWidth="1"/>
    <col min="7936" max="7936" width="11.08984375" style="21" customWidth="1"/>
    <col min="7937" max="7937" width="2.90625" style="21" customWidth="1"/>
    <col min="7938" max="7938" width="3.54296875" style="21" customWidth="1"/>
    <col min="7939" max="8183" width="9.08984375" style="21"/>
    <col min="8184" max="8184" width="8.6328125" style="21" customWidth="1"/>
    <col min="8185" max="8185" width="9.90625" style="21" customWidth="1"/>
    <col min="8186" max="8186" width="14.453125" style="21" customWidth="1"/>
    <col min="8187" max="8187" width="7.36328125" style="21" customWidth="1"/>
    <col min="8188" max="8188" width="5.54296875" style="21" customWidth="1"/>
    <col min="8189" max="8189" width="9" style="21" customWidth="1"/>
    <col min="8190" max="8191" width="9.90625" style="21" customWidth="1"/>
    <col min="8192" max="8192" width="11.08984375" style="21" customWidth="1"/>
    <col min="8193" max="8193" width="2.90625" style="21" customWidth="1"/>
    <col min="8194" max="8194" width="3.54296875" style="21" customWidth="1"/>
    <col min="8195" max="8439" width="9.08984375" style="21"/>
    <col min="8440" max="8440" width="8.6328125" style="21" customWidth="1"/>
    <col min="8441" max="8441" width="9.90625" style="21" customWidth="1"/>
    <col min="8442" max="8442" width="14.453125" style="21" customWidth="1"/>
    <col min="8443" max="8443" width="7.36328125" style="21" customWidth="1"/>
    <col min="8444" max="8444" width="5.54296875" style="21" customWidth="1"/>
    <col min="8445" max="8445" width="9" style="21" customWidth="1"/>
    <col min="8446" max="8447" width="9.90625" style="21" customWidth="1"/>
    <col min="8448" max="8448" width="11.08984375" style="21" customWidth="1"/>
    <col min="8449" max="8449" width="2.90625" style="21" customWidth="1"/>
    <col min="8450" max="8450" width="3.54296875" style="21" customWidth="1"/>
    <col min="8451" max="8695" width="9.08984375" style="21"/>
    <col min="8696" max="8696" width="8.6328125" style="21" customWidth="1"/>
    <col min="8697" max="8697" width="9.90625" style="21" customWidth="1"/>
    <col min="8698" max="8698" width="14.453125" style="21" customWidth="1"/>
    <col min="8699" max="8699" width="7.36328125" style="21" customWidth="1"/>
    <col min="8700" max="8700" width="5.54296875" style="21" customWidth="1"/>
    <col min="8701" max="8701" width="9" style="21" customWidth="1"/>
    <col min="8702" max="8703" width="9.90625" style="21" customWidth="1"/>
    <col min="8704" max="8704" width="11.08984375" style="21" customWidth="1"/>
    <col min="8705" max="8705" width="2.90625" style="21" customWidth="1"/>
    <col min="8706" max="8706" width="3.54296875" style="21" customWidth="1"/>
    <col min="8707" max="8951" width="9.08984375" style="21"/>
    <col min="8952" max="8952" width="8.6328125" style="21" customWidth="1"/>
    <col min="8953" max="8953" width="9.90625" style="21" customWidth="1"/>
    <col min="8954" max="8954" width="14.453125" style="21" customWidth="1"/>
    <col min="8955" max="8955" width="7.36328125" style="21" customWidth="1"/>
    <col min="8956" max="8956" width="5.54296875" style="21" customWidth="1"/>
    <col min="8957" max="8957" width="9" style="21" customWidth="1"/>
    <col min="8958" max="8959" width="9.90625" style="21" customWidth="1"/>
    <col min="8960" max="8960" width="11.08984375" style="21" customWidth="1"/>
    <col min="8961" max="8961" width="2.90625" style="21" customWidth="1"/>
    <col min="8962" max="8962" width="3.54296875" style="21" customWidth="1"/>
    <col min="8963" max="9207" width="9.08984375" style="21"/>
    <col min="9208" max="9208" width="8.6328125" style="21" customWidth="1"/>
    <col min="9209" max="9209" width="9.90625" style="21" customWidth="1"/>
    <col min="9210" max="9210" width="14.453125" style="21" customWidth="1"/>
    <col min="9211" max="9211" width="7.36328125" style="21" customWidth="1"/>
    <col min="9212" max="9212" width="5.54296875" style="21" customWidth="1"/>
    <col min="9213" max="9213" width="9" style="21" customWidth="1"/>
    <col min="9214" max="9215" width="9.90625" style="21" customWidth="1"/>
    <col min="9216" max="9216" width="11.08984375" style="21" customWidth="1"/>
    <col min="9217" max="9217" width="2.90625" style="21" customWidth="1"/>
    <col min="9218" max="9218" width="3.54296875" style="21" customWidth="1"/>
    <col min="9219" max="9463" width="9.08984375" style="21"/>
    <col min="9464" max="9464" width="8.6328125" style="21" customWidth="1"/>
    <col min="9465" max="9465" width="9.90625" style="21" customWidth="1"/>
    <col min="9466" max="9466" width="14.453125" style="21" customWidth="1"/>
    <col min="9467" max="9467" width="7.36328125" style="21" customWidth="1"/>
    <col min="9468" max="9468" width="5.54296875" style="21" customWidth="1"/>
    <col min="9469" max="9469" width="9" style="21" customWidth="1"/>
    <col min="9470" max="9471" width="9.90625" style="21" customWidth="1"/>
    <col min="9472" max="9472" width="11.08984375" style="21" customWidth="1"/>
    <col min="9473" max="9473" width="2.90625" style="21" customWidth="1"/>
    <col min="9474" max="9474" width="3.54296875" style="21" customWidth="1"/>
    <col min="9475" max="9719" width="9.08984375" style="21"/>
    <col min="9720" max="9720" width="8.6328125" style="21" customWidth="1"/>
    <col min="9721" max="9721" width="9.90625" style="21" customWidth="1"/>
    <col min="9722" max="9722" width="14.453125" style="21" customWidth="1"/>
    <col min="9723" max="9723" width="7.36328125" style="21" customWidth="1"/>
    <col min="9724" max="9724" width="5.54296875" style="21" customWidth="1"/>
    <col min="9725" max="9725" width="9" style="21" customWidth="1"/>
    <col min="9726" max="9727" width="9.90625" style="21" customWidth="1"/>
    <col min="9728" max="9728" width="11.08984375" style="21" customWidth="1"/>
    <col min="9729" max="9729" width="2.90625" style="21" customWidth="1"/>
    <col min="9730" max="9730" width="3.54296875" style="21" customWidth="1"/>
    <col min="9731" max="9975" width="9.08984375" style="21"/>
    <col min="9976" max="9976" width="8.6328125" style="21" customWidth="1"/>
    <col min="9977" max="9977" width="9.90625" style="21" customWidth="1"/>
    <col min="9978" max="9978" width="14.453125" style="21" customWidth="1"/>
    <col min="9979" max="9979" width="7.36328125" style="21" customWidth="1"/>
    <col min="9980" max="9980" width="5.54296875" style="21" customWidth="1"/>
    <col min="9981" max="9981" width="9" style="21" customWidth="1"/>
    <col min="9982" max="9983" width="9.90625" style="21" customWidth="1"/>
    <col min="9984" max="9984" width="11.08984375" style="21" customWidth="1"/>
    <col min="9985" max="9985" width="2.90625" style="21" customWidth="1"/>
    <col min="9986" max="9986" width="3.54296875" style="21" customWidth="1"/>
    <col min="9987" max="10231" width="9.08984375" style="21"/>
    <col min="10232" max="10232" width="8.6328125" style="21" customWidth="1"/>
    <col min="10233" max="10233" width="9.90625" style="21" customWidth="1"/>
    <col min="10234" max="10234" width="14.453125" style="21" customWidth="1"/>
    <col min="10235" max="10235" width="7.36328125" style="21" customWidth="1"/>
    <col min="10236" max="10236" width="5.54296875" style="21" customWidth="1"/>
    <col min="10237" max="10237" width="9" style="21" customWidth="1"/>
    <col min="10238" max="10239" width="9.90625" style="21" customWidth="1"/>
    <col min="10240" max="10240" width="11.08984375" style="21" customWidth="1"/>
    <col min="10241" max="10241" width="2.90625" style="21" customWidth="1"/>
    <col min="10242" max="10242" width="3.54296875" style="21" customWidth="1"/>
    <col min="10243" max="10487" width="9.08984375" style="21"/>
    <col min="10488" max="10488" width="8.6328125" style="21" customWidth="1"/>
    <col min="10489" max="10489" width="9.90625" style="21" customWidth="1"/>
    <col min="10490" max="10490" width="14.453125" style="21" customWidth="1"/>
    <col min="10491" max="10491" width="7.36328125" style="21" customWidth="1"/>
    <col min="10492" max="10492" width="5.54296875" style="21" customWidth="1"/>
    <col min="10493" max="10493" width="9" style="21" customWidth="1"/>
    <col min="10494" max="10495" width="9.90625" style="21" customWidth="1"/>
    <col min="10496" max="10496" width="11.08984375" style="21" customWidth="1"/>
    <col min="10497" max="10497" width="2.90625" style="21" customWidth="1"/>
    <col min="10498" max="10498" width="3.54296875" style="21" customWidth="1"/>
    <col min="10499" max="10743" width="9.08984375" style="21"/>
    <col min="10744" max="10744" width="8.6328125" style="21" customWidth="1"/>
    <col min="10745" max="10745" width="9.90625" style="21" customWidth="1"/>
    <col min="10746" max="10746" width="14.453125" style="21" customWidth="1"/>
    <col min="10747" max="10747" width="7.36328125" style="21" customWidth="1"/>
    <col min="10748" max="10748" width="5.54296875" style="21" customWidth="1"/>
    <col min="10749" max="10749" width="9" style="21" customWidth="1"/>
    <col min="10750" max="10751" width="9.90625" style="21" customWidth="1"/>
    <col min="10752" max="10752" width="11.08984375" style="21" customWidth="1"/>
    <col min="10753" max="10753" width="2.90625" style="21" customWidth="1"/>
    <col min="10754" max="10754" width="3.54296875" style="21" customWidth="1"/>
    <col min="10755" max="10999" width="9.08984375" style="21"/>
    <col min="11000" max="11000" width="8.6328125" style="21" customWidth="1"/>
    <col min="11001" max="11001" width="9.90625" style="21" customWidth="1"/>
    <col min="11002" max="11002" width="14.453125" style="21" customWidth="1"/>
    <col min="11003" max="11003" width="7.36328125" style="21" customWidth="1"/>
    <col min="11004" max="11004" width="5.54296875" style="21" customWidth="1"/>
    <col min="11005" max="11005" width="9" style="21" customWidth="1"/>
    <col min="11006" max="11007" width="9.90625" style="21" customWidth="1"/>
    <col min="11008" max="11008" width="11.08984375" style="21" customWidth="1"/>
    <col min="11009" max="11009" width="2.90625" style="21" customWidth="1"/>
    <col min="11010" max="11010" width="3.54296875" style="21" customWidth="1"/>
    <col min="11011" max="11255" width="9.08984375" style="21"/>
    <col min="11256" max="11256" width="8.6328125" style="21" customWidth="1"/>
    <col min="11257" max="11257" width="9.90625" style="21" customWidth="1"/>
    <col min="11258" max="11258" width="14.453125" style="21" customWidth="1"/>
    <col min="11259" max="11259" width="7.36328125" style="21" customWidth="1"/>
    <col min="11260" max="11260" width="5.54296875" style="21" customWidth="1"/>
    <col min="11261" max="11261" width="9" style="21" customWidth="1"/>
    <col min="11262" max="11263" width="9.90625" style="21" customWidth="1"/>
    <col min="11264" max="11264" width="11.08984375" style="21" customWidth="1"/>
    <col min="11265" max="11265" width="2.90625" style="21" customWidth="1"/>
    <col min="11266" max="11266" width="3.54296875" style="21" customWidth="1"/>
    <col min="11267" max="11511" width="9.08984375" style="21"/>
    <col min="11512" max="11512" width="8.6328125" style="21" customWidth="1"/>
    <col min="11513" max="11513" width="9.90625" style="21" customWidth="1"/>
    <col min="11514" max="11514" width="14.453125" style="21" customWidth="1"/>
    <col min="11515" max="11515" width="7.36328125" style="21" customWidth="1"/>
    <col min="11516" max="11516" width="5.54296875" style="21" customWidth="1"/>
    <col min="11517" max="11517" width="9" style="21" customWidth="1"/>
    <col min="11518" max="11519" width="9.90625" style="21" customWidth="1"/>
    <col min="11520" max="11520" width="11.08984375" style="21" customWidth="1"/>
    <col min="11521" max="11521" width="2.90625" style="21" customWidth="1"/>
    <col min="11522" max="11522" width="3.54296875" style="21" customWidth="1"/>
    <col min="11523" max="11767" width="9.08984375" style="21"/>
    <col min="11768" max="11768" width="8.6328125" style="21" customWidth="1"/>
    <col min="11769" max="11769" width="9.90625" style="21" customWidth="1"/>
    <col min="11770" max="11770" width="14.453125" style="21" customWidth="1"/>
    <col min="11771" max="11771" width="7.36328125" style="21" customWidth="1"/>
    <col min="11772" max="11772" width="5.54296875" style="21" customWidth="1"/>
    <col min="11773" max="11773" width="9" style="21" customWidth="1"/>
    <col min="11774" max="11775" width="9.90625" style="21" customWidth="1"/>
    <col min="11776" max="11776" width="11.08984375" style="21" customWidth="1"/>
    <col min="11777" max="11777" width="2.90625" style="21" customWidth="1"/>
    <col min="11778" max="11778" width="3.54296875" style="21" customWidth="1"/>
    <col min="11779" max="12023" width="9.08984375" style="21"/>
    <col min="12024" max="12024" width="8.6328125" style="21" customWidth="1"/>
    <col min="12025" max="12025" width="9.90625" style="21" customWidth="1"/>
    <col min="12026" max="12026" width="14.453125" style="21" customWidth="1"/>
    <col min="12027" max="12027" width="7.36328125" style="21" customWidth="1"/>
    <col min="12028" max="12028" width="5.54296875" style="21" customWidth="1"/>
    <col min="12029" max="12029" width="9" style="21" customWidth="1"/>
    <col min="12030" max="12031" width="9.90625" style="21" customWidth="1"/>
    <col min="12032" max="12032" width="11.08984375" style="21" customWidth="1"/>
    <col min="12033" max="12033" width="2.90625" style="21" customWidth="1"/>
    <col min="12034" max="12034" width="3.54296875" style="21" customWidth="1"/>
    <col min="12035" max="12279" width="9.08984375" style="21"/>
    <col min="12280" max="12280" width="8.6328125" style="21" customWidth="1"/>
    <col min="12281" max="12281" width="9.90625" style="21" customWidth="1"/>
    <col min="12282" max="12282" width="14.453125" style="21" customWidth="1"/>
    <col min="12283" max="12283" width="7.36328125" style="21" customWidth="1"/>
    <col min="12284" max="12284" width="5.54296875" style="21" customWidth="1"/>
    <col min="12285" max="12285" width="9" style="21" customWidth="1"/>
    <col min="12286" max="12287" width="9.90625" style="21" customWidth="1"/>
    <col min="12288" max="12288" width="11.08984375" style="21" customWidth="1"/>
    <col min="12289" max="12289" width="2.90625" style="21" customWidth="1"/>
    <col min="12290" max="12290" width="3.54296875" style="21" customWidth="1"/>
    <col min="12291" max="12535" width="9.08984375" style="21"/>
    <col min="12536" max="12536" width="8.6328125" style="21" customWidth="1"/>
    <col min="12537" max="12537" width="9.90625" style="21" customWidth="1"/>
    <col min="12538" max="12538" width="14.453125" style="21" customWidth="1"/>
    <col min="12539" max="12539" width="7.36328125" style="21" customWidth="1"/>
    <col min="12540" max="12540" width="5.54296875" style="21" customWidth="1"/>
    <col min="12541" max="12541" width="9" style="21" customWidth="1"/>
    <col min="12542" max="12543" width="9.90625" style="21" customWidth="1"/>
    <col min="12544" max="12544" width="11.08984375" style="21" customWidth="1"/>
    <col min="12545" max="12545" width="2.90625" style="21" customWidth="1"/>
    <col min="12546" max="12546" width="3.54296875" style="21" customWidth="1"/>
    <col min="12547" max="12791" width="9.08984375" style="21"/>
    <col min="12792" max="12792" width="8.6328125" style="21" customWidth="1"/>
    <col min="12793" max="12793" width="9.90625" style="21" customWidth="1"/>
    <col min="12794" max="12794" width="14.453125" style="21" customWidth="1"/>
    <col min="12795" max="12795" width="7.36328125" style="21" customWidth="1"/>
    <col min="12796" max="12796" width="5.54296875" style="21" customWidth="1"/>
    <col min="12797" max="12797" width="9" style="21" customWidth="1"/>
    <col min="12798" max="12799" width="9.90625" style="21" customWidth="1"/>
    <col min="12800" max="12800" width="11.08984375" style="21" customWidth="1"/>
    <col min="12801" max="12801" width="2.90625" style="21" customWidth="1"/>
    <col min="12802" max="12802" width="3.54296875" style="21" customWidth="1"/>
    <col min="12803" max="13047" width="9.08984375" style="21"/>
    <col min="13048" max="13048" width="8.6328125" style="21" customWidth="1"/>
    <col min="13049" max="13049" width="9.90625" style="21" customWidth="1"/>
    <col min="13050" max="13050" width="14.453125" style="21" customWidth="1"/>
    <col min="13051" max="13051" width="7.36328125" style="21" customWidth="1"/>
    <col min="13052" max="13052" width="5.54296875" style="21" customWidth="1"/>
    <col min="13053" max="13053" width="9" style="21" customWidth="1"/>
    <col min="13054" max="13055" width="9.90625" style="21" customWidth="1"/>
    <col min="13056" max="13056" width="11.08984375" style="21" customWidth="1"/>
    <col min="13057" max="13057" width="2.90625" style="21" customWidth="1"/>
    <col min="13058" max="13058" width="3.54296875" style="21" customWidth="1"/>
    <col min="13059" max="13303" width="9.08984375" style="21"/>
    <col min="13304" max="13304" width="8.6328125" style="21" customWidth="1"/>
    <col min="13305" max="13305" width="9.90625" style="21" customWidth="1"/>
    <col min="13306" max="13306" width="14.453125" style="21" customWidth="1"/>
    <col min="13307" max="13307" width="7.36328125" style="21" customWidth="1"/>
    <col min="13308" max="13308" width="5.54296875" style="21" customWidth="1"/>
    <col min="13309" max="13309" width="9" style="21" customWidth="1"/>
    <col min="13310" max="13311" width="9.90625" style="21" customWidth="1"/>
    <col min="13312" max="13312" width="11.08984375" style="21" customWidth="1"/>
    <col min="13313" max="13313" width="2.90625" style="21" customWidth="1"/>
    <col min="13314" max="13314" width="3.54296875" style="21" customWidth="1"/>
    <col min="13315" max="13559" width="9.08984375" style="21"/>
    <col min="13560" max="13560" width="8.6328125" style="21" customWidth="1"/>
    <col min="13561" max="13561" width="9.90625" style="21" customWidth="1"/>
    <col min="13562" max="13562" width="14.453125" style="21" customWidth="1"/>
    <col min="13563" max="13563" width="7.36328125" style="21" customWidth="1"/>
    <col min="13564" max="13564" width="5.54296875" style="21" customWidth="1"/>
    <col min="13565" max="13565" width="9" style="21" customWidth="1"/>
    <col min="13566" max="13567" width="9.90625" style="21" customWidth="1"/>
    <col min="13568" max="13568" width="11.08984375" style="21" customWidth="1"/>
    <col min="13569" max="13569" width="2.90625" style="21" customWidth="1"/>
    <col min="13570" max="13570" width="3.54296875" style="21" customWidth="1"/>
    <col min="13571" max="13815" width="9.08984375" style="21"/>
    <col min="13816" max="13816" width="8.6328125" style="21" customWidth="1"/>
    <col min="13817" max="13817" width="9.90625" style="21" customWidth="1"/>
    <col min="13818" max="13818" width="14.453125" style="21" customWidth="1"/>
    <col min="13819" max="13819" width="7.36328125" style="21" customWidth="1"/>
    <col min="13820" max="13820" width="5.54296875" style="21" customWidth="1"/>
    <col min="13821" max="13821" width="9" style="21" customWidth="1"/>
    <col min="13822" max="13823" width="9.90625" style="21" customWidth="1"/>
    <col min="13824" max="13824" width="11.08984375" style="21" customWidth="1"/>
    <col min="13825" max="13825" width="2.90625" style="21" customWidth="1"/>
    <col min="13826" max="13826" width="3.54296875" style="21" customWidth="1"/>
    <col min="13827" max="14071" width="9.08984375" style="21"/>
    <col min="14072" max="14072" width="8.6328125" style="21" customWidth="1"/>
    <col min="14073" max="14073" width="9.90625" style="21" customWidth="1"/>
    <col min="14074" max="14074" width="14.453125" style="21" customWidth="1"/>
    <col min="14075" max="14075" width="7.36328125" style="21" customWidth="1"/>
    <col min="14076" max="14076" width="5.54296875" style="21" customWidth="1"/>
    <col min="14077" max="14077" width="9" style="21" customWidth="1"/>
    <col min="14078" max="14079" width="9.90625" style="21" customWidth="1"/>
    <col min="14080" max="14080" width="11.08984375" style="21" customWidth="1"/>
    <col min="14081" max="14081" width="2.90625" style="21" customWidth="1"/>
    <col min="14082" max="14082" width="3.54296875" style="21" customWidth="1"/>
    <col min="14083" max="14327" width="9.08984375" style="21"/>
    <col min="14328" max="14328" width="8.6328125" style="21" customWidth="1"/>
    <col min="14329" max="14329" width="9.90625" style="21" customWidth="1"/>
    <col min="14330" max="14330" width="14.453125" style="21" customWidth="1"/>
    <col min="14331" max="14331" width="7.36328125" style="21" customWidth="1"/>
    <col min="14332" max="14332" width="5.54296875" style="21" customWidth="1"/>
    <col min="14333" max="14333" width="9" style="21" customWidth="1"/>
    <col min="14334" max="14335" width="9.90625" style="21" customWidth="1"/>
    <col min="14336" max="14336" width="11.08984375" style="21" customWidth="1"/>
    <col min="14337" max="14337" width="2.90625" style="21" customWidth="1"/>
    <col min="14338" max="14338" width="3.54296875" style="21" customWidth="1"/>
    <col min="14339" max="14583" width="9.08984375" style="21"/>
    <col min="14584" max="14584" width="8.6328125" style="21" customWidth="1"/>
    <col min="14585" max="14585" width="9.90625" style="21" customWidth="1"/>
    <col min="14586" max="14586" width="14.453125" style="21" customWidth="1"/>
    <col min="14587" max="14587" width="7.36328125" style="21" customWidth="1"/>
    <col min="14588" max="14588" width="5.54296875" style="21" customWidth="1"/>
    <col min="14589" max="14589" width="9" style="21" customWidth="1"/>
    <col min="14590" max="14591" width="9.90625" style="21" customWidth="1"/>
    <col min="14592" max="14592" width="11.08984375" style="21" customWidth="1"/>
    <col min="14593" max="14593" width="2.90625" style="21" customWidth="1"/>
    <col min="14594" max="14594" width="3.54296875" style="21" customWidth="1"/>
    <col min="14595" max="14839" width="9.08984375" style="21"/>
    <col min="14840" max="14840" width="8.6328125" style="21" customWidth="1"/>
    <col min="14841" max="14841" width="9.90625" style="21" customWidth="1"/>
    <col min="14842" max="14842" width="14.453125" style="21" customWidth="1"/>
    <col min="14843" max="14843" width="7.36328125" style="21" customWidth="1"/>
    <col min="14844" max="14844" width="5.54296875" style="21" customWidth="1"/>
    <col min="14845" max="14845" width="9" style="21" customWidth="1"/>
    <col min="14846" max="14847" width="9.90625" style="21" customWidth="1"/>
    <col min="14848" max="14848" width="11.08984375" style="21" customWidth="1"/>
    <col min="14849" max="14849" width="2.90625" style="21" customWidth="1"/>
    <col min="14850" max="14850" width="3.54296875" style="21" customWidth="1"/>
    <col min="14851" max="15095" width="9.08984375" style="21"/>
    <col min="15096" max="15096" width="8.6328125" style="21" customWidth="1"/>
    <col min="15097" max="15097" width="9.90625" style="21" customWidth="1"/>
    <col min="15098" max="15098" width="14.453125" style="21" customWidth="1"/>
    <col min="15099" max="15099" width="7.36328125" style="21" customWidth="1"/>
    <col min="15100" max="15100" width="5.54296875" style="21" customWidth="1"/>
    <col min="15101" max="15101" width="9" style="21" customWidth="1"/>
    <col min="15102" max="15103" width="9.90625" style="21" customWidth="1"/>
    <col min="15104" max="15104" width="11.08984375" style="21" customWidth="1"/>
    <col min="15105" max="15105" width="2.90625" style="21" customWidth="1"/>
    <col min="15106" max="15106" width="3.54296875" style="21" customWidth="1"/>
    <col min="15107" max="15351" width="9.08984375" style="21"/>
    <col min="15352" max="15352" width="8.6328125" style="21" customWidth="1"/>
    <col min="15353" max="15353" width="9.90625" style="21" customWidth="1"/>
    <col min="15354" max="15354" width="14.453125" style="21" customWidth="1"/>
    <col min="15355" max="15355" width="7.36328125" style="21" customWidth="1"/>
    <col min="15356" max="15356" width="5.54296875" style="21" customWidth="1"/>
    <col min="15357" max="15357" width="9" style="21" customWidth="1"/>
    <col min="15358" max="15359" width="9.90625" style="21" customWidth="1"/>
    <col min="15360" max="15360" width="11.08984375" style="21" customWidth="1"/>
    <col min="15361" max="15361" width="2.90625" style="21" customWidth="1"/>
    <col min="15362" max="15362" width="3.54296875" style="21" customWidth="1"/>
    <col min="15363" max="15607" width="9.08984375" style="21"/>
    <col min="15608" max="15608" width="8.6328125" style="21" customWidth="1"/>
    <col min="15609" max="15609" width="9.90625" style="21" customWidth="1"/>
    <col min="15610" max="15610" width="14.453125" style="21" customWidth="1"/>
    <col min="15611" max="15611" width="7.36328125" style="21" customWidth="1"/>
    <col min="15612" max="15612" width="5.54296875" style="21" customWidth="1"/>
    <col min="15613" max="15613" width="9" style="21" customWidth="1"/>
    <col min="15614" max="15615" width="9.90625" style="21" customWidth="1"/>
    <col min="15616" max="15616" width="11.08984375" style="21" customWidth="1"/>
    <col min="15617" max="15617" width="2.90625" style="21" customWidth="1"/>
    <col min="15618" max="15618" width="3.54296875" style="21" customWidth="1"/>
    <col min="15619" max="15863" width="9.08984375" style="21"/>
    <col min="15864" max="15864" width="8.6328125" style="21" customWidth="1"/>
    <col min="15865" max="15865" width="9.90625" style="21" customWidth="1"/>
    <col min="15866" max="15866" width="14.453125" style="21" customWidth="1"/>
    <col min="15867" max="15867" width="7.36328125" style="21" customWidth="1"/>
    <col min="15868" max="15868" width="5.54296875" style="21" customWidth="1"/>
    <col min="15869" max="15869" width="9" style="21" customWidth="1"/>
    <col min="15870" max="15871" width="9.90625" style="21" customWidth="1"/>
    <col min="15872" max="15872" width="11.08984375" style="21" customWidth="1"/>
    <col min="15873" max="15873" width="2.90625" style="21" customWidth="1"/>
    <col min="15874" max="15874" width="3.54296875" style="21" customWidth="1"/>
    <col min="15875" max="16119" width="9.08984375" style="21"/>
    <col min="16120" max="16120" width="8.6328125" style="21" customWidth="1"/>
    <col min="16121" max="16121" width="9.90625" style="21" customWidth="1"/>
    <col min="16122" max="16122" width="14.453125" style="21" customWidth="1"/>
    <col min="16123" max="16123" width="7.36328125" style="21" customWidth="1"/>
    <col min="16124" max="16124" width="5.54296875" style="21" customWidth="1"/>
    <col min="16125" max="16125" width="9" style="21" customWidth="1"/>
    <col min="16126" max="16127" width="9.90625" style="21" customWidth="1"/>
    <col min="16128" max="16128" width="11.08984375" style="21" customWidth="1"/>
    <col min="16129" max="16129" width="2.90625" style="21" customWidth="1"/>
    <col min="16130" max="16130" width="3.54296875" style="21" customWidth="1"/>
    <col min="16131" max="16384" width="9.08984375" style="21"/>
  </cols>
  <sheetData>
    <row r="1" spans="1:12" ht="46.5" customHeight="1" x14ac:dyDescent="0.35">
      <c r="A1" s="221" t="s">
        <v>251</v>
      </c>
      <c r="B1" s="221"/>
      <c r="C1" s="221"/>
      <c r="D1" s="221"/>
      <c r="E1" s="221"/>
      <c r="F1" s="221"/>
      <c r="G1" s="221"/>
      <c r="H1" s="221"/>
    </row>
    <row r="2" spans="1:12" ht="16.5" customHeight="1" x14ac:dyDescent="0.35">
      <c r="A2" s="194" t="s">
        <v>0</v>
      </c>
      <c r="B2" s="194"/>
      <c r="C2" s="194"/>
      <c r="D2" s="194"/>
      <c r="E2" s="194"/>
      <c r="F2" s="194"/>
      <c r="G2" s="194"/>
      <c r="H2" s="194"/>
    </row>
    <row r="3" spans="1:12" x14ac:dyDescent="0.35">
      <c r="A3" s="181" t="s">
        <v>1</v>
      </c>
      <c r="B3" s="181"/>
      <c r="C3" s="181"/>
      <c r="D3" s="181"/>
      <c r="E3" s="181" t="str">
        <f ca="1">TEXT(TODAY(),"DD/MM/YYYY")</f>
        <v>17/07/2025</v>
      </c>
      <c r="F3" s="181"/>
      <c r="G3" s="181"/>
      <c r="H3" s="181"/>
    </row>
    <row r="4" spans="1:12" ht="15" customHeight="1" x14ac:dyDescent="0.35">
      <c r="A4" s="181" t="s">
        <v>2</v>
      </c>
      <c r="B4" s="181"/>
      <c r="C4" s="181"/>
      <c r="D4" s="181"/>
      <c r="E4" s="181" t="s">
        <v>170</v>
      </c>
      <c r="F4" s="181"/>
      <c r="G4" s="181"/>
      <c r="H4" s="181"/>
    </row>
    <row r="5" spans="1:12" x14ac:dyDescent="0.35">
      <c r="A5" s="181" t="s">
        <v>3</v>
      </c>
      <c r="B5" s="181"/>
      <c r="C5" s="181"/>
      <c r="D5" s="181"/>
      <c r="E5" s="220">
        <v>45854</v>
      </c>
      <c r="F5" s="181"/>
      <c r="G5" s="181"/>
      <c r="H5" s="181"/>
    </row>
    <row r="6" spans="1:12" ht="16.5" customHeight="1" x14ac:dyDescent="0.35">
      <c r="A6" s="181" t="s">
        <v>4</v>
      </c>
      <c r="B6" s="181"/>
      <c r="C6" s="181"/>
      <c r="D6" s="181"/>
      <c r="E6" s="181" t="s">
        <v>171</v>
      </c>
      <c r="F6" s="181"/>
      <c r="G6" s="181"/>
      <c r="H6" s="181"/>
    </row>
    <row r="7" spans="1:12" ht="15" customHeight="1" x14ac:dyDescent="0.35">
      <c r="A7" s="181" t="s">
        <v>5</v>
      </c>
      <c r="B7" s="181"/>
      <c r="C7" s="181"/>
      <c r="D7" s="181"/>
      <c r="E7" s="181" t="str">
        <f>E6</f>
        <v>Sunteck Realty Limited</v>
      </c>
      <c r="F7" s="181"/>
      <c r="G7" s="181"/>
      <c r="H7" s="181"/>
    </row>
    <row r="8" spans="1:12" x14ac:dyDescent="0.35">
      <c r="A8" s="181" t="s">
        <v>6</v>
      </c>
      <c r="B8" s="181"/>
      <c r="C8" s="181"/>
      <c r="D8" s="181"/>
      <c r="E8" s="87" t="s">
        <v>258</v>
      </c>
      <c r="F8" s="87"/>
      <c r="G8" s="87"/>
      <c r="H8" s="87"/>
    </row>
    <row r="9" spans="1:12" x14ac:dyDescent="0.35">
      <c r="A9" s="181" t="s">
        <v>124</v>
      </c>
      <c r="B9" s="181"/>
      <c r="C9" s="181"/>
      <c r="D9" s="181"/>
      <c r="E9" s="181">
        <v>7208939478</v>
      </c>
      <c r="F9" s="181"/>
      <c r="G9" s="181"/>
      <c r="H9" s="181"/>
    </row>
    <row r="10" spans="1:12" x14ac:dyDescent="0.35">
      <c r="A10" s="181" t="s">
        <v>208</v>
      </c>
      <c r="B10" s="181"/>
      <c r="C10" s="181"/>
      <c r="D10" s="181"/>
      <c r="E10" s="181" t="s">
        <v>263</v>
      </c>
      <c r="F10" s="181"/>
      <c r="G10" s="181"/>
      <c r="H10" s="181"/>
      <c r="I10" s="181" t="s">
        <v>252</v>
      </c>
      <c r="J10" s="181"/>
      <c r="K10" s="181"/>
      <c r="L10" s="181"/>
    </row>
    <row r="11" spans="1:12" x14ac:dyDescent="0.35">
      <c r="A11" s="181" t="s">
        <v>7</v>
      </c>
      <c r="B11" s="181"/>
      <c r="C11" s="181"/>
      <c r="D11" s="181"/>
      <c r="E11" s="181" t="s">
        <v>257</v>
      </c>
      <c r="F11" s="181"/>
      <c r="G11" s="181"/>
      <c r="H11" s="181"/>
    </row>
    <row r="12" spans="1:12" x14ac:dyDescent="0.35">
      <c r="A12" s="136" t="s">
        <v>8</v>
      </c>
      <c r="B12" s="136"/>
      <c r="C12" s="136"/>
      <c r="D12" s="136"/>
      <c r="E12" s="179" t="s">
        <v>172</v>
      </c>
      <c r="F12" s="179"/>
      <c r="G12" s="179"/>
      <c r="H12" s="179"/>
    </row>
    <row r="13" spans="1:12" ht="81" customHeight="1" x14ac:dyDescent="0.35">
      <c r="A13" s="136" t="s">
        <v>9</v>
      </c>
      <c r="B13" s="136"/>
      <c r="C13" s="136"/>
      <c r="D13" s="136"/>
      <c r="E13" s="179" t="s">
        <v>234</v>
      </c>
      <c r="F13" s="181"/>
      <c r="G13" s="181"/>
      <c r="H13" s="181"/>
    </row>
    <row r="14" spans="1:12" ht="48.75" customHeight="1" x14ac:dyDescent="0.35">
      <c r="A14" s="180" t="s">
        <v>10</v>
      </c>
      <c r="B14" s="180"/>
      <c r="C14" s="18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Sunteck One World 2 to 10, Survey No.2 H.No.3, S.No.3 H.No.1,7,10, ... , S.No.126 H.No.2,4,12, near Sunteck West World, Naigaon East Vasai Link Road, , Tivri, Naigaon East, Vasai, Palghar - 401208.</v>
      </c>
      <c r="D14" s="180"/>
      <c r="E14" s="180"/>
      <c r="F14" s="180"/>
      <c r="G14" s="180"/>
      <c r="H14" s="180"/>
    </row>
    <row r="15" spans="1:12" x14ac:dyDescent="0.35">
      <c r="A15" s="179" t="s">
        <v>173</v>
      </c>
      <c r="B15" s="179"/>
      <c r="C15" s="179" t="s">
        <v>205</v>
      </c>
      <c r="D15" s="179"/>
      <c r="E15" s="179"/>
      <c r="F15" s="179"/>
      <c r="G15" s="179"/>
      <c r="H15" s="179"/>
    </row>
    <row r="16" spans="1:12" ht="15.75" hidden="1" customHeight="1" x14ac:dyDescent="0.35">
      <c r="A16" s="225" t="s">
        <v>167</v>
      </c>
      <c r="B16" s="226"/>
      <c r="C16" s="225"/>
      <c r="D16" s="227"/>
      <c r="E16" s="227"/>
      <c r="F16" s="227"/>
      <c r="G16" s="227"/>
      <c r="H16" s="226"/>
    </row>
    <row r="17" spans="1:8" ht="15.75" customHeight="1" x14ac:dyDescent="0.35">
      <c r="A17" s="180" t="s">
        <v>11</v>
      </c>
      <c r="B17" s="180"/>
      <c r="C17" s="181" t="s">
        <v>178</v>
      </c>
      <c r="D17" s="181"/>
      <c r="E17" s="180" t="s">
        <v>168</v>
      </c>
      <c r="F17" s="180"/>
      <c r="G17" s="179" t="s">
        <v>174</v>
      </c>
      <c r="H17" s="179"/>
    </row>
    <row r="18" spans="1:8" x14ac:dyDescent="0.35">
      <c r="A18" s="136" t="s">
        <v>13</v>
      </c>
      <c r="B18" s="136"/>
      <c r="C18" s="179" t="s">
        <v>177</v>
      </c>
      <c r="D18" s="179"/>
      <c r="E18" s="180" t="s">
        <v>12</v>
      </c>
      <c r="F18" s="180"/>
      <c r="G18" s="228" t="s">
        <v>175</v>
      </c>
      <c r="H18" s="228"/>
    </row>
    <row r="19" spans="1:8" x14ac:dyDescent="0.35">
      <c r="A19" s="136" t="s">
        <v>74</v>
      </c>
      <c r="B19" s="136"/>
      <c r="C19" s="179" t="s">
        <v>176</v>
      </c>
      <c r="D19" s="179"/>
      <c r="E19" s="180" t="s">
        <v>14</v>
      </c>
      <c r="F19" s="180"/>
      <c r="G19" s="179">
        <v>401208</v>
      </c>
      <c r="H19" s="179"/>
    </row>
    <row r="20" spans="1:8" ht="32.25" customHeight="1" x14ac:dyDescent="0.35">
      <c r="A20" s="136" t="s">
        <v>125</v>
      </c>
      <c r="B20" s="136"/>
      <c r="C20" s="179" t="s">
        <v>204</v>
      </c>
      <c r="D20" s="179"/>
      <c r="E20" s="180" t="s">
        <v>15</v>
      </c>
      <c r="F20" s="180"/>
      <c r="G20" s="179" t="s">
        <v>179</v>
      </c>
      <c r="H20" s="179"/>
    </row>
    <row r="21" spans="1:8" ht="15" customHeight="1" x14ac:dyDescent="0.35">
      <c r="A21" s="180" t="s">
        <v>77</v>
      </c>
      <c r="B21" s="180"/>
      <c r="C21" s="180"/>
      <c r="D21" s="180"/>
      <c r="E21" s="181" t="s">
        <v>16</v>
      </c>
      <c r="F21" s="181"/>
      <c r="G21" s="181"/>
      <c r="H21" s="181"/>
    </row>
    <row r="22" spans="1:8" ht="18.75" customHeight="1" x14ac:dyDescent="0.35">
      <c r="A22" s="180"/>
      <c r="B22" s="180"/>
      <c r="C22" s="180"/>
      <c r="D22" s="180"/>
      <c r="E22" s="181"/>
      <c r="F22" s="181"/>
      <c r="G22" s="181"/>
      <c r="H22" s="181"/>
    </row>
    <row r="23" spans="1:8" ht="15" customHeight="1" x14ac:dyDescent="0.35">
      <c r="A23" s="180" t="s">
        <v>17</v>
      </c>
      <c r="B23" s="180"/>
      <c r="C23" s="180"/>
      <c r="D23" s="180"/>
      <c r="E23" s="179" t="s">
        <v>18</v>
      </c>
      <c r="F23" s="179"/>
      <c r="G23" s="179"/>
      <c r="H23" s="179"/>
    </row>
    <row r="24" spans="1:8" ht="15" customHeight="1" x14ac:dyDescent="0.35">
      <c r="A24" s="136" t="s">
        <v>19</v>
      </c>
      <c r="B24" s="136"/>
      <c r="C24" s="136"/>
      <c r="D24" s="136"/>
      <c r="E24" s="179" t="str">
        <f>IF(AND(G18="Mumbai"),"Upper Class","Middle Class")</f>
        <v>Middle Class</v>
      </c>
      <c r="F24" s="179"/>
      <c r="G24" s="179"/>
      <c r="H24" s="179"/>
    </row>
    <row r="25" spans="1:8" x14ac:dyDescent="0.35">
      <c r="A25" s="136" t="s">
        <v>20</v>
      </c>
      <c r="B25" s="136"/>
      <c r="C25" s="136"/>
      <c r="D25" s="136"/>
      <c r="E25" s="179" t="s">
        <v>21</v>
      </c>
      <c r="F25" s="179"/>
      <c r="G25" s="179"/>
      <c r="H25" s="179"/>
    </row>
    <row r="26" spans="1:8" ht="15.75" customHeight="1" x14ac:dyDescent="0.35">
      <c r="A26" s="136" t="s">
        <v>22</v>
      </c>
      <c r="B26" s="136"/>
      <c r="C26" s="136"/>
      <c r="D26" s="136"/>
      <c r="E26" s="179" t="str">
        <f>IF(AND(G18="Mumbai"),"Developed","Developing")</f>
        <v>Developing</v>
      </c>
      <c r="F26" s="179"/>
      <c r="G26" s="179"/>
      <c r="H26" s="179"/>
    </row>
    <row r="27" spans="1:8" x14ac:dyDescent="0.35">
      <c r="A27" s="136" t="s">
        <v>23</v>
      </c>
      <c r="B27" s="136"/>
      <c r="C27" s="136"/>
      <c r="D27" s="136"/>
      <c r="E27" s="179" t="s">
        <v>24</v>
      </c>
      <c r="F27" s="179"/>
      <c r="G27" s="179"/>
      <c r="H27" s="179"/>
    </row>
    <row r="28" spans="1:8" ht="15.75" customHeight="1" x14ac:dyDescent="0.35">
      <c r="A28" s="136" t="s">
        <v>82</v>
      </c>
      <c r="B28" s="136"/>
      <c r="C28" s="136"/>
      <c r="D28" s="136"/>
      <c r="E28" s="179" t="s">
        <v>83</v>
      </c>
      <c r="F28" s="179"/>
      <c r="G28" s="179"/>
      <c r="H28" s="179"/>
    </row>
    <row r="29" spans="1:8" ht="15" customHeight="1" x14ac:dyDescent="0.35">
      <c r="A29" s="136" t="s">
        <v>33</v>
      </c>
      <c r="B29" s="136"/>
      <c r="C29" s="136"/>
      <c r="D29" s="136"/>
      <c r="E29" s="17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79"/>
      <c r="G29" s="179"/>
      <c r="H29" s="179"/>
    </row>
    <row r="30" spans="1:8" ht="15.75" customHeight="1" x14ac:dyDescent="0.35">
      <c r="A30" s="136" t="s">
        <v>94</v>
      </c>
      <c r="B30" s="136"/>
      <c r="C30" s="136"/>
      <c r="D30" s="136"/>
      <c r="E30" s="179" t="s">
        <v>34</v>
      </c>
      <c r="F30" s="179"/>
      <c r="G30" s="179"/>
      <c r="H30" s="179"/>
    </row>
    <row r="31" spans="1:8" s="22" customFormat="1" x14ac:dyDescent="0.35">
      <c r="A31" s="219" t="s">
        <v>95</v>
      </c>
      <c r="B31" s="219"/>
      <c r="C31" s="218" t="s">
        <v>29</v>
      </c>
      <c r="D31" s="218"/>
      <c r="E31" s="218"/>
      <c r="F31" s="218" t="s">
        <v>31</v>
      </c>
      <c r="G31" s="218"/>
      <c r="H31" s="218"/>
    </row>
    <row r="32" spans="1:8" s="22" customFormat="1" x14ac:dyDescent="0.35">
      <c r="A32" s="184" t="s">
        <v>25</v>
      </c>
      <c r="B32" s="184" t="s">
        <v>30</v>
      </c>
      <c r="C32" s="185" t="s">
        <v>30</v>
      </c>
      <c r="D32" s="185"/>
      <c r="E32" s="185"/>
      <c r="F32" s="185" t="s">
        <v>181</v>
      </c>
      <c r="G32" s="185"/>
      <c r="H32" s="185"/>
    </row>
    <row r="33" spans="1:8" x14ac:dyDescent="0.35">
      <c r="A33" s="184" t="s">
        <v>26</v>
      </c>
      <c r="B33" s="184" t="s">
        <v>30</v>
      </c>
      <c r="C33" s="185" t="s">
        <v>30</v>
      </c>
      <c r="D33" s="185"/>
      <c r="E33" s="185"/>
      <c r="F33" s="185" t="s">
        <v>178</v>
      </c>
      <c r="G33" s="185"/>
      <c r="H33" s="185"/>
    </row>
    <row r="34" spans="1:8" s="22" customFormat="1" x14ac:dyDescent="0.35">
      <c r="A34" s="184" t="s">
        <v>28</v>
      </c>
      <c r="B34" s="184" t="s">
        <v>30</v>
      </c>
      <c r="C34" s="185" t="s">
        <v>30</v>
      </c>
      <c r="D34" s="185"/>
      <c r="E34" s="185"/>
      <c r="F34" s="185" t="s">
        <v>180</v>
      </c>
      <c r="G34" s="185"/>
      <c r="H34" s="185"/>
    </row>
    <row r="35" spans="1:8" x14ac:dyDescent="0.35">
      <c r="A35" s="184" t="s">
        <v>27</v>
      </c>
      <c r="B35" s="184" t="s">
        <v>30</v>
      </c>
      <c r="C35" s="185" t="s">
        <v>30</v>
      </c>
      <c r="D35" s="185"/>
      <c r="E35" s="185"/>
      <c r="F35" s="185" t="s">
        <v>182</v>
      </c>
      <c r="G35" s="185"/>
      <c r="H35" s="185"/>
    </row>
    <row r="36" spans="1:8" x14ac:dyDescent="0.35">
      <c r="A36" s="136" t="s">
        <v>32</v>
      </c>
      <c r="B36" s="136"/>
      <c r="C36" s="136"/>
      <c r="D36" s="136"/>
      <c r="E36" s="136"/>
      <c r="F36" s="136"/>
      <c r="G36" s="136"/>
      <c r="H36" s="136"/>
    </row>
    <row r="37" spans="1:8" ht="15.75" customHeight="1" x14ac:dyDescent="0.35">
      <c r="A37" s="194" t="s">
        <v>231</v>
      </c>
      <c r="B37" s="194"/>
      <c r="C37" s="208" t="s">
        <v>253</v>
      </c>
      <c r="D37" s="208"/>
      <c r="E37" s="208"/>
      <c r="F37" s="208"/>
      <c r="G37" s="208"/>
      <c r="H37" s="208"/>
    </row>
    <row r="38" spans="1:8" ht="16.5" customHeight="1" x14ac:dyDescent="0.35">
      <c r="A38" s="194" t="s">
        <v>166</v>
      </c>
      <c r="B38" s="194"/>
      <c r="C38" s="207" t="s">
        <v>183</v>
      </c>
      <c r="D38" s="179"/>
      <c r="E38" s="179"/>
      <c r="F38" s="179"/>
      <c r="G38" s="179"/>
      <c r="H38" s="179"/>
    </row>
    <row r="39" spans="1:8" x14ac:dyDescent="0.35">
      <c r="A39" s="193" t="s">
        <v>35</v>
      </c>
      <c r="B39" s="193"/>
      <c r="C39" s="193"/>
      <c r="D39" s="193"/>
      <c r="E39" s="193"/>
      <c r="F39" s="193"/>
      <c r="G39" s="193"/>
      <c r="H39" s="193"/>
    </row>
    <row r="40" spans="1:8" x14ac:dyDescent="0.35">
      <c r="A40" s="136" t="s">
        <v>36</v>
      </c>
      <c r="B40" s="136"/>
      <c r="C40" s="136"/>
      <c r="D40" s="136"/>
      <c r="E40" s="186">
        <v>373827.36</v>
      </c>
      <c r="F40" s="186"/>
      <c r="G40" s="186"/>
      <c r="H40" s="186"/>
    </row>
    <row r="41" spans="1:8" x14ac:dyDescent="0.35">
      <c r="A41" s="136" t="s">
        <v>37</v>
      </c>
      <c r="B41" s="136"/>
      <c r="C41" s="136"/>
      <c r="D41" s="136"/>
      <c r="E41" s="187">
        <v>1.1000000000000001</v>
      </c>
      <c r="F41" s="187"/>
      <c r="G41" s="187"/>
      <c r="H41" s="187"/>
    </row>
    <row r="42" spans="1:8" x14ac:dyDescent="0.35">
      <c r="A42" s="136" t="s">
        <v>38</v>
      </c>
      <c r="B42" s="136"/>
      <c r="C42" s="136"/>
      <c r="D42" s="136"/>
      <c r="E42" s="187">
        <f>E44/E40-E41</f>
        <v>1.8600939214292733E-3</v>
      </c>
      <c r="F42" s="187"/>
      <c r="G42" s="187"/>
      <c r="H42" s="187"/>
    </row>
    <row r="43" spans="1:8" x14ac:dyDescent="0.35">
      <c r="A43" s="136" t="s">
        <v>39</v>
      </c>
      <c r="B43" s="136"/>
      <c r="C43" s="136"/>
      <c r="D43" s="136"/>
      <c r="E43" s="187">
        <f>E41+E42</f>
        <v>1.1018600939214294</v>
      </c>
      <c r="F43" s="187"/>
      <c r="G43" s="187"/>
      <c r="H43" s="187"/>
    </row>
    <row r="44" spans="1:8" x14ac:dyDescent="0.35">
      <c r="A44" s="136" t="s">
        <v>93</v>
      </c>
      <c r="B44" s="136"/>
      <c r="C44" s="136"/>
      <c r="D44" s="136"/>
      <c r="E44" s="188">
        <v>411905.45</v>
      </c>
      <c r="F44" s="188"/>
      <c r="G44" s="188"/>
      <c r="H44" s="188"/>
    </row>
    <row r="45" spans="1:8" x14ac:dyDescent="0.35">
      <c r="A45" s="181" t="s">
        <v>40</v>
      </c>
      <c r="B45" s="181"/>
      <c r="C45" s="181"/>
      <c r="D45" s="181"/>
      <c r="E45" s="181" t="s">
        <v>235</v>
      </c>
      <c r="F45" s="181"/>
      <c r="G45" s="181"/>
      <c r="H45" s="181"/>
    </row>
    <row r="46" spans="1:8" x14ac:dyDescent="0.35">
      <c r="A46" s="193" t="s">
        <v>41</v>
      </c>
      <c r="B46" s="193"/>
      <c r="C46" s="193"/>
      <c r="D46" s="193"/>
      <c r="E46" s="193"/>
      <c r="F46" s="193"/>
      <c r="G46" s="193"/>
      <c r="H46" s="193"/>
    </row>
    <row r="47" spans="1:8" ht="33.75" customHeight="1" x14ac:dyDescent="0.35">
      <c r="A47" s="157" t="s">
        <v>154</v>
      </c>
      <c r="B47" s="158"/>
      <c r="C47" s="159" t="s">
        <v>184</v>
      </c>
      <c r="D47" s="160"/>
      <c r="E47" s="160"/>
      <c r="F47" s="160"/>
      <c r="G47" s="160"/>
      <c r="H47" s="161"/>
    </row>
    <row r="48" spans="1:8" ht="30.75" customHeight="1" x14ac:dyDescent="0.35">
      <c r="A48" s="157" t="s">
        <v>42</v>
      </c>
      <c r="B48" s="158"/>
      <c r="C48" s="157" t="s">
        <v>185</v>
      </c>
      <c r="D48" s="164"/>
      <c r="E48" s="158"/>
      <c r="F48" s="18" t="s">
        <v>43</v>
      </c>
      <c r="G48" s="200">
        <v>44561</v>
      </c>
      <c r="H48" s="158"/>
    </row>
    <row r="49" spans="1:14" ht="33" customHeight="1" x14ac:dyDescent="0.35">
      <c r="A49" s="157" t="s">
        <v>44</v>
      </c>
      <c r="B49" s="158"/>
      <c r="C49" s="157" t="str">
        <f>C48</f>
        <v>VVCMC/TP/AMEND/SPA/VP/006/058/2021-22</v>
      </c>
      <c r="D49" s="164"/>
      <c r="E49" s="158"/>
      <c r="F49" s="18" t="s">
        <v>43</v>
      </c>
      <c r="G49" s="200">
        <f>G48</f>
        <v>44561</v>
      </c>
      <c r="H49" s="201"/>
    </row>
    <row r="50" spans="1:14" s="23" customFormat="1" ht="32.25" customHeight="1" x14ac:dyDescent="0.35">
      <c r="A50" s="202" t="s">
        <v>212</v>
      </c>
      <c r="B50" s="203"/>
      <c r="C50" s="157" t="s">
        <v>186</v>
      </c>
      <c r="D50" s="164"/>
      <c r="E50" s="158"/>
      <c r="F50" s="18" t="s">
        <v>43</v>
      </c>
      <c r="G50" s="200">
        <f>G49</f>
        <v>44561</v>
      </c>
      <c r="H50" s="201"/>
    </row>
    <row r="51" spans="1:14" s="23" customFormat="1" x14ac:dyDescent="0.35">
      <c r="A51" s="204"/>
      <c r="B51" s="205"/>
      <c r="C51" s="157" t="s">
        <v>240</v>
      </c>
      <c r="D51" s="164"/>
      <c r="E51" s="164"/>
      <c r="F51" s="164"/>
      <c r="G51" s="164"/>
      <c r="H51" s="158"/>
    </row>
    <row r="52" spans="1:14" x14ac:dyDescent="0.35">
      <c r="A52" s="182" t="s">
        <v>169</v>
      </c>
      <c r="B52" s="183"/>
      <c r="C52" s="190" t="s">
        <v>30</v>
      </c>
      <c r="D52" s="191"/>
      <c r="E52" s="192"/>
      <c r="F52" s="53" t="s">
        <v>43</v>
      </c>
      <c r="G52" s="210" t="s">
        <v>30</v>
      </c>
      <c r="H52" s="211"/>
    </row>
    <row r="53" spans="1:14" x14ac:dyDescent="0.35">
      <c r="A53" s="113"/>
      <c r="B53" s="112"/>
      <c r="C53" s="190" t="s">
        <v>30</v>
      </c>
      <c r="D53" s="191"/>
      <c r="E53" s="191"/>
      <c r="F53" s="191"/>
      <c r="G53" s="191"/>
      <c r="H53" s="192"/>
    </row>
    <row r="54" spans="1:14" x14ac:dyDescent="0.35">
      <c r="A54" s="209" t="s">
        <v>46</v>
      </c>
      <c r="B54" s="209"/>
      <c r="C54" s="209"/>
      <c r="D54" s="209"/>
      <c r="E54" s="209"/>
      <c r="F54" s="209"/>
      <c r="G54" s="209"/>
      <c r="H54" s="209"/>
    </row>
    <row r="55" spans="1:14" x14ac:dyDescent="0.35">
      <c r="A55" s="180" t="s">
        <v>92</v>
      </c>
      <c r="B55" s="180"/>
      <c r="C55" s="180"/>
      <c r="D55" s="136">
        <f>E44</f>
        <v>411905.45</v>
      </c>
      <c r="E55" s="136"/>
      <c r="F55" s="136"/>
      <c r="G55" s="136"/>
      <c r="H55" s="136"/>
    </row>
    <row r="56" spans="1:14" x14ac:dyDescent="0.35">
      <c r="A56" s="179" t="s">
        <v>47</v>
      </c>
      <c r="B56" s="181"/>
      <c r="C56" s="181"/>
      <c r="D56" s="181" t="s">
        <v>245</v>
      </c>
      <c r="E56" s="181"/>
      <c r="F56" s="181"/>
      <c r="G56" s="181"/>
      <c r="H56" s="181"/>
      <c r="I56" s="24"/>
      <c r="J56" s="21">
        <f>171*4</f>
        <v>684</v>
      </c>
    </row>
    <row r="57" spans="1:14" ht="16.5" customHeight="1" x14ac:dyDescent="0.35">
      <c r="A57" s="197" t="s">
        <v>48</v>
      </c>
      <c r="B57" s="198"/>
      <c r="C57" s="199"/>
      <c r="D57" s="195" t="s">
        <v>240</v>
      </c>
      <c r="E57" s="196"/>
      <c r="F57" s="196"/>
      <c r="G57" s="196"/>
      <c r="H57" s="196"/>
    </row>
    <row r="58" spans="1:14" ht="15.75" customHeight="1" x14ac:dyDescent="0.35">
      <c r="A58" s="197" t="s">
        <v>90</v>
      </c>
      <c r="B58" s="198"/>
      <c r="C58" s="199"/>
      <c r="D58" s="179" t="s">
        <v>236</v>
      </c>
      <c r="E58" s="181"/>
      <c r="F58" s="181"/>
      <c r="G58" s="181"/>
      <c r="H58" s="181"/>
    </row>
    <row r="59" spans="1:14" ht="15.75" customHeight="1" x14ac:dyDescent="0.35">
      <c r="A59" s="212"/>
      <c r="B59" s="213"/>
      <c r="C59" s="214"/>
      <c r="D59" s="179" t="s">
        <v>223</v>
      </c>
      <c r="E59" s="181"/>
      <c r="F59" s="181"/>
      <c r="G59" s="181"/>
      <c r="H59" s="181"/>
    </row>
    <row r="60" spans="1:14" ht="15.75" customHeight="1" x14ac:dyDescent="0.35">
      <c r="A60" s="215"/>
      <c r="B60" s="216"/>
      <c r="C60" s="217"/>
      <c r="D60" s="179" t="s">
        <v>242</v>
      </c>
      <c r="E60" s="181"/>
      <c r="F60" s="181"/>
      <c r="G60" s="181"/>
      <c r="H60" s="181"/>
    </row>
    <row r="61" spans="1:14" ht="33" customHeight="1" x14ac:dyDescent="0.35">
      <c r="A61" s="136" t="s">
        <v>45</v>
      </c>
      <c r="B61" s="136"/>
      <c r="C61" s="136"/>
      <c r="D61" s="206" t="s">
        <v>241</v>
      </c>
      <c r="E61" s="206"/>
      <c r="F61" s="206"/>
      <c r="G61" s="206"/>
      <c r="H61" s="206"/>
      <c r="J61" s="25"/>
      <c r="K61" s="24"/>
      <c r="N61" s="24"/>
    </row>
    <row r="62" spans="1:14" ht="15.75" customHeight="1" x14ac:dyDescent="0.35">
      <c r="A62" s="136" t="s">
        <v>88</v>
      </c>
      <c r="B62" s="136"/>
      <c r="C62" s="136"/>
      <c r="D62" s="189" t="str">
        <f>(IF(G52="NA","60 Years After Completion",IF(G52&lt;&gt;"NA",""&amp;60-ROUNDDOWN((E3-G52)/360,0)&amp;" Years"," ")))</f>
        <v>60 Years After Completion</v>
      </c>
      <c r="E62" s="189"/>
      <c r="F62" s="189"/>
      <c r="G62" s="189"/>
      <c r="H62" s="189"/>
      <c r="N62" s="24"/>
    </row>
    <row r="63" spans="1:14" ht="15.75" customHeight="1" x14ac:dyDescent="0.35">
      <c r="A63" s="136" t="s">
        <v>89</v>
      </c>
      <c r="B63" s="136"/>
      <c r="C63" s="136"/>
      <c r="D63" s="180" t="s">
        <v>24</v>
      </c>
      <c r="E63" s="180"/>
      <c r="F63" s="180"/>
      <c r="G63" s="180"/>
      <c r="H63" s="180"/>
      <c r="J63" s="26"/>
      <c r="K63" s="26"/>
    </row>
    <row r="64" spans="1:14" ht="30.75" customHeight="1" x14ac:dyDescent="0.35">
      <c r="A64" s="136" t="s">
        <v>75</v>
      </c>
      <c r="B64" s="136"/>
      <c r="C64" s="136"/>
      <c r="D64" s="179" t="s">
        <v>209</v>
      </c>
      <c r="E64" s="180"/>
      <c r="F64" s="180"/>
      <c r="G64" s="180"/>
      <c r="H64" s="180"/>
    </row>
    <row r="65" spans="1:14" x14ac:dyDescent="0.35">
      <c r="A65" s="180" t="s">
        <v>151</v>
      </c>
      <c r="B65" s="180"/>
      <c r="C65" s="180"/>
      <c r="D65" s="180" t="s">
        <v>30</v>
      </c>
      <c r="E65" s="180"/>
      <c r="F65" s="180"/>
      <c r="G65" s="180"/>
      <c r="H65" s="180"/>
      <c r="I65" s="27"/>
      <c r="J65" s="27"/>
      <c r="K65" s="27"/>
      <c r="L65" s="27"/>
      <c r="M65" s="27"/>
      <c r="N65" s="27"/>
    </row>
    <row r="66" spans="1:14" ht="15.75" customHeight="1" x14ac:dyDescent="0.35">
      <c r="A66" s="136" t="s">
        <v>87</v>
      </c>
      <c r="B66" s="136"/>
      <c r="C66" s="136"/>
      <c r="D66" s="179" t="str">
        <f ca="1">(IF(G72&gt;95%,"Nothing",IF(G72&gt;0%,"Cement, Aggregate, Steel, etc",IF(G72=0%,"Work not yet Started"))))</f>
        <v>Cement, Aggregate, Steel, etc</v>
      </c>
      <c r="E66" s="179"/>
      <c r="F66" s="179"/>
      <c r="G66" s="179"/>
      <c r="H66" s="179"/>
      <c r="J66" s="26"/>
    </row>
    <row r="67" spans="1:14" ht="33.75" customHeight="1" thickBot="1" x14ac:dyDescent="0.4">
      <c r="A67" s="180" t="s">
        <v>118</v>
      </c>
      <c r="B67" s="180"/>
      <c r="C67" s="180"/>
      <c r="D67" s="179" t="str">
        <f ca="1">(IF(D66="Nothing","Yes",IF(D66="Cement, Aggregate, Steel, etc","Under Construction",IF(D66="Work not yet Started","Work not yet Started"))))</f>
        <v>Under Construction</v>
      </c>
      <c r="E67" s="179"/>
      <c r="F67" s="179" t="str">
        <f ca="1">(IF(D66="Nothing","Yes",IF(D66="Cement, Aggregate, Steel, etc","Under Construction",IF(D66="Work not yet Started","Work not yet Started"))))</f>
        <v>Under Construction</v>
      </c>
      <c r="G67" s="179"/>
      <c r="H67" s="179"/>
    </row>
    <row r="68" spans="1:14" ht="15.75" customHeight="1" x14ac:dyDescent="0.35">
      <c r="A68" s="86" t="s">
        <v>143</v>
      </c>
      <c r="B68" s="86"/>
      <c r="C68" s="86" t="s">
        <v>259</v>
      </c>
      <c r="D68" s="86"/>
      <c r="E68" s="86"/>
      <c r="F68" s="86"/>
      <c r="G68" s="86"/>
      <c r="H68" s="86"/>
      <c r="I68" s="80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 Completed, External Plaster upto 18 Floor, Flooring upto 5 Floor, Painting upto 5 Floor Completed</v>
      </c>
      <c r="J68" s="50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External Plaster upto 18 Floor, Flooring upto 5 Floor, Painting upto 5 Floor</v>
      </c>
    </row>
    <row r="69" spans="1:14" x14ac:dyDescent="0.35">
      <c r="A69" s="77" t="s">
        <v>145</v>
      </c>
      <c r="B69" s="77">
        <v>0</v>
      </c>
      <c r="C69" s="77" t="s">
        <v>73</v>
      </c>
      <c r="D69" s="77">
        <v>1</v>
      </c>
      <c r="E69" s="77" t="s">
        <v>72</v>
      </c>
      <c r="F69" s="77">
        <v>0</v>
      </c>
      <c r="G69" s="48" t="s">
        <v>81</v>
      </c>
      <c r="H69" s="77">
        <f ca="1">--TRIM(RIGHT(SUBSTITUTE(LEFT(C68,_xlfn.AGGREGATE(16,6,FIND({0,1,2,3,4,5,6,7,8,9},C68,ROW(INDIRECT("1:"&amp;LEN(C68)))),1))," ",REPT(" ",LEN(C68))),LEN(C68)))</f>
        <v>23</v>
      </c>
      <c r="I69" s="81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</v>
      </c>
      <c r="J69" s="52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5.4" customHeight="1" x14ac:dyDescent="0.35">
      <c r="A70" s="87" t="s">
        <v>91</v>
      </c>
      <c r="B70" s="87"/>
      <c r="C70" s="88" t="str">
        <f ca="1">I68</f>
        <v>Excavation, Plinth, RCC Slab, Brickwork, Internal Plaster Completed, External Plaster upto 18 Floor, Flooring upto 5 Floor, Painting upto 5 Floor Completed</v>
      </c>
      <c r="D70" s="88"/>
      <c r="E70" s="88"/>
      <c r="F70" s="88"/>
      <c r="G70" s="88"/>
      <c r="H70" s="88"/>
      <c r="I70" s="81" t="str">
        <f ca="1">IF(I69&lt;&gt;""," Completed","")</f>
        <v xml:space="preserve"> Completed</v>
      </c>
      <c r="J70" s="52" t="str">
        <f ca="1">IF(J68&lt;&gt;"","Completed","")</f>
        <v>Completed</v>
      </c>
    </row>
    <row r="71" spans="1:14" ht="15.75" customHeight="1" x14ac:dyDescent="0.35">
      <c r="A71" s="89" t="s">
        <v>49</v>
      </c>
      <c r="B71" s="89"/>
      <c r="C71" s="76" t="s">
        <v>142</v>
      </c>
      <c r="D71" s="76" t="s">
        <v>84</v>
      </c>
      <c r="E71" s="89" t="s">
        <v>86</v>
      </c>
      <c r="F71" s="89"/>
      <c r="G71" s="89" t="s">
        <v>85</v>
      </c>
      <c r="H71" s="89"/>
      <c r="I71" s="14" t="s">
        <v>144</v>
      </c>
      <c r="J71" s="28">
        <f ca="1">H69*25%</f>
        <v>5.75</v>
      </c>
    </row>
    <row r="72" spans="1:14" x14ac:dyDescent="0.35">
      <c r="A72" s="89" t="s">
        <v>131</v>
      </c>
      <c r="B72" s="89"/>
      <c r="C72" s="76">
        <f ca="1">J73</f>
        <v>23</v>
      </c>
      <c r="D72" s="19">
        <f ca="1">((100/H69)*C72)/100</f>
        <v>1</v>
      </c>
      <c r="E72" s="90">
        <f ca="1">(((C73/H69*10)+(40/(D69+F69+H69)*C74)+(7.5/(H69)*C75)+(7.5/(H69)*C76)+(10/H69*C77)+(10/H69*C78)+(5/H69*C79)+(5/H69*C80)+(5/H69*C81))/100)</f>
        <v>0.76086956521739124</v>
      </c>
      <c r="F72" s="90"/>
      <c r="G72" s="90">
        <f ca="1">((((C72/H69)*20)+((C73/H69)*25)+(30/(H69+F69+D69)*C74)+(5/H69*C75)+(5/H69*C76)+(5/H69*C77)+(5/H69*C78)+(0/H69*C79)+(0/H69*C80)+(5/H69*C81))/100)</f>
        <v>0.9</v>
      </c>
      <c r="H72" s="90"/>
      <c r="I72" s="14" t="s">
        <v>101</v>
      </c>
      <c r="J72" s="29">
        <f ca="1">H69*50%</f>
        <v>11.5</v>
      </c>
    </row>
    <row r="73" spans="1:14" x14ac:dyDescent="0.35">
      <c r="A73" s="89" t="s">
        <v>50</v>
      </c>
      <c r="B73" s="89"/>
      <c r="C73" s="64">
        <f ca="1">J81</f>
        <v>23</v>
      </c>
      <c r="D73" s="19">
        <f ca="1">((100/H69)*C73)/100</f>
        <v>1</v>
      </c>
      <c r="E73" s="90"/>
      <c r="F73" s="90"/>
      <c r="G73" s="90"/>
      <c r="H73" s="90"/>
      <c r="I73" s="14" t="s">
        <v>102</v>
      </c>
      <c r="J73" s="29">
        <f ca="1">H69</f>
        <v>23</v>
      </c>
    </row>
    <row r="74" spans="1:14" ht="15.75" customHeight="1" x14ac:dyDescent="0.35">
      <c r="A74" s="89" t="s">
        <v>132</v>
      </c>
      <c r="B74" s="89"/>
      <c r="C74" s="76">
        <v>24</v>
      </c>
      <c r="D74" s="19">
        <f ca="1">((100/(D69+F69+H69))*C74)/100</f>
        <v>1</v>
      </c>
      <c r="E74" s="90"/>
      <c r="F74" s="90"/>
      <c r="G74" s="90"/>
      <c r="H74" s="90"/>
      <c r="I74" s="14" t="s">
        <v>103</v>
      </c>
      <c r="J74" s="30">
        <f ca="1">(IF(B69&gt;1,(H69/(B69+2)),H69/4))</f>
        <v>5.75</v>
      </c>
    </row>
    <row r="75" spans="1:14" ht="15.75" customHeight="1" x14ac:dyDescent="0.35">
      <c r="A75" s="89" t="s">
        <v>139</v>
      </c>
      <c r="B75" s="89" t="s">
        <v>133</v>
      </c>
      <c r="C75" s="76">
        <f>C74-1</f>
        <v>23</v>
      </c>
      <c r="D75" s="19">
        <f ca="1">((100/H69)*C75)/100</f>
        <v>1</v>
      </c>
      <c r="E75" s="90"/>
      <c r="F75" s="90"/>
      <c r="G75" s="90"/>
      <c r="H75" s="90"/>
      <c r="I75" s="14" t="s">
        <v>104</v>
      </c>
      <c r="J75" s="30">
        <f ca="1">(IF(B69&gt;1,(H69/(B69+2)+J74),H69/4+J74))</f>
        <v>11.5</v>
      </c>
    </row>
    <row r="76" spans="1:14" ht="15.75" customHeight="1" x14ac:dyDescent="0.35">
      <c r="A76" s="89" t="s">
        <v>140</v>
      </c>
      <c r="B76" s="89" t="s">
        <v>133</v>
      </c>
      <c r="C76" s="64">
        <v>23</v>
      </c>
      <c r="D76" s="19">
        <f ca="1">((100/H69)*C76)/100</f>
        <v>1</v>
      </c>
      <c r="E76" s="90"/>
      <c r="F76" s="90"/>
      <c r="G76" s="90"/>
      <c r="H76" s="90"/>
      <c r="I76" s="14" t="s">
        <v>149</v>
      </c>
      <c r="J76" s="30">
        <f>(IF(B69&gt;1,(H69/(B69+2)+J75),0))</f>
        <v>0</v>
      </c>
    </row>
    <row r="77" spans="1:14" ht="15" customHeight="1" x14ac:dyDescent="0.35">
      <c r="A77" s="89" t="s">
        <v>138</v>
      </c>
      <c r="B77" s="89" t="s">
        <v>135</v>
      </c>
      <c r="C77" s="64">
        <v>18</v>
      </c>
      <c r="D77" s="19">
        <f ca="1">((100/(H69))*C77)/100</f>
        <v>0.78260869565217395</v>
      </c>
      <c r="E77" s="90"/>
      <c r="F77" s="90"/>
      <c r="G77" s="90"/>
      <c r="H77" s="90"/>
      <c r="I77" s="14" t="s">
        <v>146</v>
      </c>
      <c r="J77" s="30">
        <f>(IF(B69&gt;2,(H69/(B69+2)+J76),0))</f>
        <v>0</v>
      </c>
    </row>
    <row r="78" spans="1:14" ht="15.75" customHeight="1" x14ac:dyDescent="0.35">
      <c r="A78" s="89" t="s">
        <v>134</v>
      </c>
      <c r="B78" s="89" t="s">
        <v>134</v>
      </c>
      <c r="C78" s="76">
        <v>5</v>
      </c>
      <c r="D78" s="19">
        <f ca="1">((100/H69)*C78)/100</f>
        <v>0.21739130434782608</v>
      </c>
      <c r="E78" s="90"/>
      <c r="F78" s="90"/>
      <c r="G78" s="90"/>
      <c r="H78" s="90"/>
      <c r="I78" s="14" t="s">
        <v>147</v>
      </c>
      <c r="J78" s="31">
        <f>(IF(B69&gt;3,(H69/(B69+2)+J77),0))</f>
        <v>0</v>
      </c>
    </row>
    <row r="79" spans="1:14" ht="15.75" customHeight="1" x14ac:dyDescent="0.35">
      <c r="A79" s="89" t="s">
        <v>141</v>
      </c>
      <c r="B79" s="89"/>
      <c r="C79" s="76">
        <v>5</v>
      </c>
      <c r="D79" s="19">
        <f ca="1">((100/H69)*C79)/100</f>
        <v>0.21739130434782608</v>
      </c>
      <c r="E79" s="90"/>
      <c r="F79" s="90"/>
      <c r="G79" s="90"/>
      <c r="H79" s="90"/>
      <c r="I79" s="14" t="s">
        <v>148</v>
      </c>
      <c r="J79" s="30">
        <f>(IF(B69&gt;4,(H69/(B69+2)+J78),0))</f>
        <v>0</v>
      </c>
    </row>
    <row r="80" spans="1:14" ht="15.75" customHeight="1" x14ac:dyDescent="0.35">
      <c r="A80" s="89" t="s">
        <v>136</v>
      </c>
      <c r="B80" s="89" t="s">
        <v>136</v>
      </c>
      <c r="C80" s="76">
        <v>0</v>
      </c>
      <c r="D80" s="19">
        <f ca="1">((100/(H69))*C80)/100</f>
        <v>0</v>
      </c>
      <c r="E80" s="90"/>
      <c r="F80" s="90"/>
      <c r="G80" s="90"/>
      <c r="H80" s="90"/>
      <c r="I80" s="14" t="s">
        <v>150</v>
      </c>
      <c r="J80" s="30">
        <f ca="1">(IF(B69=1,(H69/(B69+3)+J75),IF(B69=0,(H69/4+J75),IF(B69&gt;1,0))))</f>
        <v>17.25</v>
      </c>
    </row>
    <row r="81" spans="1:12" ht="16" thickBot="1" x14ac:dyDescent="0.4">
      <c r="A81" s="89" t="s">
        <v>137</v>
      </c>
      <c r="B81" s="89"/>
      <c r="C81" s="76">
        <v>0</v>
      </c>
      <c r="D81" s="19">
        <f ca="1">((100/(H69))*C81)/100</f>
        <v>0</v>
      </c>
      <c r="E81" s="90"/>
      <c r="F81" s="90"/>
      <c r="G81" s="90"/>
      <c r="H81" s="90"/>
      <c r="I81" s="15" t="s">
        <v>105</v>
      </c>
      <c r="J81" s="32">
        <f ca="1">(IF(B69&gt;1.5,(H69/(B69+2)+J75+MAX(0,J76-J75)+MAX(0,J77-J76)+MAX(0,J78-J77)+MAX(0,J79-J78)+MAX(0,J80-J79)),IF(B69=1,(H69/(B69+3)+J80),IF(B69=0,H69/4+J80))))</f>
        <v>23</v>
      </c>
    </row>
    <row r="82" spans="1:12" ht="15.75" customHeight="1" x14ac:dyDescent="0.35">
      <c r="A82" s="111" t="s">
        <v>143</v>
      </c>
      <c r="B82" s="112"/>
      <c r="C82" s="113" t="s">
        <v>260</v>
      </c>
      <c r="D82" s="114"/>
      <c r="E82" s="114"/>
      <c r="F82" s="114"/>
      <c r="G82" s="114"/>
      <c r="H82" s="115"/>
      <c r="I82" s="49" t="str">
        <f ca="1">IF(D95=100%,"All work Completed. Possession granted to the Building.",IF(D94=100%,"All work Completed, Waiting for OC",I83&amp;""&amp;I84&amp;""&amp;J83&amp;""&amp;J82&amp;" "&amp;J84))</f>
        <v>Excavation, Plinth Completed, RCC upto 10 Slab, Brickwork upto 9 Floor, Internal Plaster upto 6.75 Floor, External Plaster upto 6.3 Floor Completed</v>
      </c>
      <c r="J82" s="50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10 Slab, Brickwork upto 9 Floor, Internal Plaster upto 6.75 Floor, External Plaster upto 6.3 Floor</v>
      </c>
    </row>
    <row r="83" spans="1:12" x14ac:dyDescent="0.35">
      <c r="A83" s="16" t="s">
        <v>145</v>
      </c>
      <c r="B83" s="62">
        <v>0</v>
      </c>
      <c r="C83" s="62" t="s">
        <v>73</v>
      </c>
      <c r="D83" s="62">
        <v>1</v>
      </c>
      <c r="E83" s="62" t="s">
        <v>72</v>
      </c>
      <c r="F83" s="62">
        <v>0</v>
      </c>
      <c r="G83" s="48" t="s">
        <v>81</v>
      </c>
      <c r="H83" s="17">
        <f ca="1">--TRIM(RIGHT(SUBSTITUTE(LEFT(C82,_xlfn.AGGREGATE(16,6,FIND({0,1,2,3,4,5,6,7,8,9},C82,ROW(INDIRECT("1:"&amp;LEN(C82)))),1))," ",REPT(" ",LEN(C82))),LEN(C82)))</f>
        <v>23</v>
      </c>
      <c r="I83" s="51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52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2" ht="32" customHeight="1" x14ac:dyDescent="0.35">
      <c r="A84" s="91" t="s">
        <v>91</v>
      </c>
      <c r="B84" s="87"/>
      <c r="C84" s="88" t="str">
        <f ca="1">I82</f>
        <v>Excavation, Plinth Completed, RCC upto 10 Slab, Brickwork upto 9 Floor, Internal Plaster upto 6.75 Floor, External Plaster upto 6.3 Floor Completed</v>
      </c>
      <c r="D84" s="88"/>
      <c r="E84" s="88"/>
      <c r="F84" s="88"/>
      <c r="G84" s="88"/>
      <c r="H84" s="92"/>
      <c r="I84" s="51" t="str">
        <f ca="1">IF(I83&lt;&gt;""," Completed","")</f>
        <v xml:space="preserve"> Completed</v>
      </c>
      <c r="J84" s="52" t="str">
        <f ca="1">IF(J82&lt;&gt;"","Completed","")</f>
        <v>Completed</v>
      </c>
    </row>
    <row r="85" spans="1:12" ht="15.75" customHeight="1" x14ac:dyDescent="0.35">
      <c r="A85" s="93" t="s">
        <v>49</v>
      </c>
      <c r="B85" s="89"/>
      <c r="C85" s="63" t="s">
        <v>142</v>
      </c>
      <c r="D85" s="63" t="s">
        <v>84</v>
      </c>
      <c r="E85" s="89" t="s">
        <v>86</v>
      </c>
      <c r="F85" s="89"/>
      <c r="G85" s="89" t="s">
        <v>85</v>
      </c>
      <c r="H85" s="94"/>
      <c r="I85" s="14" t="s">
        <v>144</v>
      </c>
      <c r="J85" s="28">
        <f ca="1">H83*25%</f>
        <v>5.75</v>
      </c>
    </row>
    <row r="86" spans="1:12" x14ac:dyDescent="0.35">
      <c r="A86" s="93" t="s">
        <v>131</v>
      </c>
      <c r="B86" s="89"/>
      <c r="C86" s="63">
        <v>23</v>
      </c>
      <c r="D86" s="19">
        <f ca="1">((100/H83)*C86)/100</f>
        <v>1</v>
      </c>
      <c r="E86" s="95">
        <f ca="1">(((C87/H83*10)+(40/(D83+F83+H83)*C88)+(7.5/(H83)*C89)+(7.5/(H83)*C90)+(10/H83*C91)+(10/H83*C92)+(5/H83*C93)+(5/H83*C94)+(5/H83*C95))/100)</f>
        <v>0.34541666666666665</v>
      </c>
      <c r="F86" s="96"/>
      <c r="G86" s="95">
        <f ca="1">((((C86/H83)*20)+((C87/H83)*25)+(30/(H83+F83+D83)*C88)+(5/H83*C89)+(5/H83*C90)+(5/H83*C91)+(5/H83*C92)+(0/H83*C93)+(0/H83*C94)+(5/H83*C95))/100)</f>
        <v>0.62293478260869573</v>
      </c>
      <c r="H86" s="101"/>
      <c r="I86" s="14" t="s">
        <v>101</v>
      </c>
      <c r="J86" s="29">
        <f ca="1">H83*50%</f>
        <v>11.5</v>
      </c>
      <c r="L86" s="21" t="s">
        <v>233</v>
      </c>
    </row>
    <row r="87" spans="1:12" x14ac:dyDescent="0.35">
      <c r="A87" s="93" t="s">
        <v>50</v>
      </c>
      <c r="B87" s="89"/>
      <c r="C87" s="63">
        <v>23</v>
      </c>
      <c r="D87" s="19">
        <f ca="1">((100/H83)*C87)/100</f>
        <v>1</v>
      </c>
      <c r="E87" s="97"/>
      <c r="F87" s="98"/>
      <c r="G87" s="97"/>
      <c r="H87" s="102"/>
      <c r="I87" s="14" t="s">
        <v>102</v>
      </c>
      <c r="J87" s="29">
        <f ca="1">H83</f>
        <v>23</v>
      </c>
    </row>
    <row r="88" spans="1:12" ht="15.75" customHeight="1" x14ac:dyDescent="0.35">
      <c r="A88" s="93" t="s">
        <v>132</v>
      </c>
      <c r="B88" s="89"/>
      <c r="C88" s="63">
        <v>10</v>
      </c>
      <c r="D88" s="19">
        <f ca="1">((100/(D83+F83+H83))*C88)/100</f>
        <v>0.41666666666666674</v>
      </c>
      <c r="E88" s="97"/>
      <c r="F88" s="98"/>
      <c r="G88" s="97"/>
      <c r="H88" s="102"/>
      <c r="I88" s="14" t="s">
        <v>103</v>
      </c>
      <c r="J88" s="30">
        <f ca="1">(IF(B83&gt;1,(H83/(B83+2)),H83/4))</f>
        <v>5.75</v>
      </c>
    </row>
    <row r="89" spans="1:12" ht="15.75" customHeight="1" x14ac:dyDescent="0.35">
      <c r="A89" s="93" t="s">
        <v>139</v>
      </c>
      <c r="B89" s="89" t="s">
        <v>133</v>
      </c>
      <c r="C89" s="63">
        <f>C88-1</f>
        <v>9</v>
      </c>
      <c r="D89" s="19">
        <f ca="1">((100/H83)*C89)/100</f>
        <v>0.39130434782608697</v>
      </c>
      <c r="E89" s="97"/>
      <c r="F89" s="98"/>
      <c r="G89" s="97"/>
      <c r="H89" s="102"/>
      <c r="I89" s="14" t="s">
        <v>104</v>
      </c>
      <c r="J89" s="30">
        <f ca="1">(IF(B83&gt;1,(H83/(B83+2)+J88),H83/4+J88))</f>
        <v>11.5</v>
      </c>
    </row>
    <row r="90" spans="1:12" ht="15.75" customHeight="1" x14ac:dyDescent="0.35">
      <c r="A90" s="93" t="s">
        <v>140</v>
      </c>
      <c r="B90" s="89" t="s">
        <v>133</v>
      </c>
      <c r="C90" s="64">
        <f>C89*0.75</f>
        <v>6.75</v>
      </c>
      <c r="D90" s="19">
        <f ca="1">((100/H83)*C90)/100</f>
        <v>0.29347826086956519</v>
      </c>
      <c r="E90" s="97"/>
      <c r="F90" s="98"/>
      <c r="G90" s="97"/>
      <c r="H90" s="102"/>
      <c r="I90" s="14" t="s">
        <v>149</v>
      </c>
      <c r="J90" s="30">
        <f>(IF(B83&gt;1,(H83/(B83+2)+J89),0))</f>
        <v>0</v>
      </c>
    </row>
    <row r="91" spans="1:12" ht="15" customHeight="1" x14ac:dyDescent="0.35">
      <c r="A91" s="93" t="s">
        <v>138</v>
      </c>
      <c r="B91" s="89" t="s">
        <v>135</v>
      </c>
      <c r="C91" s="64">
        <f>C89*0.7</f>
        <v>6.3</v>
      </c>
      <c r="D91" s="19">
        <f ca="1">((100/(H83))*C91)/100</f>
        <v>0.27391304347826084</v>
      </c>
      <c r="E91" s="97"/>
      <c r="F91" s="98"/>
      <c r="G91" s="97"/>
      <c r="H91" s="102"/>
      <c r="I91" s="14" t="s">
        <v>146</v>
      </c>
      <c r="J91" s="30">
        <f>(IF(B83&gt;2,(H83/(B83+2)+J90),0))</f>
        <v>0</v>
      </c>
    </row>
    <row r="92" spans="1:12" ht="15.75" customHeight="1" x14ac:dyDescent="0.35">
      <c r="A92" s="93" t="s">
        <v>134</v>
      </c>
      <c r="B92" s="89" t="s">
        <v>134</v>
      </c>
      <c r="C92" s="63">
        <v>0</v>
      </c>
      <c r="D92" s="19">
        <f ca="1">((100/H83)*C92)/100</f>
        <v>0</v>
      </c>
      <c r="E92" s="97"/>
      <c r="F92" s="98"/>
      <c r="G92" s="97"/>
      <c r="H92" s="102"/>
      <c r="I92" s="14" t="s">
        <v>147</v>
      </c>
      <c r="J92" s="31">
        <f>(IF(B83&gt;3,(H83/(B83+2)+J91),0))</f>
        <v>0</v>
      </c>
    </row>
    <row r="93" spans="1:12" ht="15.75" customHeight="1" x14ac:dyDescent="0.35">
      <c r="A93" s="93" t="s">
        <v>141</v>
      </c>
      <c r="B93" s="89"/>
      <c r="C93" s="63">
        <v>0</v>
      </c>
      <c r="D93" s="19">
        <f ca="1">((100/H83)*C93)/100</f>
        <v>0</v>
      </c>
      <c r="E93" s="97"/>
      <c r="F93" s="98"/>
      <c r="G93" s="97"/>
      <c r="H93" s="102"/>
      <c r="I93" s="14" t="s">
        <v>148</v>
      </c>
      <c r="J93" s="30">
        <f>(IF(B83&gt;4,(H83/(B83+2)+J92),0))</f>
        <v>0</v>
      </c>
    </row>
    <row r="94" spans="1:12" ht="15.75" customHeight="1" x14ac:dyDescent="0.35">
      <c r="A94" s="93" t="s">
        <v>136</v>
      </c>
      <c r="B94" s="89" t="s">
        <v>136</v>
      </c>
      <c r="C94" s="63">
        <v>0</v>
      </c>
      <c r="D94" s="19">
        <f ca="1">((100/(H83))*C94)/100</f>
        <v>0</v>
      </c>
      <c r="E94" s="97"/>
      <c r="F94" s="98"/>
      <c r="G94" s="97"/>
      <c r="H94" s="102"/>
      <c r="I94" s="14" t="s">
        <v>150</v>
      </c>
      <c r="J94" s="30">
        <f ca="1">(IF(B83=1,(H83/(B83+3)+J89),IF(B83=0,(H83/4+J89),IF(B83&gt;1,0))))</f>
        <v>17.25</v>
      </c>
    </row>
    <row r="95" spans="1:12" ht="16" thickBot="1" x14ac:dyDescent="0.4">
      <c r="A95" s="245" t="s">
        <v>137</v>
      </c>
      <c r="B95" s="246"/>
      <c r="C95" s="82">
        <v>0</v>
      </c>
      <c r="D95" s="83">
        <f ca="1">((100/(H83))*C95)/100</f>
        <v>0</v>
      </c>
      <c r="E95" s="97"/>
      <c r="F95" s="98"/>
      <c r="G95" s="97"/>
      <c r="H95" s="102"/>
      <c r="I95" s="15" t="s">
        <v>105</v>
      </c>
      <c r="J95" s="32">
        <f ca="1">(IF(B83&gt;1.5,(H83/(B83+2)+J89+MAX(0,J90-J89)+MAX(0,J91-J90)+MAX(0,J92-J91)+MAX(0,J93-J92)+MAX(0,J94-J93)),IF(B83=1,(H83/(B83+3)+J94),IF(B83=0,H83/4+J94))))</f>
        <v>23</v>
      </c>
    </row>
    <row r="96" spans="1:12" ht="15.75" customHeight="1" x14ac:dyDescent="0.35">
      <c r="A96" s="86" t="s">
        <v>143</v>
      </c>
      <c r="B96" s="86"/>
      <c r="C96" s="86" t="s">
        <v>261</v>
      </c>
      <c r="D96" s="86"/>
      <c r="E96" s="86"/>
      <c r="F96" s="86"/>
      <c r="G96" s="86"/>
      <c r="H96" s="86"/>
      <c r="I96" s="80" t="str">
        <f ca="1">IF(D109=100%,"All work Completed. Possession granted to the Building.",IF(D108=100%,"All work Completed, Waiting for OC",I97&amp;""&amp;I98&amp;""&amp;J97&amp;""&amp;J96&amp;" "&amp;J98))</f>
        <v xml:space="preserve">Excavation, Plinth Completed </v>
      </c>
      <c r="J96" s="50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/>
      </c>
    </row>
    <row r="97" spans="1:12" x14ac:dyDescent="0.35">
      <c r="A97" s="77" t="s">
        <v>145</v>
      </c>
      <c r="B97" s="77">
        <v>0</v>
      </c>
      <c r="C97" s="77" t="s">
        <v>73</v>
      </c>
      <c r="D97" s="77">
        <v>1</v>
      </c>
      <c r="E97" s="77" t="s">
        <v>72</v>
      </c>
      <c r="F97" s="77">
        <v>0</v>
      </c>
      <c r="G97" s="48" t="s">
        <v>81</v>
      </c>
      <c r="H97" s="77">
        <f ca="1">--TRIM(RIGHT(SUBSTITUTE(LEFT(C96,_xlfn.AGGREGATE(16,6,FIND({0,1,2,3,4,5,6,7,8,9},C96,ROW(INDIRECT("1:"&amp;LEN(C96)))),1))," ",REPT(" ",LEN(C96))),LEN(C96)))</f>
        <v>23</v>
      </c>
      <c r="I97" s="81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</v>
      </c>
      <c r="J97" s="52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2" x14ac:dyDescent="0.35">
      <c r="A98" s="87" t="s">
        <v>91</v>
      </c>
      <c r="B98" s="87"/>
      <c r="C98" s="88" t="str">
        <f ca="1">I96</f>
        <v xml:space="preserve">Excavation, Plinth Completed </v>
      </c>
      <c r="D98" s="88"/>
      <c r="E98" s="88"/>
      <c r="F98" s="88"/>
      <c r="G98" s="88"/>
      <c r="H98" s="88"/>
      <c r="I98" s="81" t="str">
        <f ca="1">IF(I97&lt;&gt;""," Completed","")</f>
        <v xml:space="preserve"> Completed</v>
      </c>
      <c r="J98" s="52" t="str">
        <f ca="1">IF(J96&lt;&gt;"","Completed","")</f>
        <v/>
      </c>
    </row>
    <row r="99" spans="1:12" ht="15.75" customHeight="1" x14ac:dyDescent="0.35">
      <c r="A99" s="89" t="s">
        <v>49</v>
      </c>
      <c r="B99" s="89"/>
      <c r="C99" s="76" t="s">
        <v>142</v>
      </c>
      <c r="D99" s="76" t="s">
        <v>84</v>
      </c>
      <c r="E99" s="89" t="s">
        <v>86</v>
      </c>
      <c r="F99" s="89"/>
      <c r="G99" s="89" t="s">
        <v>85</v>
      </c>
      <c r="H99" s="89"/>
      <c r="I99" s="14" t="s">
        <v>144</v>
      </c>
      <c r="J99" s="28">
        <f ca="1">H97*25%</f>
        <v>5.75</v>
      </c>
    </row>
    <row r="100" spans="1:12" x14ac:dyDescent="0.35">
      <c r="A100" s="89" t="s">
        <v>131</v>
      </c>
      <c r="B100" s="89"/>
      <c r="C100" s="76">
        <v>23</v>
      </c>
      <c r="D100" s="19">
        <f ca="1">((100/H97)*C100)/100</f>
        <v>1</v>
      </c>
      <c r="E100" s="90">
        <f ca="1">(((C101/H97*10)+(40/(D97+F97+H97)*C102)+(7.5/(H97)*C103)+(7.5/(H97)*C104)+(10/H97*C105)+(10/H97*C106)+(5/H97*C107)+(5/H97*C108)+(5/H97*C109))/100)</f>
        <v>0.1</v>
      </c>
      <c r="F100" s="90"/>
      <c r="G100" s="90">
        <f ca="1">((((C100/H97)*20)+((C101/H97)*25)+(30/(H97+F97+D97)*C102)+(5/H97*C103)+(5/H97*C104)+(5/H97*C105)+(5/H97*C106)+(0/H97*C107)+(0/H97*C108)+(5/H97*C109))/100)</f>
        <v>0.45</v>
      </c>
      <c r="H100" s="90"/>
      <c r="I100" s="14" t="s">
        <v>101</v>
      </c>
      <c r="J100" s="29">
        <f ca="1">H97*50%</f>
        <v>11.5</v>
      </c>
      <c r="L100" s="21" t="s">
        <v>233</v>
      </c>
    </row>
    <row r="101" spans="1:12" x14ac:dyDescent="0.35">
      <c r="A101" s="89" t="s">
        <v>50</v>
      </c>
      <c r="B101" s="89"/>
      <c r="C101" s="76">
        <v>23</v>
      </c>
      <c r="D101" s="19">
        <f ca="1">((100/H97)*C101)/100</f>
        <v>1</v>
      </c>
      <c r="E101" s="90"/>
      <c r="F101" s="90"/>
      <c r="G101" s="90"/>
      <c r="H101" s="90"/>
      <c r="I101" s="14" t="s">
        <v>102</v>
      </c>
      <c r="J101" s="29">
        <f ca="1">H97</f>
        <v>23</v>
      </c>
    </row>
    <row r="102" spans="1:12" ht="15.75" customHeight="1" x14ac:dyDescent="0.35">
      <c r="A102" s="89" t="s">
        <v>132</v>
      </c>
      <c r="B102" s="89"/>
      <c r="C102" s="76">
        <v>0</v>
      </c>
      <c r="D102" s="19">
        <f ca="1">((100/(D97+F97+H97))*C102)/100</f>
        <v>0</v>
      </c>
      <c r="E102" s="90"/>
      <c r="F102" s="90"/>
      <c r="G102" s="90"/>
      <c r="H102" s="90"/>
      <c r="I102" s="14" t="s">
        <v>103</v>
      </c>
      <c r="J102" s="30">
        <f ca="1">(IF(B97&gt;1,(H97/(B97+2)),H97/4))</f>
        <v>5.75</v>
      </c>
    </row>
    <row r="103" spans="1:12" ht="15.75" customHeight="1" x14ac:dyDescent="0.35">
      <c r="A103" s="89" t="s">
        <v>139</v>
      </c>
      <c r="B103" s="89" t="s">
        <v>133</v>
      </c>
      <c r="C103" s="76">
        <v>0</v>
      </c>
      <c r="D103" s="19">
        <f ca="1">((100/H97)*C103)/100</f>
        <v>0</v>
      </c>
      <c r="E103" s="90"/>
      <c r="F103" s="90"/>
      <c r="G103" s="90"/>
      <c r="H103" s="90"/>
      <c r="I103" s="14" t="s">
        <v>104</v>
      </c>
      <c r="J103" s="30">
        <f ca="1">(IF(B97&gt;1,(H97/(B97+2)+J102),H97/4+J102))</f>
        <v>11.5</v>
      </c>
    </row>
    <row r="104" spans="1:12" ht="15.75" customHeight="1" x14ac:dyDescent="0.35">
      <c r="A104" s="89" t="s">
        <v>140</v>
      </c>
      <c r="B104" s="89" t="s">
        <v>133</v>
      </c>
      <c r="C104" s="76">
        <v>0</v>
      </c>
      <c r="D104" s="19">
        <f ca="1">((100/H97)*C104)/100</f>
        <v>0</v>
      </c>
      <c r="E104" s="90"/>
      <c r="F104" s="90"/>
      <c r="G104" s="90"/>
      <c r="H104" s="90"/>
      <c r="I104" s="14" t="s">
        <v>149</v>
      </c>
      <c r="J104" s="30">
        <f>(IF(B97&gt;1,(H97/(B97+2)+J103),0))</f>
        <v>0</v>
      </c>
    </row>
    <row r="105" spans="1:12" ht="15" customHeight="1" x14ac:dyDescent="0.35">
      <c r="A105" s="89" t="s">
        <v>138</v>
      </c>
      <c r="B105" s="89" t="s">
        <v>135</v>
      </c>
      <c r="C105" s="76">
        <v>0</v>
      </c>
      <c r="D105" s="19">
        <f ca="1">((100/(H97))*C105)/100</f>
        <v>0</v>
      </c>
      <c r="E105" s="90"/>
      <c r="F105" s="90"/>
      <c r="G105" s="90"/>
      <c r="H105" s="90"/>
      <c r="I105" s="14" t="s">
        <v>146</v>
      </c>
      <c r="J105" s="30">
        <f>(IF(B97&gt;2,(H97/(B97+2)+J104),0))</f>
        <v>0</v>
      </c>
    </row>
    <row r="106" spans="1:12" ht="15.75" customHeight="1" x14ac:dyDescent="0.35">
      <c r="A106" s="89" t="s">
        <v>134</v>
      </c>
      <c r="B106" s="89" t="s">
        <v>134</v>
      </c>
      <c r="C106" s="76">
        <v>0</v>
      </c>
      <c r="D106" s="19">
        <f ca="1">((100/H97)*C106)/100</f>
        <v>0</v>
      </c>
      <c r="E106" s="90"/>
      <c r="F106" s="90"/>
      <c r="G106" s="90"/>
      <c r="H106" s="90"/>
      <c r="I106" s="14" t="s">
        <v>147</v>
      </c>
      <c r="J106" s="31">
        <f>(IF(B97&gt;3,(H97/(B97+2)+J105),0))</f>
        <v>0</v>
      </c>
    </row>
    <row r="107" spans="1:12" ht="15.75" customHeight="1" x14ac:dyDescent="0.35">
      <c r="A107" s="89" t="s">
        <v>141</v>
      </c>
      <c r="B107" s="89"/>
      <c r="C107" s="76">
        <v>0</v>
      </c>
      <c r="D107" s="19">
        <f ca="1">((100/H97)*C107)/100</f>
        <v>0</v>
      </c>
      <c r="E107" s="90"/>
      <c r="F107" s="90"/>
      <c r="G107" s="90"/>
      <c r="H107" s="90"/>
      <c r="I107" s="14" t="s">
        <v>148</v>
      </c>
      <c r="J107" s="30">
        <f>(IF(B97&gt;4,(H97/(B97+2)+J106),0))</f>
        <v>0</v>
      </c>
    </row>
    <row r="108" spans="1:12" ht="15.75" customHeight="1" x14ac:dyDescent="0.35">
      <c r="A108" s="89" t="s">
        <v>136</v>
      </c>
      <c r="B108" s="89" t="s">
        <v>136</v>
      </c>
      <c r="C108" s="76">
        <v>0</v>
      </c>
      <c r="D108" s="19">
        <f ca="1">((100/(H97))*C108)/100</f>
        <v>0</v>
      </c>
      <c r="E108" s="90"/>
      <c r="F108" s="90"/>
      <c r="G108" s="90"/>
      <c r="H108" s="90"/>
      <c r="I108" s="14" t="s">
        <v>150</v>
      </c>
      <c r="J108" s="30">
        <f ca="1">(IF(B97=1,(H97/(B97+3)+J103),IF(B97=0,(H97/4+J103),IF(B97&gt;1,0))))</f>
        <v>17.25</v>
      </c>
    </row>
    <row r="109" spans="1:12" ht="16" thickBot="1" x14ac:dyDescent="0.4">
      <c r="A109" s="89" t="s">
        <v>137</v>
      </c>
      <c r="B109" s="89"/>
      <c r="C109" s="76">
        <v>0</v>
      </c>
      <c r="D109" s="19">
        <f ca="1">((100/(H97))*C109)/100</f>
        <v>0</v>
      </c>
      <c r="E109" s="90"/>
      <c r="F109" s="90"/>
      <c r="G109" s="90"/>
      <c r="H109" s="90"/>
      <c r="I109" s="15" t="s">
        <v>105</v>
      </c>
      <c r="J109" s="32">
        <f ca="1">(IF(B97&gt;1.5,(H97/(B97+2)+J103+MAX(0,J104-J103)+MAX(0,J105-J104)+MAX(0,J106-J105)+MAX(0,J107-J106)+MAX(0,J108-J107)),IF(B97=1,(H97/(B97+3)+J108),IF(B97=0,H97/4+J108))))</f>
        <v>23</v>
      </c>
    </row>
    <row r="110" spans="1:12" ht="15.75" customHeight="1" x14ac:dyDescent="0.35">
      <c r="A110" s="86" t="s">
        <v>143</v>
      </c>
      <c r="B110" s="86"/>
      <c r="C110" s="86" t="s">
        <v>242</v>
      </c>
      <c r="D110" s="86"/>
      <c r="E110" s="86"/>
      <c r="F110" s="86"/>
      <c r="G110" s="86"/>
      <c r="H110" s="86"/>
      <c r="I110" s="80" t="str">
        <f ca="1">IF(D123=100%,"All work Completed. Possession granted to the Building.",IF(D122=100%,"All work Completed, Waiting for OC",I111&amp;""&amp;I112&amp;""&amp;J111&amp;""&amp;J110&amp;" "&amp;J112))</f>
        <v>Excavation, Plinth Completed, RCC upto 1 Slab Completed</v>
      </c>
      <c r="J110" s="50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>, RCC upto 1 Slab</v>
      </c>
    </row>
    <row r="111" spans="1:12" x14ac:dyDescent="0.35">
      <c r="A111" s="77" t="s">
        <v>145</v>
      </c>
      <c r="B111" s="77">
        <v>0</v>
      </c>
      <c r="C111" s="77" t="s">
        <v>73</v>
      </c>
      <c r="D111" s="77">
        <v>1</v>
      </c>
      <c r="E111" s="77" t="s">
        <v>72</v>
      </c>
      <c r="F111" s="77">
        <v>0</v>
      </c>
      <c r="G111" s="48" t="s">
        <v>81</v>
      </c>
      <c r="H111" s="77">
        <f ca="1">--TRIM(RIGHT(SUBSTITUTE(LEFT(C110,_xlfn.AGGREGATE(16,6,FIND({0,1,2,3,4,5,6,7,8,9},C110,ROW(INDIRECT("1:"&amp;LEN(C110)))),1))," ",REPT(" ",LEN(C110))),LEN(C110)))</f>
        <v>23</v>
      </c>
      <c r="I111" s="81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</v>
      </c>
      <c r="J111" s="52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2" x14ac:dyDescent="0.35">
      <c r="A112" s="91" t="s">
        <v>91</v>
      </c>
      <c r="B112" s="87"/>
      <c r="C112" s="88" t="str">
        <f ca="1">I110</f>
        <v>Excavation, Plinth Completed, RCC upto 1 Slab Completed</v>
      </c>
      <c r="D112" s="88"/>
      <c r="E112" s="88"/>
      <c r="F112" s="88"/>
      <c r="G112" s="88"/>
      <c r="H112" s="92"/>
      <c r="I112" s="51" t="str">
        <f ca="1">IF(I111&lt;&gt;""," Completed","")</f>
        <v xml:space="preserve"> Completed</v>
      </c>
      <c r="J112" s="52" t="str">
        <f ca="1">IF(J110&lt;&gt;"","Completed","")</f>
        <v>Completed</v>
      </c>
    </row>
    <row r="113" spans="1:12" ht="15.75" customHeight="1" x14ac:dyDescent="0.35">
      <c r="A113" s="93" t="s">
        <v>49</v>
      </c>
      <c r="B113" s="89"/>
      <c r="C113" s="74" t="s">
        <v>142</v>
      </c>
      <c r="D113" s="74" t="s">
        <v>84</v>
      </c>
      <c r="E113" s="89" t="s">
        <v>86</v>
      </c>
      <c r="F113" s="89"/>
      <c r="G113" s="89" t="s">
        <v>85</v>
      </c>
      <c r="H113" s="94"/>
      <c r="I113" s="14" t="s">
        <v>144</v>
      </c>
      <c r="J113" s="28">
        <f ca="1">H111*25%</f>
        <v>5.75</v>
      </c>
    </row>
    <row r="114" spans="1:12" x14ac:dyDescent="0.35">
      <c r="A114" s="93" t="s">
        <v>131</v>
      </c>
      <c r="B114" s="89"/>
      <c r="C114" s="74">
        <v>23</v>
      </c>
      <c r="D114" s="19">
        <f ca="1">((100/H111)*C114)/100</f>
        <v>1</v>
      </c>
      <c r="E114" s="95">
        <f ca="1">(((C115/H111*10)+(40/(D111+F111+H111)*C116)+(7.5/(H111)*C117)+(7.5/(H111)*C118)+(10/H111*C119)+(10/H111*C120)+(5/H111*C121)+(5/H111*C122)+(5/H111*C123))/100)</f>
        <v>0.11666666666666665</v>
      </c>
      <c r="F114" s="96"/>
      <c r="G114" s="95">
        <f ca="1">((((C114/H111)*20)+((C115/H111)*25)+(30/(H111+F111+D111)*C116)+(5/H111*C117)+(5/H111*C118)+(5/H111*C119)+(5/H111*C120)+(0/H111*C121)+(0/H111*C122)+(5/H111*C123))/100)</f>
        <v>0.46250000000000002</v>
      </c>
      <c r="H114" s="101"/>
      <c r="I114" s="14" t="s">
        <v>101</v>
      </c>
      <c r="J114" s="29">
        <f ca="1">H111*50%</f>
        <v>11.5</v>
      </c>
      <c r="L114" s="21" t="s">
        <v>233</v>
      </c>
    </row>
    <row r="115" spans="1:12" x14ac:dyDescent="0.35">
      <c r="A115" s="93" t="s">
        <v>50</v>
      </c>
      <c r="B115" s="89"/>
      <c r="C115" s="74">
        <v>23</v>
      </c>
      <c r="D115" s="19">
        <f ca="1">((100/H111)*C115)/100</f>
        <v>1</v>
      </c>
      <c r="E115" s="97"/>
      <c r="F115" s="98"/>
      <c r="G115" s="97"/>
      <c r="H115" s="102"/>
      <c r="I115" s="14" t="s">
        <v>102</v>
      </c>
      <c r="J115" s="29">
        <f ca="1">H111</f>
        <v>23</v>
      </c>
    </row>
    <row r="116" spans="1:12" ht="15.75" customHeight="1" x14ac:dyDescent="0.35">
      <c r="A116" s="93" t="s">
        <v>132</v>
      </c>
      <c r="B116" s="89"/>
      <c r="C116" s="74">
        <v>1</v>
      </c>
      <c r="D116" s="19">
        <f ca="1">((100/(D111+F111+H111))*C116)/100</f>
        <v>4.1666666666666671E-2</v>
      </c>
      <c r="E116" s="97"/>
      <c r="F116" s="98"/>
      <c r="G116" s="97"/>
      <c r="H116" s="102"/>
      <c r="I116" s="14" t="s">
        <v>103</v>
      </c>
      <c r="J116" s="30">
        <f ca="1">(IF(B111&gt;1,(H111/(B111+2)),H111/4))</f>
        <v>5.75</v>
      </c>
    </row>
    <row r="117" spans="1:12" ht="15.75" customHeight="1" x14ac:dyDescent="0.35">
      <c r="A117" s="93" t="s">
        <v>139</v>
      </c>
      <c r="B117" s="89" t="s">
        <v>133</v>
      </c>
      <c r="C117" s="74">
        <v>0</v>
      </c>
      <c r="D117" s="19">
        <f ca="1">((100/H111)*C117)/100</f>
        <v>0</v>
      </c>
      <c r="E117" s="97"/>
      <c r="F117" s="98"/>
      <c r="G117" s="97"/>
      <c r="H117" s="102"/>
      <c r="I117" s="14" t="s">
        <v>104</v>
      </c>
      <c r="J117" s="30">
        <f ca="1">(IF(B111&gt;1,(H111/(B111+2)+J116),H111/4+J116))</f>
        <v>11.5</v>
      </c>
    </row>
    <row r="118" spans="1:12" ht="15.75" customHeight="1" x14ac:dyDescent="0.35">
      <c r="A118" s="93" t="s">
        <v>140</v>
      </c>
      <c r="B118" s="89" t="s">
        <v>133</v>
      </c>
      <c r="C118" s="74">
        <v>0</v>
      </c>
      <c r="D118" s="19">
        <f ca="1">((100/H111)*C118)/100</f>
        <v>0</v>
      </c>
      <c r="E118" s="97"/>
      <c r="F118" s="98"/>
      <c r="G118" s="97"/>
      <c r="H118" s="102"/>
      <c r="I118" s="14" t="s">
        <v>149</v>
      </c>
      <c r="J118" s="30">
        <f>(IF(B111&gt;1,(H111/(B111+2)+J117),0))</f>
        <v>0</v>
      </c>
    </row>
    <row r="119" spans="1:12" ht="15" customHeight="1" x14ac:dyDescent="0.35">
      <c r="A119" s="93" t="s">
        <v>138</v>
      </c>
      <c r="B119" s="89" t="s">
        <v>135</v>
      </c>
      <c r="C119" s="74">
        <v>0</v>
      </c>
      <c r="D119" s="19">
        <f ca="1">((100/(H111))*C119)/100</f>
        <v>0</v>
      </c>
      <c r="E119" s="97"/>
      <c r="F119" s="98"/>
      <c r="G119" s="97"/>
      <c r="H119" s="102"/>
      <c r="I119" s="14" t="s">
        <v>146</v>
      </c>
      <c r="J119" s="30">
        <f>(IF(B111&gt;2,(H111/(B111+2)+J118),0))</f>
        <v>0</v>
      </c>
    </row>
    <row r="120" spans="1:12" ht="15.75" customHeight="1" x14ac:dyDescent="0.35">
      <c r="A120" s="93" t="s">
        <v>134</v>
      </c>
      <c r="B120" s="89" t="s">
        <v>134</v>
      </c>
      <c r="C120" s="74">
        <v>0</v>
      </c>
      <c r="D120" s="19">
        <f ca="1">((100/H111)*C120)/100</f>
        <v>0</v>
      </c>
      <c r="E120" s="97"/>
      <c r="F120" s="98"/>
      <c r="G120" s="97"/>
      <c r="H120" s="102"/>
      <c r="I120" s="14" t="s">
        <v>147</v>
      </c>
      <c r="J120" s="31">
        <f>(IF(B111&gt;3,(H111/(B111+2)+J119),0))</f>
        <v>0</v>
      </c>
    </row>
    <row r="121" spans="1:12" ht="15.75" customHeight="1" x14ac:dyDescent="0.35">
      <c r="A121" s="93" t="s">
        <v>141</v>
      </c>
      <c r="B121" s="89"/>
      <c r="C121" s="74">
        <v>0</v>
      </c>
      <c r="D121" s="19">
        <f ca="1">((100/H111)*C121)/100</f>
        <v>0</v>
      </c>
      <c r="E121" s="97"/>
      <c r="F121" s="98"/>
      <c r="G121" s="97"/>
      <c r="H121" s="102"/>
      <c r="I121" s="14" t="s">
        <v>148</v>
      </c>
      <c r="J121" s="30">
        <f>(IF(B111&gt;4,(H111/(B111+2)+J120),0))</f>
        <v>0</v>
      </c>
    </row>
    <row r="122" spans="1:12" ht="15.75" customHeight="1" x14ac:dyDescent="0.35">
      <c r="A122" s="93" t="s">
        <v>136</v>
      </c>
      <c r="B122" s="89" t="s">
        <v>136</v>
      </c>
      <c r="C122" s="74">
        <v>0</v>
      </c>
      <c r="D122" s="19">
        <f ca="1">((100/(H111))*C122)/100</f>
        <v>0</v>
      </c>
      <c r="E122" s="97"/>
      <c r="F122" s="98"/>
      <c r="G122" s="97"/>
      <c r="H122" s="102"/>
      <c r="I122" s="14" t="s">
        <v>150</v>
      </c>
      <c r="J122" s="30">
        <f ca="1">(IF(B111=1,(H111/(B111+3)+J117),IF(B111=0,(H111/4+J117),IF(B111&gt;1,0))))</f>
        <v>17.25</v>
      </c>
    </row>
    <row r="123" spans="1:12" ht="16" thickBot="1" x14ac:dyDescent="0.4">
      <c r="A123" s="104" t="s">
        <v>137</v>
      </c>
      <c r="B123" s="105"/>
      <c r="C123" s="75">
        <v>0</v>
      </c>
      <c r="D123" s="20">
        <f ca="1">((100/(H111))*C123)/100</f>
        <v>0</v>
      </c>
      <c r="E123" s="99"/>
      <c r="F123" s="100"/>
      <c r="G123" s="99"/>
      <c r="H123" s="103"/>
      <c r="I123" s="15" t="s">
        <v>105</v>
      </c>
      <c r="J123" s="32">
        <f ca="1">(IF(B111&gt;1.5,(H111/(B111+2)+J117+MAX(0,J118-J117)+MAX(0,J119-J118)+MAX(0,J120-J119)+MAX(0,J121-J120)+MAX(0,J122-J121)),IF(B111=1,(H111/(B111+3)+J122),IF(B111=0,H111/4+J122))))</f>
        <v>23</v>
      </c>
    </row>
    <row r="124" spans="1:12" ht="15.75" customHeight="1" x14ac:dyDescent="0.35">
      <c r="A124" s="106" t="s">
        <v>143</v>
      </c>
      <c r="B124" s="107"/>
      <c r="C124" s="108" t="s">
        <v>250</v>
      </c>
      <c r="D124" s="109"/>
      <c r="E124" s="109"/>
      <c r="F124" s="109"/>
      <c r="G124" s="109"/>
      <c r="H124" s="110"/>
      <c r="I124" s="49" t="str">
        <f ca="1">IF(D137=100%,"All work Completed. Possession granted to the Building.",IF(D136=100%,"All work Completed, Waiting for OC",I125&amp;""&amp;I126&amp;""&amp;J125&amp;""&amp;J124&amp;" "&amp;J126))</f>
        <v>Excavation, Plinth, RCC Slab, Brickwork, Internal Plaster Completed, External Plaster upto 18 Floor, Flooring upto 5 Floor, Painting upto 5 Floor Completed</v>
      </c>
      <c r="J124" s="50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>, External Plaster upto 18 Floor, Flooring upto 5 Floor, Painting upto 5 Floor</v>
      </c>
    </row>
    <row r="125" spans="1:12" x14ac:dyDescent="0.35">
      <c r="A125" s="16" t="s">
        <v>145</v>
      </c>
      <c r="B125" s="67">
        <v>0</v>
      </c>
      <c r="C125" s="67" t="s">
        <v>73</v>
      </c>
      <c r="D125" s="67">
        <v>1</v>
      </c>
      <c r="E125" s="67" t="s">
        <v>72</v>
      </c>
      <c r="F125" s="67">
        <v>0</v>
      </c>
      <c r="G125" s="48" t="s">
        <v>81</v>
      </c>
      <c r="H125" s="17">
        <f ca="1">--TRIM(RIGHT(SUBSTITUTE(LEFT(C124,_xlfn.AGGREGATE(16,6,FIND({0,1,2,3,4,5,6,7,8,9},C124,ROW(INDIRECT("1:"&amp;LEN(C124)))),1))," ",REPT(" ",LEN(C124))),LEN(C124)))</f>
        <v>23</v>
      </c>
      <c r="I125" s="51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>Excavation, Plinth, RCC Slab, Brickwork, Internal Plaster</v>
      </c>
      <c r="J125" s="52" t="str">
        <f ca="1"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/>
      </c>
    </row>
    <row r="126" spans="1:12" ht="30.75" customHeight="1" x14ac:dyDescent="0.35">
      <c r="A126" s="91" t="s">
        <v>91</v>
      </c>
      <c r="B126" s="87"/>
      <c r="C126" s="88" t="str">
        <f ca="1">I124</f>
        <v>Excavation, Plinth, RCC Slab, Brickwork, Internal Plaster Completed, External Plaster upto 18 Floor, Flooring upto 5 Floor, Painting upto 5 Floor Completed</v>
      </c>
      <c r="D126" s="88"/>
      <c r="E126" s="88"/>
      <c r="F126" s="88"/>
      <c r="G126" s="88"/>
      <c r="H126" s="92"/>
      <c r="I126" s="51" t="str">
        <f ca="1">IF(I125&lt;&gt;""," Completed","")</f>
        <v xml:space="preserve"> Completed</v>
      </c>
      <c r="J126" s="52" t="str">
        <f ca="1">IF(J124&lt;&gt;"","Completed","")</f>
        <v>Completed</v>
      </c>
    </row>
    <row r="127" spans="1:12" ht="15.75" customHeight="1" x14ac:dyDescent="0.35">
      <c r="A127" s="93" t="s">
        <v>49</v>
      </c>
      <c r="B127" s="89"/>
      <c r="C127" s="65" t="s">
        <v>142</v>
      </c>
      <c r="D127" s="65" t="s">
        <v>84</v>
      </c>
      <c r="E127" s="89" t="s">
        <v>86</v>
      </c>
      <c r="F127" s="89"/>
      <c r="G127" s="89" t="s">
        <v>85</v>
      </c>
      <c r="H127" s="94"/>
      <c r="I127" s="14" t="s">
        <v>144</v>
      </c>
      <c r="J127" s="28">
        <f ca="1">H125*25%</f>
        <v>5.75</v>
      </c>
    </row>
    <row r="128" spans="1:12" x14ac:dyDescent="0.35">
      <c r="A128" s="93" t="s">
        <v>131</v>
      </c>
      <c r="B128" s="89"/>
      <c r="C128" s="65">
        <v>23</v>
      </c>
      <c r="D128" s="19">
        <f ca="1">((100/H125)*C128)/100</f>
        <v>1</v>
      </c>
      <c r="E128" s="95">
        <f ca="1">(((C129/H125*10)+(40/(D125+F125+H125)*C130)+(7.5/(H125)*C131)+(7.5/(H125)*C132)+(10/H125*C133)+(10/H125*C134)+(5/H125*C135)+(5/H125*C136)+(5/H125*C137))/100)</f>
        <v>0.76086956521739124</v>
      </c>
      <c r="F128" s="96"/>
      <c r="G128" s="95">
        <f ca="1">((((C128/H125)*20)+((C129/H125)*25)+(30/(H125+F125+D125)*C130)+(5/H125*C131)+(5/H125*C132)+(5/H125*C133)+(5/H125*C134)+(0/H125*C135)+(0/H125*C136)+(5/H125*C137))/100)</f>
        <v>0.9</v>
      </c>
      <c r="H128" s="101"/>
      <c r="I128" s="14" t="s">
        <v>101</v>
      </c>
      <c r="J128" s="29">
        <f ca="1">H125*50%</f>
        <v>11.5</v>
      </c>
      <c r="L128" s="21" t="s">
        <v>233</v>
      </c>
    </row>
    <row r="129" spans="1:12" x14ac:dyDescent="0.35">
      <c r="A129" s="93" t="s">
        <v>50</v>
      </c>
      <c r="B129" s="89"/>
      <c r="C129" s="65">
        <v>23</v>
      </c>
      <c r="D129" s="19">
        <f ca="1">((100/H125)*C129)/100</f>
        <v>1</v>
      </c>
      <c r="E129" s="97"/>
      <c r="F129" s="98"/>
      <c r="G129" s="97"/>
      <c r="H129" s="102"/>
      <c r="I129" s="14" t="s">
        <v>102</v>
      </c>
      <c r="J129" s="29">
        <f ca="1">H125</f>
        <v>23</v>
      </c>
    </row>
    <row r="130" spans="1:12" ht="15.75" customHeight="1" x14ac:dyDescent="0.35">
      <c r="A130" s="93" t="s">
        <v>132</v>
      </c>
      <c r="B130" s="89"/>
      <c r="C130" s="65">
        <v>24</v>
      </c>
      <c r="D130" s="19">
        <f ca="1">((100/(D125+F125+H125))*C130)/100</f>
        <v>1</v>
      </c>
      <c r="E130" s="97"/>
      <c r="F130" s="98"/>
      <c r="G130" s="97"/>
      <c r="H130" s="102"/>
      <c r="I130" s="14" t="s">
        <v>103</v>
      </c>
      <c r="J130" s="30">
        <f ca="1">(IF(B125&gt;1,(H125/(B125+2)),H125/4))</f>
        <v>5.75</v>
      </c>
    </row>
    <row r="131" spans="1:12" ht="15.75" customHeight="1" x14ac:dyDescent="0.35">
      <c r="A131" s="93" t="s">
        <v>139</v>
      </c>
      <c r="B131" s="89" t="s">
        <v>133</v>
      </c>
      <c r="C131" s="65">
        <f>C130-1</f>
        <v>23</v>
      </c>
      <c r="D131" s="19">
        <f ca="1">((100/H125)*C131)/100</f>
        <v>1</v>
      </c>
      <c r="E131" s="97"/>
      <c r="F131" s="98"/>
      <c r="G131" s="97"/>
      <c r="H131" s="102"/>
      <c r="I131" s="14" t="s">
        <v>104</v>
      </c>
      <c r="J131" s="30">
        <f ca="1">(IF(B125&gt;1,(H125/(B125+2)+J130),H125/4+J130))</f>
        <v>11.5</v>
      </c>
    </row>
    <row r="132" spans="1:12" ht="15.75" customHeight="1" x14ac:dyDescent="0.35">
      <c r="A132" s="93" t="s">
        <v>140</v>
      </c>
      <c r="B132" s="89" t="s">
        <v>133</v>
      </c>
      <c r="C132" s="64">
        <v>23</v>
      </c>
      <c r="D132" s="19">
        <f ca="1">((100/H125)*C132)/100</f>
        <v>1</v>
      </c>
      <c r="E132" s="97"/>
      <c r="F132" s="98"/>
      <c r="G132" s="97"/>
      <c r="H132" s="102"/>
      <c r="I132" s="14" t="s">
        <v>149</v>
      </c>
      <c r="J132" s="30">
        <f>(IF(B125&gt;1,(H125/(B125+2)+J131),0))</f>
        <v>0</v>
      </c>
    </row>
    <row r="133" spans="1:12" ht="15" customHeight="1" x14ac:dyDescent="0.35">
      <c r="A133" s="93" t="s">
        <v>138</v>
      </c>
      <c r="B133" s="89" t="s">
        <v>135</v>
      </c>
      <c r="C133" s="64">
        <v>18</v>
      </c>
      <c r="D133" s="19">
        <f ca="1">((100/(H125))*C133)/100</f>
        <v>0.78260869565217395</v>
      </c>
      <c r="E133" s="97"/>
      <c r="F133" s="98"/>
      <c r="G133" s="97"/>
      <c r="H133" s="102"/>
      <c r="I133" s="14" t="s">
        <v>146</v>
      </c>
      <c r="J133" s="30">
        <f>(IF(B125&gt;2,(H125/(B125+2)+J132),0))</f>
        <v>0</v>
      </c>
    </row>
    <row r="134" spans="1:12" ht="15.75" customHeight="1" x14ac:dyDescent="0.35">
      <c r="A134" s="93" t="s">
        <v>134</v>
      </c>
      <c r="B134" s="89" t="s">
        <v>134</v>
      </c>
      <c r="C134" s="65">
        <v>5</v>
      </c>
      <c r="D134" s="19">
        <f ca="1">((100/H125)*C134)/100</f>
        <v>0.21739130434782608</v>
      </c>
      <c r="E134" s="97"/>
      <c r="F134" s="98"/>
      <c r="G134" s="97"/>
      <c r="H134" s="102"/>
      <c r="I134" s="14" t="s">
        <v>147</v>
      </c>
      <c r="J134" s="31">
        <f>(IF(B125&gt;3,(H125/(B125+2)+J133),0))</f>
        <v>0</v>
      </c>
    </row>
    <row r="135" spans="1:12" ht="15.75" customHeight="1" x14ac:dyDescent="0.35">
      <c r="A135" s="93" t="s">
        <v>141</v>
      </c>
      <c r="B135" s="89"/>
      <c r="C135" s="65">
        <v>5</v>
      </c>
      <c r="D135" s="19">
        <f ca="1">((100/H125)*C135)/100</f>
        <v>0.21739130434782608</v>
      </c>
      <c r="E135" s="97"/>
      <c r="F135" s="98"/>
      <c r="G135" s="97"/>
      <c r="H135" s="102"/>
      <c r="I135" s="14" t="s">
        <v>148</v>
      </c>
      <c r="J135" s="30">
        <f>(IF(B125&gt;4,(H125/(B125+2)+J134),0))</f>
        <v>0</v>
      </c>
    </row>
    <row r="136" spans="1:12" ht="15.75" customHeight="1" x14ac:dyDescent="0.35">
      <c r="A136" s="93" t="s">
        <v>136</v>
      </c>
      <c r="B136" s="89" t="s">
        <v>136</v>
      </c>
      <c r="C136" s="65">
        <v>0</v>
      </c>
      <c r="D136" s="19">
        <f ca="1">((100/(H125))*C136)/100</f>
        <v>0</v>
      </c>
      <c r="E136" s="97"/>
      <c r="F136" s="98"/>
      <c r="G136" s="97"/>
      <c r="H136" s="102"/>
      <c r="I136" s="14" t="s">
        <v>150</v>
      </c>
      <c r="J136" s="30">
        <f ca="1">(IF(B125=1,(H125/(B125+3)+J131),IF(B125=0,(H125/4+J131),IF(B125&gt;1,0))))</f>
        <v>17.25</v>
      </c>
    </row>
    <row r="137" spans="1:12" ht="16" thickBot="1" x14ac:dyDescent="0.4">
      <c r="A137" s="104" t="s">
        <v>137</v>
      </c>
      <c r="B137" s="105"/>
      <c r="C137" s="66">
        <v>0</v>
      </c>
      <c r="D137" s="20">
        <f ca="1">((100/(H125))*C137)/100</f>
        <v>0</v>
      </c>
      <c r="E137" s="99"/>
      <c r="F137" s="100"/>
      <c r="G137" s="99"/>
      <c r="H137" s="103"/>
      <c r="I137" s="15" t="s">
        <v>105</v>
      </c>
      <c r="J137" s="32">
        <f ca="1">(IF(B125&gt;1.5,(H125/(B125+2)+J131+MAX(0,J132-J131)+MAX(0,J133-J132)+MAX(0,J134-J133)+MAX(0,J135-J134)+MAX(0,J136-J135)),IF(B125=1,(H125/(B125+3)+J136),IF(B125=0,H125/4+J136))))</f>
        <v>23</v>
      </c>
    </row>
    <row r="138" spans="1:12" ht="15.75" customHeight="1" x14ac:dyDescent="0.35">
      <c r="A138" s="106" t="s">
        <v>143</v>
      </c>
      <c r="B138" s="107"/>
      <c r="C138" s="108" t="s">
        <v>254</v>
      </c>
      <c r="D138" s="109"/>
      <c r="E138" s="109"/>
      <c r="F138" s="109"/>
      <c r="G138" s="109"/>
      <c r="H138" s="110"/>
      <c r="I138" s="49" t="str">
        <f ca="1">IF(D151=100%,"All work Completed. Possession granted to the Building.",IF(D150=100%,"All work Completed, Waiting for OC",I139&amp;""&amp;I140&amp;""&amp;J139&amp;""&amp;J138&amp;" "&amp;J140))</f>
        <v>Excavation, Plinth Completed, RCC upto 21 Slab, Brickwork upto 20 Floor, Internal Plaster upto 16 Floor, External Plaster upto 14 Floor Completed</v>
      </c>
      <c r="J138" s="50" t="str">
        <f ca="1">(IF(C144=(D139+F139+H139),"",IF(C144&gt;0,", RCC upto "&amp;C144&amp;" Slab","")))&amp;(IF(C145=H139,"",IF(C145&gt;0,", Brickwork upto "&amp;C145&amp;" Floor","")))&amp;(IF(C146=H139,"",IF(C146&gt;0,", Internal Plaster upto "&amp;C146&amp;" Floor","")))&amp;(IF(C147=H139,"",IF(C147&gt;0,", External Plaster upto "&amp;C147&amp;" Floor","")))&amp;(IF(C148=H139,"",IF(C148&gt;0,", Flooring upto "&amp;C148&amp;" Floor","")))&amp;(IF(C149=H139,"",IF(C149&gt;0,", Painting upto "&amp;C149&amp;" Floor","")))&amp;(IF(C150=H139,"",IF(C150&gt;0,", Finishing upto "&amp;C150&amp;" Floor","")))&amp;(IF(C151=H139,"",IF(C151&gt;0,", Possession upto "&amp;C151&amp;" Floor","")))</f>
        <v>, RCC upto 21 Slab, Brickwork upto 20 Floor, Internal Plaster upto 16 Floor, External Plaster upto 14 Floor</v>
      </c>
    </row>
    <row r="139" spans="1:12" x14ac:dyDescent="0.35">
      <c r="A139" s="16" t="s">
        <v>145</v>
      </c>
      <c r="B139" s="72">
        <v>0</v>
      </c>
      <c r="C139" s="72" t="s">
        <v>73</v>
      </c>
      <c r="D139" s="72">
        <v>1</v>
      </c>
      <c r="E139" s="72" t="s">
        <v>72</v>
      </c>
      <c r="F139" s="72">
        <v>0</v>
      </c>
      <c r="G139" s="48" t="s">
        <v>81</v>
      </c>
      <c r="H139" s="17">
        <f ca="1">--TRIM(RIGHT(SUBSTITUTE(LEFT(C138,_xlfn.AGGREGATE(16,6,FIND({0,1,2,3,4,5,6,7,8,9},C138,ROW(INDIRECT("1:"&amp;LEN(C138)))),1))," ",REPT(" ",LEN(C138))),LEN(C138)))</f>
        <v>23</v>
      </c>
      <c r="I139" s="51" t="str">
        <f ca="1">IF(D142=100%,"Excavation","")&amp;IF(D143=100%,", Plinth","")&amp;IF(D144=100%,", RCC Slab","")&amp;IF(D145=100%,", Brickwork","")&amp;IF(D146=100%,", Internal Plaster","")&amp;IF(D147=100%,", External Plaster","")&amp;IF(D148=100%,", Flooring","")&amp;IF(D149=100%,", Painting","")&amp;IF(D150=100%,", Building common Amenities","")</f>
        <v>Excavation, Plinth</v>
      </c>
      <c r="J139" s="52" t="str">
        <f ca="1">(IF(C142=0,"Work not yet Started.",IF(D142=25%,"Piling work in process",IF(D142=50%,"Excavation work in process",IF(D142=100%,"","0")))))&amp;(IF(C143=0%,"",IF(C143=J144,", Footing work is process",IF(C143=J145,", Footing work Completed",IF(C143=J146,", 1st Basement Completed",IF(C143=J147,", 1st &amp; 2nd Basement Completed",IF(C143=J148,", 1st to 3rd Basement Completed",IF(C143=J149,", 1st to 4th Basement Completed",IF(C143=J150,", Plinth work is process",IF(C143=J151,"","0"))))))))))</f>
        <v/>
      </c>
    </row>
    <row r="140" spans="1:12" ht="35.25" customHeight="1" x14ac:dyDescent="0.35">
      <c r="A140" s="87" t="s">
        <v>91</v>
      </c>
      <c r="B140" s="87"/>
      <c r="C140" s="88" t="str">
        <f ca="1">I138</f>
        <v>Excavation, Plinth Completed, RCC upto 21 Slab, Brickwork upto 20 Floor, Internal Plaster upto 16 Floor, External Plaster upto 14 Floor Completed</v>
      </c>
      <c r="D140" s="88"/>
      <c r="E140" s="88"/>
      <c r="F140" s="88"/>
      <c r="G140" s="88"/>
      <c r="H140" s="88"/>
      <c r="I140" s="81" t="str">
        <f ca="1">IF(I139&lt;&gt;""," Completed","")</f>
        <v xml:space="preserve"> Completed</v>
      </c>
      <c r="J140" s="52" t="str">
        <f ca="1">IF(J138&lt;&gt;"","Completed","")</f>
        <v>Completed</v>
      </c>
    </row>
    <row r="141" spans="1:12" ht="15.75" customHeight="1" x14ac:dyDescent="0.35">
      <c r="A141" s="89" t="s">
        <v>49</v>
      </c>
      <c r="B141" s="89"/>
      <c r="C141" s="78" t="s">
        <v>142</v>
      </c>
      <c r="D141" s="78" t="s">
        <v>84</v>
      </c>
      <c r="E141" s="89" t="s">
        <v>86</v>
      </c>
      <c r="F141" s="89"/>
      <c r="G141" s="89" t="s">
        <v>85</v>
      </c>
      <c r="H141" s="89"/>
      <c r="I141" s="14" t="s">
        <v>144</v>
      </c>
      <c r="J141" s="28">
        <f ca="1">H139*25%</f>
        <v>5.75</v>
      </c>
    </row>
    <row r="142" spans="1:12" x14ac:dyDescent="0.35">
      <c r="A142" s="89" t="s">
        <v>131</v>
      </c>
      <c r="B142" s="89"/>
      <c r="C142" s="78">
        <v>23</v>
      </c>
      <c r="D142" s="19">
        <f ca="1">((100/H139)*C142)/100</f>
        <v>1</v>
      </c>
      <c r="E142" s="90">
        <f ca="1">(((C143/H139*10)+(40/(D139+F139+H139)*C144)+(7.5/(H139)*C145)+(7.5/(H139)*C146)+(10/H139*C147)+(10/H139*C148)+(5/H139*C149)+(5/H139*C150)+(5/H139*C151))/100)</f>
        <v>0.62826086956521743</v>
      </c>
      <c r="F142" s="90"/>
      <c r="G142" s="90">
        <f ca="1">((((C142/H139)*20)+((C143/H139)*25)+(30/(H139+F139+D139)*C144)+(5/H139*C145)+(5/H139*C146)+(5/H139*C147)+(5/H139*C148)+(0/H139*C149)+(0/H139*C150)+(5/H139*C151))/100)</f>
        <v>0.82119565217391299</v>
      </c>
      <c r="H142" s="90"/>
      <c r="I142" s="14" t="s">
        <v>101</v>
      </c>
      <c r="J142" s="29">
        <f ca="1">H139*50%</f>
        <v>11.5</v>
      </c>
      <c r="L142" s="21" t="s">
        <v>233</v>
      </c>
    </row>
    <row r="143" spans="1:12" x14ac:dyDescent="0.35">
      <c r="A143" s="89" t="s">
        <v>50</v>
      </c>
      <c r="B143" s="89"/>
      <c r="C143" s="78">
        <v>23</v>
      </c>
      <c r="D143" s="19">
        <f ca="1">((100/H139)*C143)/100</f>
        <v>1</v>
      </c>
      <c r="E143" s="90"/>
      <c r="F143" s="90"/>
      <c r="G143" s="90"/>
      <c r="H143" s="90"/>
      <c r="I143" s="14" t="s">
        <v>102</v>
      </c>
      <c r="J143" s="29">
        <f ca="1">H139</f>
        <v>23</v>
      </c>
    </row>
    <row r="144" spans="1:12" ht="15.75" customHeight="1" x14ac:dyDescent="0.35">
      <c r="A144" s="89" t="s">
        <v>132</v>
      </c>
      <c r="B144" s="89"/>
      <c r="C144" s="78">
        <v>21</v>
      </c>
      <c r="D144" s="19">
        <f ca="1">((100/(D139+F139+H139))*C144)/100</f>
        <v>0.875</v>
      </c>
      <c r="E144" s="90"/>
      <c r="F144" s="90"/>
      <c r="G144" s="90"/>
      <c r="H144" s="90"/>
      <c r="I144" s="14" t="s">
        <v>103</v>
      </c>
      <c r="J144" s="30">
        <f ca="1">(IF(B139&gt;1,(H139/(B139+2)),H139/4))</f>
        <v>5.75</v>
      </c>
    </row>
    <row r="145" spans="1:12" ht="15.75" customHeight="1" x14ac:dyDescent="0.35">
      <c r="A145" s="89" t="s">
        <v>139</v>
      </c>
      <c r="B145" s="89" t="s">
        <v>133</v>
      </c>
      <c r="C145" s="78">
        <f>C144-1</f>
        <v>20</v>
      </c>
      <c r="D145" s="19">
        <f ca="1">((100/H139)*C145)/100</f>
        <v>0.86956521739130432</v>
      </c>
      <c r="E145" s="90"/>
      <c r="F145" s="90"/>
      <c r="G145" s="90"/>
      <c r="H145" s="90"/>
      <c r="I145" s="14" t="s">
        <v>104</v>
      </c>
      <c r="J145" s="30">
        <f ca="1">(IF(B139&gt;1,(H139/(B139+2)+J144),H139/4+J144))</f>
        <v>11.5</v>
      </c>
    </row>
    <row r="146" spans="1:12" ht="15.75" customHeight="1" x14ac:dyDescent="0.35">
      <c r="A146" s="89" t="s">
        <v>140</v>
      </c>
      <c r="B146" s="89" t="s">
        <v>133</v>
      </c>
      <c r="C146" s="64">
        <f>C145*0.8</f>
        <v>16</v>
      </c>
      <c r="D146" s="19">
        <f ca="1">((100/H139)*C146)/100</f>
        <v>0.69565217391304346</v>
      </c>
      <c r="E146" s="90"/>
      <c r="F146" s="90"/>
      <c r="G146" s="90"/>
      <c r="H146" s="90"/>
      <c r="I146" s="14" t="s">
        <v>149</v>
      </c>
      <c r="J146" s="30">
        <f>(IF(B139&gt;1,(H139/(B139+2)+J145),0))</f>
        <v>0</v>
      </c>
    </row>
    <row r="147" spans="1:12" ht="15" customHeight="1" x14ac:dyDescent="0.35">
      <c r="A147" s="89" t="s">
        <v>138</v>
      </c>
      <c r="B147" s="89" t="s">
        <v>135</v>
      </c>
      <c r="C147" s="64">
        <v>14</v>
      </c>
      <c r="D147" s="19">
        <f ca="1">((100/(H139))*C147)/100</f>
        <v>0.60869565217391297</v>
      </c>
      <c r="E147" s="90"/>
      <c r="F147" s="90"/>
      <c r="G147" s="90"/>
      <c r="H147" s="90"/>
      <c r="I147" s="14" t="s">
        <v>146</v>
      </c>
      <c r="J147" s="30">
        <f>(IF(B139&gt;2,(H139/(B139+2)+J146),0))</f>
        <v>0</v>
      </c>
    </row>
    <row r="148" spans="1:12" ht="15.75" customHeight="1" x14ac:dyDescent="0.35">
      <c r="A148" s="89" t="s">
        <v>134</v>
      </c>
      <c r="B148" s="89" t="s">
        <v>134</v>
      </c>
      <c r="C148" s="78">
        <v>0</v>
      </c>
      <c r="D148" s="19">
        <f ca="1">((100/H139)*C148)/100</f>
        <v>0</v>
      </c>
      <c r="E148" s="90"/>
      <c r="F148" s="90"/>
      <c r="G148" s="90"/>
      <c r="H148" s="90"/>
      <c r="I148" s="14" t="s">
        <v>147</v>
      </c>
      <c r="J148" s="31">
        <f>(IF(B139&gt;3,(H139/(B139+2)+J147),0))</f>
        <v>0</v>
      </c>
    </row>
    <row r="149" spans="1:12" ht="15.75" customHeight="1" x14ac:dyDescent="0.35">
      <c r="A149" s="89" t="s">
        <v>141</v>
      </c>
      <c r="B149" s="89"/>
      <c r="C149" s="78">
        <v>0</v>
      </c>
      <c r="D149" s="19">
        <f ca="1">((100/H139)*C149)/100</f>
        <v>0</v>
      </c>
      <c r="E149" s="90"/>
      <c r="F149" s="90"/>
      <c r="G149" s="90"/>
      <c r="H149" s="90"/>
      <c r="I149" s="14" t="s">
        <v>148</v>
      </c>
      <c r="J149" s="30">
        <f>(IF(B139&gt;4,(H139/(B139+2)+J148),0))</f>
        <v>0</v>
      </c>
    </row>
    <row r="150" spans="1:12" ht="15.75" customHeight="1" x14ac:dyDescent="0.35">
      <c r="A150" s="89" t="s">
        <v>136</v>
      </c>
      <c r="B150" s="89" t="s">
        <v>136</v>
      </c>
      <c r="C150" s="78">
        <v>0</v>
      </c>
      <c r="D150" s="19">
        <f ca="1">((100/(H139))*C150)/100</f>
        <v>0</v>
      </c>
      <c r="E150" s="90"/>
      <c r="F150" s="90"/>
      <c r="G150" s="90"/>
      <c r="H150" s="90"/>
      <c r="I150" s="14" t="s">
        <v>150</v>
      </c>
      <c r="J150" s="30">
        <f ca="1">(IF(B139=1,(H139/(B139+3)+J145),IF(B139=0,(H139/4+J145),IF(B139&gt;1,0))))</f>
        <v>17.25</v>
      </c>
    </row>
    <row r="151" spans="1:12" ht="16" thickBot="1" x14ac:dyDescent="0.4">
      <c r="A151" s="89" t="s">
        <v>137</v>
      </c>
      <c r="B151" s="89"/>
      <c r="C151" s="78">
        <v>0</v>
      </c>
      <c r="D151" s="19">
        <f ca="1">((100/(H139))*C151)/100</f>
        <v>0</v>
      </c>
      <c r="E151" s="90"/>
      <c r="F151" s="90"/>
      <c r="G151" s="90"/>
      <c r="H151" s="90"/>
      <c r="I151" s="15" t="s">
        <v>105</v>
      </c>
      <c r="J151" s="32">
        <f ca="1">(IF(B139&gt;1.5,(H139/(B139+2)+J145+MAX(0,J146-J145)+MAX(0,J147-J146)+MAX(0,J148-J147)+MAX(0,J149-J148)+MAX(0,J150-J149)),IF(B139=1,(H139/(B139+3)+J150),IF(B139=0,H139/4+J150))))</f>
        <v>23</v>
      </c>
    </row>
    <row r="152" spans="1:12" ht="15.75" customHeight="1" x14ac:dyDescent="0.35">
      <c r="A152" s="86" t="s">
        <v>143</v>
      </c>
      <c r="B152" s="86"/>
      <c r="C152" s="86" t="s">
        <v>256</v>
      </c>
      <c r="D152" s="86"/>
      <c r="E152" s="86"/>
      <c r="F152" s="86"/>
      <c r="G152" s="86"/>
      <c r="H152" s="86"/>
      <c r="I152" s="80" t="str">
        <f ca="1">IF(D165=100%,"All work Completed. Possession granted to the Building.",IF(D164=100%,"All work Completed, Waiting for OC",I153&amp;""&amp;I154&amp;""&amp;J153&amp;""&amp;J152&amp;" "&amp;J154))</f>
        <v>Excavation, Plinth, RCC Slab, Brickwork, Internal Plaster, External Plaster Completed, Flooring upto 10 Floor, Painting upto 10 Floor Completed</v>
      </c>
      <c r="J152" s="50" t="str">
        <f ca="1">(IF(C158=(D153+F153+H153),"",IF(C158&gt;0,", RCC upto "&amp;C158&amp;" Slab","")))&amp;(IF(C159=H153,"",IF(C159&gt;0,", Brickwork upto "&amp;C159&amp;" Floor","")))&amp;(IF(C160=H153,"",IF(C160&gt;0,", Internal Plaster upto "&amp;C160&amp;" Floor","")))&amp;(IF(C161=H153,"",IF(C161&gt;0,", External Plaster upto "&amp;C161&amp;" Floor","")))&amp;(IF(C162=H153,"",IF(C162&gt;0,", Flooring upto "&amp;C162&amp;" Floor","")))&amp;(IF(C163=H153,"",IF(C163&gt;0,", Painting upto "&amp;C163&amp;" Floor","")))&amp;(IF(C164=H153,"",IF(C164&gt;0,", Finishing upto "&amp;C164&amp;" Floor","")))&amp;(IF(C165=H153,"",IF(C165&gt;0,", Possession upto "&amp;C165&amp;" Floor","")))</f>
        <v>, Flooring upto 10 Floor, Painting upto 10 Floor</v>
      </c>
    </row>
    <row r="153" spans="1:12" x14ac:dyDescent="0.35">
      <c r="A153" s="79" t="s">
        <v>145</v>
      </c>
      <c r="B153" s="79">
        <v>0</v>
      </c>
      <c r="C153" s="79" t="s">
        <v>73</v>
      </c>
      <c r="D153" s="79">
        <v>1</v>
      </c>
      <c r="E153" s="79" t="s">
        <v>72</v>
      </c>
      <c r="F153" s="79">
        <v>0</v>
      </c>
      <c r="G153" s="48" t="s">
        <v>81</v>
      </c>
      <c r="H153" s="79">
        <f ca="1">--TRIM(RIGHT(SUBSTITUTE(LEFT(C152,_xlfn.AGGREGATE(16,6,FIND({0,1,2,3,4,5,6,7,8,9},C152,ROW(INDIRECT("1:"&amp;LEN(C152)))),1))," ",REPT(" ",LEN(C152))),LEN(C152)))</f>
        <v>23</v>
      </c>
      <c r="I153" s="81" t="str">
        <f ca="1">IF(D156=100%,"Excavation","")&amp;IF(D157=100%,", Plinth","")&amp;IF(D158=100%,", RCC Slab","")&amp;IF(D159=100%,", Brickwork","")&amp;IF(D160=100%,", Internal Plaster","")&amp;IF(D161=100%,", External Plaster","")&amp;IF(D162=100%,", Flooring","")&amp;IF(D163=100%,", Painting","")&amp;IF(D164=100%,", Building common Amenities","")</f>
        <v>Excavation, Plinth, RCC Slab, Brickwork, Internal Plaster, External Plaster</v>
      </c>
      <c r="J153" s="52" t="str">
        <f ca="1">(IF(C156=0,"Work not yet Started.",IF(D156=25%,"Piling work in process",IF(D156=50%,"Excavation work in process",IF(D156=100%,"","0")))))&amp;(IF(C157=0%,"",IF(C157=J158,", Footing work is process",IF(C157=J159,", Footing work Completed",IF(C157=J160,", 1st Basement Completed",IF(C157=J161,", 1st &amp; 2nd Basement Completed",IF(C157=J162,", 1st to 3rd Basement Completed",IF(C157=J163,", 1st to 4th Basement Completed",IF(C157=J164,", Plinth work is process",IF(C157=J165,"","0"))))))))))</f>
        <v/>
      </c>
    </row>
    <row r="154" spans="1:12" ht="35.25" customHeight="1" x14ac:dyDescent="0.35">
      <c r="A154" s="87" t="s">
        <v>91</v>
      </c>
      <c r="B154" s="87"/>
      <c r="C154" s="88" t="str">
        <f ca="1">I152</f>
        <v>Excavation, Plinth, RCC Slab, Brickwork, Internal Plaster, External Plaster Completed, Flooring upto 10 Floor, Painting upto 10 Floor Completed</v>
      </c>
      <c r="D154" s="88"/>
      <c r="E154" s="88"/>
      <c r="F154" s="88"/>
      <c r="G154" s="88"/>
      <c r="H154" s="88"/>
      <c r="I154" s="81" t="str">
        <f ca="1">IF(I153&lt;&gt;""," Completed","")</f>
        <v xml:space="preserve"> Completed</v>
      </c>
      <c r="J154" s="52" t="str">
        <f ca="1">IF(J152&lt;&gt;"","Completed","")</f>
        <v>Completed</v>
      </c>
    </row>
    <row r="155" spans="1:12" ht="15.75" customHeight="1" x14ac:dyDescent="0.35">
      <c r="A155" s="93" t="s">
        <v>49</v>
      </c>
      <c r="B155" s="89"/>
      <c r="C155" s="70" t="s">
        <v>142</v>
      </c>
      <c r="D155" s="70" t="s">
        <v>84</v>
      </c>
      <c r="E155" s="89" t="s">
        <v>86</v>
      </c>
      <c r="F155" s="89"/>
      <c r="G155" s="89" t="s">
        <v>85</v>
      </c>
      <c r="H155" s="94"/>
      <c r="I155" s="14" t="s">
        <v>144</v>
      </c>
      <c r="J155" s="28">
        <f ca="1">H153*25%</f>
        <v>5.75</v>
      </c>
    </row>
    <row r="156" spans="1:12" x14ac:dyDescent="0.35">
      <c r="A156" s="93" t="s">
        <v>131</v>
      </c>
      <c r="B156" s="89"/>
      <c r="C156" s="70">
        <v>23</v>
      </c>
      <c r="D156" s="19">
        <f ca="1">((100/H153)*C156)/100</f>
        <v>1</v>
      </c>
      <c r="E156" s="95">
        <f ca="1">(((C157/H153*10)+(40/(D153+F153+H153)*C158)+(7.5/(H153)*C159)+(7.5/(H153)*C160)+(10/H153*C161)+(10/H153*C162)+(5/H153*C163)+(5/H153*C164)+(5/H153*C165))/100)</f>
        <v>0.81521739130434778</v>
      </c>
      <c r="F156" s="96"/>
      <c r="G156" s="95">
        <f ca="1">((((C156/H153)*20)+((C157/H153)*25)+(30/(H153+F153+D153)*C158)+(5/H153*C159)+(5/H153*C160)+(5/H153*C161)+(5/H153*C162)+(0/H153*C163)+(0/H153*C164)+(5/H153*C165))/100)</f>
        <v>0.92173913043478262</v>
      </c>
      <c r="H156" s="101"/>
      <c r="I156" s="14" t="s">
        <v>101</v>
      </c>
      <c r="J156" s="29">
        <f ca="1">H153*50%</f>
        <v>11.5</v>
      </c>
      <c r="L156" s="21" t="s">
        <v>233</v>
      </c>
    </row>
    <row r="157" spans="1:12" x14ac:dyDescent="0.35">
      <c r="A157" s="93" t="s">
        <v>50</v>
      </c>
      <c r="B157" s="89"/>
      <c r="C157" s="70">
        <v>23</v>
      </c>
      <c r="D157" s="19">
        <f ca="1">((100/H153)*C157)/100</f>
        <v>1</v>
      </c>
      <c r="E157" s="97"/>
      <c r="F157" s="98"/>
      <c r="G157" s="97"/>
      <c r="H157" s="102"/>
      <c r="I157" s="14" t="s">
        <v>102</v>
      </c>
      <c r="J157" s="29">
        <f ca="1">H153</f>
        <v>23</v>
      </c>
    </row>
    <row r="158" spans="1:12" ht="15.75" customHeight="1" x14ac:dyDescent="0.35">
      <c r="A158" s="93" t="s">
        <v>132</v>
      </c>
      <c r="B158" s="89"/>
      <c r="C158" s="73">
        <v>24</v>
      </c>
      <c r="D158" s="19">
        <f ca="1">((100/(D153+F153+H153))*C158)/100</f>
        <v>1</v>
      </c>
      <c r="E158" s="97"/>
      <c r="F158" s="98"/>
      <c r="G158" s="97"/>
      <c r="H158" s="102"/>
      <c r="I158" s="14" t="s">
        <v>103</v>
      </c>
      <c r="J158" s="30">
        <f ca="1">(IF(B153&gt;1,(H153/(B153+2)),H153/4))</f>
        <v>5.75</v>
      </c>
    </row>
    <row r="159" spans="1:12" ht="15.75" customHeight="1" x14ac:dyDescent="0.35">
      <c r="A159" s="93" t="s">
        <v>139</v>
      </c>
      <c r="B159" s="89" t="s">
        <v>133</v>
      </c>
      <c r="C159" s="73">
        <f>C158-1</f>
        <v>23</v>
      </c>
      <c r="D159" s="19">
        <f ca="1">((100/H153)*C159)/100</f>
        <v>1</v>
      </c>
      <c r="E159" s="97"/>
      <c r="F159" s="98"/>
      <c r="G159" s="97"/>
      <c r="H159" s="102"/>
      <c r="I159" s="14" t="s">
        <v>104</v>
      </c>
      <c r="J159" s="30">
        <f ca="1">(IF(B153&gt;1,(H153/(B153+2)+J158),H153/4+J158))</f>
        <v>11.5</v>
      </c>
    </row>
    <row r="160" spans="1:12" ht="15.75" customHeight="1" x14ac:dyDescent="0.35">
      <c r="A160" s="93" t="s">
        <v>140</v>
      </c>
      <c r="B160" s="89" t="s">
        <v>133</v>
      </c>
      <c r="C160" s="64">
        <v>23</v>
      </c>
      <c r="D160" s="19">
        <f ca="1">((100/H153)*C160)/100</f>
        <v>1</v>
      </c>
      <c r="E160" s="97"/>
      <c r="F160" s="98"/>
      <c r="G160" s="97"/>
      <c r="H160" s="102"/>
      <c r="I160" s="14" t="s">
        <v>149</v>
      </c>
      <c r="J160" s="30">
        <f>(IF(B153&gt;1,(H153/(B153+2)+J159),0))</f>
        <v>0</v>
      </c>
    </row>
    <row r="161" spans="1:12" ht="15" customHeight="1" x14ac:dyDescent="0.35">
      <c r="A161" s="93" t="s">
        <v>138</v>
      </c>
      <c r="B161" s="89" t="s">
        <v>135</v>
      </c>
      <c r="C161" s="64">
        <v>23</v>
      </c>
      <c r="D161" s="19">
        <f ca="1">((100/(H153))*C161)/100</f>
        <v>1</v>
      </c>
      <c r="E161" s="97"/>
      <c r="F161" s="98"/>
      <c r="G161" s="97"/>
      <c r="H161" s="102"/>
      <c r="I161" s="14" t="s">
        <v>146</v>
      </c>
      <c r="J161" s="30">
        <f>(IF(B153&gt;2,(H153/(B153+2)+J160),0))</f>
        <v>0</v>
      </c>
    </row>
    <row r="162" spans="1:12" ht="15.75" customHeight="1" x14ac:dyDescent="0.35">
      <c r="A162" s="93" t="s">
        <v>134</v>
      </c>
      <c r="B162" s="89" t="s">
        <v>134</v>
      </c>
      <c r="C162" s="70">
        <v>10</v>
      </c>
      <c r="D162" s="19">
        <f ca="1">((100/H153)*C162)/100</f>
        <v>0.43478260869565216</v>
      </c>
      <c r="E162" s="97"/>
      <c r="F162" s="98"/>
      <c r="G162" s="97"/>
      <c r="H162" s="102"/>
      <c r="I162" s="14" t="s">
        <v>147</v>
      </c>
      <c r="J162" s="31">
        <f>(IF(B153&gt;3,(H153/(B153+2)+J161),0))</f>
        <v>0</v>
      </c>
    </row>
    <row r="163" spans="1:12" ht="15.75" customHeight="1" x14ac:dyDescent="0.35">
      <c r="A163" s="93" t="s">
        <v>141</v>
      </c>
      <c r="B163" s="89"/>
      <c r="C163" s="70">
        <v>10</v>
      </c>
      <c r="D163" s="19">
        <f ca="1">((100/H153)*C163)/100</f>
        <v>0.43478260869565216</v>
      </c>
      <c r="E163" s="97"/>
      <c r="F163" s="98"/>
      <c r="G163" s="97"/>
      <c r="H163" s="102"/>
      <c r="I163" s="14" t="s">
        <v>148</v>
      </c>
      <c r="J163" s="30">
        <f>(IF(B153&gt;4,(H153/(B153+2)+J162),0))</f>
        <v>0</v>
      </c>
    </row>
    <row r="164" spans="1:12" ht="15.75" customHeight="1" x14ac:dyDescent="0.35">
      <c r="A164" s="93" t="s">
        <v>136</v>
      </c>
      <c r="B164" s="89" t="s">
        <v>136</v>
      </c>
      <c r="C164" s="70">
        <v>0</v>
      </c>
      <c r="D164" s="19">
        <f ca="1">((100/(H153))*C164)/100</f>
        <v>0</v>
      </c>
      <c r="E164" s="97"/>
      <c r="F164" s="98"/>
      <c r="G164" s="97"/>
      <c r="H164" s="102"/>
      <c r="I164" s="14" t="s">
        <v>150</v>
      </c>
      <c r="J164" s="30">
        <f ca="1">(IF(B153=1,(H153/(B153+3)+J159),IF(B153=0,(H153/4+J159),IF(B153&gt;1,0))))</f>
        <v>17.25</v>
      </c>
    </row>
    <row r="165" spans="1:12" ht="16" thickBot="1" x14ac:dyDescent="0.4">
      <c r="A165" s="104" t="s">
        <v>137</v>
      </c>
      <c r="B165" s="105"/>
      <c r="C165" s="71">
        <v>0</v>
      </c>
      <c r="D165" s="20">
        <f ca="1">((100/(H153))*C165)/100</f>
        <v>0</v>
      </c>
      <c r="E165" s="99"/>
      <c r="F165" s="100"/>
      <c r="G165" s="99"/>
      <c r="H165" s="103"/>
      <c r="I165" s="15" t="s">
        <v>105</v>
      </c>
      <c r="J165" s="32">
        <f ca="1">(IF(B153&gt;1.5,(H153/(B153+2)+J159+MAX(0,J160-J159)+MAX(0,J161-J160)+MAX(0,J162-J161)+MAX(0,J163-J162)+MAX(0,J164-J163)),IF(B153=1,(H153/(B153+3)+J164),IF(B153=0,H153/4+J164))))</f>
        <v>23</v>
      </c>
    </row>
    <row r="166" spans="1:12" ht="15.75" customHeight="1" x14ac:dyDescent="0.35">
      <c r="A166" s="106" t="s">
        <v>143</v>
      </c>
      <c r="B166" s="107"/>
      <c r="C166" s="108" t="s">
        <v>255</v>
      </c>
      <c r="D166" s="109"/>
      <c r="E166" s="109"/>
      <c r="F166" s="109"/>
      <c r="G166" s="109"/>
      <c r="H166" s="110"/>
      <c r="I166" s="49" t="str">
        <f ca="1">IF(D179=100%,"All work Completed. Possession granted to the Building.",IF(D178=100%,"All work Completed, Waiting for OC",I167&amp;""&amp;I168&amp;""&amp;J167&amp;""&amp;J166&amp;" "&amp;J168))</f>
        <v>Excavation, Plinth, RCC Slab, Brickwork, Internal Plaster, External Plaster Completed, Flooring upto 10 Floor, Painting upto 10 Floor Completed</v>
      </c>
      <c r="J166" s="50" t="str">
        <f ca="1">(IF(C172=(D167+F167+H167),"",IF(C172&gt;0,", RCC upto "&amp;C172&amp;" Slab","")))&amp;(IF(C173=H167,"",IF(C173&gt;0,", Brickwork upto "&amp;C173&amp;" Floor","")))&amp;(IF(C174=H167,"",IF(C174&gt;0,", Internal Plaster upto "&amp;C174&amp;" Floor","")))&amp;(IF(C175=H167,"",IF(C175&gt;0,", External Plaster upto "&amp;C175&amp;" Floor","")))&amp;(IF(C176=H167,"",IF(C176&gt;0,", Flooring upto "&amp;C176&amp;" Floor","")))&amp;(IF(C177=H167,"",IF(C177&gt;0,", Painting upto "&amp;C177&amp;" Floor","")))&amp;(IF(C178=H167,"",IF(C178&gt;0,", Finishing upto "&amp;C178&amp;" Floor","")))&amp;(IF(C179=H167,"",IF(C179&gt;0,", Possession upto "&amp;C179&amp;" Floor","")))</f>
        <v>, Flooring upto 10 Floor, Painting upto 10 Floor</v>
      </c>
    </row>
    <row r="167" spans="1:12" x14ac:dyDescent="0.35">
      <c r="A167" s="16" t="s">
        <v>145</v>
      </c>
      <c r="B167" s="47">
        <v>0</v>
      </c>
      <c r="C167" s="47" t="s">
        <v>73</v>
      </c>
      <c r="D167" s="47">
        <v>1</v>
      </c>
      <c r="E167" s="47" t="s">
        <v>72</v>
      </c>
      <c r="F167" s="47">
        <v>0</v>
      </c>
      <c r="G167" s="48" t="s">
        <v>81</v>
      </c>
      <c r="H167" s="17">
        <f ca="1">--TRIM(RIGHT(SUBSTITUTE(LEFT(C166,_xlfn.AGGREGATE(16,6,FIND({0,1,2,3,4,5,6,7,8,9},C166,ROW(INDIRECT("1:"&amp;LEN(C166)))),1))," ",REPT(" ",LEN(C166))),LEN(C166)))</f>
        <v>23</v>
      </c>
      <c r="I167" s="51" t="str">
        <f ca="1">IF(D170=100%,"Excavation","")&amp;IF(D171=100%,", Plinth","")&amp;IF(D172=100%,", RCC Slab","")&amp;IF(D173=100%,", Brickwork","")&amp;IF(D174=100%,", Internal Plaster","")&amp;IF(D175=100%,", External Plaster","")&amp;IF(D176=100%,", Flooring","")&amp;IF(D177=100%,", Painting","")&amp;IF(D178=100%,", Building common Amenities","")</f>
        <v>Excavation, Plinth, RCC Slab, Brickwork, Internal Plaster, External Plaster</v>
      </c>
      <c r="J167" s="52" t="str">
        <f ca="1">(IF(C170=0,"Work not yet Started.",IF(D170=25%,"Piling work in process",IF(D170=50%,"Excavation work in process",IF(D170=100%,"","0")))))&amp;(IF(C171=0%,"",IF(C171=J172,", Footing work is process",IF(C171=J173,", Footing work Completed",IF(C171=J174,", 1st Basement Completed",IF(C171=J175,", 1st &amp; 2nd Basement Completed",IF(C171=J176,", 1st to 3rd Basement Completed",IF(C171=J177,", 1st to 4th Basement Completed",IF(C171=J178,", Plinth work is process",IF(C171=J179,"","0"))))))))))</f>
        <v/>
      </c>
    </row>
    <row r="168" spans="1:12" ht="32" customHeight="1" x14ac:dyDescent="0.35">
      <c r="A168" s="91" t="s">
        <v>91</v>
      </c>
      <c r="B168" s="87"/>
      <c r="C168" s="88" t="str">
        <f ca="1">I166</f>
        <v>Excavation, Plinth, RCC Slab, Brickwork, Internal Plaster, External Plaster Completed, Flooring upto 10 Floor, Painting upto 10 Floor Completed</v>
      </c>
      <c r="D168" s="88"/>
      <c r="E168" s="88"/>
      <c r="F168" s="88"/>
      <c r="G168" s="88"/>
      <c r="H168" s="92"/>
      <c r="I168" s="51" t="str">
        <f ca="1">IF(I167&lt;&gt;""," Completed","")</f>
        <v xml:space="preserve"> Completed</v>
      </c>
      <c r="J168" s="52" t="str">
        <f ca="1">IF(J166&lt;&gt;"","Completed","")</f>
        <v>Completed</v>
      </c>
    </row>
    <row r="169" spans="1:12" ht="15.75" customHeight="1" x14ac:dyDescent="0.35">
      <c r="A169" s="93" t="s">
        <v>49</v>
      </c>
      <c r="B169" s="89"/>
      <c r="C169" s="44" t="s">
        <v>142</v>
      </c>
      <c r="D169" s="44" t="s">
        <v>84</v>
      </c>
      <c r="E169" s="89" t="s">
        <v>86</v>
      </c>
      <c r="F169" s="89"/>
      <c r="G169" s="89" t="s">
        <v>85</v>
      </c>
      <c r="H169" s="94"/>
      <c r="I169" s="14" t="s">
        <v>144</v>
      </c>
      <c r="J169" s="28">
        <f ca="1">H167*25%</f>
        <v>5.75</v>
      </c>
    </row>
    <row r="170" spans="1:12" x14ac:dyDescent="0.35">
      <c r="A170" s="93" t="s">
        <v>131</v>
      </c>
      <c r="B170" s="89"/>
      <c r="C170" s="44">
        <v>23</v>
      </c>
      <c r="D170" s="19">
        <f ca="1">((100/H167)*C170)/100</f>
        <v>1</v>
      </c>
      <c r="E170" s="95">
        <f ca="1">(((C171/H167*10)+(40/(D167+F167+H167)*C172)+(7.5/(H167)*C173)+(7.5/(H167)*C174)+(10/H167*C175)+(10/H167*C176)+(5/H167*C177)+(5/H167*C178)+(5/H167*C179))/100)</f>
        <v>0.81521739130434778</v>
      </c>
      <c r="F170" s="96"/>
      <c r="G170" s="95">
        <f ca="1">((((C170/H167)*20)+((C171/H167)*25)+(30/(H167+F167+D167)*C172)+(5/H167*C173)+(5/H167*C174)+(5/H167*C175)+(5/H167*C176)+(0/H167*C177)+(0/H167*C178)+(5/H167*C179))/100)</f>
        <v>0.92173913043478262</v>
      </c>
      <c r="H170" s="101"/>
      <c r="I170" s="14" t="s">
        <v>101</v>
      </c>
      <c r="J170" s="29">
        <f ca="1">H167*50%</f>
        <v>11.5</v>
      </c>
      <c r="L170" s="21" t="s">
        <v>233</v>
      </c>
    </row>
    <row r="171" spans="1:12" x14ac:dyDescent="0.35">
      <c r="A171" s="93" t="s">
        <v>50</v>
      </c>
      <c r="B171" s="89"/>
      <c r="C171" s="44">
        <v>23</v>
      </c>
      <c r="D171" s="19">
        <f ca="1">((100/H167)*C171)/100</f>
        <v>1</v>
      </c>
      <c r="E171" s="97"/>
      <c r="F171" s="98"/>
      <c r="G171" s="97"/>
      <c r="H171" s="102"/>
      <c r="I171" s="14" t="s">
        <v>102</v>
      </c>
      <c r="J171" s="29">
        <f ca="1">H167</f>
        <v>23</v>
      </c>
    </row>
    <row r="172" spans="1:12" ht="15.75" customHeight="1" x14ac:dyDescent="0.35">
      <c r="A172" s="93" t="s">
        <v>132</v>
      </c>
      <c r="B172" s="89"/>
      <c r="C172" s="44">
        <v>24</v>
      </c>
      <c r="D172" s="19">
        <f ca="1">((100/(D167+F167+H167))*C172)/100</f>
        <v>1</v>
      </c>
      <c r="E172" s="97"/>
      <c r="F172" s="98"/>
      <c r="G172" s="97"/>
      <c r="H172" s="102"/>
      <c r="I172" s="14" t="s">
        <v>103</v>
      </c>
      <c r="J172" s="30">
        <f ca="1">(IF(B167&gt;1,(H167/(B167+2)),H167/4))</f>
        <v>5.75</v>
      </c>
    </row>
    <row r="173" spans="1:12" ht="15.75" customHeight="1" x14ac:dyDescent="0.35">
      <c r="A173" s="93" t="s">
        <v>139</v>
      </c>
      <c r="B173" s="89" t="s">
        <v>133</v>
      </c>
      <c r="C173" s="44">
        <f>C172-1</f>
        <v>23</v>
      </c>
      <c r="D173" s="19">
        <f ca="1">((100/H167)*C173)/100</f>
        <v>1</v>
      </c>
      <c r="E173" s="97"/>
      <c r="F173" s="98"/>
      <c r="G173" s="97"/>
      <c r="H173" s="102"/>
      <c r="I173" s="14" t="s">
        <v>104</v>
      </c>
      <c r="J173" s="30">
        <f ca="1">(IF(B167&gt;1,(H167/(B167+2)+J172),H167/4+J172))</f>
        <v>11.5</v>
      </c>
    </row>
    <row r="174" spans="1:12" ht="15.75" customHeight="1" x14ac:dyDescent="0.35">
      <c r="A174" s="93" t="s">
        <v>140</v>
      </c>
      <c r="B174" s="89" t="s">
        <v>133</v>
      </c>
      <c r="C174" s="64">
        <v>23</v>
      </c>
      <c r="D174" s="19">
        <f ca="1">((100/H167)*C174)/100</f>
        <v>1</v>
      </c>
      <c r="E174" s="97"/>
      <c r="F174" s="98"/>
      <c r="G174" s="97"/>
      <c r="H174" s="102"/>
      <c r="I174" s="14" t="s">
        <v>149</v>
      </c>
      <c r="J174" s="30">
        <f>(IF(B167&gt;1,(H167/(B167+2)+J173),0))</f>
        <v>0</v>
      </c>
    </row>
    <row r="175" spans="1:12" ht="15" customHeight="1" x14ac:dyDescent="0.35">
      <c r="A175" s="93" t="s">
        <v>138</v>
      </c>
      <c r="B175" s="89" t="s">
        <v>135</v>
      </c>
      <c r="C175" s="64">
        <v>23</v>
      </c>
      <c r="D175" s="19">
        <f ca="1">((100/(H167))*C175)/100</f>
        <v>1</v>
      </c>
      <c r="E175" s="97"/>
      <c r="F175" s="98"/>
      <c r="G175" s="97"/>
      <c r="H175" s="102"/>
      <c r="I175" s="14" t="s">
        <v>146</v>
      </c>
      <c r="J175" s="30">
        <f>(IF(B167&gt;2,(H167/(B167+2)+J174),0))</f>
        <v>0</v>
      </c>
    </row>
    <row r="176" spans="1:12" ht="15.75" customHeight="1" x14ac:dyDescent="0.35">
      <c r="A176" s="93" t="s">
        <v>134</v>
      </c>
      <c r="B176" s="89" t="s">
        <v>134</v>
      </c>
      <c r="C176" s="44">
        <v>10</v>
      </c>
      <c r="D176" s="19">
        <f ca="1">((100/H167)*C176)/100</f>
        <v>0.43478260869565216</v>
      </c>
      <c r="E176" s="97"/>
      <c r="F176" s="98"/>
      <c r="G176" s="97"/>
      <c r="H176" s="102"/>
      <c r="I176" s="14" t="s">
        <v>147</v>
      </c>
      <c r="J176" s="31">
        <f>(IF(B167&gt;3,(H167/(B167+2)+J175),0))</f>
        <v>0</v>
      </c>
    </row>
    <row r="177" spans="1:12" ht="15.75" customHeight="1" x14ac:dyDescent="0.35">
      <c r="A177" s="93" t="s">
        <v>141</v>
      </c>
      <c r="B177" s="89"/>
      <c r="C177" s="44">
        <v>10</v>
      </c>
      <c r="D177" s="19">
        <f ca="1">((100/H167)*C177)/100</f>
        <v>0.43478260869565216</v>
      </c>
      <c r="E177" s="97"/>
      <c r="F177" s="98"/>
      <c r="G177" s="97"/>
      <c r="H177" s="102"/>
      <c r="I177" s="14" t="s">
        <v>148</v>
      </c>
      <c r="J177" s="30">
        <f>(IF(B167&gt;4,(H167/(B167+2)+J176),0))</f>
        <v>0</v>
      </c>
    </row>
    <row r="178" spans="1:12" ht="15.75" customHeight="1" x14ac:dyDescent="0.35">
      <c r="A178" s="93" t="s">
        <v>136</v>
      </c>
      <c r="B178" s="89" t="s">
        <v>136</v>
      </c>
      <c r="C178" s="44">
        <v>0</v>
      </c>
      <c r="D178" s="19">
        <f ca="1">((100/(H167))*C178)/100</f>
        <v>0</v>
      </c>
      <c r="E178" s="97"/>
      <c r="F178" s="98"/>
      <c r="G178" s="97"/>
      <c r="H178" s="102"/>
      <c r="I178" s="14" t="s">
        <v>150</v>
      </c>
      <c r="J178" s="30">
        <f ca="1">(IF(B167=1,(H167/(B167+3)+J173),IF(B167=0,(H167/4+J173),IF(B167&gt;1,0))))</f>
        <v>17.25</v>
      </c>
    </row>
    <row r="179" spans="1:12" ht="16" thickBot="1" x14ac:dyDescent="0.4">
      <c r="A179" s="104" t="s">
        <v>137</v>
      </c>
      <c r="B179" s="105"/>
      <c r="C179" s="45">
        <v>0</v>
      </c>
      <c r="D179" s="20">
        <f ca="1">((100/(H167))*C179)/100</f>
        <v>0</v>
      </c>
      <c r="E179" s="99"/>
      <c r="F179" s="100"/>
      <c r="G179" s="99"/>
      <c r="H179" s="103"/>
      <c r="I179" s="15" t="s">
        <v>105</v>
      </c>
      <c r="J179" s="32">
        <f ca="1">(IF(B167&gt;1.5,(H167/(B167+2)+J173+MAX(0,J174-J173)+MAX(0,J175-J174)+MAX(0,J176-J175)+MAX(0,J177-J176)+MAX(0,J178-J177)),IF(B167=1,(H167/(B167+3)+J178),IF(B167=0,H167/4+J178))))</f>
        <v>23</v>
      </c>
    </row>
    <row r="180" spans="1:12" x14ac:dyDescent="0.35">
      <c r="A180" s="137" t="s">
        <v>159</v>
      </c>
      <c r="B180" s="137"/>
      <c r="C180" s="137"/>
      <c r="D180" s="137"/>
      <c r="E180" s="137"/>
      <c r="F180" s="142" t="s">
        <v>164</v>
      </c>
      <c r="G180" s="142"/>
      <c r="H180" s="142"/>
    </row>
    <row r="181" spans="1:12" x14ac:dyDescent="0.35">
      <c r="A181" s="136" t="s">
        <v>162</v>
      </c>
      <c r="B181" s="136"/>
      <c r="C181" s="136"/>
      <c r="D181" s="136"/>
      <c r="E181" s="136"/>
      <c r="F181" s="151">
        <v>6750</v>
      </c>
      <c r="G181" s="151"/>
      <c r="H181" s="151"/>
      <c r="I181" s="68" t="s">
        <v>247</v>
      </c>
      <c r="J181" s="68" t="s">
        <v>248</v>
      </c>
      <c r="K181" s="68" t="s">
        <v>249</v>
      </c>
      <c r="L181" s="69">
        <v>45149</v>
      </c>
    </row>
    <row r="182" spans="1:12" x14ac:dyDescent="0.35">
      <c r="A182" s="136" t="s">
        <v>161</v>
      </c>
      <c r="B182" s="136"/>
      <c r="C182" s="136"/>
      <c r="D182" s="136"/>
      <c r="E182" s="136"/>
      <c r="F182" s="138">
        <v>10000</v>
      </c>
      <c r="G182" s="138"/>
      <c r="H182" s="138"/>
    </row>
    <row r="183" spans="1:12" hidden="1" x14ac:dyDescent="0.35">
      <c r="A183" s="136" t="s">
        <v>163</v>
      </c>
      <c r="B183" s="136"/>
      <c r="C183" s="136"/>
      <c r="D183" s="136"/>
      <c r="E183" s="136"/>
      <c r="F183" s="138"/>
      <c r="G183" s="138"/>
      <c r="H183" s="138"/>
    </row>
    <row r="184" spans="1:12" s="33" customFormat="1" hidden="1" x14ac:dyDescent="0.3">
      <c r="A184" s="136" t="s">
        <v>160</v>
      </c>
      <c r="B184" s="136"/>
      <c r="C184" s="136"/>
      <c r="D184" s="136"/>
      <c r="E184" s="136"/>
      <c r="F184" s="138"/>
      <c r="G184" s="138"/>
      <c r="H184" s="138"/>
    </row>
    <row r="185" spans="1:12" s="33" customFormat="1" hidden="1" x14ac:dyDescent="0.3">
      <c r="A185" s="136" t="s">
        <v>96</v>
      </c>
      <c r="B185" s="136"/>
      <c r="C185" s="136"/>
      <c r="D185" s="136"/>
      <c r="E185" s="136"/>
      <c r="F185" s="138"/>
      <c r="G185" s="138"/>
      <c r="H185" s="138"/>
    </row>
    <row r="186" spans="1:12" s="33" customFormat="1" x14ac:dyDescent="0.3">
      <c r="A186" s="136" t="s">
        <v>97</v>
      </c>
      <c r="B186" s="136"/>
      <c r="C186" s="136"/>
      <c r="D186" s="136"/>
      <c r="E186" s="136"/>
      <c r="F186" s="138">
        <v>75000</v>
      </c>
      <c r="G186" s="138"/>
      <c r="H186" s="138"/>
    </row>
    <row r="187" spans="1:12" s="33" customFormat="1" hidden="1" x14ac:dyDescent="0.3">
      <c r="A187" s="136" t="s">
        <v>165</v>
      </c>
      <c r="B187" s="136"/>
      <c r="C187" s="136"/>
      <c r="D187" s="136"/>
      <c r="E187" s="136"/>
      <c r="F187" s="138"/>
      <c r="G187" s="138"/>
      <c r="H187" s="138"/>
    </row>
    <row r="188" spans="1:12" s="33" customFormat="1" hidden="1" x14ac:dyDescent="0.3">
      <c r="A188" s="136" t="s">
        <v>98</v>
      </c>
      <c r="B188" s="136"/>
      <c r="C188" s="136"/>
      <c r="D188" s="136"/>
      <c r="E188" s="136"/>
      <c r="F188" s="138"/>
      <c r="G188" s="138"/>
      <c r="H188" s="138"/>
    </row>
    <row r="189" spans="1:12" s="33" customFormat="1" x14ac:dyDescent="0.3">
      <c r="A189" s="136" t="s">
        <v>99</v>
      </c>
      <c r="B189" s="136"/>
      <c r="C189" s="136"/>
      <c r="D189" s="136"/>
      <c r="E189" s="136"/>
      <c r="F189" s="138">
        <v>60000</v>
      </c>
      <c r="G189" s="138"/>
      <c r="H189" s="138"/>
    </row>
    <row r="190" spans="1:12" s="33" customFormat="1" x14ac:dyDescent="0.3">
      <c r="A190" s="136" t="s">
        <v>206</v>
      </c>
      <c r="B190" s="136"/>
      <c r="C190" s="136"/>
      <c r="D190" s="136"/>
      <c r="E190" s="136"/>
      <c r="F190" s="138">
        <v>10000</v>
      </c>
      <c r="G190" s="138"/>
      <c r="H190" s="138"/>
    </row>
    <row r="191" spans="1:12" s="33" customFormat="1" hidden="1" x14ac:dyDescent="0.3">
      <c r="A191" s="136" t="s">
        <v>100</v>
      </c>
      <c r="B191" s="136"/>
      <c r="C191" s="136"/>
      <c r="D191" s="136"/>
      <c r="E191" s="136"/>
      <c r="F191" s="138"/>
      <c r="G191" s="138"/>
      <c r="H191" s="138"/>
    </row>
    <row r="192" spans="1:12" x14ac:dyDescent="0.35">
      <c r="A192" s="136" t="s">
        <v>51</v>
      </c>
      <c r="B192" s="136"/>
      <c r="C192" s="136"/>
      <c r="D192" s="136"/>
      <c r="E192" s="136"/>
      <c r="F192" s="138">
        <v>300000</v>
      </c>
      <c r="G192" s="138"/>
      <c r="H192" s="138"/>
    </row>
    <row r="193" spans="1:11" s="34" customFormat="1" x14ac:dyDescent="0.35">
      <c r="A193" s="193" t="s">
        <v>52</v>
      </c>
      <c r="B193" s="193"/>
      <c r="C193" s="193"/>
      <c r="D193" s="193"/>
      <c r="E193" s="193"/>
      <c r="F193" s="138">
        <f>F181*0.8</f>
        <v>5400</v>
      </c>
      <c r="G193" s="138"/>
      <c r="H193" s="138"/>
    </row>
    <row r="194" spans="1:11" s="35" customFormat="1" ht="15.75" customHeight="1" x14ac:dyDescent="0.35">
      <c r="A194" s="176" t="s">
        <v>76</v>
      </c>
      <c r="B194" s="176"/>
      <c r="C194" s="176"/>
      <c r="D194" s="176"/>
      <c r="E194" s="176"/>
      <c r="F194" s="176"/>
      <c r="G194" s="176"/>
      <c r="H194" s="176"/>
    </row>
    <row r="195" spans="1:11" s="35" customFormat="1" ht="15.75" customHeight="1" x14ac:dyDescent="0.35">
      <c r="A195" s="152" t="s">
        <v>53</v>
      </c>
      <c r="B195" s="152"/>
      <c r="C195" s="141" t="s">
        <v>79</v>
      </c>
      <c r="D195" s="141"/>
      <c r="E195" s="153" t="s">
        <v>54</v>
      </c>
      <c r="F195" s="153"/>
      <c r="G195" s="152" t="s">
        <v>55</v>
      </c>
      <c r="H195" s="152"/>
    </row>
    <row r="196" spans="1:11" s="35" customFormat="1" x14ac:dyDescent="0.35">
      <c r="A196" s="231" t="s">
        <v>199</v>
      </c>
      <c r="B196" s="84" t="s">
        <v>188</v>
      </c>
      <c r="C196" s="119">
        <f>COUNT(D223:D228)+COUNT(D230:D235)</f>
        <v>12</v>
      </c>
      <c r="D196" s="139"/>
      <c r="E196" s="120">
        <f>SUM(D223:D228)+SUM(D230:D235)</f>
        <v>6046.6339440000002</v>
      </c>
      <c r="F196" s="140"/>
      <c r="G196" s="120">
        <f>SUM(F223:F228)+SUM(F230:F235)</f>
        <v>9674.6143104000002</v>
      </c>
      <c r="H196" s="140"/>
    </row>
    <row r="197" spans="1:11" s="35" customFormat="1" x14ac:dyDescent="0.35">
      <c r="A197" s="231"/>
      <c r="B197" s="84" t="s">
        <v>195</v>
      </c>
      <c r="C197" s="119">
        <f>COUNT(D238:D245)+COUNT(D247:D254)</f>
        <v>16</v>
      </c>
      <c r="D197" s="139"/>
      <c r="E197" s="120">
        <f>SUM(D238:D245)+SUM(D247:D254)</f>
        <v>8007.3395999999993</v>
      </c>
      <c r="F197" s="140"/>
      <c r="G197" s="120">
        <f>SUM(F238:F245)+SUM(F247:F254)</f>
        <v>12811.743359999999</v>
      </c>
      <c r="H197" s="140"/>
    </row>
    <row r="198" spans="1:11" s="35" customFormat="1" x14ac:dyDescent="0.35">
      <c r="A198" s="231"/>
      <c r="B198" s="84" t="s">
        <v>196</v>
      </c>
      <c r="C198" s="119">
        <f>COUNT(D257:D262)+COUNT(D264:D269)</f>
        <v>12</v>
      </c>
      <c r="D198" s="139"/>
      <c r="E198" s="120">
        <f>SUM(D257:D262)+SUM(D264:D269)</f>
        <v>6046.6339440000002</v>
      </c>
      <c r="F198" s="140"/>
      <c r="G198" s="120">
        <f>SUM(F257:F262)+SUM(F264:F269)</f>
        <v>9674.6143104000002</v>
      </c>
      <c r="H198" s="140"/>
    </row>
    <row r="199" spans="1:11" s="35" customFormat="1" x14ac:dyDescent="0.35">
      <c r="A199" s="231"/>
      <c r="B199" s="84" t="s">
        <v>197</v>
      </c>
      <c r="C199" s="119">
        <f>COUNT(D272:D279)+COUNT(D281:D288)</f>
        <v>16</v>
      </c>
      <c r="D199" s="139"/>
      <c r="E199" s="120">
        <f>SUM(D272:D279)+SUM(D281:D288)</f>
        <v>8007.3395999999993</v>
      </c>
      <c r="F199" s="140"/>
      <c r="G199" s="120">
        <f>SUM(F272:F279)+SUM(F281:F288)</f>
        <v>12811.743359999999</v>
      </c>
      <c r="H199" s="140"/>
    </row>
    <row r="200" spans="1:11" s="35" customFormat="1" x14ac:dyDescent="0.35">
      <c r="A200" s="231"/>
      <c r="B200" s="84" t="s">
        <v>243</v>
      </c>
      <c r="C200" s="119">
        <f>COUNT(D290:D294)+COUNT(D297:D301)</f>
        <v>10</v>
      </c>
      <c r="D200" s="139"/>
      <c r="E200" s="120">
        <f>SUM(D290:D294)+SUM(D297:D301)</f>
        <v>6277.7262599999995</v>
      </c>
      <c r="F200" s="140"/>
      <c r="G200" s="120">
        <f>SUM(F290:F294)+SUM(F297:F301)</f>
        <v>10044.362015999999</v>
      </c>
      <c r="H200" s="140"/>
    </row>
    <row r="201" spans="1:11" s="35" customFormat="1" x14ac:dyDescent="0.35">
      <c r="A201" s="231"/>
      <c r="B201" s="84" t="s">
        <v>210</v>
      </c>
      <c r="C201" s="119">
        <f>COUNT(D303:D308)+COUNT(D317:D322)</f>
        <v>10</v>
      </c>
      <c r="D201" s="139"/>
      <c r="E201" s="120">
        <f>SUM(D303:D308)+SUM(D317:D322)</f>
        <v>6245.1651599999987</v>
      </c>
      <c r="F201" s="140"/>
      <c r="G201" s="120">
        <f>SUM(F303:F308)+SUM(F317:F322)</f>
        <v>9992.2642559999986</v>
      </c>
      <c r="H201" s="140"/>
    </row>
    <row r="202" spans="1:11" s="35" customFormat="1" x14ac:dyDescent="0.35">
      <c r="A202" s="231"/>
      <c r="B202" s="84" t="s">
        <v>237</v>
      </c>
      <c r="C202" s="119">
        <f>COUNT(D326:D333)</f>
        <v>8</v>
      </c>
      <c r="D202" s="139"/>
      <c r="E202" s="120">
        <f>SUM(D326:D333)</f>
        <v>4690.6282799999999</v>
      </c>
      <c r="F202" s="140"/>
      <c r="G202" s="120">
        <f>SUM(F326:F333)</f>
        <v>7505.0052479999995</v>
      </c>
      <c r="H202" s="140"/>
    </row>
    <row r="203" spans="1:11" s="35" customFormat="1" x14ac:dyDescent="0.35">
      <c r="A203" s="176" t="s">
        <v>153</v>
      </c>
      <c r="B203" s="176"/>
      <c r="C203" s="177">
        <f>SUM(C196:C202)</f>
        <v>84</v>
      </c>
      <c r="D203" s="141"/>
      <c r="E203" s="177">
        <f>SUM(E196:E202)</f>
        <v>45321.466787999991</v>
      </c>
      <c r="F203" s="141"/>
      <c r="G203" s="177">
        <f>SUM(G196:G202)</f>
        <v>72514.346860799997</v>
      </c>
      <c r="H203" s="141"/>
    </row>
    <row r="204" spans="1:11" s="35" customFormat="1" x14ac:dyDescent="0.35">
      <c r="A204" s="176" t="s">
        <v>71</v>
      </c>
      <c r="B204" s="176"/>
      <c r="C204" s="176"/>
      <c r="D204" s="176"/>
      <c r="E204" s="176"/>
      <c r="F204" s="176"/>
      <c r="G204" s="176"/>
      <c r="H204" s="176"/>
    </row>
    <row r="205" spans="1:11" s="35" customFormat="1" ht="15.75" customHeight="1" x14ac:dyDescent="0.35">
      <c r="A205" s="152" t="s">
        <v>53</v>
      </c>
      <c r="B205" s="152"/>
      <c r="C205" s="141" t="s">
        <v>79</v>
      </c>
      <c r="D205" s="141"/>
      <c r="E205" s="153" t="s">
        <v>54</v>
      </c>
      <c r="F205" s="153"/>
      <c r="G205" s="152" t="s">
        <v>55</v>
      </c>
      <c r="H205" s="152"/>
    </row>
    <row r="206" spans="1:11" s="35" customFormat="1" x14ac:dyDescent="0.35">
      <c r="A206" s="222" t="s">
        <v>200</v>
      </c>
      <c r="B206" s="46" t="s">
        <v>188</v>
      </c>
      <c r="C206" s="119">
        <f>COUNT(D340:D341)+COUNT(D343:D346)+COUNT(D348:D355)+COUNT(D357:D364)*17+COUNT(D366:D368,D370:D373)*3</f>
        <v>171</v>
      </c>
      <c r="D206" s="119"/>
      <c r="E206" s="120">
        <f>SUM(D340:D341)+SUM(D343:D346)+SUM(D348:D355)+SUM(D357:D364)*17+SUM(D366:D368,D370:D373)*3</f>
        <v>82280.268315000023</v>
      </c>
      <c r="F206" s="120"/>
      <c r="G206" s="120">
        <f>SUM(F340:F341)+SUM(F343:F346)+SUM(F348:F355)+SUM(F357:F364)*17+SUM(F366:F368,F370:F373)*3</f>
        <v>124012.99780830002</v>
      </c>
      <c r="H206" s="120"/>
      <c r="K206" s="60">
        <f>G203+G215</f>
        <v>1185576.8426064001</v>
      </c>
    </row>
    <row r="207" spans="1:11" s="35" customFormat="1" x14ac:dyDescent="0.35">
      <c r="A207" s="223"/>
      <c r="B207" s="46" t="s">
        <v>195</v>
      </c>
      <c r="C207" s="119">
        <f>COUNT(D376:D377)+COUNT(D379:D382)+COUNT(D384:D391)+COUNT(D393:D400)*17+COUNT(D402:D403,D405:D409)*3</f>
        <v>171</v>
      </c>
      <c r="D207" s="119"/>
      <c r="E207" s="120">
        <f>SUM(D376:D377)+SUM(D379:D382)+SUM(D384:D391)+SUM(D393:D400)*17+SUM(D402:D403,D405:D409)*3</f>
        <v>82280.268315000023</v>
      </c>
      <c r="F207" s="120"/>
      <c r="G207" s="120">
        <f>SUM(F376:F377)+SUM(F379:F382)+SUM(F384:F391)+SUM(F393:F400)*17+SUM(F402:F403,F405:F409)*3</f>
        <v>124200.90305550001</v>
      </c>
      <c r="H207" s="120"/>
      <c r="K207" s="60">
        <f>E203+E215</f>
        <v>784527.41602799995</v>
      </c>
    </row>
    <row r="208" spans="1:11" s="35" customFormat="1" x14ac:dyDescent="0.35">
      <c r="A208" s="223"/>
      <c r="B208" s="46" t="s">
        <v>196</v>
      </c>
      <c r="C208" s="119">
        <f>COUNT(D412:D413)+COUNT(D415:D418)+COUNT(D420:D427)+COUNT(D429:D436)*17+COUNT(D438:D440,D442:D445)*3</f>
        <v>171</v>
      </c>
      <c r="D208" s="119"/>
      <c r="E208" s="120">
        <f>SUM(D412:D413)+SUM(D415:D418)+SUM(D420:D427)+SUM(D429:D436)*17+SUM(D438:D440,D442:D445)*3</f>
        <v>82280.268315000023</v>
      </c>
      <c r="F208" s="120"/>
      <c r="G208" s="120">
        <f>SUM(F412:F413)+SUM(F415:F418)+SUM(F420:F427)+SUM(F429:F436)*17+SUM(F438:F440,F442:F445)*3</f>
        <v>124012.99780830002</v>
      </c>
      <c r="H208" s="120"/>
    </row>
    <row r="209" spans="1:14" s="35" customFormat="1" x14ac:dyDescent="0.35">
      <c r="A209" s="223"/>
      <c r="B209" s="46" t="s">
        <v>197</v>
      </c>
      <c r="C209" s="119">
        <f>COUNT(D448:D449)+COUNT(D451:D454)+COUNT(D456:D463)+COUNT(D465:D472)*17+COUNT(D474:D475,D477:D481)*3</f>
        <v>171</v>
      </c>
      <c r="D209" s="119"/>
      <c r="E209" s="120">
        <f>SUM(D448:D449)+SUM(D451:D454)+SUM(D456:D463)+SUM(D465:D472)*17+SUM(D474:D475,D477:D481)*3</f>
        <v>82280.268315000023</v>
      </c>
      <c r="F209" s="120"/>
      <c r="G209" s="120">
        <f>SUM(F448:F449)+SUM(F451:F454)+SUM(F456:F463)+SUM(F465:F472)*17+SUM(F474:F475,F477:F481)*3</f>
        <v>124200.90305550001</v>
      </c>
      <c r="H209" s="120"/>
    </row>
    <row r="210" spans="1:14" s="35" customFormat="1" x14ac:dyDescent="0.35">
      <c r="A210" s="223"/>
      <c r="B210" s="46" t="s">
        <v>243</v>
      </c>
      <c r="C210" s="119">
        <f>COUNT(D484:D485)+COUNT(D487:D490)+COUNT(D492:D499)+COUNT(D501:D508)*17+COUNT(D510:D511,D513:D517)*3</f>
        <v>171</v>
      </c>
      <c r="D210" s="119"/>
      <c r="E210" s="120">
        <f t="shared" ref="E210" si="0">SUM(D484:D485)+SUM(D487:D490)+SUM(D492:D499)+SUM(D501:D508)*17+SUM(D510:D511,D513:D517)*3</f>
        <v>82280.268315000023</v>
      </c>
      <c r="F210" s="120"/>
      <c r="G210" s="120">
        <f>SUM(F484:F485)+SUM(F487:F490)+SUM(F492:F499)+SUM(F501:F508)*17+SUM(F510:F511,F513:F517)*3</f>
        <v>124200.90305550001</v>
      </c>
      <c r="H210" s="120"/>
    </row>
    <row r="211" spans="1:14" s="35" customFormat="1" x14ac:dyDescent="0.35">
      <c r="A211" s="223"/>
      <c r="B211" s="46" t="s">
        <v>224</v>
      </c>
      <c r="C211" s="119">
        <f>COUNT(D521:D522,D525:D528)+COUNT(D530:D537)*19+COUNT(D539:D540,D542:D546)*3</f>
        <v>179</v>
      </c>
      <c r="D211" s="119"/>
      <c r="E211" s="120">
        <f>SUM(D521:D522,D525:D528)+SUM(D530:D537)*19+SUM(D539:D540,D542:D546)*3</f>
        <v>86113.044135000004</v>
      </c>
      <c r="F211" s="120"/>
      <c r="G211" s="120">
        <f>SUM(F521:F522,F525:F528)+SUM(F530:F537)*19+SUM(F539:F540,F542:F546)*3</f>
        <v>129169.56620249999</v>
      </c>
      <c r="H211" s="120"/>
    </row>
    <row r="212" spans="1:14" s="35" customFormat="1" x14ac:dyDescent="0.35">
      <c r="A212" s="223"/>
      <c r="B212" s="46" t="s">
        <v>227</v>
      </c>
      <c r="C212" s="119">
        <f>COUNT(D550:D551,D554:D557)+COUNT(D559:D566)*19+COUNT(D568:D570,D572:D575)*3</f>
        <v>179</v>
      </c>
      <c r="D212" s="119"/>
      <c r="E212" s="120">
        <f>SUM(D550:D551,D554:D557)+SUM(D559:D566)*19+SUM(D568:D570,D572:D575)*3</f>
        <v>86113.044135000004</v>
      </c>
      <c r="F212" s="120"/>
      <c r="G212" s="120">
        <f>SUM(F550:F551,F554:F557)+SUM(F559:F566)*19+SUM(F568:F570,F572:F575)*3</f>
        <v>129169.56620249999</v>
      </c>
      <c r="H212" s="120"/>
    </row>
    <row r="213" spans="1:14" s="35" customFormat="1" x14ac:dyDescent="0.35">
      <c r="A213" s="223"/>
      <c r="B213" s="46" t="s">
        <v>210</v>
      </c>
      <c r="C213" s="119">
        <f>COUNT(D577:D578)+COUNT(D580:D583)+COUNT(D585:D592)+COUNT(D594:D601)*17+COUNT(D603:D604,D606:D610)*3</f>
        <v>145</v>
      </c>
      <c r="D213" s="119"/>
      <c r="E213" s="120">
        <f>SUM(D577:D578)+SUM(D580:D583)+SUM(D585:D592)+SUM(D594:D601)*17+SUM(D603:D604,D606:D610)*3</f>
        <v>70958.739420000013</v>
      </c>
      <c r="F213" s="120"/>
      <c r="G213" s="120">
        <f>SUM(F577:F578)+SUM(F580:F583)+SUM(F585:F592)+SUM(F594:F601)*17+SUM(F603:F604,F606:F610)*3</f>
        <v>107164.988595</v>
      </c>
      <c r="H213" s="120"/>
    </row>
    <row r="214" spans="1:14" s="35" customFormat="1" x14ac:dyDescent="0.35">
      <c r="A214" s="224"/>
      <c r="B214" s="46" t="s">
        <v>237</v>
      </c>
      <c r="C214" s="119">
        <f>COUNT(D615,D618)+COUNT(D623:D630)*19+COUNT(D632:D634,D636:D639)*3</f>
        <v>175</v>
      </c>
      <c r="D214" s="119"/>
      <c r="E214" s="120">
        <f>SUM(D615,D618)+SUM(D623:D630)*19+SUM(D632:D634,D636:D639)*3</f>
        <v>84619.779975000012</v>
      </c>
      <c r="F214" s="120"/>
      <c r="G214" s="120">
        <f>SUM(F615,F618)+SUM(F623:F630)*19+SUM(F632:F634,F636:F639)*3</f>
        <v>126929.66996249999</v>
      </c>
      <c r="H214" s="120"/>
      <c r="J214" s="35">
        <f>175+8</f>
        <v>183</v>
      </c>
    </row>
    <row r="215" spans="1:14" s="35" customFormat="1" x14ac:dyDescent="0.35">
      <c r="A215" s="176" t="s">
        <v>153</v>
      </c>
      <c r="B215" s="176"/>
      <c r="C215" s="177">
        <f>SUM(C206:C214)</f>
        <v>1533</v>
      </c>
      <c r="D215" s="177"/>
      <c r="E215" s="177">
        <f>SUM(E206:E214)</f>
        <v>739205.94923999999</v>
      </c>
      <c r="F215" s="177"/>
      <c r="G215" s="177">
        <f>SUM(G206:G214)</f>
        <v>1113062.4957456002</v>
      </c>
      <c r="H215" s="177"/>
      <c r="J215" s="35">
        <f>16+171</f>
        <v>187</v>
      </c>
    </row>
    <row r="216" spans="1:14" s="34" customFormat="1" x14ac:dyDescent="0.35">
      <c r="A216" s="194" t="s">
        <v>56</v>
      </c>
      <c r="B216" s="194"/>
      <c r="C216" s="194"/>
      <c r="D216" s="194"/>
      <c r="E216" s="194"/>
      <c r="F216" s="194"/>
      <c r="G216" s="194"/>
      <c r="H216" s="194"/>
    </row>
    <row r="217" spans="1:14" x14ac:dyDescent="0.35">
      <c r="A217" s="194" t="s">
        <v>57</v>
      </c>
      <c r="B217" s="194"/>
      <c r="C217" s="194"/>
      <c r="D217" s="194"/>
      <c r="E217" s="194"/>
      <c r="F217" s="194"/>
      <c r="G217" s="194"/>
      <c r="H217" s="194"/>
    </row>
    <row r="218" spans="1:14" ht="47.25" customHeight="1" x14ac:dyDescent="0.35">
      <c r="A218" s="162" t="s">
        <v>121</v>
      </c>
      <c r="B218" s="162" t="s">
        <v>120</v>
      </c>
      <c r="C218" s="162" t="s">
        <v>58</v>
      </c>
      <c r="D218" s="162" t="s">
        <v>59</v>
      </c>
      <c r="E218" s="229" t="s">
        <v>158</v>
      </c>
      <c r="F218" s="43" t="s">
        <v>152</v>
      </c>
      <c r="G218" s="238" t="s">
        <v>61</v>
      </c>
      <c r="H218" s="239"/>
    </row>
    <row r="219" spans="1:14" s="37" customFormat="1" x14ac:dyDescent="0.35">
      <c r="A219" s="163"/>
      <c r="B219" s="163"/>
      <c r="C219" s="163"/>
      <c r="D219" s="163"/>
      <c r="E219" s="230"/>
      <c r="F219" s="13">
        <v>0.6</v>
      </c>
      <c r="G219" s="240"/>
      <c r="H219" s="241"/>
      <c r="J219" s="37">
        <f>5.52*6.21+5.61*1.58+1.195*1.5</f>
        <v>44.935499999999998</v>
      </c>
    </row>
    <row r="220" spans="1:14" s="37" customFormat="1" x14ac:dyDescent="0.35">
      <c r="A220" s="173" t="s">
        <v>187</v>
      </c>
      <c r="B220" s="174"/>
      <c r="C220" s="174"/>
      <c r="D220" s="174"/>
      <c r="E220" s="174"/>
      <c r="F220" s="174"/>
      <c r="G220" s="174"/>
      <c r="H220" s="175"/>
      <c r="J220" s="36"/>
    </row>
    <row r="221" spans="1:14" s="37" customFormat="1" x14ac:dyDescent="0.35">
      <c r="A221" s="166" t="s">
        <v>188</v>
      </c>
      <c r="B221" s="167"/>
      <c r="C221" s="167"/>
      <c r="D221" s="167"/>
      <c r="E221" s="167"/>
      <c r="F221" s="167"/>
      <c r="G221" s="167"/>
      <c r="H221" s="168"/>
      <c r="J221" s="36"/>
    </row>
    <row r="222" spans="1:14" s="37" customFormat="1" x14ac:dyDescent="0.35">
      <c r="A222" s="121" t="s">
        <v>198</v>
      </c>
      <c r="B222" s="122"/>
      <c r="C222" s="122"/>
      <c r="D222" s="122"/>
      <c r="E222" s="122"/>
      <c r="F222" s="122"/>
      <c r="G222" s="122"/>
      <c r="H222" s="123"/>
      <c r="J222" s="36">
        <f>10.764</f>
        <v>10.763999999999999</v>
      </c>
    </row>
    <row r="223" spans="1:14" s="37" customFormat="1" ht="15.75" customHeight="1" x14ac:dyDescent="0.35">
      <c r="A223" s="124">
        <v>1</v>
      </c>
      <c r="B223" s="125"/>
      <c r="C223" s="42" t="s">
        <v>189</v>
      </c>
      <c r="D223" s="55">
        <f>(72.695)*(10.764)</f>
        <v>782.48897999999986</v>
      </c>
      <c r="E223" s="42">
        <v>0</v>
      </c>
      <c r="F223" s="42">
        <f>(D223+E223)*(($F$219)+1)</f>
        <v>1251.982368</v>
      </c>
      <c r="G223" s="126" t="str">
        <f>A222</f>
        <v>Ground Floor For Commercial &amp; Parking</v>
      </c>
      <c r="H223" s="127"/>
      <c r="I223" s="36"/>
      <c r="L223" s="132"/>
      <c r="M223" s="132"/>
      <c r="N223" s="36"/>
    </row>
    <row r="224" spans="1:14" s="37" customFormat="1" ht="15.75" customHeight="1" x14ac:dyDescent="0.35">
      <c r="A224" s="124">
        <f t="shared" ref="A224:A228" si="1">A223+1</f>
        <v>2</v>
      </c>
      <c r="B224" s="125"/>
      <c r="C224" s="42" t="s">
        <v>189</v>
      </c>
      <c r="D224" s="55">
        <f>(36.208)*(10.764)</f>
        <v>389.74291199999993</v>
      </c>
      <c r="E224" s="42">
        <v>0</v>
      </c>
      <c r="F224" s="42">
        <f t="shared" ref="F224:F228" si="2">(D224+E224)*(($F$219)+1)</f>
        <v>623.58865919999994</v>
      </c>
      <c r="G224" s="128"/>
      <c r="H224" s="129"/>
      <c r="I224" s="36"/>
      <c r="L224" s="132"/>
      <c r="M224" s="132"/>
      <c r="N224" s="36"/>
    </row>
    <row r="225" spans="1:14" s="37" customFormat="1" ht="15.75" customHeight="1" x14ac:dyDescent="0.35">
      <c r="A225" s="124">
        <f t="shared" si="1"/>
        <v>3</v>
      </c>
      <c r="B225" s="125"/>
      <c r="C225" s="42" t="s">
        <v>189</v>
      </c>
      <c r="D225" s="55">
        <f>(45.411)*(10.764)</f>
        <v>488.80400399999996</v>
      </c>
      <c r="E225" s="42">
        <v>0</v>
      </c>
      <c r="F225" s="42">
        <f t="shared" si="2"/>
        <v>782.08640639999999</v>
      </c>
      <c r="G225" s="128"/>
      <c r="H225" s="129"/>
      <c r="I225" s="36"/>
      <c r="L225" s="132"/>
      <c r="M225" s="132"/>
      <c r="N225" s="36"/>
    </row>
    <row r="226" spans="1:14" s="37" customFormat="1" ht="15.75" customHeight="1" x14ac:dyDescent="0.35">
      <c r="A226" s="124">
        <f t="shared" si="1"/>
        <v>4</v>
      </c>
      <c r="B226" s="125"/>
      <c r="C226" s="42" t="s">
        <v>189</v>
      </c>
      <c r="D226" s="55">
        <f>(33.912)*(10.764)</f>
        <v>365.02876799999996</v>
      </c>
      <c r="E226" s="42">
        <v>0</v>
      </c>
      <c r="F226" s="42">
        <f t="shared" si="2"/>
        <v>584.04602879999993</v>
      </c>
      <c r="G226" s="128"/>
      <c r="H226" s="129"/>
      <c r="I226" s="36"/>
      <c r="L226" s="132"/>
      <c r="M226" s="132"/>
      <c r="N226" s="36"/>
    </row>
    <row r="227" spans="1:14" s="37" customFormat="1" ht="15.75" customHeight="1" x14ac:dyDescent="0.35">
      <c r="A227" s="124">
        <f t="shared" si="1"/>
        <v>5</v>
      </c>
      <c r="B227" s="125"/>
      <c r="C227" s="42" t="s">
        <v>189</v>
      </c>
      <c r="D227" s="55">
        <f>(62.591)*(10.764)</f>
        <v>673.72952399999997</v>
      </c>
      <c r="E227" s="42">
        <v>0</v>
      </c>
      <c r="F227" s="42">
        <f t="shared" si="2"/>
        <v>1077.9672384</v>
      </c>
      <c r="G227" s="128"/>
      <c r="H227" s="129"/>
      <c r="I227" s="36"/>
      <c r="L227" s="132"/>
      <c r="M227" s="132"/>
      <c r="N227" s="36"/>
    </row>
    <row r="228" spans="1:14" s="37" customFormat="1" ht="15.75" customHeight="1" x14ac:dyDescent="0.35">
      <c r="A228" s="124">
        <f t="shared" si="1"/>
        <v>6</v>
      </c>
      <c r="B228" s="125"/>
      <c r="C228" s="42" t="s">
        <v>189</v>
      </c>
      <c r="D228" s="55">
        <f>(55.987)*(10.764)</f>
        <v>602.64406799999995</v>
      </c>
      <c r="E228" s="42">
        <v>0</v>
      </c>
      <c r="F228" s="42">
        <f t="shared" si="2"/>
        <v>964.23050879999994</v>
      </c>
      <c r="G228" s="130"/>
      <c r="H228" s="131"/>
      <c r="I228" s="36"/>
      <c r="L228" s="132"/>
      <c r="M228" s="132"/>
      <c r="N228" s="36"/>
    </row>
    <row r="229" spans="1:14" s="37" customFormat="1" x14ac:dyDescent="0.35">
      <c r="A229" s="121" t="s">
        <v>119</v>
      </c>
      <c r="B229" s="122"/>
      <c r="C229" s="122"/>
      <c r="D229" s="122"/>
      <c r="E229" s="122"/>
      <c r="F229" s="122"/>
      <c r="G229" s="122"/>
      <c r="H229" s="123"/>
      <c r="J229" s="36"/>
    </row>
    <row r="230" spans="1:14" s="37" customFormat="1" x14ac:dyDescent="0.35">
      <c r="A230" s="124">
        <v>1</v>
      </c>
      <c r="B230" s="125"/>
      <c r="C230" s="42" t="s">
        <v>189</v>
      </c>
      <c r="D230" s="55">
        <f>(65.236)*(10.764)</f>
        <v>702.20030399999996</v>
      </c>
      <c r="E230" s="42">
        <v>0</v>
      </c>
      <c r="F230" s="42">
        <f>(D230+E230)*(($F$219)+1)</f>
        <v>1123.5204864</v>
      </c>
      <c r="G230" s="126" t="str">
        <f>A229</f>
        <v>2nd Floor</v>
      </c>
      <c r="H230" s="127"/>
      <c r="I230" s="36"/>
      <c r="L230" s="132"/>
      <c r="M230" s="132"/>
      <c r="N230" s="36"/>
    </row>
    <row r="231" spans="1:14" s="37" customFormat="1" x14ac:dyDescent="0.35">
      <c r="A231" s="124">
        <f t="shared" ref="A231:A235" si="3">A230+1</f>
        <v>2</v>
      </c>
      <c r="B231" s="125"/>
      <c r="C231" s="42" t="s">
        <v>189</v>
      </c>
      <c r="D231" s="55">
        <f>(28.033)*(10.764)</f>
        <v>301.74721199999999</v>
      </c>
      <c r="E231" s="42">
        <v>0</v>
      </c>
      <c r="F231" s="42">
        <f t="shared" ref="F231:F235" si="4">(D231+E231)*(($F$219)+1)</f>
        <v>482.79553920000001</v>
      </c>
      <c r="G231" s="128"/>
      <c r="H231" s="129"/>
      <c r="I231" s="36"/>
      <c r="L231" s="132"/>
      <c r="M231" s="132"/>
      <c r="N231" s="36"/>
    </row>
    <row r="232" spans="1:14" s="37" customFormat="1" x14ac:dyDescent="0.35">
      <c r="A232" s="124">
        <f t="shared" si="3"/>
        <v>3</v>
      </c>
      <c r="B232" s="125"/>
      <c r="C232" s="42" t="s">
        <v>189</v>
      </c>
      <c r="D232" s="55">
        <f>(36.303)*(10.764)</f>
        <v>390.76549199999994</v>
      </c>
      <c r="E232" s="42">
        <v>0</v>
      </c>
      <c r="F232" s="42">
        <f t="shared" si="4"/>
        <v>625.22478719999992</v>
      </c>
      <c r="G232" s="128"/>
      <c r="H232" s="129"/>
      <c r="I232" s="36"/>
      <c r="L232" s="132"/>
      <c r="M232" s="132"/>
      <c r="N232" s="36"/>
    </row>
    <row r="233" spans="1:14" s="37" customFormat="1" x14ac:dyDescent="0.35">
      <c r="A233" s="124">
        <f t="shared" si="3"/>
        <v>4</v>
      </c>
      <c r="B233" s="125"/>
      <c r="C233" s="42" t="s">
        <v>189</v>
      </c>
      <c r="D233" s="55">
        <f>(23.736)*(10.764)</f>
        <v>255.494304</v>
      </c>
      <c r="E233" s="42">
        <v>0</v>
      </c>
      <c r="F233" s="42">
        <f t="shared" si="4"/>
        <v>408.79088640000003</v>
      </c>
      <c r="G233" s="128"/>
      <c r="H233" s="129"/>
      <c r="I233" s="36"/>
      <c r="L233" s="132">
        <f>5.52*6.2+5.7*1.5+1.5*1.5</f>
        <v>45.024000000000001</v>
      </c>
      <c r="M233" s="132"/>
      <c r="N233" s="36"/>
    </row>
    <row r="234" spans="1:14" s="37" customFormat="1" x14ac:dyDescent="0.35">
      <c r="A234" s="124">
        <f t="shared" si="3"/>
        <v>5</v>
      </c>
      <c r="B234" s="125"/>
      <c r="C234" s="42" t="s">
        <v>189</v>
      </c>
      <c r="D234" s="55">
        <f>(53.332)*(10.764)</f>
        <v>574.06564800000001</v>
      </c>
      <c r="E234" s="42">
        <v>0</v>
      </c>
      <c r="F234" s="42">
        <f t="shared" si="4"/>
        <v>918.50503680000008</v>
      </c>
      <c r="G234" s="128"/>
      <c r="H234" s="129"/>
      <c r="I234" s="36"/>
      <c r="L234" s="132"/>
      <c r="M234" s="132"/>
      <c r="N234" s="36"/>
    </row>
    <row r="235" spans="1:14" s="37" customFormat="1" x14ac:dyDescent="0.35">
      <c r="A235" s="124">
        <f t="shared" si="3"/>
        <v>6</v>
      </c>
      <c r="B235" s="125"/>
      <c r="C235" s="42" t="s">
        <v>189</v>
      </c>
      <c r="D235" s="55">
        <f>(48.302)*(10.764)</f>
        <v>519.92272800000001</v>
      </c>
      <c r="E235" s="42">
        <v>0</v>
      </c>
      <c r="F235" s="42">
        <f t="shared" si="4"/>
        <v>831.87636480000003</v>
      </c>
      <c r="G235" s="130"/>
      <c r="H235" s="131"/>
      <c r="I235" s="36"/>
      <c r="L235" s="132"/>
      <c r="M235" s="132"/>
      <c r="N235" s="36"/>
    </row>
    <row r="236" spans="1:14" s="37" customFormat="1" x14ac:dyDescent="0.35">
      <c r="A236" s="155" t="s">
        <v>195</v>
      </c>
      <c r="B236" s="155"/>
      <c r="C236" s="155"/>
      <c r="D236" s="155"/>
      <c r="E236" s="155"/>
      <c r="F236" s="155"/>
      <c r="G236" s="155"/>
      <c r="H236" s="155"/>
      <c r="J236" s="36"/>
    </row>
    <row r="237" spans="1:14" s="37" customFormat="1" x14ac:dyDescent="0.35">
      <c r="A237" s="172" t="s">
        <v>198</v>
      </c>
      <c r="B237" s="172"/>
      <c r="C237" s="172"/>
      <c r="D237" s="172"/>
      <c r="E237" s="172"/>
      <c r="F237" s="172"/>
      <c r="G237" s="172"/>
      <c r="H237" s="172"/>
      <c r="J237" s="36"/>
    </row>
    <row r="238" spans="1:14" s="37" customFormat="1" ht="15.75" customHeight="1" x14ac:dyDescent="0.35">
      <c r="A238" s="143">
        <v>1</v>
      </c>
      <c r="B238" s="143"/>
      <c r="C238" s="85" t="s">
        <v>189</v>
      </c>
      <c r="D238" s="55">
        <f>(59.45)*(10.764)</f>
        <v>639.91980000000001</v>
      </c>
      <c r="E238" s="85">
        <v>0</v>
      </c>
      <c r="F238" s="85">
        <f>(D238+E238)*(($F$219)+1)</f>
        <v>1023.8716800000001</v>
      </c>
      <c r="G238" s="143" t="str">
        <f>A237</f>
        <v>Ground Floor For Commercial &amp; Parking</v>
      </c>
      <c r="H238" s="143"/>
      <c r="I238" s="36"/>
      <c r="L238" s="132"/>
      <c r="M238" s="132"/>
      <c r="N238" s="36"/>
    </row>
    <row r="239" spans="1:14" s="37" customFormat="1" ht="15.75" customHeight="1" x14ac:dyDescent="0.35">
      <c r="A239" s="143">
        <f t="shared" ref="A239:A245" si="5">A238+1</f>
        <v>2</v>
      </c>
      <c r="B239" s="143"/>
      <c r="C239" s="85" t="s">
        <v>189</v>
      </c>
      <c r="D239" s="55">
        <f>(55.67)*(10.764)</f>
        <v>599.23187999999993</v>
      </c>
      <c r="E239" s="85">
        <v>0</v>
      </c>
      <c r="F239" s="85">
        <f t="shared" ref="F239:F243" si="6">(D239+E239)*(($F$219)+1)</f>
        <v>958.77100799999994</v>
      </c>
      <c r="G239" s="143"/>
      <c r="H239" s="143"/>
      <c r="I239" s="36"/>
      <c r="L239" s="132"/>
      <c r="M239" s="132"/>
      <c r="N239" s="36"/>
    </row>
    <row r="240" spans="1:14" s="37" customFormat="1" ht="15.75" customHeight="1" x14ac:dyDescent="0.35">
      <c r="A240" s="143">
        <f t="shared" si="5"/>
        <v>3</v>
      </c>
      <c r="B240" s="143"/>
      <c r="C240" s="85" t="s">
        <v>189</v>
      </c>
      <c r="D240" s="55">
        <f>(62.27)*(10.764)</f>
        <v>670.27427999999998</v>
      </c>
      <c r="E240" s="85">
        <v>0</v>
      </c>
      <c r="F240" s="85">
        <f t="shared" si="6"/>
        <v>1072.438848</v>
      </c>
      <c r="G240" s="143"/>
      <c r="H240" s="143"/>
      <c r="I240" s="36"/>
      <c r="L240" s="132"/>
      <c r="M240" s="132"/>
      <c r="N240" s="36"/>
    </row>
    <row r="241" spans="1:14" s="37" customFormat="1" ht="15.75" customHeight="1" x14ac:dyDescent="0.35">
      <c r="A241" s="143">
        <f t="shared" si="5"/>
        <v>4</v>
      </c>
      <c r="B241" s="143"/>
      <c r="C241" s="85" t="s">
        <v>189</v>
      </c>
      <c r="D241" s="55">
        <f>(35.93)*(10.764)</f>
        <v>386.75051999999999</v>
      </c>
      <c r="E241" s="85">
        <v>0</v>
      </c>
      <c r="F241" s="85">
        <f t="shared" si="6"/>
        <v>618.80083200000001</v>
      </c>
      <c r="G241" s="143"/>
      <c r="H241" s="143"/>
      <c r="I241" s="36"/>
      <c r="L241" s="132"/>
      <c r="M241" s="132"/>
      <c r="N241" s="36"/>
    </row>
    <row r="242" spans="1:14" s="37" customFormat="1" ht="15.75" customHeight="1" x14ac:dyDescent="0.35">
      <c r="A242" s="143">
        <f t="shared" si="5"/>
        <v>5</v>
      </c>
      <c r="B242" s="143"/>
      <c r="C242" s="85" t="s">
        <v>189</v>
      </c>
      <c r="D242" s="55">
        <f>(45.28)*(10.764)</f>
        <v>487.39391999999998</v>
      </c>
      <c r="E242" s="85">
        <v>0</v>
      </c>
      <c r="F242" s="85">
        <f t="shared" si="6"/>
        <v>779.83027200000004</v>
      </c>
      <c r="G242" s="143"/>
      <c r="H242" s="143"/>
      <c r="I242" s="36"/>
      <c r="L242" s="132"/>
      <c r="M242" s="132"/>
      <c r="N242" s="36"/>
    </row>
    <row r="243" spans="1:14" s="37" customFormat="1" ht="15.75" customHeight="1" x14ac:dyDescent="0.35">
      <c r="A243" s="143">
        <f t="shared" si="5"/>
        <v>6</v>
      </c>
      <c r="B243" s="143"/>
      <c r="C243" s="85" t="s">
        <v>189</v>
      </c>
      <c r="D243" s="55">
        <f>(33.59)*(10.764)</f>
        <v>361.56276000000003</v>
      </c>
      <c r="E243" s="85">
        <v>0</v>
      </c>
      <c r="F243" s="85">
        <f t="shared" si="6"/>
        <v>578.50041600000009</v>
      </c>
      <c r="G243" s="143"/>
      <c r="H243" s="143"/>
      <c r="I243" s="36"/>
      <c r="L243" s="132"/>
      <c r="M243" s="132"/>
      <c r="N243" s="36"/>
    </row>
    <row r="244" spans="1:14" s="37" customFormat="1" ht="15.75" customHeight="1" x14ac:dyDescent="0.35">
      <c r="A244" s="143">
        <f t="shared" si="5"/>
        <v>7</v>
      </c>
      <c r="B244" s="143"/>
      <c r="C244" s="85" t="s">
        <v>189</v>
      </c>
      <c r="D244" s="55">
        <f>(62.27)*(10.764)</f>
        <v>670.27427999999998</v>
      </c>
      <c r="E244" s="85">
        <v>0</v>
      </c>
      <c r="F244" s="85">
        <f t="shared" ref="F244:F245" si="7">(D244+E244)*(($F$219)+1)</f>
        <v>1072.438848</v>
      </c>
      <c r="G244" s="143"/>
      <c r="H244" s="143"/>
      <c r="I244" s="36"/>
      <c r="L244" s="132"/>
      <c r="M244" s="132"/>
      <c r="N244" s="36"/>
    </row>
    <row r="245" spans="1:14" s="37" customFormat="1" ht="15.75" customHeight="1" x14ac:dyDescent="0.35">
      <c r="A245" s="143">
        <f t="shared" si="5"/>
        <v>8</v>
      </c>
      <c r="B245" s="143"/>
      <c r="C245" s="85" t="s">
        <v>189</v>
      </c>
      <c r="D245" s="55">
        <f>(51.49)*(10.764)</f>
        <v>554.23835999999994</v>
      </c>
      <c r="E245" s="85">
        <v>0</v>
      </c>
      <c r="F245" s="85">
        <f t="shared" si="7"/>
        <v>886.78137599999991</v>
      </c>
      <c r="G245" s="143"/>
      <c r="H245" s="143"/>
      <c r="I245" s="36"/>
      <c r="L245" s="132"/>
      <c r="M245" s="132"/>
      <c r="N245" s="36"/>
    </row>
    <row r="246" spans="1:14" s="37" customFormat="1" x14ac:dyDescent="0.35">
      <c r="A246" s="172" t="s">
        <v>119</v>
      </c>
      <c r="B246" s="172"/>
      <c r="C246" s="172"/>
      <c r="D246" s="172"/>
      <c r="E246" s="172"/>
      <c r="F246" s="172"/>
      <c r="G246" s="172"/>
      <c r="H246" s="172"/>
      <c r="J246" s="36"/>
    </row>
    <row r="247" spans="1:14" s="37" customFormat="1" x14ac:dyDescent="0.35">
      <c r="A247" s="143">
        <v>1</v>
      </c>
      <c r="B247" s="143"/>
      <c r="C247" s="59" t="s">
        <v>189</v>
      </c>
      <c r="D247" s="55">
        <f>(49.55)*(10.764)</f>
        <v>533.35619999999994</v>
      </c>
      <c r="E247" s="59">
        <v>0</v>
      </c>
      <c r="F247" s="59">
        <f>(D247+E247)*(($F$219)+1)</f>
        <v>853.36991999999998</v>
      </c>
      <c r="G247" s="143" t="str">
        <f>A246</f>
        <v>2nd Floor</v>
      </c>
      <c r="H247" s="143"/>
      <c r="I247" s="36"/>
      <c r="L247" s="132"/>
      <c r="M247" s="132"/>
      <c r="N247" s="36"/>
    </row>
    <row r="248" spans="1:14" s="37" customFormat="1" x14ac:dyDescent="0.35">
      <c r="A248" s="143">
        <f t="shared" ref="A248:A254" si="8">A247+1</f>
        <v>2</v>
      </c>
      <c r="B248" s="143"/>
      <c r="C248" s="59" t="s">
        <v>189</v>
      </c>
      <c r="D248" s="55">
        <f>(46.12)*(10.764)</f>
        <v>496.43567999999993</v>
      </c>
      <c r="E248" s="59">
        <v>0</v>
      </c>
      <c r="F248" s="59">
        <f t="shared" ref="F248:F252" si="9">(D248+E248)*(($F$219)+1)</f>
        <v>794.29708799999992</v>
      </c>
      <c r="G248" s="143"/>
      <c r="H248" s="143"/>
      <c r="I248" s="36"/>
      <c r="L248" s="132"/>
      <c r="M248" s="132"/>
      <c r="N248" s="36"/>
    </row>
    <row r="249" spans="1:14" s="37" customFormat="1" x14ac:dyDescent="0.35">
      <c r="A249" s="143">
        <f t="shared" si="8"/>
        <v>3</v>
      </c>
      <c r="B249" s="143"/>
      <c r="C249" s="59" t="s">
        <v>189</v>
      </c>
      <c r="D249" s="55">
        <f>(51.14)*(10.764)</f>
        <v>550.47095999999999</v>
      </c>
      <c r="E249" s="59">
        <v>0</v>
      </c>
      <c r="F249" s="59">
        <f t="shared" si="9"/>
        <v>880.75353600000005</v>
      </c>
      <c r="G249" s="143"/>
      <c r="H249" s="143"/>
      <c r="I249" s="36"/>
      <c r="L249" s="132"/>
      <c r="M249" s="132"/>
      <c r="N249" s="36"/>
    </row>
    <row r="250" spans="1:14" s="37" customFormat="1" x14ac:dyDescent="0.35">
      <c r="A250" s="143">
        <f t="shared" si="8"/>
        <v>4</v>
      </c>
      <c r="B250" s="143"/>
      <c r="C250" s="59" t="s">
        <v>189</v>
      </c>
      <c r="D250" s="55">
        <f>(28.03)*(10.764)</f>
        <v>301.71492000000001</v>
      </c>
      <c r="E250" s="59">
        <v>0</v>
      </c>
      <c r="F250" s="59">
        <f t="shared" si="9"/>
        <v>482.74387200000001</v>
      </c>
      <c r="G250" s="143"/>
      <c r="H250" s="143"/>
      <c r="I250" s="36"/>
      <c r="L250" s="132"/>
      <c r="M250" s="132"/>
      <c r="N250" s="36"/>
    </row>
    <row r="251" spans="1:14" s="37" customFormat="1" x14ac:dyDescent="0.35">
      <c r="A251" s="143">
        <f t="shared" si="8"/>
        <v>5</v>
      </c>
      <c r="B251" s="143"/>
      <c r="C251" s="59" t="s">
        <v>189</v>
      </c>
      <c r="D251" s="55">
        <f>(36.17)*(10.764)</f>
        <v>389.33388000000002</v>
      </c>
      <c r="E251" s="59">
        <v>0</v>
      </c>
      <c r="F251" s="59">
        <f t="shared" si="9"/>
        <v>622.93420800000013</v>
      </c>
      <c r="G251" s="143"/>
      <c r="H251" s="143"/>
      <c r="I251" s="36"/>
      <c r="L251" s="132"/>
      <c r="M251" s="132"/>
      <c r="N251" s="36"/>
    </row>
    <row r="252" spans="1:14" s="37" customFormat="1" x14ac:dyDescent="0.35">
      <c r="A252" s="143">
        <f t="shared" si="8"/>
        <v>6</v>
      </c>
      <c r="B252" s="143"/>
      <c r="C252" s="59" t="s">
        <v>189</v>
      </c>
      <c r="D252" s="55">
        <f>(25.42)*(10.764)</f>
        <v>273.62088</v>
      </c>
      <c r="E252" s="59">
        <v>0</v>
      </c>
      <c r="F252" s="59">
        <f t="shared" si="9"/>
        <v>437.793408</v>
      </c>
      <c r="G252" s="143"/>
      <c r="H252" s="143"/>
      <c r="I252" s="36"/>
      <c r="L252" s="132"/>
      <c r="M252" s="132"/>
      <c r="N252" s="36"/>
    </row>
    <row r="253" spans="1:14" s="37" customFormat="1" x14ac:dyDescent="0.35">
      <c r="A253" s="143">
        <f t="shared" si="8"/>
        <v>7</v>
      </c>
      <c r="B253" s="143"/>
      <c r="C253" s="59" t="s">
        <v>189</v>
      </c>
      <c r="D253" s="55">
        <f>(51.15)*(10.764)</f>
        <v>550.57859999999994</v>
      </c>
      <c r="E253" s="59">
        <v>0</v>
      </c>
      <c r="F253" s="59">
        <f t="shared" ref="F253:F254" si="10">(D253+E253)*(($F$219)+1)</f>
        <v>880.92575999999997</v>
      </c>
      <c r="G253" s="143"/>
      <c r="H253" s="143"/>
      <c r="I253" s="36"/>
      <c r="L253" s="132"/>
      <c r="M253" s="132"/>
      <c r="N253" s="36"/>
    </row>
    <row r="254" spans="1:14" s="37" customFormat="1" x14ac:dyDescent="0.35">
      <c r="A254" s="143">
        <f t="shared" si="8"/>
        <v>8</v>
      </c>
      <c r="B254" s="143"/>
      <c r="C254" s="59" t="s">
        <v>189</v>
      </c>
      <c r="D254" s="55">
        <f>(50.37)*(10.764)</f>
        <v>542.18267999999989</v>
      </c>
      <c r="E254" s="59">
        <v>0</v>
      </c>
      <c r="F254" s="59">
        <f t="shared" si="10"/>
        <v>867.49228799999992</v>
      </c>
      <c r="G254" s="143"/>
      <c r="H254" s="143"/>
      <c r="I254" s="36"/>
      <c r="L254" s="132"/>
      <c r="M254" s="132"/>
      <c r="N254" s="36"/>
    </row>
    <row r="255" spans="1:14" s="37" customFormat="1" x14ac:dyDescent="0.35">
      <c r="A255" s="166" t="s">
        <v>196</v>
      </c>
      <c r="B255" s="167"/>
      <c r="C255" s="167"/>
      <c r="D255" s="167"/>
      <c r="E255" s="167"/>
      <c r="F255" s="167"/>
      <c r="G255" s="167"/>
      <c r="H255" s="168"/>
      <c r="J255" s="36"/>
    </row>
    <row r="256" spans="1:14" s="37" customFormat="1" x14ac:dyDescent="0.35">
      <c r="A256" s="121" t="s">
        <v>198</v>
      </c>
      <c r="B256" s="122"/>
      <c r="C256" s="122"/>
      <c r="D256" s="122"/>
      <c r="E256" s="122"/>
      <c r="F256" s="122"/>
      <c r="G256" s="122"/>
      <c r="H256" s="123"/>
      <c r="J256" s="36">
        <f>10.764</f>
        <v>10.763999999999999</v>
      </c>
    </row>
    <row r="257" spans="1:14" s="37" customFormat="1" ht="15.75" customHeight="1" x14ac:dyDescent="0.35">
      <c r="A257" s="124">
        <v>1</v>
      </c>
      <c r="B257" s="125"/>
      <c r="C257" s="42" t="s">
        <v>189</v>
      </c>
      <c r="D257" s="55">
        <f>(72.695)*(10.764)</f>
        <v>782.48897999999986</v>
      </c>
      <c r="E257" s="42">
        <v>0</v>
      </c>
      <c r="F257" s="42">
        <f>(D257+E257)*(($F$219)+1)</f>
        <v>1251.982368</v>
      </c>
      <c r="G257" s="126" t="str">
        <f>A256</f>
        <v>Ground Floor For Commercial &amp; Parking</v>
      </c>
      <c r="H257" s="127"/>
      <c r="I257" s="36"/>
      <c r="L257" s="132"/>
      <c r="M257" s="132"/>
      <c r="N257" s="36"/>
    </row>
    <row r="258" spans="1:14" s="37" customFormat="1" ht="15.75" customHeight="1" x14ac:dyDescent="0.35">
      <c r="A258" s="124">
        <f t="shared" ref="A258:A262" si="11">A257+1</f>
        <v>2</v>
      </c>
      <c r="B258" s="125"/>
      <c r="C258" s="42" t="s">
        <v>189</v>
      </c>
      <c r="D258" s="55">
        <f>(36.208)*(10.764)</f>
        <v>389.74291199999993</v>
      </c>
      <c r="E258" s="42">
        <v>0</v>
      </c>
      <c r="F258" s="42">
        <f t="shared" ref="F258:F262" si="12">(D258+E258)*(($F$219)+1)</f>
        <v>623.58865919999994</v>
      </c>
      <c r="G258" s="128"/>
      <c r="H258" s="129"/>
      <c r="I258" s="36"/>
      <c r="L258" s="132"/>
      <c r="M258" s="132"/>
      <c r="N258" s="36"/>
    </row>
    <row r="259" spans="1:14" s="37" customFormat="1" ht="15.75" customHeight="1" x14ac:dyDescent="0.35">
      <c r="A259" s="124">
        <f t="shared" si="11"/>
        <v>3</v>
      </c>
      <c r="B259" s="125"/>
      <c r="C259" s="42" t="s">
        <v>189</v>
      </c>
      <c r="D259" s="55">
        <f>(45.411)*(10.764)</f>
        <v>488.80400399999996</v>
      </c>
      <c r="E259" s="42">
        <v>0</v>
      </c>
      <c r="F259" s="42">
        <f t="shared" si="12"/>
        <v>782.08640639999999</v>
      </c>
      <c r="G259" s="128"/>
      <c r="H259" s="129"/>
      <c r="I259" s="36"/>
      <c r="L259" s="132"/>
      <c r="M259" s="132"/>
      <c r="N259" s="36"/>
    </row>
    <row r="260" spans="1:14" s="37" customFormat="1" ht="15.75" customHeight="1" x14ac:dyDescent="0.35">
      <c r="A260" s="124">
        <f t="shared" si="11"/>
        <v>4</v>
      </c>
      <c r="B260" s="125"/>
      <c r="C260" s="42" t="s">
        <v>189</v>
      </c>
      <c r="D260" s="55">
        <f>(33.912)*(10.764)</f>
        <v>365.02876799999996</v>
      </c>
      <c r="E260" s="42">
        <v>0</v>
      </c>
      <c r="F260" s="42">
        <f t="shared" si="12"/>
        <v>584.04602879999993</v>
      </c>
      <c r="G260" s="128"/>
      <c r="H260" s="129"/>
      <c r="I260" s="36"/>
      <c r="L260" s="132"/>
      <c r="M260" s="132"/>
      <c r="N260" s="36"/>
    </row>
    <row r="261" spans="1:14" s="37" customFormat="1" ht="15.75" customHeight="1" x14ac:dyDescent="0.35">
      <c r="A261" s="124">
        <f t="shared" si="11"/>
        <v>5</v>
      </c>
      <c r="B261" s="125"/>
      <c r="C261" s="42" t="s">
        <v>189</v>
      </c>
      <c r="D261" s="55">
        <f>(62.591)*(10.764)</f>
        <v>673.72952399999997</v>
      </c>
      <c r="E261" s="42">
        <v>0</v>
      </c>
      <c r="F261" s="42">
        <f t="shared" si="12"/>
        <v>1077.9672384</v>
      </c>
      <c r="G261" s="128"/>
      <c r="H261" s="129"/>
      <c r="I261" s="36"/>
      <c r="L261" s="132"/>
      <c r="M261" s="132"/>
      <c r="N261" s="36"/>
    </row>
    <row r="262" spans="1:14" s="37" customFormat="1" ht="15.75" customHeight="1" x14ac:dyDescent="0.35">
      <c r="A262" s="124">
        <f t="shared" si="11"/>
        <v>6</v>
      </c>
      <c r="B262" s="125"/>
      <c r="C262" s="42" t="s">
        <v>189</v>
      </c>
      <c r="D262" s="55">
        <f>(55.987)*(10.764)</f>
        <v>602.64406799999995</v>
      </c>
      <c r="E262" s="42">
        <v>0</v>
      </c>
      <c r="F262" s="42">
        <f t="shared" si="12"/>
        <v>964.23050879999994</v>
      </c>
      <c r="G262" s="130"/>
      <c r="H262" s="131"/>
      <c r="I262" s="36"/>
      <c r="L262" s="132"/>
      <c r="M262" s="132"/>
      <c r="N262" s="36"/>
    </row>
    <row r="263" spans="1:14" s="37" customFormat="1" x14ac:dyDescent="0.35">
      <c r="A263" s="121" t="s">
        <v>119</v>
      </c>
      <c r="B263" s="122"/>
      <c r="C263" s="122"/>
      <c r="D263" s="122"/>
      <c r="E263" s="122"/>
      <c r="F263" s="122"/>
      <c r="G263" s="122"/>
      <c r="H263" s="123"/>
      <c r="J263" s="36"/>
    </row>
    <row r="264" spans="1:14" s="37" customFormat="1" x14ac:dyDescent="0.35">
      <c r="A264" s="124">
        <v>1</v>
      </c>
      <c r="B264" s="125"/>
      <c r="C264" s="42" t="s">
        <v>189</v>
      </c>
      <c r="D264" s="55">
        <f>(65.236)*(10.764)</f>
        <v>702.20030399999996</v>
      </c>
      <c r="E264" s="42">
        <v>0</v>
      </c>
      <c r="F264" s="42">
        <f>(D264+E264)*(($F$219)+1)</f>
        <v>1123.5204864</v>
      </c>
      <c r="G264" s="126" t="str">
        <f>A263</f>
        <v>2nd Floor</v>
      </c>
      <c r="H264" s="127"/>
      <c r="I264" s="36"/>
      <c r="L264" s="132"/>
      <c r="M264" s="132"/>
      <c r="N264" s="36"/>
    </row>
    <row r="265" spans="1:14" s="37" customFormat="1" x14ac:dyDescent="0.35">
      <c r="A265" s="124">
        <f t="shared" ref="A265:A269" si="13">A264+1</f>
        <v>2</v>
      </c>
      <c r="B265" s="125"/>
      <c r="C265" s="42" t="s">
        <v>189</v>
      </c>
      <c r="D265" s="55">
        <f>(28.033)*(10.764)</f>
        <v>301.74721199999999</v>
      </c>
      <c r="E265" s="42">
        <v>0</v>
      </c>
      <c r="F265" s="42">
        <f t="shared" ref="F265:F269" si="14">(D265+E265)*(($F$219)+1)</f>
        <v>482.79553920000001</v>
      </c>
      <c r="G265" s="128"/>
      <c r="H265" s="129"/>
      <c r="I265" s="36"/>
      <c r="L265" s="132"/>
      <c r="M265" s="132"/>
      <c r="N265" s="36"/>
    </row>
    <row r="266" spans="1:14" s="37" customFormat="1" x14ac:dyDescent="0.35">
      <c r="A266" s="124">
        <f t="shared" si="13"/>
        <v>3</v>
      </c>
      <c r="B266" s="125"/>
      <c r="C266" s="42" t="s">
        <v>189</v>
      </c>
      <c r="D266" s="55">
        <f>(36.303)*(10.764)</f>
        <v>390.76549199999994</v>
      </c>
      <c r="E266" s="42">
        <v>0</v>
      </c>
      <c r="F266" s="42">
        <f t="shared" si="14"/>
        <v>625.22478719999992</v>
      </c>
      <c r="G266" s="128"/>
      <c r="H266" s="129"/>
      <c r="I266" s="36"/>
      <c r="L266" s="132"/>
      <c r="M266" s="132"/>
      <c r="N266" s="36"/>
    </row>
    <row r="267" spans="1:14" s="37" customFormat="1" x14ac:dyDescent="0.35">
      <c r="A267" s="124">
        <f t="shared" si="13"/>
        <v>4</v>
      </c>
      <c r="B267" s="125"/>
      <c r="C267" s="42" t="s">
        <v>189</v>
      </c>
      <c r="D267" s="55">
        <f>(23.736)*(10.764)</f>
        <v>255.494304</v>
      </c>
      <c r="E267" s="42">
        <v>0</v>
      </c>
      <c r="F267" s="42">
        <f t="shared" si="14"/>
        <v>408.79088640000003</v>
      </c>
      <c r="G267" s="128"/>
      <c r="H267" s="129"/>
      <c r="I267" s="36"/>
      <c r="L267" s="132"/>
      <c r="M267" s="132"/>
      <c r="N267" s="36"/>
    </row>
    <row r="268" spans="1:14" s="37" customFormat="1" x14ac:dyDescent="0.35">
      <c r="A268" s="124">
        <f t="shared" si="13"/>
        <v>5</v>
      </c>
      <c r="B268" s="125"/>
      <c r="C268" s="42" t="s">
        <v>189</v>
      </c>
      <c r="D268" s="55">
        <f>(53.332)*(10.764)</f>
        <v>574.06564800000001</v>
      </c>
      <c r="E268" s="42">
        <v>0</v>
      </c>
      <c r="F268" s="42">
        <f t="shared" si="14"/>
        <v>918.50503680000008</v>
      </c>
      <c r="G268" s="128"/>
      <c r="H268" s="129"/>
      <c r="I268" s="36"/>
      <c r="L268" s="132"/>
      <c r="M268" s="132"/>
      <c r="N268" s="36"/>
    </row>
    <row r="269" spans="1:14" s="37" customFormat="1" x14ac:dyDescent="0.35">
      <c r="A269" s="124">
        <f t="shared" si="13"/>
        <v>6</v>
      </c>
      <c r="B269" s="125"/>
      <c r="C269" s="42" t="s">
        <v>189</v>
      </c>
      <c r="D269" s="55">
        <f>(48.302)*(10.764)</f>
        <v>519.92272800000001</v>
      </c>
      <c r="E269" s="42">
        <v>0</v>
      </c>
      <c r="F269" s="42">
        <f t="shared" si="14"/>
        <v>831.87636480000003</v>
      </c>
      <c r="G269" s="130"/>
      <c r="H269" s="131"/>
      <c r="I269" s="36"/>
      <c r="L269" s="132"/>
      <c r="M269" s="132"/>
      <c r="N269" s="36"/>
    </row>
    <row r="270" spans="1:14" s="37" customFormat="1" x14ac:dyDescent="0.35">
      <c r="A270" s="166" t="s">
        <v>197</v>
      </c>
      <c r="B270" s="167"/>
      <c r="C270" s="167"/>
      <c r="D270" s="167"/>
      <c r="E270" s="167"/>
      <c r="F270" s="167"/>
      <c r="G270" s="167"/>
      <c r="H270" s="168"/>
      <c r="J270" s="36"/>
    </row>
    <row r="271" spans="1:14" s="37" customFormat="1" x14ac:dyDescent="0.35">
      <c r="A271" s="121" t="s">
        <v>198</v>
      </c>
      <c r="B271" s="122"/>
      <c r="C271" s="122"/>
      <c r="D271" s="122"/>
      <c r="E271" s="122"/>
      <c r="F271" s="122"/>
      <c r="G271" s="122"/>
      <c r="H271" s="123"/>
      <c r="J271" s="36"/>
    </row>
    <row r="272" spans="1:14" s="37" customFormat="1" ht="15.75" customHeight="1" x14ac:dyDescent="0.35">
      <c r="A272" s="124">
        <v>1</v>
      </c>
      <c r="B272" s="125"/>
      <c r="C272" s="42" t="s">
        <v>189</v>
      </c>
      <c r="D272" s="55">
        <f>(59.45)*(10.764)</f>
        <v>639.91980000000001</v>
      </c>
      <c r="E272" s="42">
        <v>0</v>
      </c>
      <c r="F272" s="42">
        <f>(D272+E272)*(($F$219)+1)</f>
        <v>1023.8716800000001</v>
      </c>
      <c r="G272" s="126" t="str">
        <f>A271</f>
        <v>Ground Floor For Commercial &amp; Parking</v>
      </c>
      <c r="H272" s="127"/>
      <c r="I272" s="36"/>
      <c r="L272" s="132"/>
      <c r="M272" s="132"/>
      <c r="N272" s="36"/>
    </row>
    <row r="273" spans="1:14" s="37" customFormat="1" ht="15.75" customHeight="1" x14ac:dyDescent="0.35">
      <c r="A273" s="124">
        <f t="shared" ref="A273:A279" si="15">A272+1</f>
        <v>2</v>
      </c>
      <c r="B273" s="125"/>
      <c r="C273" s="42" t="s">
        <v>189</v>
      </c>
      <c r="D273" s="55">
        <f>(55.67)*(10.764)</f>
        <v>599.23187999999993</v>
      </c>
      <c r="E273" s="42">
        <v>0</v>
      </c>
      <c r="F273" s="42">
        <f t="shared" ref="F273:F279" si="16">(D273+E273)*(($F$219)+1)</f>
        <v>958.77100799999994</v>
      </c>
      <c r="G273" s="128"/>
      <c r="H273" s="129"/>
      <c r="I273" s="36"/>
      <c r="L273" s="132"/>
      <c r="M273" s="132"/>
      <c r="N273" s="36"/>
    </row>
    <row r="274" spans="1:14" s="37" customFormat="1" ht="15.75" customHeight="1" x14ac:dyDescent="0.35">
      <c r="A274" s="124">
        <f t="shared" si="15"/>
        <v>3</v>
      </c>
      <c r="B274" s="125"/>
      <c r="C274" s="42" t="s">
        <v>189</v>
      </c>
      <c r="D274" s="55">
        <f>(62.27)*(10.764)</f>
        <v>670.27427999999998</v>
      </c>
      <c r="E274" s="42">
        <v>0</v>
      </c>
      <c r="F274" s="42">
        <f t="shared" si="16"/>
        <v>1072.438848</v>
      </c>
      <c r="G274" s="128"/>
      <c r="H274" s="129"/>
      <c r="I274" s="36"/>
      <c r="L274" s="132"/>
      <c r="M274" s="132"/>
      <c r="N274" s="36"/>
    </row>
    <row r="275" spans="1:14" s="37" customFormat="1" ht="15.75" customHeight="1" x14ac:dyDescent="0.35">
      <c r="A275" s="124">
        <f t="shared" si="15"/>
        <v>4</v>
      </c>
      <c r="B275" s="125"/>
      <c r="C275" s="42" t="s">
        <v>189</v>
      </c>
      <c r="D275" s="55">
        <f>(35.93)*(10.764)</f>
        <v>386.75051999999999</v>
      </c>
      <c r="E275" s="42">
        <v>0</v>
      </c>
      <c r="F275" s="42">
        <f t="shared" si="16"/>
        <v>618.80083200000001</v>
      </c>
      <c r="G275" s="128"/>
      <c r="H275" s="129"/>
      <c r="I275" s="36"/>
      <c r="L275" s="132"/>
      <c r="M275" s="132"/>
      <c r="N275" s="36"/>
    </row>
    <row r="276" spans="1:14" s="37" customFormat="1" ht="15.75" customHeight="1" x14ac:dyDescent="0.35">
      <c r="A276" s="124">
        <f t="shared" si="15"/>
        <v>5</v>
      </c>
      <c r="B276" s="125"/>
      <c r="C276" s="42" t="s">
        <v>189</v>
      </c>
      <c r="D276" s="55">
        <f>(45.28)*(10.764)</f>
        <v>487.39391999999998</v>
      </c>
      <c r="E276" s="42">
        <v>0</v>
      </c>
      <c r="F276" s="42">
        <f t="shared" si="16"/>
        <v>779.83027200000004</v>
      </c>
      <c r="G276" s="128"/>
      <c r="H276" s="129"/>
      <c r="I276" s="36"/>
      <c r="L276" s="132"/>
      <c r="M276" s="132"/>
      <c r="N276" s="36"/>
    </row>
    <row r="277" spans="1:14" s="37" customFormat="1" ht="15.75" customHeight="1" x14ac:dyDescent="0.35">
      <c r="A277" s="124">
        <f t="shared" si="15"/>
        <v>6</v>
      </c>
      <c r="B277" s="125"/>
      <c r="C277" s="42" t="s">
        <v>189</v>
      </c>
      <c r="D277" s="55">
        <f>(33.59)*(10.764)</f>
        <v>361.56276000000003</v>
      </c>
      <c r="E277" s="42">
        <v>0</v>
      </c>
      <c r="F277" s="42">
        <f t="shared" si="16"/>
        <v>578.50041600000009</v>
      </c>
      <c r="G277" s="128"/>
      <c r="H277" s="129"/>
      <c r="I277" s="36"/>
      <c r="L277" s="132"/>
      <c r="M277" s="132"/>
      <c r="N277" s="36"/>
    </row>
    <row r="278" spans="1:14" s="37" customFormat="1" ht="15.75" customHeight="1" x14ac:dyDescent="0.35">
      <c r="A278" s="124">
        <f t="shared" si="15"/>
        <v>7</v>
      </c>
      <c r="B278" s="125"/>
      <c r="C278" s="42" t="s">
        <v>189</v>
      </c>
      <c r="D278" s="55">
        <f>(62.27)*(10.764)</f>
        <v>670.27427999999998</v>
      </c>
      <c r="E278" s="42">
        <v>0</v>
      </c>
      <c r="F278" s="42">
        <f t="shared" si="16"/>
        <v>1072.438848</v>
      </c>
      <c r="G278" s="128"/>
      <c r="H278" s="129"/>
      <c r="I278" s="36"/>
      <c r="L278" s="132"/>
      <c r="M278" s="132"/>
      <c r="N278" s="36"/>
    </row>
    <row r="279" spans="1:14" s="37" customFormat="1" ht="15.75" customHeight="1" x14ac:dyDescent="0.35">
      <c r="A279" s="124">
        <f t="shared" si="15"/>
        <v>8</v>
      </c>
      <c r="B279" s="125"/>
      <c r="C279" s="42" t="s">
        <v>189</v>
      </c>
      <c r="D279" s="55">
        <f>(51.49)*(10.764)</f>
        <v>554.23835999999994</v>
      </c>
      <c r="E279" s="42">
        <v>0</v>
      </c>
      <c r="F279" s="42">
        <f t="shared" si="16"/>
        <v>886.78137599999991</v>
      </c>
      <c r="G279" s="130"/>
      <c r="H279" s="131"/>
      <c r="I279" s="36"/>
      <c r="L279" s="132"/>
      <c r="M279" s="132"/>
      <c r="N279" s="36"/>
    </row>
    <row r="280" spans="1:14" s="37" customFormat="1" x14ac:dyDescent="0.35">
      <c r="A280" s="172" t="s">
        <v>119</v>
      </c>
      <c r="B280" s="172"/>
      <c r="C280" s="172"/>
      <c r="D280" s="172"/>
      <c r="E280" s="172"/>
      <c r="F280" s="172"/>
      <c r="G280" s="172"/>
      <c r="H280" s="172"/>
      <c r="J280" s="36"/>
    </row>
    <row r="281" spans="1:14" s="37" customFormat="1" x14ac:dyDescent="0.35">
      <c r="A281" s="143">
        <v>1</v>
      </c>
      <c r="B281" s="143"/>
      <c r="C281" s="85" t="s">
        <v>189</v>
      </c>
      <c r="D281" s="55">
        <f>(49.55)*(10.764)</f>
        <v>533.35619999999994</v>
      </c>
      <c r="E281" s="85">
        <v>0</v>
      </c>
      <c r="F281" s="85">
        <f>(D281+E281)*(($F$219)+1)</f>
        <v>853.36991999999998</v>
      </c>
      <c r="G281" s="143" t="str">
        <f>A280</f>
        <v>2nd Floor</v>
      </c>
      <c r="H281" s="143"/>
      <c r="I281" s="36"/>
      <c r="L281" s="132"/>
      <c r="M281" s="132"/>
      <c r="N281" s="36"/>
    </row>
    <row r="282" spans="1:14" s="37" customFormat="1" x14ac:dyDescent="0.35">
      <c r="A282" s="143">
        <f t="shared" ref="A282:A288" si="17">A281+1</f>
        <v>2</v>
      </c>
      <c r="B282" s="143"/>
      <c r="C282" s="85" t="s">
        <v>189</v>
      </c>
      <c r="D282" s="55">
        <f>(46.12)*(10.764)</f>
        <v>496.43567999999993</v>
      </c>
      <c r="E282" s="85">
        <v>0</v>
      </c>
      <c r="F282" s="85">
        <f t="shared" ref="F282:F288" si="18">(D282+E282)*(($F$219)+1)</f>
        <v>794.29708799999992</v>
      </c>
      <c r="G282" s="143"/>
      <c r="H282" s="143"/>
      <c r="I282" s="36"/>
      <c r="L282" s="132"/>
      <c r="M282" s="132"/>
      <c r="N282" s="36"/>
    </row>
    <row r="283" spans="1:14" s="37" customFormat="1" x14ac:dyDescent="0.35">
      <c r="A283" s="143">
        <f t="shared" si="17"/>
        <v>3</v>
      </c>
      <c r="B283" s="143"/>
      <c r="C283" s="85" t="s">
        <v>189</v>
      </c>
      <c r="D283" s="55">
        <f>(51.14)*(10.764)</f>
        <v>550.47095999999999</v>
      </c>
      <c r="E283" s="85">
        <v>0</v>
      </c>
      <c r="F283" s="85">
        <f t="shared" si="18"/>
        <v>880.75353600000005</v>
      </c>
      <c r="G283" s="143"/>
      <c r="H283" s="143"/>
      <c r="I283" s="36"/>
      <c r="L283" s="132"/>
      <c r="M283" s="132"/>
      <c r="N283" s="36"/>
    </row>
    <row r="284" spans="1:14" s="37" customFormat="1" x14ac:dyDescent="0.35">
      <c r="A284" s="143">
        <f t="shared" si="17"/>
        <v>4</v>
      </c>
      <c r="B284" s="143"/>
      <c r="C284" s="85" t="s">
        <v>189</v>
      </c>
      <c r="D284" s="55">
        <f>(28.03)*(10.764)</f>
        <v>301.71492000000001</v>
      </c>
      <c r="E284" s="85">
        <v>0</v>
      </c>
      <c r="F284" s="85">
        <f t="shared" si="18"/>
        <v>482.74387200000001</v>
      </c>
      <c r="G284" s="143"/>
      <c r="H284" s="143"/>
      <c r="I284" s="36"/>
      <c r="L284" s="132"/>
      <c r="M284" s="132"/>
      <c r="N284" s="36"/>
    </row>
    <row r="285" spans="1:14" s="37" customFormat="1" x14ac:dyDescent="0.35">
      <c r="A285" s="143">
        <f t="shared" si="17"/>
        <v>5</v>
      </c>
      <c r="B285" s="143"/>
      <c r="C285" s="85" t="s">
        <v>189</v>
      </c>
      <c r="D285" s="55">
        <f>(36.17)*(10.764)</f>
        <v>389.33388000000002</v>
      </c>
      <c r="E285" s="85">
        <v>0</v>
      </c>
      <c r="F285" s="85">
        <f t="shared" si="18"/>
        <v>622.93420800000013</v>
      </c>
      <c r="G285" s="143"/>
      <c r="H285" s="143"/>
      <c r="I285" s="36"/>
      <c r="L285" s="132"/>
      <c r="M285" s="132"/>
      <c r="N285" s="36"/>
    </row>
    <row r="286" spans="1:14" s="37" customFormat="1" x14ac:dyDescent="0.35">
      <c r="A286" s="143">
        <f t="shared" si="17"/>
        <v>6</v>
      </c>
      <c r="B286" s="143"/>
      <c r="C286" s="85" t="s">
        <v>189</v>
      </c>
      <c r="D286" s="55">
        <f>(25.42)*(10.764)</f>
        <v>273.62088</v>
      </c>
      <c r="E286" s="85">
        <v>0</v>
      </c>
      <c r="F286" s="85">
        <f t="shared" si="18"/>
        <v>437.793408</v>
      </c>
      <c r="G286" s="143"/>
      <c r="H286" s="143"/>
      <c r="I286" s="36"/>
      <c r="L286" s="132"/>
      <c r="M286" s="132"/>
      <c r="N286" s="36"/>
    </row>
    <row r="287" spans="1:14" s="37" customFormat="1" x14ac:dyDescent="0.35">
      <c r="A287" s="143">
        <f t="shared" si="17"/>
        <v>7</v>
      </c>
      <c r="B287" s="143"/>
      <c r="C287" s="85" t="s">
        <v>189</v>
      </c>
      <c r="D287" s="55">
        <f>(51.15)*(10.764)</f>
        <v>550.57859999999994</v>
      </c>
      <c r="E287" s="85">
        <v>0</v>
      </c>
      <c r="F287" s="85">
        <f t="shared" si="18"/>
        <v>880.92575999999997</v>
      </c>
      <c r="G287" s="143"/>
      <c r="H287" s="143"/>
      <c r="I287" s="36"/>
      <c r="L287" s="132"/>
      <c r="M287" s="132"/>
      <c r="N287" s="36"/>
    </row>
    <row r="288" spans="1:14" s="37" customFormat="1" x14ac:dyDescent="0.35">
      <c r="A288" s="143">
        <f t="shared" si="17"/>
        <v>8</v>
      </c>
      <c r="B288" s="143"/>
      <c r="C288" s="85" t="s">
        <v>189</v>
      </c>
      <c r="D288" s="55">
        <f>(50.37)*(10.764)</f>
        <v>542.18267999999989</v>
      </c>
      <c r="E288" s="85">
        <v>0</v>
      </c>
      <c r="F288" s="85">
        <f t="shared" si="18"/>
        <v>867.49228799999992</v>
      </c>
      <c r="G288" s="143"/>
      <c r="H288" s="143"/>
      <c r="I288" s="36"/>
      <c r="L288" s="132"/>
      <c r="M288" s="132"/>
      <c r="N288" s="36"/>
    </row>
    <row r="289" spans="1:14" s="61" customFormat="1" x14ac:dyDescent="0.35">
      <c r="A289" s="155" t="s">
        <v>243</v>
      </c>
      <c r="B289" s="155"/>
      <c r="C289" s="155"/>
      <c r="D289" s="155"/>
      <c r="E289" s="155"/>
      <c r="F289" s="155"/>
      <c r="G289" s="155"/>
      <c r="H289" s="155"/>
      <c r="J289" s="36"/>
    </row>
    <row r="290" spans="1:14" s="61" customFormat="1" ht="15.75" customHeight="1" x14ac:dyDescent="0.35">
      <c r="A290" s="143">
        <v>1</v>
      </c>
      <c r="B290" s="143"/>
      <c r="C290" s="85" t="s">
        <v>189</v>
      </c>
      <c r="D290" s="55">
        <f>72*10.764</f>
        <v>775.00799999999992</v>
      </c>
      <c r="E290" s="85">
        <v>0</v>
      </c>
      <c r="F290" s="85">
        <f>(D290+E290)*(($F$219)+1)</f>
        <v>1240.0128</v>
      </c>
      <c r="G290" s="143" t="str">
        <f>A295</f>
        <v>1st Floor For Parking</v>
      </c>
      <c r="H290" s="143"/>
      <c r="I290" s="36"/>
      <c r="L290" s="132"/>
      <c r="M290" s="132"/>
      <c r="N290" s="36"/>
    </row>
    <row r="291" spans="1:14" s="61" customFormat="1" ht="15.75" customHeight="1" x14ac:dyDescent="0.35">
      <c r="A291" s="143">
        <f t="shared" ref="A291:A294" si="19">A290+1</f>
        <v>2</v>
      </c>
      <c r="B291" s="143"/>
      <c r="C291" s="85" t="s">
        <v>189</v>
      </c>
      <c r="D291" s="55">
        <f>36.205*10.764</f>
        <v>389.71061999999995</v>
      </c>
      <c r="E291" s="85">
        <v>0</v>
      </c>
      <c r="F291" s="85">
        <f>(D291+E291)*(($F$219)+1)</f>
        <v>623.53699199999994</v>
      </c>
      <c r="G291" s="143"/>
      <c r="H291" s="143"/>
      <c r="I291" s="36"/>
      <c r="L291" s="132"/>
      <c r="M291" s="132"/>
      <c r="N291" s="36"/>
    </row>
    <row r="292" spans="1:14" s="61" customFormat="1" ht="15.75" customHeight="1" x14ac:dyDescent="0.35">
      <c r="A292" s="143">
        <f t="shared" si="19"/>
        <v>3</v>
      </c>
      <c r="B292" s="143"/>
      <c r="C292" s="85" t="s">
        <v>189</v>
      </c>
      <c r="D292" s="55">
        <f>45.41*10.764</f>
        <v>488.79323999999991</v>
      </c>
      <c r="E292" s="85">
        <v>0</v>
      </c>
      <c r="F292" s="85">
        <f>(D292+E292)*(($F$219)+1)</f>
        <v>782.06918399999995</v>
      </c>
      <c r="G292" s="143"/>
      <c r="H292" s="143"/>
      <c r="I292" s="36"/>
      <c r="L292" s="132"/>
      <c r="M292" s="132"/>
      <c r="N292" s="36"/>
    </row>
    <row r="293" spans="1:14" s="61" customFormat="1" ht="15.75" customHeight="1" x14ac:dyDescent="0.35">
      <c r="A293" s="143">
        <f t="shared" si="19"/>
        <v>4</v>
      </c>
      <c r="B293" s="143"/>
      <c r="C293" s="85" t="s">
        <v>189</v>
      </c>
      <c r="D293" s="55">
        <f>33.914*10.764</f>
        <v>365.050296</v>
      </c>
      <c r="E293" s="85">
        <v>0</v>
      </c>
      <c r="F293" s="85">
        <f>(D293+E293)*(($F$219)+1)</f>
        <v>584.0804736</v>
      </c>
      <c r="G293" s="143"/>
      <c r="H293" s="143"/>
      <c r="I293" s="36"/>
      <c r="L293" s="132"/>
      <c r="M293" s="132"/>
      <c r="N293" s="36"/>
    </row>
    <row r="294" spans="1:14" s="61" customFormat="1" ht="15.75" customHeight="1" x14ac:dyDescent="0.35">
      <c r="A294" s="143">
        <f t="shared" si="19"/>
        <v>5</v>
      </c>
      <c r="B294" s="143"/>
      <c r="C294" s="85" t="s">
        <v>189</v>
      </c>
      <c r="D294" s="55">
        <f>120.188*10.764</f>
        <v>1293.703632</v>
      </c>
      <c r="E294" s="85">
        <v>0</v>
      </c>
      <c r="F294" s="85">
        <f>(D294+E294)*(($F$219)+1)</f>
        <v>2069.9258112000002</v>
      </c>
      <c r="G294" s="143"/>
      <c r="H294" s="143"/>
      <c r="I294" s="36"/>
      <c r="L294" s="132"/>
      <c r="M294" s="132"/>
      <c r="N294" s="36"/>
    </row>
    <row r="295" spans="1:14" s="61" customFormat="1" x14ac:dyDescent="0.35">
      <c r="A295" s="172" t="s">
        <v>244</v>
      </c>
      <c r="B295" s="172"/>
      <c r="C295" s="172"/>
      <c r="D295" s="172"/>
      <c r="E295" s="172"/>
      <c r="F295" s="172"/>
      <c r="G295" s="172"/>
      <c r="H295" s="172"/>
      <c r="J295" s="36"/>
    </row>
    <row r="296" spans="1:14" s="61" customFormat="1" x14ac:dyDescent="0.35">
      <c r="A296" s="121" t="s">
        <v>119</v>
      </c>
      <c r="B296" s="122"/>
      <c r="C296" s="122"/>
      <c r="D296" s="122"/>
      <c r="E296" s="122"/>
      <c r="F296" s="122"/>
      <c r="G296" s="122"/>
      <c r="H296" s="123"/>
      <c r="J296" s="36"/>
    </row>
    <row r="297" spans="1:14" s="61" customFormat="1" x14ac:dyDescent="0.35">
      <c r="A297" s="124">
        <v>1</v>
      </c>
      <c r="B297" s="125"/>
      <c r="C297" s="59" t="s">
        <v>189</v>
      </c>
      <c r="D297" s="55">
        <f>65.237*10.764</f>
        <v>702.21106799999995</v>
      </c>
      <c r="E297" s="59">
        <v>0</v>
      </c>
      <c r="F297" s="59">
        <f>(D297+E297)*(($F$219)+1)</f>
        <v>1123.5377088</v>
      </c>
      <c r="G297" s="126" t="str">
        <f>A296</f>
        <v>2nd Floor</v>
      </c>
      <c r="H297" s="127"/>
      <c r="I297" s="36"/>
      <c r="L297" s="132"/>
      <c r="M297" s="132"/>
      <c r="N297" s="36"/>
    </row>
    <row r="298" spans="1:14" s="61" customFormat="1" x14ac:dyDescent="0.35">
      <c r="A298" s="124">
        <f t="shared" ref="A298:A301" si="20">A297+1</f>
        <v>2</v>
      </c>
      <c r="B298" s="125"/>
      <c r="C298" s="59" t="s">
        <v>189</v>
      </c>
      <c r="D298" s="55">
        <f>28.035*10.764</f>
        <v>301.76873999999998</v>
      </c>
      <c r="E298" s="59">
        <v>0</v>
      </c>
      <c r="F298" s="59">
        <f>(D298+E298)*(($F$219)+1)</f>
        <v>482.82998399999997</v>
      </c>
      <c r="G298" s="128"/>
      <c r="H298" s="129"/>
      <c r="I298" s="36"/>
      <c r="L298" s="132"/>
      <c r="M298" s="132"/>
      <c r="N298" s="36"/>
    </row>
    <row r="299" spans="1:14" s="61" customFormat="1" x14ac:dyDescent="0.35">
      <c r="A299" s="124">
        <f t="shared" si="20"/>
        <v>3</v>
      </c>
      <c r="B299" s="125"/>
      <c r="C299" s="59" t="s">
        <v>189</v>
      </c>
      <c r="D299" s="55">
        <f>36.302*10.764</f>
        <v>390.754728</v>
      </c>
      <c r="E299" s="59">
        <v>0</v>
      </c>
      <c r="F299" s="59">
        <f>(D299+E299)*(($F$219)+1)</f>
        <v>625.2075648</v>
      </c>
      <c r="G299" s="128"/>
      <c r="H299" s="129"/>
      <c r="I299" s="36"/>
      <c r="L299" s="132"/>
      <c r="M299" s="132"/>
      <c r="N299" s="36"/>
    </row>
    <row r="300" spans="1:14" s="61" customFormat="1" x14ac:dyDescent="0.35">
      <c r="A300" s="124">
        <f t="shared" si="20"/>
        <v>4</v>
      </c>
      <c r="B300" s="125"/>
      <c r="C300" s="59" t="s">
        <v>189</v>
      </c>
      <c r="D300" s="55">
        <f>25.738*10.764</f>
        <v>277.04383199999995</v>
      </c>
      <c r="E300" s="59">
        <v>0</v>
      </c>
      <c r="F300" s="59">
        <f>(D300+E300)*(($F$219)+1)</f>
        <v>443.27013119999992</v>
      </c>
      <c r="G300" s="128"/>
      <c r="H300" s="129"/>
      <c r="I300" s="36"/>
      <c r="L300" s="132"/>
      <c r="M300" s="132"/>
      <c r="N300" s="36"/>
    </row>
    <row r="301" spans="1:14" s="61" customFormat="1" x14ac:dyDescent="0.35">
      <c r="A301" s="124">
        <f t="shared" si="20"/>
        <v>5</v>
      </c>
      <c r="B301" s="125"/>
      <c r="C301" s="59" t="s">
        <v>189</v>
      </c>
      <c r="D301" s="55">
        <f>120.186*10.764</f>
        <v>1293.682104</v>
      </c>
      <c r="E301" s="59">
        <v>0</v>
      </c>
      <c r="F301" s="59">
        <f>(D301+E301)*(($F$219)+1)</f>
        <v>2069.8913664000002</v>
      </c>
      <c r="G301" s="128"/>
      <c r="H301" s="129"/>
      <c r="I301" s="36"/>
      <c r="L301" s="132"/>
      <c r="M301" s="132"/>
      <c r="N301" s="36"/>
    </row>
    <row r="302" spans="1:14" s="37" customFormat="1" x14ac:dyDescent="0.35">
      <c r="A302" s="166" t="s">
        <v>210</v>
      </c>
      <c r="B302" s="167"/>
      <c r="C302" s="167"/>
      <c r="D302" s="167"/>
      <c r="E302" s="167"/>
      <c r="F302" s="167"/>
      <c r="G302" s="167"/>
      <c r="H302" s="168"/>
      <c r="J302" s="36"/>
    </row>
    <row r="303" spans="1:14" s="37" customFormat="1" ht="32.25" customHeight="1" x14ac:dyDescent="0.35">
      <c r="A303" s="169" t="s">
        <v>213</v>
      </c>
      <c r="B303" s="170"/>
      <c r="C303" s="170"/>
      <c r="D303" s="170"/>
      <c r="E303" s="170"/>
      <c r="F303" s="170"/>
      <c r="G303" s="170"/>
      <c r="H303" s="171"/>
      <c r="J303" s="36"/>
    </row>
    <row r="304" spans="1:14" s="37" customFormat="1" ht="15.75" customHeight="1" x14ac:dyDescent="0.35">
      <c r="A304" s="124">
        <v>1</v>
      </c>
      <c r="B304" s="125"/>
      <c r="C304" s="42" t="s">
        <v>189</v>
      </c>
      <c r="D304" s="55">
        <f>(118.93)*(10.764)</f>
        <v>1280.1625200000001</v>
      </c>
      <c r="E304" s="42">
        <v>0</v>
      </c>
      <c r="F304" s="42">
        <f>(D304+E304)*(($F$219)+1)</f>
        <v>2048.2600320000001</v>
      </c>
      <c r="G304" s="126" t="str">
        <f>A303</f>
        <v>Ground Floor For Commercial, Parking, Entrance Lobby, Society Office, Drivers Room &amp; Meter Room</v>
      </c>
      <c r="H304" s="127"/>
      <c r="I304" s="36"/>
      <c r="L304" s="132"/>
      <c r="M304" s="132"/>
      <c r="N304" s="36"/>
    </row>
    <row r="305" spans="1:14" s="37" customFormat="1" ht="15.75" customHeight="1" x14ac:dyDescent="0.35">
      <c r="A305" s="124">
        <f t="shared" ref="A305:A309" si="21">A304+1</f>
        <v>2</v>
      </c>
      <c r="B305" s="125"/>
      <c r="C305" s="42" t="s">
        <v>189</v>
      </c>
      <c r="D305" s="55">
        <f>(33.9)*(10.764)</f>
        <v>364.89959999999996</v>
      </c>
      <c r="E305" s="42">
        <v>0</v>
      </c>
      <c r="F305" s="42">
        <f t="shared" ref="F305:F309" si="22">(D305+E305)*(($F$219)+1)</f>
        <v>583.83935999999994</v>
      </c>
      <c r="G305" s="128"/>
      <c r="H305" s="129"/>
      <c r="I305" s="36"/>
      <c r="J305" s="56"/>
      <c r="L305" s="132"/>
      <c r="M305" s="132"/>
      <c r="N305" s="36"/>
    </row>
    <row r="306" spans="1:14" s="37" customFormat="1" ht="15.75" customHeight="1" x14ac:dyDescent="0.35">
      <c r="A306" s="124">
        <f t="shared" si="21"/>
        <v>3</v>
      </c>
      <c r="B306" s="125"/>
      <c r="C306" s="42" t="s">
        <v>189</v>
      </c>
      <c r="D306" s="55">
        <f>(47.06)*(10.764)</f>
        <v>506.55383999999998</v>
      </c>
      <c r="E306" s="42">
        <v>0</v>
      </c>
      <c r="F306" s="42">
        <f t="shared" si="22"/>
        <v>810.48614399999997</v>
      </c>
      <c r="G306" s="128"/>
      <c r="H306" s="129"/>
      <c r="I306" s="36"/>
      <c r="L306" s="132"/>
      <c r="M306" s="132"/>
      <c r="N306" s="36"/>
    </row>
    <row r="307" spans="1:14" s="37" customFormat="1" ht="15.75" customHeight="1" x14ac:dyDescent="0.35">
      <c r="A307" s="124">
        <f t="shared" si="21"/>
        <v>4</v>
      </c>
      <c r="B307" s="125"/>
      <c r="C307" s="42" t="s">
        <v>189</v>
      </c>
      <c r="D307" s="55">
        <f>(33.9)*(10.764)</f>
        <v>364.89959999999996</v>
      </c>
      <c r="E307" s="42">
        <v>0</v>
      </c>
      <c r="F307" s="42">
        <f t="shared" si="22"/>
        <v>583.83935999999994</v>
      </c>
      <c r="G307" s="128"/>
      <c r="H307" s="129"/>
      <c r="I307" s="36"/>
      <c r="L307" s="132"/>
      <c r="M307" s="132"/>
      <c r="N307" s="36"/>
    </row>
    <row r="308" spans="1:14" s="37" customFormat="1" ht="15.75" customHeight="1" x14ac:dyDescent="0.35">
      <c r="A308" s="124">
        <f t="shared" si="21"/>
        <v>5</v>
      </c>
      <c r="B308" s="125"/>
      <c r="C308" s="42" t="s">
        <v>189</v>
      </c>
      <c r="D308" s="55">
        <f>(72.24)*(10.764)</f>
        <v>777.5913599999999</v>
      </c>
      <c r="E308" s="42">
        <v>0</v>
      </c>
      <c r="F308" s="42">
        <f t="shared" si="22"/>
        <v>1244.146176</v>
      </c>
      <c r="G308" s="128"/>
      <c r="H308" s="129"/>
      <c r="I308" s="36"/>
      <c r="L308" s="132"/>
      <c r="M308" s="132"/>
      <c r="N308" s="36"/>
    </row>
    <row r="309" spans="1:14" s="37" customFormat="1" ht="15.75" customHeight="1" x14ac:dyDescent="0.35">
      <c r="A309" s="124">
        <f t="shared" si="21"/>
        <v>6</v>
      </c>
      <c r="B309" s="125"/>
      <c r="C309" s="42" t="s">
        <v>189</v>
      </c>
      <c r="D309" s="55">
        <f>(76.06)*(10.764)</f>
        <v>818.70983999999999</v>
      </c>
      <c r="E309" s="42">
        <v>0</v>
      </c>
      <c r="F309" s="42">
        <f t="shared" si="22"/>
        <v>1309.9357440000001</v>
      </c>
      <c r="G309" s="130"/>
      <c r="H309" s="131"/>
      <c r="I309" s="36"/>
      <c r="L309" s="132"/>
      <c r="M309" s="132"/>
      <c r="N309" s="36"/>
    </row>
    <row r="310" spans="1:14" s="37" customFormat="1" x14ac:dyDescent="0.35">
      <c r="A310" s="169" t="s">
        <v>215</v>
      </c>
      <c r="B310" s="170"/>
      <c r="C310" s="170"/>
      <c r="D310" s="170"/>
      <c r="E310" s="170"/>
      <c r="F310" s="170"/>
      <c r="G310" s="170"/>
      <c r="H310" s="171"/>
      <c r="J310" s="36"/>
    </row>
    <row r="311" spans="1:14" s="37" customFormat="1" ht="15.75" customHeight="1" x14ac:dyDescent="0.35">
      <c r="A311" s="124">
        <v>1</v>
      </c>
      <c r="B311" s="125"/>
      <c r="C311" s="124" t="s">
        <v>216</v>
      </c>
      <c r="D311" s="154"/>
      <c r="E311" s="154"/>
      <c r="F311" s="125"/>
      <c r="G311" s="126" t="str">
        <f>A310</f>
        <v>1st Floor</v>
      </c>
      <c r="H311" s="127"/>
      <c r="I311" s="36"/>
      <c r="L311" s="132"/>
      <c r="M311" s="132"/>
      <c r="N311" s="36"/>
    </row>
    <row r="312" spans="1:14" s="37" customFormat="1" ht="15.75" customHeight="1" x14ac:dyDescent="0.35">
      <c r="A312" s="124">
        <f t="shared" ref="A312:A316" si="23">A311+1</f>
        <v>2</v>
      </c>
      <c r="B312" s="125"/>
      <c r="C312" s="124" t="s">
        <v>217</v>
      </c>
      <c r="D312" s="154"/>
      <c r="E312" s="154"/>
      <c r="F312" s="125"/>
      <c r="G312" s="128"/>
      <c r="H312" s="129"/>
      <c r="I312" s="36"/>
      <c r="J312" s="56"/>
      <c r="L312" s="132"/>
      <c r="M312" s="132"/>
      <c r="N312" s="36"/>
    </row>
    <row r="313" spans="1:14" s="37" customFormat="1" ht="15.75" customHeight="1" x14ac:dyDescent="0.35">
      <c r="A313" s="124">
        <f t="shared" si="23"/>
        <v>3</v>
      </c>
      <c r="B313" s="125"/>
      <c r="C313" s="124" t="s">
        <v>218</v>
      </c>
      <c r="D313" s="154"/>
      <c r="E313" s="154"/>
      <c r="F313" s="125"/>
      <c r="G313" s="128"/>
      <c r="H313" s="129"/>
      <c r="I313" s="36"/>
      <c r="L313" s="132"/>
      <c r="M313" s="132"/>
      <c r="N313" s="36"/>
    </row>
    <row r="314" spans="1:14" s="37" customFormat="1" ht="15.75" customHeight="1" x14ac:dyDescent="0.35">
      <c r="A314" s="124">
        <f t="shared" si="23"/>
        <v>4</v>
      </c>
      <c r="B314" s="125"/>
      <c r="C314" s="124" t="s">
        <v>219</v>
      </c>
      <c r="D314" s="154"/>
      <c r="E314" s="154"/>
      <c r="F314" s="125"/>
      <c r="G314" s="128"/>
      <c r="H314" s="129"/>
      <c r="I314" s="36"/>
      <c r="L314" s="132"/>
      <c r="M314" s="132"/>
      <c r="N314" s="36"/>
    </row>
    <row r="315" spans="1:14" s="37" customFormat="1" ht="15.75" customHeight="1" x14ac:dyDescent="0.35">
      <c r="A315" s="124">
        <f t="shared" si="23"/>
        <v>5</v>
      </c>
      <c r="B315" s="125"/>
      <c r="C315" s="124" t="s">
        <v>220</v>
      </c>
      <c r="D315" s="154"/>
      <c r="E315" s="154"/>
      <c r="F315" s="125"/>
      <c r="G315" s="128"/>
      <c r="H315" s="129"/>
      <c r="I315" s="36"/>
      <c r="L315" s="132"/>
      <c r="M315" s="132"/>
      <c r="N315" s="36"/>
    </row>
    <row r="316" spans="1:14" s="37" customFormat="1" ht="15.75" customHeight="1" x14ac:dyDescent="0.35">
      <c r="A316" s="124">
        <f t="shared" si="23"/>
        <v>6</v>
      </c>
      <c r="B316" s="125"/>
      <c r="C316" s="124" t="s">
        <v>221</v>
      </c>
      <c r="D316" s="154"/>
      <c r="E316" s="154"/>
      <c r="F316" s="125"/>
      <c r="G316" s="130"/>
      <c r="H316" s="131"/>
      <c r="I316" s="36"/>
      <c r="L316" s="132"/>
      <c r="M316" s="132"/>
      <c r="N316" s="36"/>
    </row>
    <row r="317" spans="1:14" s="37" customFormat="1" ht="15.75" customHeight="1" x14ac:dyDescent="0.35">
      <c r="A317" s="121" t="s">
        <v>211</v>
      </c>
      <c r="B317" s="122"/>
      <c r="C317" s="122"/>
      <c r="D317" s="122"/>
      <c r="E317" s="122"/>
      <c r="F317" s="122"/>
      <c r="G317" s="122"/>
      <c r="H317" s="123"/>
      <c r="J317" s="36"/>
    </row>
    <row r="318" spans="1:14" s="37" customFormat="1" ht="15.75" customHeight="1" x14ac:dyDescent="0.35">
      <c r="A318" s="124">
        <v>101</v>
      </c>
      <c r="B318" s="125"/>
      <c r="C318" s="42" t="s">
        <v>189</v>
      </c>
      <c r="D318" s="55">
        <f>(119.93)*(10.764)</f>
        <v>1290.92652</v>
      </c>
      <c r="E318" s="42">
        <v>0</v>
      </c>
      <c r="F318" s="42">
        <f>(D318+E318)*(($F$219)+1)</f>
        <v>2065.4824320000002</v>
      </c>
      <c r="G318" s="126" t="str">
        <f>A317</f>
        <v>2nd Floor For Part Commercial</v>
      </c>
      <c r="H318" s="127"/>
      <c r="I318" s="36"/>
      <c r="L318" s="132"/>
      <c r="M318" s="132"/>
      <c r="N318" s="36"/>
    </row>
    <row r="319" spans="1:14" s="37" customFormat="1" ht="15.75" customHeight="1" x14ac:dyDescent="0.35">
      <c r="A319" s="124">
        <f t="shared" ref="A319:A323" si="24">A318+1</f>
        <v>102</v>
      </c>
      <c r="B319" s="125"/>
      <c r="C319" s="42" t="s">
        <v>189</v>
      </c>
      <c r="D319" s="55">
        <f>(25.73)*(10.764)</f>
        <v>276.95771999999999</v>
      </c>
      <c r="E319" s="42">
        <v>0</v>
      </c>
      <c r="F319" s="42">
        <f>(D319+E319)*(($F$219)+1)</f>
        <v>443.13235200000003</v>
      </c>
      <c r="G319" s="128"/>
      <c r="H319" s="129"/>
      <c r="I319" s="36"/>
      <c r="J319" s="56"/>
      <c r="L319" s="132"/>
      <c r="M319" s="132"/>
      <c r="N319" s="36"/>
    </row>
    <row r="320" spans="1:14" s="37" customFormat="1" ht="15.75" customHeight="1" x14ac:dyDescent="0.35">
      <c r="A320" s="124">
        <f t="shared" si="24"/>
        <v>103</v>
      </c>
      <c r="B320" s="125"/>
      <c r="C320" s="42" t="s">
        <v>189</v>
      </c>
      <c r="D320" s="55">
        <f>(37.98)*(10.764)</f>
        <v>408.81671999999992</v>
      </c>
      <c r="E320" s="42">
        <v>0</v>
      </c>
      <c r="F320" s="42">
        <f>(D320+E320)*(($F$219)+1)</f>
        <v>654.10675199999991</v>
      </c>
      <c r="G320" s="128"/>
      <c r="H320" s="129"/>
      <c r="I320" s="36"/>
      <c r="L320" s="132"/>
      <c r="M320" s="132"/>
      <c r="N320" s="36"/>
    </row>
    <row r="321" spans="1:14" s="37" customFormat="1" ht="15.75" customHeight="1" x14ac:dyDescent="0.35">
      <c r="A321" s="124">
        <f t="shared" si="24"/>
        <v>104</v>
      </c>
      <c r="B321" s="125"/>
      <c r="C321" s="42" t="s">
        <v>189</v>
      </c>
      <c r="D321" s="55">
        <f>(25.73)*(10.764)</f>
        <v>276.95771999999999</v>
      </c>
      <c r="E321" s="42">
        <v>0</v>
      </c>
      <c r="F321" s="42">
        <f>(D321+E321)*(($F$219)+1)</f>
        <v>443.13235200000003</v>
      </c>
      <c r="G321" s="128"/>
      <c r="H321" s="129"/>
      <c r="I321" s="36"/>
      <c r="L321" s="132"/>
      <c r="M321" s="132"/>
      <c r="N321" s="36"/>
    </row>
    <row r="322" spans="1:14" s="37" customFormat="1" ht="15.75" customHeight="1" x14ac:dyDescent="0.35">
      <c r="A322" s="124">
        <f t="shared" si="24"/>
        <v>105</v>
      </c>
      <c r="B322" s="125"/>
      <c r="C322" s="42" t="s">
        <v>189</v>
      </c>
      <c r="D322" s="55">
        <f>(64.79)*(10.764)</f>
        <v>697.39956000000006</v>
      </c>
      <c r="E322" s="42">
        <v>0</v>
      </c>
      <c r="F322" s="42">
        <f t="shared" ref="F322:F323" si="25">(D322+E322)*(($F$219)+1)</f>
        <v>1115.8392960000001</v>
      </c>
      <c r="G322" s="128"/>
      <c r="H322" s="129"/>
      <c r="I322" s="36"/>
      <c r="L322" s="132"/>
      <c r="M322" s="132"/>
      <c r="N322" s="36"/>
    </row>
    <row r="323" spans="1:14" s="37" customFormat="1" ht="15.75" customHeight="1" x14ac:dyDescent="0.35">
      <c r="A323" s="124">
        <f t="shared" si="24"/>
        <v>106</v>
      </c>
      <c r="B323" s="125"/>
      <c r="C323" s="42" t="s">
        <v>189</v>
      </c>
      <c r="D323" s="55">
        <f>(59.4)*(10.764)</f>
        <v>639.38159999999993</v>
      </c>
      <c r="E323" s="42">
        <v>0</v>
      </c>
      <c r="F323" s="42">
        <f t="shared" si="25"/>
        <v>1023.0105599999999</v>
      </c>
      <c r="G323" s="130"/>
      <c r="H323" s="131"/>
      <c r="I323" s="36"/>
      <c r="L323" s="132"/>
      <c r="M323" s="132"/>
      <c r="N323" s="36"/>
    </row>
    <row r="324" spans="1:14" s="58" customFormat="1" x14ac:dyDescent="0.35">
      <c r="A324" s="166" t="s">
        <v>237</v>
      </c>
      <c r="B324" s="167"/>
      <c r="C324" s="167"/>
      <c r="D324" s="167"/>
      <c r="E324" s="167"/>
      <c r="F324" s="167"/>
      <c r="G324" s="167"/>
      <c r="H324" s="168"/>
      <c r="J324" s="36"/>
    </row>
    <row r="325" spans="1:14" s="58" customFormat="1" ht="32.25" customHeight="1" x14ac:dyDescent="0.35">
      <c r="A325" s="178" t="s">
        <v>213</v>
      </c>
      <c r="B325" s="178"/>
      <c r="C325" s="178"/>
      <c r="D325" s="178"/>
      <c r="E325" s="178"/>
      <c r="F325" s="178"/>
      <c r="G325" s="178"/>
      <c r="H325" s="178"/>
      <c r="J325" s="36"/>
    </row>
    <row r="326" spans="1:14" s="58" customFormat="1" ht="15.75" customHeight="1" x14ac:dyDescent="0.35">
      <c r="A326" s="143">
        <v>7</v>
      </c>
      <c r="B326" s="143"/>
      <c r="C326" s="85" t="s">
        <v>189</v>
      </c>
      <c r="D326" s="55">
        <f>(54.79)*(10.764)</f>
        <v>589.75955999999996</v>
      </c>
      <c r="E326" s="85">
        <v>0</v>
      </c>
      <c r="F326" s="85">
        <f>(D326+E326)*(($F$219)+1)</f>
        <v>943.61529599999994</v>
      </c>
      <c r="G326" s="143" t="str">
        <f>A325</f>
        <v>Ground Floor For Commercial, Parking, Entrance Lobby, Society Office, Drivers Room &amp; Meter Room</v>
      </c>
      <c r="H326" s="143"/>
      <c r="I326" s="36"/>
      <c r="L326" s="132"/>
      <c r="M326" s="132"/>
      <c r="N326" s="36"/>
    </row>
    <row r="327" spans="1:14" s="58" customFormat="1" ht="15.75" customHeight="1" x14ac:dyDescent="0.35">
      <c r="A327" s="143">
        <f t="shared" ref="A327:A333" si="26">A326+1</f>
        <v>8</v>
      </c>
      <c r="B327" s="143"/>
      <c r="C327" s="85" t="s">
        <v>189</v>
      </c>
      <c r="D327" s="55">
        <f>(56)*(10.764)</f>
        <v>602.78399999999999</v>
      </c>
      <c r="E327" s="85">
        <v>0</v>
      </c>
      <c r="F327" s="85">
        <f t="shared" ref="F327:F331" si="27">(D327+E327)*(($F$219)+1)</f>
        <v>964.45440000000008</v>
      </c>
      <c r="G327" s="143"/>
      <c r="H327" s="143"/>
      <c r="I327" s="36"/>
      <c r="J327" s="56"/>
      <c r="L327" s="132"/>
      <c r="M327" s="132"/>
      <c r="N327" s="36"/>
    </row>
    <row r="328" spans="1:14" s="58" customFormat="1" ht="15.75" customHeight="1" x14ac:dyDescent="0.35">
      <c r="A328" s="143">
        <f t="shared" si="26"/>
        <v>9</v>
      </c>
      <c r="B328" s="143"/>
      <c r="C328" s="85" t="s">
        <v>189</v>
      </c>
      <c r="D328" s="55">
        <f>(82.37)*(10.764)</f>
        <v>886.63067999999998</v>
      </c>
      <c r="E328" s="85">
        <v>0</v>
      </c>
      <c r="F328" s="85">
        <f t="shared" si="27"/>
        <v>1418.6090880000002</v>
      </c>
      <c r="G328" s="143"/>
      <c r="H328" s="143"/>
      <c r="I328" s="36"/>
      <c r="L328" s="132"/>
      <c r="M328" s="132"/>
      <c r="N328" s="36"/>
    </row>
    <row r="329" spans="1:14" s="58" customFormat="1" ht="15.75" customHeight="1" x14ac:dyDescent="0.35">
      <c r="A329" s="143">
        <f t="shared" si="26"/>
        <v>10</v>
      </c>
      <c r="B329" s="143"/>
      <c r="C329" s="85" t="s">
        <v>189</v>
      </c>
      <c r="D329" s="55">
        <f>(36.21)*(10.764)</f>
        <v>389.76443999999998</v>
      </c>
      <c r="E329" s="85">
        <v>0</v>
      </c>
      <c r="F329" s="85">
        <f t="shared" si="27"/>
        <v>623.62310400000001</v>
      </c>
      <c r="G329" s="143"/>
      <c r="H329" s="143"/>
      <c r="I329" s="36"/>
      <c r="L329" s="132"/>
      <c r="M329" s="132"/>
      <c r="N329" s="36"/>
    </row>
    <row r="330" spans="1:14" s="58" customFormat="1" ht="15.75" customHeight="1" x14ac:dyDescent="0.35">
      <c r="A330" s="143">
        <f t="shared" si="26"/>
        <v>11</v>
      </c>
      <c r="B330" s="143"/>
      <c r="C330" s="85" t="s">
        <v>189</v>
      </c>
      <c r="D330" s="55">
        <f>(45.28)*(10.764)</f>
        <v>487.39391999999998</v>
      </c>
      <c r="E330" s="85">
        <v>0</v>
      </c>
      <c r="F330" s="85">
        <f t="shared" si="27"/>
        <v>779.83027200000004</v>
      </c>
      <c r="G330" s="143"/>
      <c r="H330" s="143"/>
      <c r="I330" s="36"/>
      <c r="L330" s="132"/>
      <c r="M330" s="132"/>
      <c r="N330" s="36"/>
    </row>
    <row r="331" spans="1:14" s="58" customFormat="1" ht="15.75" customHeight="1" x14ac:dyDescent="0.35">
      <c r="A331" s="143">
        <f t="shared" si="26"/>
        <v>12</v>
      </c>
      <c r="B331" s="143"/>
      <c r="C331" s="85" t="s">
        <v>189</v>
      </c>
      <c r="D331" s="55">
        <f>(33.91)*(10.764)</f>
        <v>365.00723999999997</v>
      </c>
      <c r="E331" s="85">
        <v>0</v>
      </c>
      <c r="F331" s="85">
        <f t="shared" si="27"/>
        <v>584.01158399999997</v>
      </c>
      <c r="G331" s="143"/>
      <c r="H331" s="143"/>
      <c r="I331" s="36"/>
      <c r="L331" s="132"/>
      <c r="M331" s="132"/>
      <c r="N331" s="36"/>
    </row>
    <row r="332" spans="1:14" s="58" customFormat="1" ht="15.75" customHeight="1" x14ac:dyDescent="0.35">
      <c r="A332" s="143">
        <f t="shared" si="26"/>
        <v>13</v>
      </c>
      <c r="B332" s="143"/>
      <c r="C332" s="85" t="s">
        <v>189</v>
      </c>
      <c r="D332" s="55">
        <f>(62.58)*(10.764)</f>
        <v>673.61111999999991</v>
      </c>
      <c r="E332" s="85">
        <v>0</v>
      </c>
      <c r="F332" s="85">
        <f t="shared" ref="F332:F333" si="28">(D332+E332)*(($F$219)+1)</f>
        <v>1077.7777919999999</v>
      </c>
      <c r="G332" s="143"/>
      <c r="H332" s="143"/>
      <c r="I332" s="36"/>
      <c r="L332" s="132"/>
      <c r="M332" s="132"/>
      <c r="N332" s="36"/>
    </row>
    <row r="333" spans="1:14" s="58" customFormat="1" ht="15.75" customHeight="1" x14ac:dyDescent="0.35">
      <c r="A333" s="143">
        <f t="shared" si="26"/>
        <v>14</v>
      </c>
      <c r="B333" s="143"/>
      <c r="C333" s="85" t="s">
        <v>189</v>
      </c>
      <c r="D333" s="55">
        <f>(64.63)*(10.764)</f>
        <v>695.6773199999999</v>
      </c>
      <c r="E333" s="85">
        <v>0</v>
      </c>
      <c r="F333" s="85">
        <f t="shared" si="28"/>
        <v>1113.0837119999999</v>
      </c>
      <c r="G333" s="143"/>
      <c r="H333" s="143"/>
      <c r="I333" s="36"/>
      <c r="L333" s="132"/>
      <c r="M333" s="132"/>
      <c r="N333" s="36"/>
    </row>
    <row r="334" spans="1:14" s="37" customFormat="1" x14ac:dyDescent="0.35">
      <c r="A334" s="143"/>
      <c r="B334" s="143"/>
      <c r="C334" s="143"/>
      <c r="D334" s="143"/>
      <c r="E334" s="143"/>
      <c r="F334" s="143"/>
      <c r="G334" s="143"/>
      <c r="H334" s="143"/>
      <c r="I334" s="36"/>
      <c r="N334" s="36"/>
    </row>
    <row r="335" spans="1:14" ht="47.25" customHeight="1" x14ac:dyDescent="0.35">
      <c r="A335" s="248" t="s">
        <v>122</v>
      </c>
      <c r="B335" s="248" t="s">
        <v>123</v>
      </c>
      <c r="C335" s="248" t="s">
        <v>58</v>
      </c>
      <c r="D335" s="248" t="s">
        <v>59</v>
      </c>
      <c r="E335" s="249" t="s">
        <v>60</v>
      </c>
      <c r="F335" s="250" t="s">
        <v>152</v>
      </c>
      <c r="G335" s="248" t="s">
        <v>61</v>
      </c>
      <c r="H335" s="248"/>
      <c r="I335" s="36"/>
    </row>
    <row r="336" spans="1:14" s="37" customFormat="1" x14ac:dyDescent="0.35">
      <c r="A336" s="248"/>
      <c r="B336" s="248"/>
      <c r="C336" s="248"/>
      <c r="D336" s="248"/>
      <c r="E336" s="249"/>
      <c r="F336" s="251">
        <v>0.5</v>
      </c>
      <c r="G336" s="248"/>
      <c r="H336" s="248"/>
      <c r="I336" s="36"/>
    </row>
    <row r="337" spans="1:14" s="37" customFormat="1" x14ac:dyDescent="0.35">
      <c r="A337" s="172" t="s">
        <v>190</v>
      </c>
      <c r="B337" s="172"/>
      <c r="C337" s="172"/>
      <c r="D337" s="172"/>
      <c r="E337" s="172"/>
      <c r="F337" s="172"/>
      <c r="G337" s="172"/>
      <c r="H337" s="172"/>
      <c r="J337" s="36"/>
    </row>
    <row r="338" spans="1:14" s="37" customFormat="1" x14ac:dyDescent="0.35">
      <c r="A338" s="166" t="s">
        <v>188</v>
      </c>
      <c r="B338" s="167"/>
      <c r="C338" s="167"/>
      <c r="D338" s="167"/>
      <c r="E338" s="167"/>
      <c r="F338" s="167"/>
      <c r="G338" s="167"/>
      <c r="H338" s="168"/>
      <c r="J338" s="36"/>
    </row>
    <row r="339" spans="1:14" s="37" customFormat="1" x14ac:dyDescent="0.35">
      <c r="A339" s="121" t="s">
        <v>203</v>
      </c>
      <c r="B339" s="122"/>
      <c r="C339" s="122"/>
      <c r="D339" s="122"/>
      <c r="E339" s="122"/>
      <c r="F339" s="122"/>
      <c r="G339" s="122"/>
      <c r="H339" s="123"/>
      <c r="J339" s="36"/>
    </row>
    <row r="340" spans="1:14" s="37" customFormat="1" ht="15.75" customHeight="1" x14ac:dyDescent="0.35">
      <c r="A340" s="124">
        <v>2</v>
      </c>
      <c r="B340" s="125"/>
      <c r="C340" s="54">
        <v>2</v>
      </c>
      <c r="D340" s="55">
        <f>(47.9+(2.88*0.75+1.5*0.75))*(10.746)</f>
        <v>550.03401000000008</v>
      </c>
      <c r="E340" s="42">
        <v>0</v>
      </c>
      <c r="F340" s="42">
        <f>D340*(($F$336)+1)+(IF(E340&lt;101,E340,IF(E340&lt;201,E340/2,IF(E340&lt;=301,E340/3,E340/4))))</f>
        <v>825.05101500000012</v>
      </c>
      <c r="G340" s="126" t="str">
        <f>A339</f>
        <v>1st Floor For Residential &amp; Parking</v>
      </c>
      <c r="H340" s="127"/>
      <c r="I340" s="36"/>
      <c r="J340" s="37">
        <f>2.88*4.11+2.05*2.4+2.25*1.05+2.74*3.21+2.82*3.5+1.97*1.21+2.13*1.21+2.7*0.9</f>
        <v>45.175699999999999</v>
      </c>
      <c r="K340" s="56"/>
      <c r="L340" s="132"/>
      <c r="M340" s="132"/>
      <c r="N340" s="36"/>
    </row>
    <row r="341" spans="1:14" s="37" customFormat="1" ht="15.75" customHeight="1" x14ac:dyDescent="0.35">
      <c r="A341" s="124">
        <v>5</v>
      </c>
      <c r="B341" s="125"/>
      <c r="C341" s="54">
        <v>2</v>
      </c>
      <c r="D341" s="55">
        <f>(47.9+(2.88*0.75+1.5*0.75))*(10.746)</f>
        <v>550.03401000000008</v>
      </c>
      <c r="E341" s="42">
        <v>0</v>
      </c>
      <c r="F341" s="42">
        <f>D341*(($F$336)+1)+(IF(E341&lt;101,E341,IF(E341&lt;201,E341/2,IF(E341&lt;=301,E341/3,E341/4))))</f>
        <v>825.05101500000012</v>
      </c>
      <c r="G341" s="130"/>
      <c r="H341" s="131"/>
      <c r="I341" s="36"/>
      <c r="L341" s="132"/>
      <c r="M341" s="132"/>
      <c r="N341" s="36"/>
    </row>
    <row r="342" spans="1:14" s="37" customFormat="1" x14ac:dyDescent="0.35">
      <c r="A342" s="121" t="s">
        <v>119</v>
      </c>
      <c r="B342" s="122"/>
      <c r="C342" s="122"/>
      <c r="D342" s="122"/>
      <c r="E342" s="122"/>
      <c r="F342" s="122"/>
      <c r="G342" s="122"/>
      <c r="H342" s="123"/>
      <c r="J342" s="36"/>
    </row>
    <row r="343" spans="1:14" s="37" customFormat="1" x14ac:dyDescent="0.35">
      <c r="A343" s="124">
        <v>2</v>
      </c>
      <c r="B343" s="125"/>
      <c r="C343" s="54">
        <v>2</v>
      </c>
      <c r="D343" s="55">
        <f>(47.9+(2.88*0.75+1.5*0.75))*(10.746)</f>
        <v>550.03401000000008</v>
      </c>
      <c r="E343" s="42">
        <v>0</v>
      </c>
      <c r="F343" s="42">
        <f>D343*(($F$336)+1)+(IF(E343&lt;101,E343,IF(E343&lt;201,E343/2,IF(E343&lt;=301,E343/3,E343/4))))</f>
        <v>825.05101500000012</v>
      </c>
      <c r="G343" s="126" t="str">
        <f>A342</f>
        <v>2nd Floor</v>
      </c>
      <c r="H343" s="127"/>
      <c r="I343" s="36"/>
      <c r="L343" s="132"/>
      <c r="M343" s="132"/>
      <c r="N343" s="36"/>
    </row>
    <row r="344" spans="1:14" s="37" customFormat="1" x14ac:dyDescent="0.35">
      <c r="A344" s="124">
        <f t="shared" ref="A344:A346" si="29">A343+1</f>
        <v>3</v>
      </c>
      <c r="B344" s="125"/>
      <c r="C344" s="54">
        <v>1</v>
      </c>
      <c r="D344" s="55">
        <f>(34.75+(2.81*0.75+1.5*0.75))*(10.746)</f>
        <v>408.15994500000005</v>
      </c>
      <c r="E344" s="42">
        <v>0</v>
      </c>
      <c r="F344" s="42">
        <f>D344*(($F$336)+1)+(IF(E344&lt;101,E344,IF(E344&lt;201,E344/2,IF(E344&lt;=301,E344/3,E344/4))))</f>
        <v>612.23991750000005</v>
      </c>
      <c r="G344" s="128"/>
      <c r="H344" s="129"/>
      <c r="I344" s="36"/>
      <c r="L344" s="132"/>
      <c r="M344" s="132"/>
      <c r="N344" s="36"/>
    </row>
    <row r="345" spans="1:14" s="37" customFormat="1" x14ac:dyDescent="0.35">
      <c r="A345" s="124">
        <f t="shared" si="29"/>
        <v>4</v>
      </c>
      <c r="B345" s="125"/>
      <c r="C345" s="54">
        <v>1</v>
      </c>
      <c r="D345" s="55">
        <f>(34.75+(2.81*0.75+1.5*0.75))*(10.746)</f>
        <v>408.15994500000005</v>
      </c>
      <c r="E345" s="42">
        <v>0</v>
      </c>
      <c r="F345" s="42">
        <f>D345*(($F$336)+1)+(IF(E345&lt;101,E345,IF(E345&lt;201,E345/2,IF(E345&lt;=301,E345/3,E345/4))))</f>
        <v>612.23991750000005</v>
      </c>
      <c r="G345" s="128"/>
      <c r="H345" s="129"/>
      <c r="I345" s="36"/>
      <c r="L345" s="132"/>
      <c r="M345" s="132"/>
      <c r="N345" s="36"/>
    </row>
    <row r="346" spans="1:14" s="37" customFormat="1" x14ac:dyDescent="0.35">
      <c r="A346" s="124">
        <f t="shared" si="29"/>
        <v>5</v>
      </c>
      <c r="B346" s="125"/>
      <c r="C346" s="54">
        <v>2</v>
      </c>
      <c r="D346" s="55">
        <f>(47.9+(2.88*0.75+1.5*0.75))*(10.746)</f>
        <v>550.03401000000008</v>
      </c>
      <c r="E346" s="42">
        <v>0</v>
      </c>
      <c r="F346" s="42">
        <f>D346*(($F$336)+1)+(IF(E346&lt;101,E346,IF(E346&lt;201,E346/2,IF(E346&lt;=301,E346/3,E346/4))))</f>
        <v>825.05101500000012</v>
      </c>
      <c r="G346" s="130"/>
      <c r="H346" s="131"/>
      <c r="I346" s="36"/>
      <c r="L346" s="132"/>
      <c r="M346" s="132"/>
      <c r="N346" s="36"/>
    </row>
    <row r="347" spans="1:14" s="37" customFormat="1" x14ac:dyDescent="0.35">
      <c r="A347" s="121" t="s">
        <v>191</v>
      </c>
      <c r="B347" s="122"/>
      <c r="C347" s="122"/>
      <c r="D347" s="122"/>
      <c r="E347" s="122"/>
      <c r="F347" s="122"/>
      <c r="G347" s="122"/>
      <c r="H347" s="123"/>
      <c r="J347" s="36"/>
    </row>
    <row r="348" spans="1:14" s="37" customFormat="1" x14ac:dyDescent="0.35">
      <c r="A348" s="124">
        <v>1</v>
      </c>
      <c r="B348" s="125"/>
      <c r="C348" s="54">
        <v>2</v>
      </c>
      <c r="D348" s="55">
        <f>(47.9+(2.88*0.75+1.5*0.75))*(10.746)</f>
        <v>550.03401000000008</v>
      </c>
      <c r="E348" s="42">
        <f>(1.535*8.5+2.885*8.8+3.385*6.5+2.715*7.5)*10.764</f>
        <v>869.736582</v>
      </c>
      <c r="F348" s="42">
        <f t="shared" ref="F348:F355" si="30">D348*(($F$336)+1)+(IF(E348&lt;101,E348,IF(E348&lt;201,E348/2,IF(E348&lt;=301,E348/3,E348/4))))</f>
        <v>1042.4851605000001</v>
      </c>
      <c r="G348" s="126" t="str">
        <f>A347</f>
        <v>3rd Floor</v>
      </c>
      <c r="H348" s="127"/>
      <c r="I348" s="36"/>
      <c r="L348" s="132"/>
      <c r="M348" s="132"/>
      <c r="N348" s="36"/>
    </row>
    <row r="349" spans="1:14" s="37" customFormat="1" x14ac:dyDescent="0.35">
      <c r="A349" s="124">
        <f t="shared" ref="A349:A355" si="31">A348+1</f>
        <v>2</v>
      </c>
      <c r="B349" s="125"/>
      <c r="C349" s="54">
        <v>2</v>
      </c>
      <c r="D349" s="55">
        <f>(47.9+(2.88*0.75+1.5*0.75))*(10.746)</f>
        <v>550.03401000000008</v>
      </c>
      <c r="E349" s="42">
        <v>0</v>
      </c>
      <c r="F349" s="42">
        <f t="shared" si="30"/>
        <v>825.05101500000012</v>
      </c>
      <c r="G349" s="128"/>
      <c r="H349" s="129"/>
      <c r="I349" s="36"/>
      <c r="L349" s="132"/>
      <c r="M349" s="132"/>
      <c r="N349" s="36"/>
    </row>
    <row r="350" spans="1:14" s="37" customFormat="1" x14ac:dyDescent="0.35">
      <c r="A350" s="124">
        <f t="shared" si="31"/>
        <v>3</v>
      </c>
      <c r="B350" s="125"/>
      <c r="C350" s="54">
        <v>1</v>
      </c>
      <c r="D350" s="55">
        <f>(34.75+(2.81*0.75+1.5*0.75))*(10.746)</f>
        <v>408.15994500000005</v>
      </c>
      <c r="E350" s="42">
        <v>0</v>
      </c>
      <c r="F350" s="42">
        <f t="shared" si="30"/>
        <v>612.23991750000005</v>
      </c>
      <c r="G350" s="128"/>
      <c r="H350" s="129"/>
      <c r="I350" s="36"/>
      <c r="J350" s="37">
        <f>3600000/F350</f>
        <v>5880.0478327191067</v>
      </c>
      <c r="L350" s="132"/>
      <c r="M350" s="132"/>
      <c r="N350" s="36"/>
    </row>
    <row r="351" spans="1:14" s="37" customFormat="1" x14ac:dyDescent="0.35">
      <c r="A351" s="124">
        <f t="shared" si="31"/>
        <v>4</v>
      </c>
      <c r="B351" s="125"/>
      <c r="C351" s="54">
        <v>1</v>
      </c>
      <c r="D351" s="55">
        <f>(34.75+(2.81*0.75+1.5*0.75))*(10.746)</f>
        <v>408.15994500000005</v>
      </c>
      <c r="E351" s="42">
        <v>0</v>
      </c>
      <c r="F351" s="42">
        <f t="shared" si="30"/>
        <v>612.23991750000005</v>
      </c>
      <c r="G351" s="128"/>
      <c r="H351" s="129"/>
      <c r="I351" s="36"/>
      <c r="L351" s="132"/>
      <c r="M351" s="132"/>
      <c r="N351" s="36"/>
    </row>
    <row r="352" spans="1:14" s="37" customFormat="1" x14ac:dyDescent="0.35">
      <c r="A352" s="124">
        <f t="shared" si="31"/>
        <v>5</v>
      </c>
      <c r="B352" s="125"/>
      <c r="C352" s="54">
        <v>2</v>
      </c>
      <c r="D352" s="55">
        <f>(47.9+(2.88*0.75+1.5*0.75))*(10.746)</f>
        <v>550.03401000000008</v>
      </c>
      <c r="E352" s="42">
        <v>0</v>
      </c>
      <c r="F352" s="42">
        <f t="shared" si="30"/>
        <v>825.05101500000012</v>
      </c>
      <c r="G352" s="128"/>
      <c r="H352" s="129"/>
      <c r="I352" s="36"/>
      <c r="L352" s="132"/>
      <c r="M352" s="132"/>
      <c r="N352" s="36"/>
    </row>
    <row r="353" spans="1:14" s="37" customFormat="1" x14ac:dyDescent="0.35">
      <c r="A353" s="124">
        <f t="shared" si="31"/>
        <v>6</v>
      </c>
      <c r="B353" s="125"/>
      <c r="C353" s="54">
        <v>2</v>
      </c>
      <c r="D353" s="55">
        <f>(47.9+(2.88*0.75+1.5*0.75))*(10.746)</f>
        <v>550.03401000000008</v>
      </c>
      <c r="E353" s="42">
        <f>(2.715*7.3+3.385*6.3+2.885*7.6+1.535*8.1)*10.764</f>
        <v>812.73043799999982</v>
      </c>
      <c r="F353" s="42">
        <f t="shared" si="30"/>
        <v>1028.2336245000001</v>
      </c>
      <c r="G353" s="128"/>
      <c r="H353" s="129"/>
      <c r="I353" s="36"/>
      <c r="L353" s="132"/>
      <c r="M353" s="132"/>
      <c r="N353" s="36"/>
    </row>
    <row r="354" spans="1:14" s="37" customFormat="1" x14ac:dyDescent="0.35">
      <c r="A354" s="124">
        <f t="shared" si="31"/>
        <v>7</v>
      </c>
      <c r="B354" s="125"/>
      <c r="C354" s="54">
        <v>1</v>
      </c>
      <c r="D354" s="55">
        <f>(34.75+(2.81*0.75+1.5*0.75))*(10.746)</f>
        <v>408.15994500000005</v>
      </c>
      <c r="E354" s="42">
        <f>(2.276*3.8+2.37*2.5+2.935*3.2)*10.764</f>
        <v>257.96787119999999</v>
      </c>
      <c r="F354" s="42">
        <f t="shared" si="30"/>
        <v>698.22920790000001</v>
      </c>
      <c r="G354" s="128"/>
      <c r="H354" s="129"/>
      <c r="I354" s="36"/>
      <c r="L354" s="132"/>
      <c r="M354" s="132"/>
      <c r="N354" s="36"/>
    </row>
    <row r="355" spans="1:14" s="37" customFormat="1" x14ac:dyDescent="0.35">
      <c r="A355" s="124">
        <f t="shared" si="31"/>
        <v>8</v>
      </c>
      <c r="B355" s="125"/>
      <c r="C355" s="54">
        <v>1</v>
      </c>
      <c r="D355" s="55">
        <f>(34.75+(2.81*0.75+1.5*0.75))*(10.746)</f>
        <v>408.15994500000005</v>
      </c>
      <c r="E355" s="42">
        <f>(2.276*3.8+2.37*2.5+2.935*3.2)*10.764</f>
        <v>257.96787119999999</v>
      </c>
      <c r="F355" s="42">
        <f t="shared" si="30"/>
        <v>698.22920790000001</v>
      </c>
      <c r="G355" s="130"/>
      <c r="H355" s="131"/>
      <c r="I355" s="36"/>
      <c r="L355" s="132"/>
      <c r="M355" s="132"/>
      <c r="N355" s="36"/>
    </row>
    <row r="356" spans="1:14" s="37" customFormat="1" x14ac:dyDescent="0.35">
      <c r="A356" s="121" t="s">
        <v>192</v>
      </c>
      <c r="B356" s="122"/>
      <c r="C356" s="122"/>
      <c r="D356" s="122"/>
      <c r="E356" s="122"/>
      <c r="F356" s="122"/>
      <c r="G356" s="122"/>
      <c r="H356" s="123"/>
      <c r="J356" s="36"/>
    </row>
    <row r="357" spans="1:14" s="37" customFormat="1" ht="15.75" customHeight="1" x14ac:dyDescent="0.35">
      <c r="A357" s="124">
        <v>1</v>
      </c>
      <c r="B357" s="125"/>
      <c r="C357" s="54">
        <v>2</v>
      </c>
      <c r="D357" s="55">
        <f>(47.9+(2.88*0.75+1.5*0.75))*(10.746)</f>
        <v>550.03401000000008</v>
      </c>
      <c r="E357" s="42">
        <v>0</v>
      </c>
      <c r="F357" s="42">
        <f t="shared" ref="F357:F364" si="32">D357*(($F$336)+1)+(IF(E357&lt;101,E357,IF(E357&lt;201,E357/2,IF(E357&lt;=301,E357/3,E357/4))))</f>
        <v>825.05101500000012</v>
      </c>
      <c r="G357" s="126" t="str">
        <f>A356</f>
        <v>4th to 7th, 9th to 12th, 14th to 17th, 19th to 23rd Floor</v>
      </c>
      <c r="H357" s="127"/>
      <c r="I357" s="36"/>
      <c r="L357" s="132"/>
      <c r="M357" s="132"/>
      <c r="N357" s="36"/>
    </row>
    <row r="358" spans="1:14" s="37" customFormat="1" ht="15.75" customHeight="1" x14ac:dyDescent="0.35">
      <c r="A358" s="124">
        <f t="shared" ref="A358:A364" si="33">A357+1</f>
        <v>2</v>
      </c>
      <c r="B358" s="125"/>
      <c r="C358" s="54">
        <v>2</v>
      </c>
      <c r="D358" s="55">
        <f>(47.9+(2.88*0.75+1.5*0.75))*(10.746)</f>
        <v>550.03401000000008</v>
      </c>
      <c r="E358" s="42">
        <v>0</v>
      </c>
      <c r="F358" s="42">
        <f t="shared" si="32"/>
        <v>825.05101500000012</v>
      </c>
      <c r="G358" s="128"/>
      <c r="H358" s="129"/>
      <c r="I358" s="36"/>
      <c r="L358" s="132"/>
      <c r="M358" s="132"/>
      <c r="N358" s="36"/>
    </row>
    <row r="359" spans="1:14" s="37" customFormat="1" ht="15.75" customHeight="1" x14ac:dyDescent="0.35">
      <c r="A359" s="124">
        <f t="shared" si="33"/>
        <v>3</v>
      </c>
      <c r="B359" s="125"/>
      <c r="C359" s="54">
        <v>1</v>
      </c>
      <c r="D359" s="55">
        <f>(34.75+(2.81*0.75+1.5*0.75))*(10.746)</f>
        <v>408.15994500000005</v>
      </c>
      <c r="E359" s="42">
        <v>0</v>
      </c>
      <c r="F359" s="42">
        <f t="shared" si="32"/>
        <v>612.23991750000005</v>
      </c>
      <c r="G359" s="128"/>
      <c r="H359" s="129"/>
      <c r="I359" s="36"/>
      <c r="L359" s="132"/>
      <c r="M359" s="132"/>
      <c r="N359" s="36"/>
    </row>
    <row r="360" spans="1:14" s="37" customFormat="1" ht="15.75" customHeight="1" x14ac:dyDescent="0.35">
      <c r="A360" s="124">
        <f t="shared" si="33"/>
        <v>4</v>
      </c>
      <c r="B360" s="125"/>
      <c r="C360" s="54">
        <v>1</v>
      </c>
      <c r="D360" s="55">
        <f>(34.75+(2.81*0.75+1.5*0.75))*(10.746)</f>
        <v>408.15994500000005</v>
      </c>
      <c r="E360" s="42">
        <v>0</v>
      </c>
      <c r="F360" s="42">
        <f t="shared" si="32"/>
        <v>612.23991750000005</v>
      </c>
      <c r="G360" s="128"/>
      <c r="H360" s="129"/>
      <c r="I360" s="36"/>
      <c r="L360" s="132"/>
      <c r="M360" s="132"/>
      <c r="N360" s="36"/>
    </row>
    <row r="361" spans="1:14" s="37" customFormat="1" ht="15.75" customHeight="1" x14ac:dyDescent="0.35">
      <c r="A361" s="124">
        <f t="shared" si="33"/>
        <v>5</v>
      </c>
      <c r="B361" s="125"/>
      <c r="C361" s="54">
        <v>2</v>
      </c>
      <c r="D361" s="55">
        <f>(47.9+(2.88*0.75+1.5*0.75))*(10.746)</f>
        <v>550.03401000000008</v>
      </c>
      <c r="E361" s="42">
        <v>0</v>
      </c>
      <c r="F361" s="42">
        <f t="shared" si="32"/>
        <v>825.05101500000012</v>
      </c>
      <c r="G361" s="128"/>
      <c r="H361" s="129"/>
      <c r="I361" s="36"/>
      <c r="L361" s="132"/>
      <c r="M361" s="132"/>
      <c r="N361" s="36"/>
    </row>
    <row r="362" spans="1:14" s="37" customFormat="1" ht="15.75" customHeight="1" x14ac:dyDescent="0.35">
      <c r="A362" s="124">
        <f t="shared" si="33"/>
        <v>6</v>
      </c>
      <c r="B362" s="125"/>
      <c r="C362" s="54">
        <v>2</v>
      </c>
      <c r="D362" s="55">
        <f>(47.9+(2.88*0.75+1.5*0.75))*(10.746)</f>
        <v>550.03401000000008</v>
      </c>
      <c r="E362" s="42">
        <v>0</v>
      </c>
      <c r="F362" s="42">
        <f t="shared" si="32"/>
        <v>825.05101500000012</v>
      </c>
      <c r="G362" s="128"/>
      <c r="H362" s="129"/>
      <c r="I362" s="36"/>
      <c r="L362" s="132"/>
      <c r="M362" s="132"/>
      <c r="N362" s="36"/>
    </row>
    <row r="363" spans="1:14" s="37" customFormat="1" ht="15.75" customHeight="1" x14ac:dyDescent="0.35">
      <c r="A363" s="124">
        <f t="shared" si="33"/>
        <v>7</v>
      </c>
      <c r="B363" s="125"/>
      <c r="C363" s="54">
        <v>1</v>
      </c>
      <c r="D363" s="55">
        <f>(34.75+(2.81*0.75+1.5*0.75))*(10.746)</f>
        <v>408.15994500000005</v>
      </c>
      <c r="E363" s="42">
        <v>0</v>
      </c>
      <c r="F363" s="42">
        <f t="shared" si="32"/>
        <v>612.23991750000005</v>
      </c>
      <c r="G363" s="128"/>
      <c r="H363" s="129"/>
      <c r="I363" s="36">
        <f>3700000/F363</f>
        <v>6043.3824947390822</v>
      </c>
      <c r="L363" s="132"/>
      <c r="M363" s="132"/>
      <c r="N363" s="36"/>
    </row>
    <row r="364" spans="1:14" s="37" customFormat="1" ht="15.75" customHeight="1" x14ac:dyDescent="0.35">
      <c r="A364" s="124">
        <f t="shared" si="33"/>
        <v>8</v>
      </c>
      <c r="B364" s="125"/>
      <c r="C364" s="54">
        <v>1</v>
      </c>
      <c r="D364" s="55">
        <f>(34.75+(2.81*0.75+1.5*0.75))*(10.746)</f>
        <v>408.15994500000005</v>
      </c>
      <c r="E364" s="42">
        <v>0</v>
      </c>
      <c r="F364" s="42">
        <f t="shared" si="32"/>
        <v>612.23991750000005</v>
      </c>
      <c r="G364" s="130"/>
      <c r="H364" s="131"/>
      <c r="I364" s="36"/>
      <c r="L364" s="132"/>
      <c r="M364" s="132"/>
      <c r="N364" s="36"/>
    </row>
    <row r="365" spans="1:14" s="37" customFormat="1" x14ac:dyDescent="0.35">
      <c r="A365" s="121" t="s">
        <v>194</v>
      </c>
      <c r="B365" s="122"/>
      <c r="C365" s="122"/>
      <c r="D365" s="122"/>
      <c r="E365" s="122"/>
      <c r="F365" s="122"/>
      <c r="G365" s="122"/>
      <c r="H365" s="123"/>
      <c r="J365" s="36"/>
    </row>
    <row r="366" spans="1:14" s="37" customFormat="1" ht="15.75" customHeight="1" x14ac:dyDescent="0.35">
      <c r="A366" s="124">
        <v>1</v>
      </c>
      <c r="B366" s="125"/>
      <c r="C366" s="54">
        <v>2</v>
      </c>
      <c r="D366" s="55">
        <f>(47.9+(2.88*0.75+1.5*0.75))*(10.746)</f>
        <v>550.03401000000008</v>
      </c>
      <c r="E366" s="42">
        <v>0</v>
      </c>
      <c r="F366" s="42">
        <f>D366*(($F$336)+1)+(IF(E366&lt;101,E366,IF(E366&lt;201,E366/2,IF(E366&lt;=301,E366/3,E366/4))))</f>
        <v>825.05101500000012</v>
      </c>
      <c r="G366" s="126" t="str">
        <f>A365</f>
        <v>8th, 13th &amp; 18th Floor (Part Refuge Area)</v>
      </c>
      <c r="H366" s="127"/>
      <c r="I366" s="36"/>
      <c r="J366" s="56"/>
      <c r="L366" s="132"/>
      <c r="M366" s="132"/>
      <c r="N366" s="36"/>
    </row>
    <row r="367" spans="1:14" s="37" customFormat="1" ht="15.75" customHeight="1" x14ac:dyDescent="0.35">
      <c r="A367" s="124">
        <f t="shared" ref="A367:A373" si="34">A366+1</f>
        <v>2</v>
      </c>
      <c r="B367" s="125"/>
      <c r="C367" s="54">
        <v>2</v>
      </c>
      <c r="D367" s="55">
        <f>(47.9+(2.88*0.75+1.5*0.75))*(10.746)</f>
        <v>550.03401000000008</v>
      </c>
      <c r="E367" s="42">
        <v>0</v>
      </c>
      <c r="F367" s="42">
        <f>D367*(($F$336)+1)+(IF(E367&lt;101,E367,IF(E367&lt;201,E367/2,IF(E367&lt;=301,E367/3,E367/4))))</f>
        <v>825.05101500000012</v>
      </c>
      <c r="G367" s="128"/>
      <c r="H367" s="129"/>
      <c r="I367" s="36"/>
      <c r="L367" s="132"/>
      <c r="M367" s="132"/>
      <c r="N367" s="36"/>
    </row>
    <row r="368" spans="1:14" s="37" customFormat="1" ht="15.75" customHeight="1" x14ac:dyDescent="0.35">
      <c r="A368" s="124">
        <f t="shared" si="34"/>
        <v>3</v>
      </c>
      <c r="B368" s="125"/>
      <c r="C368" s="54">
        <v>1</v>
      </c>
      <c r="D368" s="55">
        <f>(34.75+(2.81*0.75+1.5*0.75))*(10.746)</f>
        <v>408.15994500000005</v>
      </c>
      <c r="E368" s="42">
        <v>0</v>
      </c>
      <c r="F368" s="42">
        <f>D368*(($F$336)+1)+(IF(E368&lt;101,E368,IF(E368&lt;201,E368/2,IF(E368&lt;=301,E368/3,E368/4))))</f>
        <v>612.23991750000005</v>
      </c>
      <c r="G368" s="128"/>
      <c r="H368" s="129"/>
      <c r="I368" s="36"/>
      <c r="L368" s="132"/>
      <c r="M368" s="132"/>
      <c r="N368" s="36"/>
    </row>
    <row r="369" spans="1:14" s="37" customFormat="1" ht="15.75" customHeight="1" x14ac:dyDescent="0.35">
      <c r="A369" s="124">
        <f t="shared" si="34"/>
        <v>4</v>
      </c>
      <c r="B369" s="125"/>
      <c r="C369" s="133" t="s">
        <v>193</v>
      </c>
      <c r="D369" s="134"/>
      <c r="E369" s="134"/>
      <c r="F369" s="135"/>
      <c r="G369" s="128"/>
      <c r="H369" s="129"/>
      <c r="I369" s="36"/>
      <c r="L369" s="132"/>
      <c r="M369" s="132"/>
      <c r="N369" s="36"/>
    </row>
    <row r="370" spans="1:14" s="37" customFormat="1" ht="15.75" customHeight="1" x14ac:dyDescent="0.35">
      <c r="A370" s="124">
        <f t="shared" si="34"/>
        <v>5</v>
      </c>
      <c r="B370" s="125"/>
      <c r="C370" s="54">
        <v>2</v>
      </c>
      <c r="D370" s="55">
        <f>(47.9+(2.88*0.75+1.5*0.75))*(10.746)</f>
        <v>550.03401000000008</v>
      </c>
      <c r="E370" s="42">
        <v>0</v>
      </c>
      <c r="F370" s="42">
        <f>D370*(($F$336)+1)+(IF(E370&lt;101,E370,IF(E370&lt;201,E370/2,IF(E370&lt;=301,E370/3,E370/4))))</f>
        <v>825.05101500000012</v>
      </c>
      <c r="G370" s="128"/>
      <c r="H370" s="129"/>
      <c r="I370" s="36"/>
      <c r="L370" s="132"/>
      <c r="M370" s="132"/>
      <c r="N370" s="36"/>
    </row>
    <row r="371" spans="1:14" s="37" customFormat="1" ht="15.75" customHeight="1" x14ac:dyDescent="0.35">
      <c r="A371" s="124">
        <f t="shared" si="34"/>
        <v>6</v>
      </c>
      <c r="B371" s="125"/>
      <c r="C371" s="54">
        <v>2</v>
      </c>
      <c r="D371" s="55">
        <f>(47.9+(2.88*0.75+1.5*0.75))*(10.746)</f>
        <v>550.03401000000008</v>
      </c>
      <c r="E371" s="42">
        <v>0</v>
      </c>
      <c r="F371" s="42">
        <f>D371*(($F$336)+1)+(IF(E371&lt;101,E371,IF(E371&lt;201,E371/2,IF(E371&lt;=301,E371/3,E371/4))))</f>
        <v>825.05101500000012</v>
      </c>
      <c r="G371" s="128"/>
      <c r="H371" s="129"/>
      <c r="I371" s="36"/>
      <c r="L371" s="132"/>
      <c r="M371" s="132"/>
      <c r="N371" s="36"/>
    </row>
    <row r="372" spans="1:14" s="37" customFormat="1" ht="15.75" customHeight="1" x14ac:dyDescent="0.35">
      <c r="A372" s="124">
        <f t="shared" si="34"/>
        <v>7</v>
      </c>
      <c r="B372" s="125"/>
      <c r="C372" s="54">
        <v>1</v>
      </c>
      <c r="D372" s="55">
        <f>(34.75+(2.81*0.75+1.5*0.75))*(10.746)</f>
        <v>408.15994500000005</v>
      </c>
      <c r="E372" s="42">
        <v>0</v>
      </c>
      <c r="F372" s="42">
        <f>D372*(($F$336)+1)+(IF(E372&lt;101,E372,IF(E372&lt;201,E372/2,IF(E372&lt;=301,E372/3,E372/4))))</f>
        <v>612.23991750000005</v>
      </c>
      <c r="G372" s="128"/>
      <c r="H372" s="129"/>
      <c r="I372" s="36"/>
      <c r="L372" s="132"/>
      <c r="M372" s="132"/>
      <c r="N372" s="36"/>
    </row>
    <row r="373" spans="1:14" s="37" customFormat="1" ht="15.75" customHeight="1" x14ac:dyDescent="0.35">
      <c r="A373" s="124">
        <f t="shared" si="34"/>
        <v>8</v>
      </c>
      <c r="B373" s="125"/>
      <c r="C373" s="54">
        <v>1</v>
      </c>
      <c r="D373" s="55">
        <f>(34.75+(2.81*0.75+1.5*0.75))*(10.746)</f>
        <v>408.15994500000005</v>
      </c>
      <c r="E373" s="42">
        <v>0</v>
      </c>
      <c r="F373" s="42">
        <f>D373*(($F$336)+1)+(IF(E373&lt;101,E373,IF(E373&lt;201,E373/2,IF(E373&lt;=301,E373/3,E373/4))))</f>
        <v>612.23991750000005</v>
      </c>
      <c r="G373" s="130"/>
      <c r="H373" s="131"/>
      <c r="I373" s="36"/>
      <c r="L373" s="132"/>
      <c r="M373" s="132"/>
      <c r="N373" s="36"/>
    </row>
    <row r="374" spans="1:14" s="37" customFormat="1" x14ac:dyDescent="0.35">
      <c r="A374" s="155" t="s">
        <v>195</v>
      </c>
      <c r="B374" s="155"/>
      <c r="C374" s="155"/>
      <c r="D374" s="155"/>
      <c r="E374" s="155"/>
      <c r="F374" s="155"/>
      <c r="G374" s="155"/>
      <c r="H374" s="155"/>
      <c r="J374" s="36"/>
    </row>
    <row r="375" spans="1:14" s="37" customFormat="1" x14ac:dyDescent="0.35">
      <c r="A375" s="172" t="s">
        <v>203</v>
      </c>
      <c r="B375" s="172"/>
      <c r="C375" s="172"/>
      <c r="D375" s="172"/>
      <c r="E375" s="172"/>
      <c r="F375" s="172"/>
      <c r="G375" s="172"/>
      <c r="H375" s="172"/>
      <c r="J375" s="36"/>
    </row>
    <row r="376" spans="1:14" s="37" customFormat="1" ht="15.75" customHeight="1" x14ac:dyDescent="0.35">
      <c r="A376" s="143">
        <v>2</v>
      </c>
      <c r="B376" s="143"/>
      <c r="C376" s="54">
        <v>2</v>
      </c>
      <c r="D376" s="55">
        <f>(47.9+(2.88*0.75+1.5*0.75))*(10.746)</f>
        <v>550.03401000000008</v>
      </c>
      <c r="E376" s="59">
        <v>0</v>
      </c>
      <c r="F376" s="59">
        <f>D376*(($F$336)+1)+(IF(E376&lt;101,E376,IF(E376&lt;201,E376/2,IF(E376&lt;=301,E376/3,E376/4))))</f>
        <v>825.05101500000012</v>
      </c>
      <c r="G376" s="143" t="str">
        <f>A375</f>
        <v>1st Floor For Residential &amp; Parking</v>
      </c>
      <c r="H376" s="143"/>
      <c r="I376" s="36"/>
      <c r="L376" s="132"/>
      <c r="M376" s="132"/>
      <c r="N376" s="36"/>
    </row>
    <row r="377" spans="1:14" s="37" customFormat="1" ht="15.75" customHeight="1" x14ac:dyDescent="0.35">
      <c r="A377" s="143">
        <v>5</v>
      </c>
      <c r="B377" s="143"/>
      <c r="C377" s="54">
        <v>2</v>
      </c>
      <c r="D377" s="55">
        <f>(47.9+(2.88*0.75+1.5*0.75))*(10.746)</f>
        <v>550.03401000000008</v>
      </c>
      <c r="E377" s="59">
        <v>0</v>
      </c>
      <c r="F377" s="59">
        <f>D377*(($F$336)+1)+(IF(E377&lt;101,E377,IF(E377&lt;201,E377/2,IF(E377&lt;=301,E377/3,E377/4))))</f>
        <v>825.05101500000012</v>
      </c>
      <c r="G377" s="143"/>
      <c r="H377" s="143"/>
      <c r="I377" s="36"/>
      <c r="L377" s="132"/>
      <c r="M377" s="132"/>
      <c r="N377" s="36"/>
    </row>
    <row r="378" spans="1:14" s="37" customFormat="1" x14ac:dyDescent="0.35">
      <c r="A378" s="172" t="s">
        <v>119</v>
      </c>
      <c r="B378" s="172"/>
      <c r="C378" s="172"/>
      <c r="D378" s="172"/>
      <c r="E378" s="172"/>
      <c r="F378" s="172"/>
      <c r="G378" s="172"/>
      <c r="H378" s="172"/>
      <c r="J378" s="36"/>
    </row>
    <row r="379" spans="1:14" s="37" customFormat="1" x14ac:dyDescent="0.35">
      <c r="A379" s="143">
        <v>2</v>
      </c>
      <c r="B379" s="143"/>
      <c r="C379" s="54">
        <v>2</v>
      </c>
      <c r="D379" s="55">
        <f>(47.9+(2.88*0.75+1.5*0.75))*(10.746)</f>
        <v>550.03401000000008</v>
      </c>
      <c r="E379" s="59">
        <v>0</v>
      </c>
      <c r="F379" s="59">
        <f>D379*(($F$336)+1)+(IF(E379&lt;101,E379,IF(E379&lt;201,E379/2,IF(E379&lt;=301,E379/3,E379/4))))</f>
        <v>825.05101500000012</v>
      </c>
      <c r="G379" s="143" t="str">
        <f>A378</f>
        <v>2nd Floor</v>
      </c>
      <c r="H379" s="143"/>
      <c r="I379" s="36"/>
      <c r="L379" s="132"/>
      <c r="M379" s="132"/>
      <c r="N379" s="36"/>
    </row>
    <row r="380" spans="1:14" s="37" customFormat="1" x14ac:dyDescent="0.35">
      <c r="A380" s="143">
        <f t="shared" ref="A380:A382" si="35">A379+1</f>
        <v>3</v>
      </c>
      <c r="B380" s="143"/>
      <c r="C380" s="54">
        <v>1</v>
      </c>
      <c r="D380" s="55">
        <f>(34.75+(2.81*0.75+1.5*0.75))*(10.746)</f>
        <v>408.15994500000005</v>
      </c>
      <c r="E380" s="59">
        <v>0</v>
      </c>
      <c r="F380" s="59">
        <f>D380*(($F$336)+1)+(IF(E380&lt;101,E380,IF(E380&lt;201,E380/2,IF(E380&lt;=301,E380/3,E380/4))))</f>
        <v>612.23991750000005</v>
      </c>
      <c r="G380" s="143"/>
      <c r="H380" s="143"/>
      <c r="I380" s="36"/>
      <c r="L380" s="132"/>
      <c r="M380" s="132"/>
      <c r="N380" s="36"/>
    </row>
    <row r="381" spans="1:14" s="37" customFormat="1" x14ac:dyDescent="0.35">
      <c r="A381" s="143">
        <f t="shared" si="35"/>
        <v>4</v>
      </c>
      <c r="B381" s="143"/>
      <c r="C381" s="54">
        <v>1</v>
      </c>
      <c r="D381" s="55">
        <f>(34.75+(2.81*0.75+1.5*0.75))*(10.746)</f>
        <v>408.15994500000005</v>
      </c>
      <c r="E381" s="59">
        <v>0</v>
      </c>
      <c r="F381" s="59">
        <f>D381*(($F$336)+1)+(IF(E381&lt;101,E381,IF(E381&lt;201,E381/2,IF(E381&lt;=301,E381/3,E381/4))))</f>
        <v>612.23991750000005</v>
      </c>
      <c r="G381" s="143"/>
      <c r="H381" s="143"/>
      <c r="I381" s="36"/>
      <c r="L381" s="132"/>
      <c r="M381" s="132"/>
      <c r="N381" s="36"/>
    </row>
    <row r="382" spans="1:14" s="37" customFormat="1" x14ac:dyDescent="0.35">
      <c r="A382" s="143">
        <f t="shared" si="35"/>
        <v>5</v>
      </c>
      <c r="B382" s="143"/>
      <c r="C382" s="54">
        <v>2</v>
      </c>
      <c r="D382" s="55">
        <f>(47.9+(2.88*0.75+1.5*0.75))*(10.746)</f>
        <v>550.03401000000008</v>
      </c>
      <c r="E382" s="59">
        <v>0</v>
      </c>
      <c r="F382" s="59">
        <f>D382*(($F$336)+1)+(IF(E382&lt;101,E382,IF(E382&lt;201,E382/2,IF(E382&lt;=301,E382/3,E382/4))))</f>
        <v>825.05101500000012</v>
      </c>
      <c r="G382" s="143"/>
      <c r="H382" s="143"/>
      <c r="I382" s="36"/>
      <c r="L382" s="132"/>
      <c r="M382" s="132"/>
      <c r="N382" s="36"/>
    </row>
    <row r="383" spans="1:14" s="37" customFormat="1" x14ac:dyDescent="0.35">
      <c r="A383" s="121" t="s">
        <v>191</v>
      </c>
      <c r="B383" s="122"/>
      <c r="C383" s="122"/>
      <c r="D383" s="122"/>
      <c r="E383" s="122"/>
      <c r="F383" s="122"/>
      <c r="G383" s="122"/>
      <c r="H383" s="123"/>
      <c r="J383" s="36"/>
    </row>
    <row r="384" spans="1:14" s="37" customFormat="1" x14ac:dyDescent="0.35">
      <c r="A384" s="124">
        <v>1</v>
      </c>
      <c r="B384" s="125"/>
      <c r="C384" s="54">
        <v>2</v>
      </c>
      <c r="D384" s="55">
        <f>(47.9+(2.88*0.75+1.5*0.75))*(10.746)</f>
        <v>550.03401000000008</v>
      </c>
      <c r="E384" s="42">
        <f>(10.52*6+4.3*1.3+2.5*0.8+1.5*0.5+12*1)*10.764</f>
        <v>898.36343999999985</v>
      </c>
      <c r="F384" s="42">
        <f t="shared" ref="F384:F391" si="36">D384*(($F$336)+1)+(IF(E384&lt;101,E384,IF(E384&lt;201,E384/2,IF(E384&lt;=301,E384/3,E384/4))))</f>
        <v>1049.641875</v>
      </c>
      <c r="G384" s="126" t="str">
        <f>A383</f>
        <v>3rd Floor</v>
      </c>
      <c r="H384" s="127"/>
      <c r="I384" s="36"/>
      <c r="L384" s="132"/>
      <c r="M384" s="132"/>
      <c r="N384" s="36"/>
    </row>
    <row r="385" spans="1:14" s="37" customFormat="1" x14ac:dyDescent="0.35">
      <c r="A385" s="124">
        <f t="shared" ref="A385:A391" si="37">A384+1</f>
        <v>2</v>
      </c>
      <c r="B385" s="125"/>
      <c r="C385" s="54">
        <v>2</v>
      </c>
      <c r="D385" s="55">
        <f>(47.9+(2.88*0.75+1.5*0.75))*(10.746)</f>
        <v>550.03401000000008</v>
      </c>
      <c r="E385" s="42">
        <v>0</v>
      </c>
      <c r="F385" s="42">
        <f t="shared" si="36"/>
        <v>825.05101500000012</v>
      </c>
      <c r="G385" s="128"/>
      <c r="H385" s="129"/>
      <c r="I385" s="36"/>
      <c r="L385" s="132"/>
      <c r="M385" s="132"/>
      <c r="N385" s="36"/>
    </row>
    <row r="386" spans="1:14" s="37" customFormat="1" x14ac:dyDescent="0.35">
      <c r="A386" s="124">
        <f t="shared" si="37"/>
        <v>3</v>
      </c>
      <c r="B386" s="125"/>
      <c r="C386" s="54">
        <v>1</v>
      </c>
      <c r="D386" s="55">
        <f>(34.75+(2.81*0.75+1.5*0.75))*(10.746)</f>
        <v>408.15994500000005</v>
      </c>
      <c r="E386" s="42">
        <v>0</v>
      </c>
      <c r="F386" s="42">
        <f t="shared" si="36"/>
        <v>612.23991750000005</v>
      </c>
      <c r="G386" s="128"/>
      <c r="H386" s="129"/>
      <c r="I386" s="36"/>
      <c r="L386" s="132"/>
      <c r="M386" s="132"/>
      <c r="N386" s="36"/>
    </row>
    <row r="387" spans="1:14" s="37" customFormat="1" x14ac:dyDescent="0.35">
      <c r="A387" s="124">
        <f t="shared" si="37"/>
        <v>4</v>
      </c>
      <c r="B387" s="125"/>
      <c r="C387" s="54">
        <v>1</v>
      </c>
      <c r="D387" s="55">
        <f>(34.75+(2.81*0.75+1.5*0.75))*(10.746)</f>
        <v>408.15994500000005</v>
      </c>
      <c r="E387" s="42">
        <v>0</v>
      </c>
      <c r="F387" s="42">
        <f t="shared" si="36"/>
        <v>612.23991750000005</v>
      </c>
      <c r="G387" s="128"/>
      <c r="H387" s="129"/>
      <c r="I387" s="36"/>
      <c r="L387" s="132"/>
      <c r="M387" s="132"/>
      <c r="N387" s="36"/>
    </row>
    <row r="388" spans="1:14" s="37" customFormat="1" x14ac:dyDescent="0.35">
      <c r="A388" s="124">
        <f t="shared" si="37"/>
        <v>5</v>
      </c>
      <c r="B388" s="125"/>
      <c r="C388" s="54">
        <v>2</v>
      </c>
      <c r="D388" s="55">
        <f>(47.9+(2.88*0.75+1.5*0.75))*(10.746)</f>
        <v>550.03401000000008</v>
      </c>
      <c r="E388" s="42">
        <v>0</v>
      </c>
      <c r="F388" s="42">
        <f t="shared" si="36"/>
        <v>825.05101500000012</v>
      </c>
      <c r="G388" s="128"/>
      <c r="H388" s="129"/>
      <c r="I388" s="36"/>
      <c r="L388" s="132"/>
      <c r="M388" s="132"/>
      <c r="N388" s="36"/>
    </row>
    <row r="389" spans="1:14" s="37" customFormat="1" x14ac:dyDescent="0.35">
      <c r="A389" s="124">
        <f t="shared" si="37"/>
        <v>6</v>
      </c>
      <c r="B389" s="125"/>
      <c r="C389" s="54">
        <v>2</v>
      </c>
      <c r="D389" s="55">
        <f>(47.9+(2.88*0.75+1.5*0.75))*(10.746)</f>
        <v>550.03401000000008</v>
      </c>
      <c r="E389" s="42">
        <f>(5.9*11.9+10.52*6+4.3*1.3+2.5*0.8+1.5*0.5)*10.746</f>
        <v>1522.3858200000002</v>
      </c>
      <c r="F389" s="42">
        <f t="shared" si="36"/>
        <v>1205.6474700000001</v>
      </c>
      <c r="G389" s="128"/>
      <c r="H389" s="129"/>
      <c r="I389" s="36"/>
      <c r="L389" s="132"/>
      <c r="M389" s="132"/>
      <c r="N389" s="36"/>
    </row>
    <row r="390" spans="1:14" s="37" customFormat="1" x14ac:dyDescent="0.35">
      <c r="A390" s="124">
        <f t="shared" si="37"/>
        <v>7</v>
      </c>
      <c r="B390" s="125"/>
      <c r="C390" s="54">
        <v>1</v>
      </c>
      <c r="D390" s="55">
        <f>(34.75+(2.81*0.75+1.5*0.75))*(10.746)</f>
        <v>408.15994500000005</v>
      </c>
      <c r="E390" s="42">
        <f>(8.06*3.4+2.8*1.4+2.5*0.5)*10.764</f>
        <v>350.62653599999993</v>
      </c>
      <c r="F390" s="42">
        <f t="shared" si="36"/>
        <v>699.89655149999999</v>
      </c>
      <c r="G390" s="128"/>
      <c r="H390" s="129"/>
      <c r="I390" s="36"/>
      <c r="L390" s="132"/>
      <c r="M390" s="132"/>
      <c r="N390" s="36"/>
    </row>
    <row r="391" spans="1:14" s="37" customFormat="1" x14ac:dyDescent="0.35">
      <c r="A391" s="124">
        <f t="shared" si="37"/>
        <v>8</v>
      </c>
      <c r="B391" s="125"/>
      <c r="C391" s="54">
        <v>1</v>
      </c>
      <c r="D391" s="55">
        <f>(34.75+(2.81*0.75+1.5*0.75))*(10.746)</f>
        <v>408.15994500000005</v>
      </c>
      <c r="E391" s="42">
        <f>(8.06*3.4+2.8*1.4+2.5*0.5)*10.764</f>
        <v>350.62653599999993</v>
      </c>
      <c r="F391" s="42">
        <f t="shared" si="36"/>
        <v>699.89655149999999</v>
      </c>
      <c r="G391" s="130"/>
      <c r="H391" s="131"/>
      <c r="I391" s="36"/>
      <c r="L391" s="132"/>
      <c r="M391" s="132"/>
      <c r="N391" s="36"/>
    </row>
    <row r="392" spans="1:14" s="37" customFormat="1" x14ac:dyDescent="0.35">
      <c r="A392" s="121" t="s">
        <v>192</v>
      </c>
      <c r="B392" s="122"/>
      <c r="C392" s="122"/>
      <c r="D392" s="122"/>
      <c r="E392" s="122"/>
      <c r="F392" s="122"/>
      <c r="G392" s="122"/>
      <c r="H392" s="123"/>
      <c r="J392" s="36"/>
    </row>
    <row r="393" spans="1:14" s="37" customFormat="1" ht="15.75" customHeight="1" x14ac:dyDescent="0.35">
      <c r="A393" s="124">
        <v>1</v>
      </c>
      <c r="B393" s="125"/>
      <c r="C393" s="54">
        <v>2</v>
      </c>
      <c r="D393" s="55">
        <f>(47.9+(2.88*0.75+1.5*0.75))*(10.746)</f>
        <v>550.03401000000008</v>
      </c>
      <c r="E393" s="42">
        <v>0</v>
      </c>
      <c r="F393" s="42">
        <f t="shared" ref="F393:F400" si="38">D393*(($F$336)+1)+(IF(E393&lt;101,E393,IF(E393&lt;201,E393/2,IF(E393&lt;=301,E393/3,E393/4))))</f>
        <v>825.05101500000012</v>
      </c>
      <c r="G393" s="126" t="str">
        <f>A392</f>
        <v>4th to 7th, 9th to 12th, 14th to 17th, 19th to 23rd Floor</v>
      </c>
      <c r="H393" s="127"/>
      <c r="I393" s="36"/>
      <c r="L393" s="132"/>
      <c r="M393" s="132"/>
      <c r="N393" s="36"/>
    </row>
    <row r="394" spans="1:14" s="37" customFormat="1" ht="15.75" customHeight="1" x14ac:dyDescent="0.35">
      <c r="A394" s="124">
        <f t="shared" ref="A394:A400" si="39">A393+1</f>
        <v>2</v>
      </c>
      <c r="B394" s="125"/>
      <c r="C394" s="54">
        <v>2</v>
      </c>
      <c r="D394" s="55">
        <f>(47.9+(2.88*0.75+1.5*0.75))*(10.746)</f>
        <v>550.03401000000008</v>
      </c>
      <c r="E394" s="42">
        <v>0</v>
      </c>
      <c r="F394" s="42">
        <f t="shared" si="38"/>
        <v>825.05101500000012</v>
      </c>
      <c r="G394" s="128"/>
      <c r="H394" s="129"/>
      <c r="I394" s="36"/>
      <c r="L394" s="132"/>
      <c r="M394" s="132"/>
      <c r="N394" s="36"/>
    </row>
    <row r="395" spans="1:14" s="37" customFormat="1" ht="15.75" customHeight="1" x14ac:dyDescent="0.35">
      <c r="A395" s="124">
        <f t="shared" si="39"/>
        <v>3</v>
      </c>
      <c r="B395" s="125"/>
      <c r="C395" s="54">
        <v>1</v>
      </c>
      <c r="D395" s="55">
        <f>(34.75+(2.81*0.75+1.5*0.75))*(10.746)</f>
        <v>408.15994500000005</v>
      </c>
      <c r="E395" s="42">
        <v>0</v>
      </c>
      <c r="F395" s="42">
        <f t="shared" si="38"/>
        <v>612.23991750000005</v>
      </c>
      <c r="G395" s="128"/>
      <c r="H395" s="129"/>
      <c r="I395" s="36"/>
      <c r="L395" s="132"/>
      <c r="M395" s="132"/>
      <c r="N395" s="36"/>
    </row>
    <row r="396" spans="1:14" s="37" customFormat="1" ht="15.75" customHeight="1" x14ac:dyDescent="0.35">
      <c r="A396" s="124">
        <f t="shared" si="39"/>
        <v>4</v>
      </c>
      <c r="B396" s="125"/>
      <c r="C396" s="54">
        <v>1</v>
      </c>
      <c r="D396" s="55">
        <f>(34.75+(2.81*0.75+1.5*0.75))*(10.746)</f>
        <v>408.15994500000005</v>
      </c>
      <c r="E396" s="42">
        <v>0</v>
      </c>
      <c r="F396" s="42">
        <f t="shared" si="38"/>
        <v>612.23991750000005</v>
      </c>
      <c r="G396" s="128"/>
      <c r="H396" s="129"/>
      <c r="I396" s="36"/>
      <c r="L396" s="132"/>
      <c r="M396" s="132"/>
      <c r="N396" s="36"/>
    </row>
    <row r="397" spans="1:14" s="37" customFormat="1" ht="15.75" customHeight="1" x14ac:dyDescent="0.35">
      <c r="A397" s="124">
        <f t="shared" si="39"/>
        <v>5</v>
      </c>
      <c r="B397" s="125"/>
      <c r="C397" s="54">
        <v>2</v>
      </c>
      <c r="D397" s="55">
        <f>(47.9+(2.88*0.75+1.5*0.75))*(10.746)</f>
        <v>550.03401000000008</v>
      </c>
      <c r="E397" s="42">
        <v>0</v>
      </c>
      <c r="F397" s="42">
        <f t="shared" si="38"/>
        <v>825.05101500000012</v>
      </c>
      <c r="G397" s="128"/>
      <c r="H397" s="129"/>
      <c r="I397" s="36"/>
      <c r="L397" s="132"/>
      <c r="M397" s="132"/>
      <c r="N397" s="36"/>
    </row>
    <row r="398" spans="1:14" s="37" customFormat="1" ht="15.75" customHeight="1" x14ac:dyDescent="0.35">
      <c r="A398" s="124">
        <f t="shared" si="39"/>
        <v>6</v>
      </c>
      <c r="B398" s="125"/>
      <c r="C398" s="54">
        <v>2</v>
      </c>
      <c r="D398" s="55">
        <f>(47.9+(2.88*0.75+1.5*0.75))*(10.746)</f>
        <v>550.03401000000008</v>
      </c>
      <c r="E398" s="42">
        <v>0</v>
      </c>
      <c r="F398" s="42">
        <f t="shared" si="38"/>
        <v>825.05101500000012</v>
      </c>
      <c r="G398" s="128"/>
      <c r="H398" s="129"/>
      <c r="I398" s="36"/>
      <c r="L398" s="132"/>
      <c r="M398" s="132"/>
      <c r="N398" s="36"/>
    </row>
    <row r="399" spans="1:14" s="37" customFormat="1" ht="15.75" customHeight="1" x14ac:dyDescent="0.35">
      <c r="A399" s="124">
        <f t="shared" si="39"/>
        <v>7</v>
      </c>
      <c r="B399" s="125"/>
      <c r="C399" s="54">
        <v>1</v>
      </c>
      <c r="D399" s="55">
        <f>(34.75+(2.81*0.75+1.5*0.75))*(10.746)</f>
        <v>408.15994500000005</v>
      </c>
      <c r="E399" s="42">
        <v>0</v>
      </c>
      <c r="F399" s="42">
        <f t="shared" si="38"/>
        <v>612.23991750000005</v>
      </c>
      <c r="G399" s="128"/>
      <c r="H399" s="129"/>
      <c r="I399" s="36"/>
      <c r="L399" s="132"/>
      <c r="M399" s="132"/>
      <c r="N399" s="36"/>
    </row>
    <row r="400" spans="1:14" s="37" customFormat="1" ht="15.75" customHeight="1" x14ac:dyDescent="0.35">
      <c r="A400" s="124">
        <f t="shared" si="39"/>
        <v>8</v>
      </c>
      <c r="B400" s="125"/>
      <c r="C400" s="54">
        <v>1</v>
      </c>
      <c r="D400" s="55">
        <f>(34.75+(2.81*0.75+1.5*0.75))*(10.746)</f>
        <v>408.15994500000005</v>
      </c>
      <c r="E400" s="42">
        <v>0</v>
      </c>
      <c r="F400" s="42">
        <f t="shared" si="38"/>
        <v>612.23991750000005</v>
      </c>
      <c r="G400" s="130"/>
      <c r="H400" s="131"/>
      <c r="I400" s="36"/>
      <c r="L400" s="132"/>
      <c r="M400" s="132"/>
      <c r="N400" s="36"/>
    </row>
    <row r="401" spans="1:14" s="37" customFormat="1" x14ac:dyDescent="0.35">
      <c r="A401" s="121" t="s">
        <v>194</v>
      </c>
      <c r="B401" s="122"/>
      <c r="C401" s="122"/>
      <c r="D401" s="122"/>
      <c r="E401" s="122"/>
      <c r="F401" s="122"/>
      <c r="G401" s="122"/>
      <c r="H401" s="123"/>
      <c r="J401" s="36"/>
    </row>
    <row r="402" spans="1:14" s="37" customFormat="1" ht="15.75" customHeight="1" x14ac:dyDescent="0.35">
      <c r="A402" s="124">
        <v>1</v>
      </c>
      <c r="B402" s="125"/>
      <c r="C402" s="54">
        <v>2</v>
      </c>
      <c r="D402" s="55">
        <f>(47.9+(2.88*0.75+1.5*0.75))*(10.746)</f>
        <v>550.03401000000008</v>
      </c>
      <c r="E402" s="42">
        <v>0</v>
      </c>
      <c r="F402" s="42">
        <f>D402*(($F$336)+1)+(IF(E402&lt;101,E402,IF(E402&lt;201,E402/2,IF(E402&lt;=301,E402/3,E402/4))))</f>
        <v>825.05101500000012</v>
      </c>
      <c r="G402" s="126" t="str">
        <f>A401</f>
        <v>8th, 13th &amp; 18th Floor (Part Refuge Area)</v>
      </c>
      <c r="H402" s="127"/>
      <c r="I402" s="36"/>
      <c r="L402" s="132"/>
      <c r="M402" s="132"/>
      <c r="N402" s="36"/>
    </row>
    <row r="403" spans="1:14" s="37" customFormat="1" ht="15.75" customHeight="1" x14ac:dyDescent="0.35">
      <c r="A403" s="124">
        <f t="shared" ref="A403:A409" si="40">A402+1</f>
        <v>2</v>
      </c>
      <c r="B403" s="125"/>
      <c r="C403" s="54">
        <v>2</v>
      </c>
      <c r="D403" s="55">
        <f>(47.9+(2.88*0.75+1.5*0.75))*(10.746)</f>
        <v>550.03401000000008</v>
      </c>
      <c r="E403" s="42">
        <v>0</v>
      </c>
      <c r="F403" s="42">
        <f>D403*(($F$336)+1)+(IF(E403&lt;101,E403,IF(E403&lt;201,E403/2,IF(E403&lt;=301,E403/3,E403/4))))</f>
        <v>825.05101500000012</v>
      </c>
      <c r="G403" s="128"/>
      <c r="H403" s="129"/>
      <c r="I403" s="36"/>
      <c r="L403" s="132"/>
      <c r="M403" s="132"/>
      <c r="N403" s="36"/>
    </row>
    <row r="404" spans="1:14" s="37" customFormat="1" ht="15.75" customHeight="1" x14ac:dyDescent="0.35">
      <c r="A404" s="124">
        <f t="shared" si="40"/>
        <v>3</v>
      </c>
      <c r="B404" s="125"/>
      <c r="C404" s="133" t="s">
        <v>193</v>
      </c>
      <c r="D404" s="134"/>
      <c r="E404" s="134"/>
      <c r="F404" s="135"/>
      <c r="G404" s="128"/>
      <c r="H404" s="129"/>
      <c r="I404" s="36"/>
      <c r="L404" s="132"/>
      <c r="M404" s="132"/>
      <c r="N404" s="36"/>
    </row>
    <row r="405" spans="1:14" s="37" customFormat="1" ht="15.75" customHeight="1" x14ac:dyDescent="0.35">
      <c r="A405" s="124">
        <f t="shared" si="40"/>
        <v>4</v>
      </c>
      <c r="B405" s="125"/>
      <c r="C405" s="54">
        <v>1</v>
      </c>
      <c r="D405" s="55">
        <f>(34.75+(2.81*0.75+1.5*0.75))*(10.746)</f>
        <v>408.15994500000005</v>
      </c>
      <c r="E405" s="42">
        <v>0</v>
      </c>
      <c r="F405" s="42">
        <f>D405*(($F$336)+1)+(IF(E405&lt;101,E405,IF(E405&lt;201,E405/2,IF(E405&lt;=301,E405/3,E405/4))))</f>
        <v>612.23991750000005</v>
      </c>
      <c r="G405" s="128"/>
      <c r="H405" s="129"/>
      <c r="I405" s="36"/>
      <c r="L405" s="132"/>
      <c r="M405" s="132"/>
      <c r="N405" s="36"/>
    </row>
    <row r="406" spans="1:14" s="37" customFormat="1" ht="15.75" customHeight="1" x14ac:dyDescent="0.35">
      <c r="A406" s="124">
        <f t="shared" si="40"/>
        <v>5</v>
      </c>
      <c r="B406" s="125"/>
      <c r="C406" s="54">
        <v>2</v>
      </c>
      <c r="D406" s="55">
        <f>(47.9+(2.88*0.75+1.5*0.75))*(10.746)</f>
        <v>550.03401000000008</v>
      </c>
      <c r="E406" s="42">
        <v>0</v>
      </c>
      <c r="F406" s="42">
        <f>D406*(($F$336)+1)+(IF(E406&lt;101,E406,IF(E406&lt;201,E406/2,IF(E406&lt;=301,E406/3,E406/4))))</f>
        <v>825.05101500000012</v>
      </c>
      <c r="G406" s="128"/>
      <c r="H406" s="129"/>
      <c r="I406" s="36"/>
      <c r="L406" s="132"/>
      <c r="M406" s="132"/>
      <c r="N406" s="36"/>
    </row>
    <row r="407" spans="1:14" s="37" customFormat="1" ht="15.75" customHeight="1" x14ac:dyDescent="0.35">
      <c r="A407" s="124">
        <f t="shared" si="40"/>
        <v>6</v>
      </c>
      <c r="B407" s="125"/>
      <c r="C407" s="54">
        <v>2</v>
      </c>
      <c r="D407" s="55">
        <f>(47.9+(2.88*0.75+1.5*0.75))*(10.746)</f>
        <v>550.03401000000008</v>
      </c>
      <c r="E407" s="42">
        <v>0</v>
      </c>
      <c r="F407" s="42">
        <f>D407*(($F$336)+1)+(IF(E407&lt;101,E407,IF(E407&lt;201,E407/2,IF(E407&lt;=301,E407/3,E407/4))))</f>
        <v>825.05101500000012</v>
      </c>
      <c r="G407" s="128"/>
      <c r="H407" s="129"/>
      <c r="I407" s="36"/>
      <c r="L407" s="132"/>
      <c r="M407" s="132"/>
      <c r="N407" s="36"/>
    </row>
    <row r="408" spans="1:14" s="37" customFormat="1" ht="15.75" customHeight="1" x14ac:dyDescent="0.35">
      <c r="A408" s="124">
        <f t="shared" si="40"/>
        <v>7</v>
      </c>
      <c r="B408" s="125"/>
      <c r="C408" s="54">
        <v>1</v>
      </c>
      <c r="D408" s="55">
        <f>(34.75+(2.81*0.75+1.5*0.75))*(10.746)</f>
        <v>408.15994500000005</v>
      </c>
      <c r="E408" s="42">
        <v>0</v>
      </c>
      <c r="F408" s="42">
        <f>D408*(($F$336)+1)+(IF(E408&lt;101,E408,IF(E408&lt;201,E408/2,IF(E408&lt;=301,E408/3,E408/4))))</f>
        <v>612.23991750000005</v>
      </c>
      <c r="G408" s="128"/>
      <c r="H408" s="129"/>
      <c r="I408" s="36"/>
      <c r="L408" s="132"/>
      <c r="M408" s="132"/>
      <c r="N408" s="36"/>
    </row>
    <row r="409" spans="1:14" s="37" customFormat="1" ht="15.75" customHeight="1" x14ac:dyDescent="0.35">
      <c r="A409" s="124">
        <f t="shared" si="40"/>
        <v>8</v>
      </c>
      <c r="B409" s="125"/>
      <c r="C409" s="54">
        <v>1</v>
      </c>
      <c r="D409" s="55">
        <f>(34.75+(2.81*0.75+1.5*0.75))*(10.746)</f>
        <v>408.15994500000005</v>
      </c>
      <c r="E409" s="42">
        <v>0</v>
      </c>
      <c r="F409" s="42">
        <f>D409*(($F$336)+1)+(IF(E409&lt;101,E409,IF(E409&lt;201,E409/2,IF(E409&lt;=301,E409/3,E409/4))))</f>
        <v>612.23991750000005</v>
      </c>
      <c r="G409" s="130"/>
      <c r="H409" s="131"/>
      <c r="I409" s="36"/>
      <c r="L409" s="132"/>
      <c r="M409" s="132"/>
      <c r="N409" s="36"/>
    </row>
    <row r="410" spans="1:14" s="37" customFormat="1" x14ac:dyDescent="0.35">
      <c r="A410" s="166" t="s">
        <v>196</v>
      </c>
      <c r="B410" s="167"/>
      <c r="C410" s="167"/>
      <c r="D410" s="167"/>
      <c r="E410" s="167"/>
      <c r="F410" s="167"/>
      <c r="G410" s="167"/>
      <c r="H410" s="168"/>
      <c r="J410" s="36"/>
    </row>
    <row r="411" spans="1:14" s="37" customFormat="1" x14ac:dyDescent="0.35">
      <c r="A411" s="121" t="s">
        <v>203</v>
      </c>
      <c r="B411" s="122"/>
      <c r="C411" s="122"/>
      <c r="D411" s="122"/>
      <c r="E411" s="122"/>
      <c r="F411" s="122"/>
      <c r="G411" s="122"/>
      <c r="H411" s="123"/>
      <c r="J411" s="36"/>
    </row>
    <row r="412" spans="1:14" s="37" customFormat="1" ht="15.75" customHeight="1" x14ac:dyDescent="0.35">
      <c r="A412" s="124">
        <v>2</v>
      </c>
      <c r="B412" s="125"/>
      <c r="C412" s="54">
        <v>2</v>
      </c>
      <c r="D412" s="55">
        <f>(47.9+(2.88*0.75+1.5*0.75))*(10.746)</f>
        <v>550.03401000000008</v>
      </c>
      <c r="E412" s="42">
        <v>0</v>
      </c>
      <c r="F412" s="42">
        <f>D412*(($F$336)+1)+(IF(E412&lt;101,E412,IF(E412&lt;201,E412/2,IF(E412&lt;=301,E412/3,E412/4))))</f>
        <v>825.05101500000012</v>
      </c>
      <c r="G412" s="126" t="str">
        <f>A411</f>
        <v>1st Floor For Residential &amp; Parking</v>
      </c>
      <c r="H412" s="127"/>
      <c r="I412" s="36"/>
      <c r="J412" s="37">
        <f>2.88*4.11+2.05*2.4+2.25*1.05+2.74*3.21+2.82*3.5+1.97*1.21+2.13*1.21+2.7*0.9</f>
        <v>45.175699999999999</v>
      </c>
      <c r="K412" s="56"/>
      <c r="L412" s="132"/>
      <c r="M412" s="132"/>
      <c r="N412" s="36"/>
    </row>
    <row r="413" spans="1:14" s="37" customFormat="1" ht="15.75" customHeight="1" x14ac:dyDescent="0.35">
      <c r="A413" s="124">
        <v>5</v>
      </c>
      <c r="B413" s="125"/>
      <c r="C413" s="54">
        <v>2</v>
      </c>
      <c r="D413" s="55">
        <f>(47.9+(2.88*0.75+1.5*0.75))*(10.746)</f>
        <v>550.03401000000008</v>
      </c>
      <c r="E413" s="42">
        <v>0</v>
      </c>
      <c r="F413" s="42">
        <f>D413*(($F$336)+1)+(IF(E413&lt;101,E413,IF(E413&lt;201,E413/2,IF(E413&lt;=301,E413/3,E413/4))))</f>
        <v>825.05101500000012</v>
      </c>
      <c r="G413" s="130"/>
      <c r="H413" s="131"/>
      <c r="I413" s="36"/>
      <c r="L413" s="132"/>
      <c r="M413" s="132"/>
      <c r="N413" s="36"/>
    </row>
    <row r="414" spans="1:14" s="37" customFormat="1" x14ac:dyDescent="0.35">
      <c r="A414" s="172" t="s">
        <v>119</v>
      </c>
      <c r="B414" s="172"/>
      <c r="C414" s="172"/>
      <c r="D414" s="172"/>
      <c r="E414" s="172"/>
      <c r="F414" s="172"/>
      <c r="G414" s="172"/>
      <c r="H414" s="172"/>
      <c r="J414" s="36"/>
    </row>
    <row r="415" spans="1:14" s="37" customFormat="1" x14ac:dyDescent="0.35">
      <c r="A415" s="143">
        <v>2</v>
      </c>
      <c r="B415" s="143"/>
      <c r="C415" s="54">
        <v>2</v>
      </c>
      <c r="D415" s="55">
        <f>(47.9+(2.88*0.75+1.5*0.75))*(10.746)</f>
        <v>550.03401000000008</v>
      </c>
      <c r="E415" s="59">
        <v>0</v>
      </c>
      <c r="F415" s="59">
        <f>D415*(($F$336)+1)+(IF(E415&lt;101,E415,IF(E415&lt;201,E415/2,IF(E415&lt;=301,E415/3,E415/4))))</f>
        <v>825.05101500000012</v>
      </c>
      <c r="G415" s="143" t="str">
        <f>A414</f>
        <v>2nd Floor</v>
      </c>
      <c r="H415" s="143"/>
      <c r="I415" s="36"/>
      <c r="L415" s="132"/>
      <c r="M415" s="132"/>
      <c r="N415" s="36"/>
    </row>
    <row r="416" spans="1:14" s="37" customFormat="1" x14ac:dyDescent="0.35">
      <c r="A416" s="143">
        <f t="shared" ref="A416:A418" si="41">A415+1</f>
        <v>3</v>
      </c>
      <c r="B416" s="143"/>
      <c r="C416" s="54">
        <v>1</v>
      </c>
      <c r="D416" s="55">
        <f>(34.75+(2.81*0.75+1.5*0.75))*(10.746)</f>
        <v>408.15994500000005</v>
      </c>
      <c r="E416" s="59">
        <v>0</v>
      </c>
      <c r="F416" s="59">
        <f>D416*(($F$336)+1)+(IF(E416&lt;101,E416,IF(E416&lt;201,E416/2,IF(E416&lt;=301,E416/3,E416/4))))</f>
        <v>612.23991750000005</v>
      </c>
      <c r="G416" s="143"/>
      <c r="H416" s="143"/>
      <c r="I416" s="36"/>
      <c r="L416" s="132"/>
      <c r="M416" s="132"/>
      <c r="N416" s="36"/>
    </row>
    <row r="417" spans="1:14" s="37" customFormat="1" x14ac:dyDescent="0.35">
      <c r="A417" s="143">
        <f t="shared" si="41"/>
        <v>4</v>
      </c>
      <c r="B417" s="143"/>
      <c r="C417" s="54">
        <v>1</v>
      </c>
      <c r="D417" s="55">
        <f>(34.75+(2.81*0.75+1.5*0.75))*(10.746)</f>
        <v>408.15994500000005</v>
      </c>
      <c r="E417" s="59">
        <v>0</v>
      </c>
      <c r="F417" s="59">
        <f>D417*(($F$336)+1)+(IF(E417&lt;101,E417,IF(E417&lt;201,E417/2,IF(E417&lt;=301,E417/3,E417/4))))</f>
        <v>612.23991750000005</v>
      </c>
      <c r="G417" s="143"/>
      <c r="H417" s="143"/>
      <c r="I417" s="36"/>
      <c r="L417" s="132"/>
      <c r="M417" s="132"/>
      <c r="N417" s="36"/>
    </row>
    <row r="418" spans="1:14" s="37" customFormat="1" x14ac:dyDescent="0.35">
      <c r="A418" s="143">
        <f t="shared" si="41"/>
        <v>5</v>
      </c>
      <c r="B418" s="143"/>
      <c r="C418" s="54">
        <v>2</v>
      </c>
      <c r="D418" s="55">
        <f>(47.9+(2.88*0.75+1.5*0.75))*(10.746)</f>
        <v>550.03401000000008</v>
      </c>
      <c r="E418" s="59">
        <v>0</v>
      </c>
      <c r="F418" s="59">
        <f>D418*(($F$336)+1)+(IF(E418&lt;101,E418,IF(E418&lt;201,E418/2,IF(E418&lt;=301,E418/3,E418/4))))</f>
        <v>825.05101500000012</v>
      </c>
      <c r="G418" s="143"/>
      <c r="H418" s="143"/>
      <c r="I418" s="36"/>
      <c r="L418" s="132"/>
      <c r="M418" s="132"/>
      <c r="N418" s="36"/>
    </row>
    <row r="419" spans="1:14" s="37" customFormat="1" x14ac:dyDescent="0.35">
      <c r="A419" s="172" t="s">
        <v>191</v>
      </c>
      <c r="B419" s="172"/>
      <c r="C419" s="172"/>
      <c r="D419" s="172"/>
      <c r="E419" s="172"/>
      <c r="F419" s="172"/>
      <c r="G419" s="172"/>
      <c r="H419" s="172"/>
      <c r="J419" s="36"/>
    </row>
    <row r="420" spans="1:14" s="37" customFormat="1" x14ac:dyDescent="0.35">
      <c r="A420" s="143">
        <v>1</v>
      </c>
      <c r="B420" s="143"/>
      <c r="C420" s="54">
        <v>2</v>
      </c>
      <c r="D420" s="55">
        <f>(47.9+(2.88*0.75+1.5*0.75))*(10.746)</f>
        <v>550.03401000000008</v>
      </c>
      <c r="E420" s="59">
        <f>(1.535*8.5+2.885*8.8+3.385*6.5+2.715*7.5)*10.764</f>
        <v>869.736582</v>
      </c>
      <c r="F420" s="59">
        <f t="shared" ref="F420:F427" si="42">D420*(($F$336)+1)+(IF(E420&lt;101,E420,IF(E420&lt;201,E420/2,IF(E420&lt;=301,E420/3,E420/4))))</f>
        <v>1042.4851605000001</v>
      </c>
      <c r="G420" s="143" t="str">
        <f>A419</f>
        <v>3rd Floor</v>
      </c>
      <c r="H420" s="143"/>
      <c r="I420" s="36"/>
      <c r="L420" s="132"/>
      <c r="M420" s="132"/>
      <c r="N420" s="36"/>
    </row>
    <row r="421" spans="1:14" s="37" customFormat="1" x14ac:dyDescent="0.35">
      <c r="A421" s="143">
        <f t="shared" ref="A421:A427" si="43">A420+1</f>
        <v>2</v>
      </c>
      <c r="B421" s="143"/>
      <c r="C421" s="54">
        <v>2</v>
      </c>
      <c r="D421" s="55">
        <f>(47.9+(2.88*0.75+1.5*0.75))*(10.746)</f>
        <v>550.03401000000008</v>
      </c>
      <c r="E421" s="59">
        <v>0</v>
      </c>
      <c r="F421" s="59">
        <f t="shared" si="42"/>
        <v>825.05101500000012</v>
      </c>
      <c r="G421" s="143"/>
      <c r="H421" s="143"/>
      <c r="I421" s="36"/>
      <c r="L421" s="132"/>
      <c r="M421" s="132"/>
      <c r="N421" s="36"/>
    </row>
    <row r="422" spans="1:14" s="37" customFormat="1" x14ac:dyDescent="0.35">
      <c r="A422" s="143">
        <f t="shared" si="43"/>
        <v>3</v>
      </c>
      <c r="B422" s="143"/>
      <c r="C422" s="54">
        <v>1</v>
      </c>
      <c r="D422" s="55">
        <f>(34.75+(2.81*0.75+1.5*0.75))*(10.746)</f>
        <v>408.15994500000005</v>
      </c>
      <c r="E422" s="59">
        <v>0</v>
      </c>
      <c r="F422" s="59">
        <f t="shared" si="42"/>
        <v>612.23991750000005</v>
      </c>
      <c r="G422" s="143"/>
      <c r="H422" s="143"/>
      <c r="I422" s="36"/>
      <c r="L422" s="132"/>
      <c r="M422" s="132"/>
      <c r="N422" s="36"/>
    </row>
    <row r="423" spans="1:14" s="37" customFormat="1" x14ac:dyDescent="0.35">
      <c r="A423" s="143">
        <f t="shared" si="43"/>
        <v>4</v>
      </c>
      <c r="B423" s="143"/>
      <c r="C423" s="54">
        <v>1</v>
      </c>
      <c r="D423" s="55">
        <f>(34.75+(2.81*0.75+1.5*0.75))*(10.746)</f>
        <v>408.15994500000005</v>
      </c>
      <c r="E423" s="59">
        <v>0</v>
      </c>
      <c r="F423" s="59">
        <f t="shared" si="42"/>
        <v>612.23991750000005</v>
      </c>
      <c r="G423" s="143"/>
      <c r="H423" s="143"/>
      <c r="I423" s="36"/>
      <c r="L423" s="132"/>
      <c r="M423" s="132"/>
      <c r="N423" s="36"/>
    </row>
    <row r="424" spans="1:14" s="37" customFormat="1" x14ac:dyDescent="0.35">
      <c r="A424" s="143">
        <f t="shared" si="43"/>
        <v>5</v>
      </c>
      <c r="B424" s="143"/>
      <c r="C424" s="54">
        <v>2</v>
      </c>
      <c r="D424" s="55">
        <f>(47.9+(2.88*0.75+1.5*0.75))*(10.746)</f>
        <v>550.03401000000008</v>
      </c>
      <c r="E424" s="59">
        <v>0</v>
      </c>
      <c r="F424" s="59">
        <f t="shared" si="42"/>
        <v>825.05101500000012</v>
      </c>
      <c r="G424" s="143"/>
      <c r="H424" s="143"/>
      <c r="I424" s="36"/>
      <c r="L424" s="132"/>
      <c r="M424" s="132"/>
      <c r="N424" s="36"/>
    </row>
    <row r="425" spans="1:14" s="37" customFormat="1" x14ac:dyDescent="0.35">
      <c r="A425" s="143">
        <f t="shared" si="43"/>
        <v>6</v>
      </c>
      <c r="B425" s="143"/>
      <c r="C425" s="54">
        <v>2</v>
      </c>
      <c r="D425" s="55">
        <f>(47.9+(2.88*0.75+1.5*0.75))*(10.746)</f>
        <v>550.03401000000008</v>
      </c>
      <c r="E425" s="59">
        <f>(2.715*7.3+3.385*6.3+2.885*7.6+1.535*8.1)*10.764</f>
        <v>812.73043799999982</v>
      </c>
      <c r="F425" s="59">
        <f t="shared" si="42"/>
        <v>1028.2336245000001</v>
      </c>
      <c r="G425" s="143"/>
      <c r="H425" s="143"/>
      <c r="I425" s="36"/>
      <c r="L425" s="132"/>
      <c r="M425" s="132"/>
      <c r="N425" s="36"/>
    </row>
    <row r="426" spans="1:14" s="37" customFormat="1" x14ac:dyDescent="0.35">
      <c r="A426" s="143">
        <f t="shared" si="43"/>
        <v>7</v>
      </c>
      <c r="B426" s="143"/>
      <c r="C426" s="54">
        <v>1</v>
      </c>
      <c r="D426" s="55">
        <f>(34.75+(2.81*0.75+1.5*0.75))*(10.746)</f>
        <v>408.15994500000005</v>
      </c>
      <c r="E426" s="59">
        <f>(2.276*3.8+2.37*2.5+2.935*3.2)*10.764</f>
        <v>257.96787119999999</v>
      </c>
      <c r="F426" s="59">
        <f t="shared" si="42"/>
        <v>698.22920790000001</v>
      </c>
      <c r="G426" s="143"/>
      <c r="H426" s="143"/>
      <c r="I426" s="36"/>
      <c r="L426" s="132"/>
      <c r="M426" s="132"/>
      <c r="N426" s="36"/>
    </row>
    <row r="427" spans="1:14" s="37" customFormat="1" x14ac:dyDescent="0.35">
      <c r="A427" s="143">
        <f t="shared" si="43"/>
        <v>8</v>
      </c>
      <c r="B427" s="143"/>
      <c r="C427" s="54">
        <v>1</v>
      </c>
      <c r="D427" s="55">
        <f>(34.75+(2.81*0.75+1.5*0.75))*(10.746)</f>
        <v>408.15994500000005</v>
      </c>
      <c r="E427" s="59">
        <f>(2.276*3.8+2.37*2.5+2.935*3.2)*10.764</f>
        <v>257.96787119999999</v>
      </c>
      <c r="F427" s="59">
        <f t="shared" si="42"/>
        <v>698.22920790000001</v>
      </c>
      <c r="G427" s="143"/>
      <c r="H427" s="143"/>
      <c r="I427" s="36"/>
      <c r="L427" s="132"/>
      <c r="M427" s="132"/>
      <c r="N427" s="36"/>
    </row>
    <row r="428" spans="1:14" s="37" customFormat="1" x14ac:dyDescent="0.35">
      <c r="A428" s="121" t="s">
        <v>192</v>
      </c>
      <c r="B428" s="122"/>
      <c r="C428" s="122"/>
      <c r="D428" s="122"/>
      <c r="E428" s="122"/>
      <c r="F428" s="122"/>
      <c r="G428" s="122"/>
      <c r="H428" s="123"/>
      <c r="J428" s="36"/>
    </row>
    <row r="429" spans="1:14" s="37" customFormat="1" ht="15.75" customHeight="1" x14ac:dyDescent="0.35">
      <c r="A429" s="124">
        <v>1</v>
      </c>
      <c r="B429" s="125"/>
      <c r="C429" s="54">
        <v>2</v>
      </c>
      <c r="D429" s="55">
        <f>(47.9+(2.88*0.75+1.5*0.75))*(10.746)</f>
        <v>550.03401000000008</v>
      </c>
      <c r="E429" s="42">
        <v>0</v>
      </c>
      <c r="F429" s="42">
        <f t="shared" ref="F429:F436" si="44">D429*(($F$336)+1)+(IF(E429&lt;101,E429,IF(E429&lt;201,E429/2,IF(E429&lt;=301,E429/3,E429/4))))</f>
        <v>825.05101500000012</v>
      </c>
      <c r="G429" s="126" t="str">
        <f>A428</f>
        <v>4th to 7th, 9th to 12th, 14th to 17th, 19th to 23rd Floor</v>
      </c>
      <c r="H429" s="127"/>
      <c r="I429" s="36"/>
      <c r="L429" s="132"/>
      <c r="M429" s="132"/>
      <c r="N429" s="36"/>
    </row>
    <row r="430" spans="1:14" s="37" customFormat="1" ht="15.75" customHeight="1" x14ac:dyDescent="0.35">
      <c r="A430" s="124">
        <f t="shared" ref="A430:A436" si="45">A429+1</f>
        <v>2</v>
      </c>
      <c r="B430" s="125"/>
      <c r="C430" s="54">
        <v>2</v>
      </c>
      <c r="D430" s="55">
        <f>(47.9+(2.88*0.75+1.5*0.75))*(10.746)</f>
        <v>550.03401000000008</v>
      </c>
      <c r="E430" s="42">
        <v>0</v>
      </c>
      <c r="F430" s="42">
        <f t="shared" si="44"/>
        <v>825.05101500000012</v>
      </c>
      <c r="G430" s="128"/>
      <c r="H430" s="129"/>
      <c r="I430" s="36"/>
      <c r="L430" s="132"/>
      <c r="M430" s="132"/>
      <c r="N430" s="36"/>
    </row>
    <row r="431" spans="1:14" s="37" customFormat="1" ht="15.75" customHeight="1" x14ac:dyDescent="0.35">
      <c r="A431" s="124">
        <f t="shared" si="45"/>
        <v>3</v>
      </c>
      <c r="B431" s="125"/>
      <c r="C431" s="54">
        <v>1</v>
      </c>
      <c r="D431" s="55">
        <f>(34.75+(2.81*0.75+1.5*0.75))*(10.746)</f>
        <v>408.15994500000005</v>
      </c>
      <c r="E431" s="42">
        <v>0</v>
      </c>
      <c r="F431" s="42">
        <f t="shared" si="44"/>
        <v>612.23991750000005</v>
      </c>
      <c r="G431" s="128"/>
      <c r="H431" s="129"/>
      <c r="I431" s="36"/>
      <c r="L431" s="132"/>
      <c r="M431" s="132"/>
      <c r="N431" s="36"/>
    </row>
    <row r="432" spans="1:14" s="37" customFormat="1" ht="15.75" customHeight="1" x14ac:dyDescent="0.35">
      <c r="A432" s="124">
        <f t="shared" si="45"/>
        <v>4</v>
      </c>
      <c r="B432" s="125"/>
      <c r="C432" s="54">
        <v>1</v>
      </c>
      <c r="D432" s="55">
        <f>(34.75+(2.81*0.75+1.5*0.75))*(10.746)</f>
        <v>408.15994500000005</v>
      </c>
      <c r="E432" s="42">
        <v>0</v>
      </c>
      <c r="F432" s="42">
        <f t="shared" si="44"/>
        <v>612.23991750000005</v>
      </c>
      <c r="G432" s="128"/>
      <c r="H432" s="129"/>
      <c r="I432" s="36"/>
      <c r="L432" s="132"/>
      <c r="M432" s="132"/>
      <c r="N432" s="36"/>
    </row>
    <row r="433" spans="1:14" s="37" customFormat="1" ht="15.75" customHeight="1" x14ac:dyDescent="0.35">
      <c r="A433" s="124">
        <f t="shared" si="45"/>
        <v>5</v>
      </c>
      <c r="B433" s="125"/>
      <c r="C433" s="54">
        <v>2</v>
      </c>
      <c r="D433" s="55">
        <f>(47.9+(2.88*0.75+1.5*0.75))*(10.746)</f>
        <v>550.03401000000008</v>
      </c>
      <c r="E433" s="42">
        <v>0</v>
      </c>
      <c r="F433" s="42">
        <f t="shared" si="44"/>
        <v>825.05101500000012</v>
      </c>
      <c r="G433" s="128"/>
      <c r="H433" s="129"/>
      <c r="I433" s="36"/>
      <c r="L433" s="132"/>
      <c r="M433" s="132"/>
      <c r="N433" s="36"/>
    </row>
    <row r="434" spans="1:14" s="37" customFormat="1" ht="15.75" customHeight="1" x14ac:dyDescent="0.35">
      <c r="A434" s="124">
        <f t="shared" si="45"/>
        <v>6</v>
      </c>
      <c r="B434" s="125"/>
      <c r="C434" s="54">
        <v>2</v>
      </c>
      <c r="D434" s="55">
        <f>(47.9+(2.88*0.75+1.5*0.75))*(10.746)</f>
        <v>550.03401000000008</v>
      </c>
      <c r="E434" s="42">
        <v>0</v>
      </c>
      <c r="F434" s="42">
        <f t="shared" si="44"/>
        <v>825.05101500000012</v>
      </c>
      <c r="G434" s="128"/>
      <c r="H434" s="129"/>
      <c r="I434" s="36"/>
      <c r="L434" s="132"/>
      <c r="M434" s="132"/>
      <c r="N434" s="36"/>
    </row>
    <row r="435" spans="1:14" s="37" customFormat="1" ht="15.75" customHeight="1" x14ac:dyDescent="0.35">
      <c r="A435" s="124">
        <f t="shared" si="45"/>
        <v>7</v>
      </c>
      <c r="B435" s="125"/>
      <c r="C435" s="54">
        <v>1</v>
      </c>
      <c r="D435" s="55">
        <f>(34.75+(2.81*0.75+1.5*0.75))*(10.746)</f>
        <v>408.15994500000005</v>
      </c>
      <c r="E435" s="42">
        <v>0</v>
      </c>
      <c r="F435" s="42">
        <f t="shared" si="44"/>
        <v>612.23991750000005</v>
      </c>
      <c r="G435" s="128"/>
      <c r="H435" s="129"/>
      <c r="I435" s="36"/>
      <c r="L435" s="132"/>
      <c r="M435" s="132"/>
      <c r="N435" s="36"/>
    </row>
    <row r="436" spans="1:14" s="37" customFormat="1" ht="15.75" customHeight="1" x14ac:dyDescent="0.35">
      <c r="A436" s="124">
        <f t="shared" si="45"/>
        <v>8</v>
      </c>
      <c r="B436" s="125"/>
      <c r="C436" s="54">
        <v>1</v>
      </c>
      <c r="D436" s="55">
        <f>(34.75+(2.81*0.75+1.5*0.75))*(10.746)</f>
        <v>408.15994500000005</v>
      </c>
      <c r="E436" s="42">
        <v>0</v>
      </c>
      <c r="F436" s="42">
        <f t="shared" si="44"/>
        <v>612.23991750000005</v>
      </c>
      <c r="G436" s="130"/>
      <c r="H436" s="131"/>
      <c r="I436" s="36"/>
      <c r="L436" s="132"/>
      <c r="M436" s="132"/>
      <c r="N436" s="36"/>
    </row>
    <row r="437" spans="1:14" s="37" customFormat="1" x14ac:dyDescent="0.35">
      <c r="A437" s="121" t="s">
        <v>194</v>
      </c>
      <c r="B437" s="122"/>
      <c r="C437" s="122"/>
      <c r="D437" s="122"/>
      <c r="E437" s="122"/>
      <c r="F437" s="122"/>
      <c r="G437" s="122"/>
      <c r="H437" s="123"/>
      <c r="J437" s="36"/>
    </row>
    <row r="438" spans="1:14" s="37" customFormat="1" ht="15.75" customHeight="1" x14ac:dyDescent="0.35">
      <c r="A438" s="124">
        <v>1</v>
      </c>
      <c r="B438" s="125"/>
      <c r="C438" s="54">
        <v>2</v>
      </c>
      <c r="D438" s="55">
        <f>(47.9+(2.88*0.75+1.5*0.75))*(10.746)</f>
        <v>550.03401000000008</v>
      </c>
      <c r="E438" s="42">
        <v>0</v>
      </c>
      <c r="F438" s="42">
        <f>D438*(($F$336)+1)+(IF(E438&lt;101,E438,IF(E438&lt;201,E438/2,IF(E438&lt;=301,E438/3,E438/4))))</f>
        <v>825.05101500000012</v>
      </c>
      <c r="G438" s="126" t="str">
        <f>A437</f>
        <v>8th, 13th &amp; 18th Floor (Part Refuge Area)</v>
      </c>
      <c r="H438" s="127"/>
      <c r="I438" s="36"/>
      <c r="J438" s="56"/>
      <c r="L438" s="132"/>
      <c r="M438" s="132"/>
      <c r="N438" s="36"/>
    </row>
    <row r="439" spans="1:14" s="37" customFormat="1" ht="15.75" customHeight="1" x14ac:dyDescent="0.35">
      <c r="A439" s="124">
        <f t="shared" ref="A439:A445" si="46">A438+1</f>
        <v>2</v>
      </c>
      <c r="B439" s="125"/>
      <c r="C439" s="54">
        <v>2</v>
      </c>
      <c r="D439" s="55">
        <f>(47.9+(2.88*0.75+1.5*0.75))*(10.746)</f>
        <v>550.03401000000008</v>
      </c>
      <c r="E439" s="42">
        <v>0</v>
      </c>
      <c r="F439" s="42">
        <f>D439*(($F$336)+1)+(IF(E439&lt;101,E439,IF(E439&lt;201,E439/2,IF(E439&lt;=301,E439/3,E439/4))))</f>
        <v>825.05101500000012</v>
      </c>
      <c r="G439" s="128"/>
      <c r="H439" s="129"/>
      <c r="I439" s="36"/>
      <c r="L439" s="132"/>
      <c r="M439" s="132"/>
      <c r="N439" s="36"/>
    </row>
    <row r="440" spans="1:14" s="37" customFormat="1" ht="15.75" customHeight="1" x14ac:dyDescent="0.35">
      <c r="A440" s="124">
        <f t="shared" si="46"/>
        <v>3</v>
      </c>
      <c r="B440" s="125"/>
      <c r="C440" s="54">
        <v>1</v>
      </c>
      <c r="D440" s="55">
        <f>(34.75+(2.81*0.75+1.5*0.75))*(10.746)</f>
        <v>408.15994500000005</v>
      </c>
      <c r="E440" s="42">
        <v>0</v>
      </c>
      <c r="F440" s="42">
        <f>D440*(($F$336)+1)+(IF(E440&lt;101,E440,IF(E440&lt;201,E440/2,IF(E440&lt;=301,E440/3,E440/4))))</f>
        <v>612.23991750000005</v>
      </c>
      <c r="G440" s="128"/>
      <c r="H440" s="129"/>
      <c r="I440" s="36"/>
      <c r="L440" s="132"/>
      <c r="M440" s="132"/>
      <c r="N440" s="36"/>
    </row>
    <row r="441" spans="1:14" s="37" customFormat="1" ht="15.75" customHeight="1" x14ac:dyDescent="0.35">
      <c r="A441" s="124">
        <f t="shared" si="46"/>
        <v>4</v>
      </c>
      <c r="B441" s="125"/>
      <c r="C441" s="133" t="s">
        <v>193</v>
      </c>
      <c r="D441" s="134"/>
      <c r="E441" s="134"/>
      <c r="F441" s="135"/>
      <c r="G441" s="128"/>
      <c r="H441" s="129"/>
      <c r="I441" s="36"/>
      <c r="L441" s="132"/>
      <c r="M441" s="132"/>
      <c r="N441" s="36"/>
    </row>
    <row r="442" spans="1:14" s="37" customFormat="1" ht="15.75" customHeight="1" x14ac:dyDescent="0.35">
      <c r="A442" s="124">
        <f t="shared" si="46"/>
        <v>5</v>
      </c>
      <c r="B442" s="125"/>
      <c r="C442" s="54">
        <v>2</v>
      </c>
      <c r="D442" s="55">
        <f>(47.9+(2.88*0.75+1.5*0.75))*(10.746)</f>
        <v>550.03401000000008</v>
      </c>
      <c r="E442" s="42">
        <v>0</v>
      </c>
      <c r="F442" s="42">
        <f>D442*(($F$336)+1)+(IF(E442&lt;101,E442,IF(E442&lt;201,E442/2,IF(E442&lt;=301,E442/3,E442/4))))</f>
        <v>825.05101500000012</v>
      </c>
      <c r="G442" s="128"/>
      <c r="H442" s="129"/>
      <c r="I442" s="36"/>
      <c r="L442" s="132"/>
      <c r="M442" s="132"/>
      <c r="N442" s="36"/>
    </row>
    <row r="443" spans="1:14" s="37" customFormat="1" ht="15.75" customHeight="1" x14ac:dyDescent="0.35">
      <c r="A443" s="124">
        <f t="shared" si="46"/>
        <v>6</v>
      </c>
      <c r="B443" s="125"/>
      <c r="C443" s="54">
        <v>2</v>
      </c>
      <c r="D443" s="55">
        <f>(47.9+(2.88*0.75+1.5*0.75))*(10.746)</f>
        <v>550.03401000000008</v>
      </c>
      <c r="E443" s="42">
        <v>0</v>
      </c>
      <c r="F443" s="42">
        <f>D443*(($F$336)+1)+(IF(E443&lt;101,E443,IF(E443&lt;201,E443/2,IF(E443&lt;=301,E443/3,E443/4))))</f>
        <v>825.05101500000012</v>
      </c>
      <c r="G443" s="128"/>
      <c r="H443" s="129"/>
      <c r="I443" s="36"/>
      <c r="L443" s="132"/>
      <c r="M443" s="132"/>
      <c r="N443" s="36"/>
    </row>
    <row r="444" spans="1:14" s="37" customFormat="1" ht="15.75" customHeight="1" x14ac:dyDescent="0.35">
      <c r="A444" s="124">
        <f t="shared" si="46"/>
        <v>7</v>
      </c>
      <c r="B444" s="125"/>
      <c r="C444" s="54">
        <v>1</v>
      </c>
      <c r="D444" s="55">
        <f>(34.75+(2.81*0.75+1.5*0.75))*(10.746)</f>
        <v>408.15994500000005</v>
      </c>
      <c r="E444" s="42">
        <v>0</v>
      </c>
      <c r="F444" s="42">
        <f>D444*(($F$336)+1)+(IF(E444&lt;101,E444,IF(E444&lt;201,E444/2,IF(E444&lt;=301,E444/3,E444/4))))</f>
        <v>612.23991750000005</v>
      </c>
      <c r="G444" s="128"/>
      <c r="H444" s="129"/>
      <c r="I444" s="36"/>
      <c r="L444" s="132"/>
      <c r="M444" s="132"/>
      <c r="N444" s="36"/>
    </row>
    <row r="445" spans="1:14" s="37" customFormat="1" ht="15.75" customHeight="1" x14ac:dyDescent="0.35">
      <c r="A445" s="124">
        <f t="shared" si="46"/>
        <v>8</v>
      </c>
      <c r="B445" s="125"/>
      <c r="C445" s="54">
        <v>1</v>
      </c>
      <c r="D445" s="55">
        <f>(34.75+(2.81*0.75+1.5*0.75))*(10.746)</f>
        <v>408.15994500000005</v>
      </c>
      <c r="E445" s="42">
        <v>0</v>
      </c>
      <c r="F445" s="42">
        <f>D445*(($F$336)+1)+(IF(E445&lt;101,E445,IF(E445&lt;201,E445/2,IF(E445&lt;=301,E445/3,E445/4))))</f>
        <v>612.23991750000005</v>
      </c>
      <c r="G445" s="130"/>
      <c r="H445" s="131"/>
      <c r="I445" s="36"/>
      <c r="L445" s="132"/>
      <c r="M445" s="132"/>
      <c r="N445" s="36"/>
    </row>
    <row r="446" spans="1:14" s="37" customFormat="1" x14ac:dyDescent="0.35">
      <c r="A446" s="166" t="s">
        <v>197</v>
      </c>
      <c r="B446" s="167"/>
      <c r="C446" s="167"/>
      <c r="D446" s="167"/>
      <c r="E446" s="167"/>
      <c r="F446" s="167"/>
      <c r="G446" s="167"/>
      <c r="H446" s="168"/>
      <c r="J446" s="36"/>
    </row>
    <row r="447" spans="1:14" s="37" customFormat="1" x14ac:dyDescent="0.35">
      <c r="A447" s="121" t="s">
        <v>203</v>
      </c>
      <c r="B447" s="122"/>
      <c r="C447" s="122"/>
      <c r="D447" s="122"/>
      <c r="E447" s="122"/>
      <c r="F447" s="122"/>
      <c r="G447" s="122"/>
      <c r="H447" s="123"/>
      <c r="J447" s="36"/>
    </row>
    <row r="448" spans="1:14" s="37" customFormat="1" ht="15.75" customHeight="1" x14ac:dyDescent="0.35">
      <c r="A448" s="124">
        <v>2</v>
      </c>
      <c r="B448" s="125"/>
      <c r="C448" s="54">
        <v>2</v>
      </c>
      <c r="D448" s="55">
        <f>(47.9+(2.88*0.75+1.5*0.75))*(10.746)</f>
        <v>550.03401000000008</v>
      </c>
      <c r="E448" s="42">
        <v>0</v>
      </c>
      <c r="F448" s="42">
        <f>D448*(($F$336)+1)+(IF(E448&lt;101,E448,IF(E448&lt;201,E448/2,IF(E448&lt;=301,E448/3,E448/4))))</f>
        <v>825.05101500000012</v>
      </c>
      <c r="G448" s="126" t="str">
        <f>A447</f>
        <v>1st Floor For Residential &amp; Parking</v>
      </c>
      <c r="H448" s="127"/>
      <c r="I448" s="36"/>
      <c r="L448" s="132"/>
      <c r="M448" s="132"/>
      <c r="N448" s="36"/>
    </row>
    <row r="449" spans="1:14" s="37" customFormat="1" ht="15.75" customHeight="1" x14ac:dyDescent="0.35">
      <c r="A449" s="124">
        <v>5</v>
      </c>
      <c r="B449" s="125"/>
      <c r="C449" s="54">
        <v>2</v>
      </c>
      <c r="D449" s="55">
        <f>(47.9+(2.88*0.75+1.5*0.75))*(10.746)</f>
        <v>550.03401000000008</v>
      </c>
      <c r="E449" s="42">
        <v>0</v>
      </c>
      <c r="F449" s="42">
        <f>D449*(($F$336)+1)+(IF(E449&lt;101,E449,IF(E449&lt;201,E449/2,IF(E449&lt;=301,E449/3,E449/4))))</f>
        <v>825.05101500000012</v>
      </c>
      <c r="G449" s="130"/>
      <c r="H449" s="131"/>
      <c r="I449" s="36"/>
      <c r="L449" s="132"/>
      <c r="M449" s="132"/>
      <c r="N449" s="36"/>
    </row>
    <row r="450" spans="1:14" s="37" customFormat="1" x14ac:dyDescent="0.35">
      <c r="A450" s="121" t="s">
        <v>119</v>
      </c>
      <c r="B450" s="122"/>
      <c r="C450" s="122"/>
      <c r="D450" s="122"/>
      <c r="E450" s="122"/>
      <c r="F450" s="122"/>
      <c r="G450" s="122"/>
      <c r="H450" s="123"/>
      <c r="J450" s="36"/>
    </row>
    <row r="451" spans="1:14" s="37" customFormat="1" x14ac:dyDescent="0.35">
      <c r="A451" s="124">
        <v>2</v>
      </c>
      <c r="B451" s="125"/>
      <c r="C451" s="54">
        <v>2</v>
      </c>
      <c r="D451" s="55">
        <f>(47.9+(2.88*0.75+1.5*0.75))*(10.746)</f>
        <v>550.03401000000008</v>
      </c>
      <c r="E451" s="42">
        <v>0</v>
      </c>
      <c r="F451" s="42">
        <f>D451*(($F$336)+1)+(IF(E451&lt;101,E451,IF(E451&lt;201,E451/2,IF(E451&lt;=301,E451/3,E451/4))))</f>
        <v>825.05101500000012</v>
      </c>
      <c r="G451" s="126" t="str">
        <f>A450</f>
        <v>2nd Floor</v>
      </c>
      <c r="H451" s="127"/>
      <c r="I451" s="36"/>
      <c r="L451" s="132"/>
      <c r="M451" s="132"/>
      <c r="N451" s="36"/>
    </row>
    <row r="452" spans="1:14" s="37" customFormat="1" x14ac:dyDescent="0.35">
      <c r="A452" s="124">
        <f t="shared" ref="A452:A454" si="47">A451+1</f>
        <v>3</v>
      </c>
      <c r="B452" s="125"/>
      <c r="C452" s="54">
        <v>1</v>
      </c>
      <c r="D452" s="55">
        <f>(34.75+(2.81*0.75+1.5*0.75))*(10.746)</f>
        <v>408.15994500000005</v>
      </c>
      <c r="E452" s="42">
        <v>0</v>
      </c>
      <c r="F452" s="42">
        <f>D452*(($F$336)+1)+(IF(E452&lt;101,E452,IF(E452&lt;201,E452/2,IF(E452&lt;=301,E452/3,E452/4))))</f>
        <v>612.23991750000005</v>
      </c>
      <c r="G452" s="128"/>
      <c r="H452" s="129"/>
      <c r="I452" s="36"/>
      <c r="L452" s="132"/>
      <c r="M452" s="132"/>
      <c r="N452" s="36"/>
    </row>
    <row r="453" spans="1:14" s="37" customFormat="1" x14ac:dyDescent="0.35">
      <c r="A453" s="124">
        <f t="shared" si="47"/>
        <v>4</v>
      </c>
      <c r="B453" s="125"/>
      <c r="C453" s="54">
        <v>1</v>
      </c>
      <c r="D453" s="55">
        <f>(34.75+(2.81*0.75+1.5*0.75))*(10.746)</f>
        <v>408.15994500000005</v>
      </c>
      <c r="E453" s="42">
        <v>0</v>
      </c>
      <c r="F453" s="42">
        <f>D453*(($F$336)+1)+(IF(E453&lt;101,E453,IF(E453&lt;201,E453/2,IF(E453&lt;=301,E453/3,E453/4))))</f>
        <v>612.23991750000005</v>
      </c>
      <c r="G453" s="128"/>
      <c r="H453" s="129"/>
      <c r="I453" s="36"/>
      <c r="L453" s="132"/>
      <c r="M453" s="132"/>
      <c r="N453" s="36"/>
    </row>
    <row r="454" spans="1:14" s="37" customFormat="1" x14ac:dyDescent="0.35">
      <c r="A454" s="124">
        <f t="shared" si="47"/>
        <v>5</v>
      </c>
      <c r="B454" s="125"/>
      <c r="C454" s="54">
        <v>2</v>
      </c>
      <c r="D454" s="55">
        <f>(47.9+(2.88*0.75+1.5*0.75))*(10.746)</f>
        <v>550.03401000000008</v>
      </c>
      <c r="E454" s="42">
        <v>0</v>
      </c>
      <c r="F454" s="42">
        <f>D454*(($F$336)+1)+(IF(E454&lt;101,E454,IF(E454&lt;201,E454/2,IF(E454&lt;=301,E454/3,E454/4))))</f>
        <v>825.05101500000012</v>
      </c>
      <c r="G454" s="130"/>
      <c r="H454" s="131"/>
      <c r="I454" s="36"/>
      <c r="L454" s="132"/>
      <c r="M454" s="132"/>
      <c r="N454" s="36"/>
    </row>
    <row r="455" spans="1:14" s="37" customFormat="1" x14ac:dyDescent="0.35">
      <c r="A455" s="121" t="s">
        <v>191</v>
      </c>
      <c r="B455" s="122"/>
      <c r="C455" s="122"/>
      <c r="D455" s="122"/>
      <c r="E455" s="122"/>
      <c r="F455" s="122"/>
      <c r="G455" s="122"/>
      <c r="H455" s="123"/>
      <c r="J455" s="36"/>
    </row>
    <row r="456" spans="1:14" s="37" customFormat="1" x14ac:dyDescent="0.35">
      <c r="A456" s="124">
        <v>1</v>
      </c>
      <c r="B456" s="125"/>
      <c r="C456" s="54">
        <v>2</v>
      </c>
      <c r="D456" s="55">
        <f>(47.9+(2.88*0.75+1.5*0.75))*(10.746)</f>
        <v>550.03401000000008</v>
      </c>
      <c r="E456" s="42">
        <f>(10.52*6+4.3*1.3+2.5*0.8+1.5*0.5+12*1)*10.764</f>
        <v>898.36343999999985</v>
      </c>
      <c r="F456" s="42">
        <f t="shared" ref="F456:F463" si="48">D456*(($F$336)+1)+(IF(E456&lt;101,E456,IF(E456&lt;201,E456/2,IF(E456&lt;=301,E456/3,E456/4))))</f>
        <v>1049.641875</v>
      </c>
      <c r="G456" s="126" t="str">
        <f>A455</f>
        <v>3rd Floor</v>
      </c>
      <c r="H456" s="127"/>
      <c r="I456" s="36"/>
      <c r="L456" s="132"/>
      <c r="M456" s="132"/>
      <c r="N456" s="36"/>
    </row>
    <row r="457" spans="1:14" s="37" customFormat="1" x14ac:dyDescent="0.35">
      <c r="A457" s="124">
        <f t="shared" ref="A457:A463" si="49">A456+1</f>
        <v>2</v>
      </c>
      <c r="B457" s="125"/>
      <c r="C457" s="54">
        <v>2</v>
      </c>
      <c r="D457" s="55">
        <f>(47.9+(2.88*0.75+1.5*0.75))*(10.746)</f>
        <v>550.03401000000008</v>
      </c>
      <c r="E457" s="42">
        <v>0</v>
      </c>
      <c r="F457" s="42">
        <f t="shared" si="48"/>
        <v>825.05101500000012</v>
      </c>
      <c r="G457" s="128"/>
      <c r="H457" s="129"/>
      <c r="I457" s="36"/>
      <c r="L457" s="132"/>
      <c r="M457" s="132"/>
      <c r="N457" s="36"/>
    </row>
    <row r="458" spans="1:14" s="37" customFormat="1" x14ac:dyDescent="0.35">
      <c r="A458" s="124">
        <f t="shared" si="49"/>
        <v>3</v>
      </c>
      <c r="B458" s="125"/>
      <c r="C458" s="54">
        <v>1</v>
      </c>
      <c r="D458" s="55">
        <f>(34.75+(2.81*0.75+1.5*0.75))*(10.746)</f>
        <v>408.15994500000005</v>
      </c>
      <c r="E458" s="42">
        <v>0</v>
      </c>
      <c r="F458" s="42">
        <f t="shared" si="48"/>
        <v>612.23991750000005</v>
      </c>
      <c r="G458" s="128"/>
      <c r="H458" s="129"/>
      <c r="I458" s="36"/>
      <c r="L458" s="132"/>
      <c r="M458" s="132"/>
      <c r="N458" s="36"/>
    </row>
    <row r="459" spans="1:14" s="37" customFormat="1" x14ac:dyDescent="0.35">
      <c r="A459" s="124">
        <f t="shared" si="49"/>
        <v>4</v>
      </c>
      <c r="B459" s="125"/>
      <c r="C459" s="54">
        <v>1</v>
      </c>
      <c r="D459" s="55">
        <f>(34.75+(2.81*0.75+1.5*0.75))*(10.746)</f>
        <v>408.15994500000005</v>
      </c>
      <c r="E459" s="42">
        <v>0</v>
      </c>
      <c r="F459" s="42">
        <f t="shared" si="48"/>
        <v>612.23991750000005</v>
      </c>
      <c r="G459" s="128"/>
      <c r="H459" s="129"/>
      <c r="I459" s="36"/>
      <c r="L459" s="132"/>
      <c r="M459" s="132"/>
      <c r="N459" s="36"/>
    </row>
    <row r="460" spans="1:14" s="37" customFormat="1" x14ac:dyDescent="0.35">
      <c r="A460" s="124">
        <f t="shared" si="49"/>
        <v>5</v>
      </c>
      <c r="B460" s="125"/>
      <c r="C460" s="54">
        <v>2</v>
      </c>
      <c r="D460" s="55">
        <f>(47.9+(2.88*0.75+1.5*0.75))*(10.746)</f>
        <v>550.03401000000008</v>
      </c>
      <c r="E460" s="42">
        <v>0</v>
      </c>
      <c r="F460" s="42">
        <f t="shared" si="48"/>
        <v>825.05101500000012</v>
      </c>
      <c r="G460" s="128"/>
      <c r="H460" s="129"/>
      <c r="I460" s="36"/>
      <c r="L460" s="132"/>
      <c r="M460" s="132"/>
      <c r="N460" s="36"/>
    </row>
    <row r="461" spans="1:14" s="37" customFormat="1" x14ac:dyDescent="0.35">
      <c r="A461" s="124">
        <f t="shared" si="49"/>
        <v>6</v>
      </c>
      <c r="B461" s="125"/>
      <c r="C461" s="54">
        <v>2</v>
      </c>
      <c r="D461" s="55">
        <f>(47.9+(2.88*0.75+1.5*0.75))*(10.746)</f>
        <v>550.03401000000008</v>
      </c>
      <c r="E461" s="42">
        <f>(5.9*11.9+10.52*6+4.3*1.3+2.5*0.8+1.5*0.5)*10.746</f>
        <v>1522.3858200000002</v>
      </c>
      <c r="F461" s="42">
        <f t="shared" si="48"/>
        <v>1205.6474700000001</v>
      </c>
      <c r="G461" s="128"/>
      <c r="H461" s="129"/>
      <c r="I461" s="36"/>
      <c r="L461" s="132"/>
      <c r="M461" s="132"/>
      <c r="N461" s="36"/>
    </row>
    <row r="462" spans="1:14" s="37" customFormat="1" x14ac:dyDescent="0.35">
      <c r="A462" s="124">
        <f t="shared" si="49"/>
        <v>7</v>
      </c>
      <c r="B462" s="125"/>
      <c r="C462" s="54">
        <v>1</v>
      </c>
      <c r="D462" s="55">
        <f>(34.75+(2.81*0.75+1.5*0.75))*(10.746)</f>
        <v>408.15994500000005</v>
      </c>
      <c r="E462" s="42">
        <f>(8.06*3.4+2.8*1.4+2.5*0.5)*10.764</f>
        <v>350.62653599999993</v>
      </c>
      <c r="F462" s="42">
        <f t="shared" si="48"/>
        <v>699.89655149999999</v>
      </c>
      <c r="G462" s="128"/>
      <c r="H462" s="129"/>
      <c r="I462" s="36"/>
      <c r="L462" s="132"/>
      <c r="M462" s="132"/>
      <c r="N462" s="36"/>
    </row>
    <row r="463" spans="1:14" s="37" customFormat="1" x14ac:dyDescent="0.35">
      <c r="A463" s="124">
        <f t="shared" si="49"/>
        <v>8</v>
      </c>
      <c r="B463" s="125"/>
      <c r="C463" s="54">
        <v>1</v>
      </c>
      <c r="D463" s="55">
        <f>(34.75+(2.81*0.75+1.5*0.75))*(10.746)</f>
        <v>408.15994500000005</v>
      </c>
      <c r="E463" s="42">
        <f>(8.06*3.4+2.8*1.4+2.5*0.5)*10.764</f>
        <v>350.62653599999993</v>
      </c>
      <c r="F463" s="42">
        <f t="shared" si="48"/>
        <v>699.89655149999999</v>
      </c>
      <c r="G463" s="130"/>
      <c r="H463" s="131"/>
      <c r="I463" s="36"/>
      <c r="L463" s="132"/>
      <c r="M463" s="132"/>
      <c r="N463" s="36"/>
    </row>
    <row r="464" spans="1:14" s="37" customFormat="1" x14ac:dyDescent="0.35">
      <c r="A464" s="121" t="s">
        <v>192</v>
      </c>
      <c r="B464" s="122"/>
      <c r="C464" s="122"/>
      <c r="D464" s="122"/>
      <c r="E464" s="122"/>
      <c r="F464" s="122"/>
      <c r="G464" s="122"/>
      <c r="H464" s="123"/>
      <c r="J464" s="36"/>
    </row>
    <row r="465" spans="1:14" s="37" customFormat="1" ht="15.75" customHeight="1" x14ac:dyDescent="0.35">
      <c r="A465" s="124">
        <v>1</v>
      </c>
      <c r="B465" s="125"/>
      <c r="C465" s="54">
        <v>2</v>
      </c>
      <c r="D465" s="55">
        <f>(47.9+(2.88*0.75+1.5*0.75))*(10.746)</f>
        <v>550.03401000000008</v>
      </c>
      <c r="E465" s="42">
        <v>0</v>
      </c>
      <c r="F465" s="42">
        <f t="shared" ref="F465:F472" si="50">D465*(($F$336)+1)+(IF(E465&lt;101,E465,IF(E465&lt;201,E465/2,IF(E465&lt;=301,E465/3,E465/4))))</f>
        <v>825.05101500000012</v>
      </c>
      <c r="G465" s="126" t="str">
        <f>A464</f>
        <v>4th to 7th, 9th to 12th, 14th to 17th, 19th to 23rd Floor</v>
      </c>
      <c r="H465" s="127"/>
      <c r="I465" s="36"/>
      <c r="L465" s="132"/>
      <c r="M465" s="132"/>
      <c r="N465" s="36"/>
    </row>
    <row r="466" spans="1:14" s="37" customFormat="1" ht="15.75" customHeight="1" x14ac:dyDescent="0.35">
      <c r="A466" s="124">
        <f t="shared" ref="A466:A472" si="51">A465+1</f>
        <v>2</v>
      </c>
      <c r="B466" s="125"/>
      <c r="C466" s="54">
        <v>2</v>
      </c>
      <c r="D466" s="55">
        <f>(47.9+(2.88*0.75+1.5*0.75))*(10.746)</f>
        <v>550.03401000000008</v>
      </c>
      <c r="E466" s="42">
        <v>0</v>
      </c>
      <c r="F466" s="42">
        <f t="shared" si="50"/>
        <v>825.05101500000012</v>
      </c>
      <c r="G466" s="128"/>
      <c r="H466" s="129"/>
      <c r="I466" s="36"/>
      <c r="L466" s="132"/>
      <c r="M466" s="132"/>
      <c r="N466" s="36"/>
    </row>
    <row r="467" spans="1:14" s="37" customFormat="1" ht="15.75" customHeight="1" x14ac:dyDescent="0.35">
      <c r="A467" s="124">
        <f t="shared" si="51"/>
        <v>3</v>
      </c>
      <c r="B467" s="125"/>
      <c r="C467" s="54">
        <v>1</v>
      </c>
      <c r="D467" s="55">
        <f>(34.75+(2.81*0.75+1.5*0.75))*(10.746)</f>
        <v>408.15994500000005</v>
      </c>
      <c r="E467" s="42">
        <v>0</v>
      </c>
      <c r="F467" s="42">
        <f t="shared" si="50"/>
        <v>612.23991750000005</v>
      </c>
      <c r="G467" s="128"/>
      <c r="H467" s="129"/>
      <c r="I467" s="36"/>
      <c r="L467" s="132"/>
      <c r="M467" s="132"/>
      <c r="N467" s="36"/>
    </row>
    <row r="468" spans="1:14" s="37" customFormat="1" ht="15.75" customHeight="1" x14ac:dyDescent="0.35">
      <c r="A468" s="124">
        <f t="shared" si="51"/>
        <v>4</v>
      </c>
      <c r="B468" s="125"/>
      <c r="C468" s="54">
        <v>1</v>
      </c>
      <c r="D468" s="55">
        <f>(34.75+(2.81*0.75+1.5*0.75))*(10.746)</f>
        <v>408.15994500000005</v>
      </c>
      <c r="E468" s="42">
        <v>0</v>
      </c>
      <c r="F468" s="42">
        <f t="shared" si="50"/>
        <v>612.23991750000005</v>
      </c>
      <c r="G468" s="128"/>
      <c r="H468" s="129"/>
      <c r="I468" s="36"/>
      <c r="L468" s="132"/>
      <c r="M468" s="132"/>
      <c r="N468" s="36"/>
    </row>
    <row r="469" spans="1:14" s="37" customFormat="1" ht="15.75" customHeight="1" x14ac:dyDescent="0.35">
      <c r="A469" s="124">
        <f t="shared" si="51"/>
        <v>5</v>
      </c>
      <c r="B469" s="125"/>
      <c r="C469" s="54">
        <v>2</v>
      </c>
      <c r="D469" s="55">
        <f>(47.9+(2.88*0.75+1.5*0.75))*(10.746)</f>
        <v>550.03401000000008</v>
      </c>
      <c r="E469" s="42">
        <v>0</v>
      </c>
      <c r="F469" s="42">
        <f t="shared" si="50"/>
        <v>825.05101500000012</v>
      </c>
      <c r="G469" s="128"/>
      <c r="H469" s="129"/>
      <c r="I469" s="36"/>
      <c r="L469" s="132"/>
      <c r="M469" s="132"/>
      <c r="N469" s="36"/>
    </row>
    <row r="470" spans="1:14" s="37" customFormat="1" ht="15.75" customHeight="1" x14ac:dyDescent="0.35">
      <c r="A470" s="124">
        <f t="shared" si="51"/>
        <v>6</v>
      </c>
      <c r="B470" s="125"/>
      <c r="C470" s="54">
        <v>2</v>
      </c>
      <c r="D470" s="55">
        <f>(47.9+(2.88*0.75+1.5*0.75))*(10.746)</f>
        <v>550.03401000000008</v>
      </c>
      <c r="E470" s="42">
        <v>0</v>
      </c>
      <c r="F470" s="42">
        <f t="shared" si="50"/>
        <v>825.05101500000012</v>
      </c>
      <c r="G470" s="128"/>
      <c r="H470" s="129"/>
      <c r="I470" s="36"/>
      <c r="L470" s="132"/>
      <c r="M470" s="132"/>
      <c r="N470" s="36"/>
    </row>
    <row r="471" spans="1:14" s="37" customFormat="1" ht="15.75" customHeight="1" x14ac:dyDescent="0.35">
      <c r="A471" s="124">
        <f t="shared" si="51"/>
        <v>7</v>
      </c>
      <c r="B471" s="125"/>
      <c r="C471" s="54">
        <v>1</v>
      </c>
      <c r="D471" s="55">
        <f>(34.75+(2.81*0.75+1.5*0.75))*(10.746)</f>
        <v>408.15994500000005</v>
      </c>
      <c r="E471" s="42">
        <v>0</v>
      </c>
      <c r="F471" s="42">
        <f t="shared" si="50"/>
        <v>612.23991750000005</v>
      </c>
      <c r="G471" s="128"/>
      <c r="H471" s="129"/>
      <c r="I471" s="36"/>
      <c r="L471" s="132"/>
      <c r="M471" s="132"/>
      <c r="N471" s="36"/>
    </row>
    <row r="472" spans="1:14" s="37" customFormat="1" ht="15.75" customHeight="1" x14ac:dyDescent="0.35">
      <c r="A472" s="124">
        <f t="shared" si="51"/>
        <v>8</v>
      </c>
      <c r="B472" s="125"/>
      <c r="C472" s="54">
        <v>1</v>
      </c>
      <c r="D472" s="55">
        <f>(34.75+(2.81*0.75+1.5*0.75))*(10.746)</f>
        <v>408.15994500000005</v>
      </c>
      <c r="E472" s="42">
        <v>0</v>
      </c>
      <c r="F472" s="42">
        <f t="shared" si="50"/>
        <v>612.23991750000005</v>
      </c>
      <c r="G472" s="130"/>
      <c r="H472" s="131"/>
      <c r="I472" s="36"/>
      <c r="L472" s="132"/>
      <c r="M472" s="132"/>
      <c r="N472" s="36"/>
    </row>
    <row r="473" spans="1:14" s="37" customFormat="1" x14ac:dyDescent="0.35">
      <c r="A473" s="121" t="s">
        <v>194</v>
      </c>
      <c r="B473" s="122"/>
      <c r="C473" s="122"/>
      <c r="D473" s="122"/>
      <c r="E473" s="122"/>
      <c r="F473" s="122"/>
      <c r="G473" s="122"/>
      <c r="H473" s="123"/>
      <c r="J473" s="36"/>
    </row>
    <row r="474" spans="1:14" s="37" customFormat="1" ht="15.75" customHeight="1" x14ac:dyDescent="0.35">
      <c r="A474" s="124">
        <v>1</v>
      </c>
      <c r="B474" s="125"/>
      <c r="C474" s="54">
        <v>2</v>
      </c>
      <c r="D474" s="55">
        <f>(47.9+(2.88*0.75+1.5*0.75))*(10.746)</f>
        <v>550.03401000000008</v>
      </c>
      <c r="E474" s="42">
        <v>0</v>
      </c>
      <c r="F474" s="42">
        <f t="shared" ref="F474:F475" si="52">D474*(($F$336)+1)+(IF(E474&lt;101,E474,IF(E474&lt;201,E474/2,IF(E474&lt;=301,E474/3,E474/4))))</f>
        <v>825.05101500000012</v>
      </c>
      <c r="G474" s="126" t="str">
        <f>A473</f>
        <v>8th, 13th &amp; 18th Floor (Part Refuge Area)</v>
      </c>
      <c r="H474" s="127"/>
      <c r="I474" s="36"/>
      <c r="L474" s="132"/>
      <c r="M474" s="132"/>
      <c r="N474" s="36"/>
    </row>
    <row r="475" spans="1:14" s="37" customFormat="1" ht="15.75" customHeight="1" x14ac:dyDescent="0.35">
      <c r="A475" s="124">
        <f t="shared" ref="A475:A481" si="53">A474+1</f>
        <v>2</v>
      </c>
      <c r="B475" s="125"/>
      <c r="C475" s="54">
        <v>2</v>
      </c>
      <c r="D475" s="55">
        <f>(47.9+(2.88*0.75+1.5*0.75))*(10.746)</f>
        <v>550.03401000000008</v>
      </c>
      <c r="E475" s="42">
        <v>0</v>
      </c>
      <c r="F475" s="42">
        <f t="shared" si="52"/>
        <v>825.05101500000012</v>
      </c>
      <c r="G475" s="128"/>
      <c r="H475" s="129"/>
      <c r="I475" s="36"/>
      <c r="L475" s="132"/>
      <c r="M475" s="132"/>
      <c r="N475" s="36"/>
    </row>
    <row r="476" spans="1:14" s="37" customFormat="1" ht="15.75" customHeight="1" x14ac:dyDescent="0.35">
      <c r="A476" s="124">
        <f t="shared" si="53"/>
        <v>3</v>
      </c>
      <c r="B476" s="125"/>
      <c r="C476" s="133" t="s">
        <v>193</v>
      </c>
      <c r="D476" s="134"/>
      <c r="E476" s="134"/>
      <c r="F476" s="135"/>
      <c r="G476" s="128"/>
      <c r="H476" s="129"/>
      <c r="I476" s="36"/>
      <c r="L476" s="132"/>
      <c r="M476" s="132"/>
      <c r="N476" s="36"/>
    </row>
    <row r="477" spans="1:14" s="37" customFormat="1" ht="15.75" customHeight="1" x14ac:dyDescent="0.35">
      <c r="A477" s="124">
        <f t="shared" si="53"/>
        <v>4</v>
      </c>
      <c r="B477" s="125"/>
      <c r="C477" s="54">
        <v>1</v>
      </c>
      <c r="D477" s="55">
        <f>(34.75+(2.81*0.75+1.5*0.75))*(10.746)</f>
        <v>408.15994500000005</v>
      </c>
      <c r="E477" s="42">
        <v>0</v>
      </c>
      <c r="F477" s="42">
        <f t="shared" ref="F477:F481" si="54">D477*(($F$336)+1)+(IF(E477&lt;101,E477,IF(E477&lt;201,E477/2,IF(E477&lt;=301,E477/3,E477/4))))</f>
        <v>612.23991750000005</v>
      </c>
      <c r="G477" s="128"/>
      <c r="H477" s="129"/>
      <c r="I477" s="36"/>
      <c r="L477" s="132"/>
      <c r="M477" s="132"/>
      <c r="N477" s="36"/>
    </row>
    <row r="478" spans="1:14" s="37" customFormat="1" ht="15.75" customHeight="1" x14ac:dyDescent="0.35">
      <c r="A478" s="124">
        <f t="shared" si="53"/>
        <v>5</v>
      </c>
      <c r="B478" s="125"/>
      <c r="C478" s="54">
        <v>2</v>
      </c>
      <c r="D478" s="55">
        <f>(47.9+(2.88*0.75+1.5*0.75))*(10.746)</f>
        <v>550.03401000000008</v>
      </c>
      <c r="E478" s="42">
        <v>0</v>
      </c>
      <c r="F478" s="42">
        <f t="shared" si="54"/>
        <v>825.05101500000012</v>
      </c>
      <c r="G478" s="128"/>
      <c r="H478" s="129"/>
      <c r="I478" s="36"/>
      <c r="L478" s="132"/>
      <c r="M478" s="132"/>
      <c r="N478" s="36"/>
    </row>
    <row r="479" spans="1:14" s="37" customFormat="1" ht="15.75" customHeight="1" x14ac:dyDescent="0.35">
      <c r="A479" s="124">
        <f t="shared" si="53"/>
        <v>6</v>
      </c>
      <c r="B479" s="125"/>
      <c r="C479" s="54">
        <v>2</v>
      </c>
      <c r="D479" s="55">
        <f>(47.9+(2.88*0.75+1.5*0.75))*(10.746)</f>
        <v>550.03401000000008</v>
      </c>
      <c r="E479" s="42">
        <v>0</v>
      </c>
      <c r="F479" s="42">
        <f t="shared" si="54"/>
        <v>825.05101500000012</v>
      </c>
      <c r="G479" s="128"/>
      <c r="H479" s="129"/>
      <c r="I479" s="36"/>
      <c r="L479" s="132"/>
      <c r="M479" s="132"/>
      <c r="N479" s="36"/>
    </row>
    <row r="480" spans="1:14" s="37" customFormat="1" ht="15.75" customHeight="1" x14ac:dyDescent="0.35">
      <c r="A480" s="124">
        <f t="shared" si="53"/>
        <v>7</v>
      </c>
      <c r="B480" s="125"/>
      <c r="C480" s="54">
        <v>1</v>
      </c>
      <c r="D480" s="55">
        <f>(34.75+(2.81*0.75+1.5*0.75))*(10.746)</f>
        <v>408.15994500000005</v>
      </c>
      <c r="E480" s="42">
        <v>0</v>
      </c>
      <c r="F480" s="42">
        <f t="shared" si="54"/>
        <v>612.23991750000005</v>
      </c>
      <c r="G480" s="128"/>
      <c r="H480" s="129"/>
      <c r="I480" s="36"/>
      <c r="L480" s="132"/>
      <c r="M480" s="132"/>
      <c r="N480" s="36"/>
    </row>
    <row r="481" spans="1:14" s="37" customFormat="1" ht="15.75" customHeight="1" x14ac:dyDescent="0.35">
      <c r="A481" s="124">
        <f t="shared" si="53"/>
        <v>8</v>
      </c>
      <c r="B481" s="125"/>
      <c r="C481" s="54">
        <v>1</v>
      </c>
      <c r="D481" s="55">
        <f>(34.75+(2.81*0.75+1.5*0.75))*(10.746)</f>
        <v>408.15994500000005</v>
      </c>
      <c r="E481" s="42">
        <v>0</v>
      </c>
      <c r="F481" s="42">
        <f t="shared" si="54"/>
        <v>612.23991750000005</v>
      </c>
      <c r="G481" s="130"/>
      <c r="H481" s="131"/>
      <c r="I481" s="36"/>
      <c r="L481" s="132"/>
      <c r="M481" s="132"/>
      <c r="N481" s="36"/>
    </row>
    <row r="482" spans="1:14" s="61" customFormat="1" x14ac:dyDescent="0.35">
      <c r="A482" s="166" t="s">
        <v>243</v>
      </c>
      <c r="B482" s="167"/>
      <c r="C482" s="167"/>
      <c r="D482" s="167"/>
      <c r="E482" s="167"/>
      <c r="F482" s="167"/>
      <c r="G482" s="167"/>
      <c r="H482" s="168"/>
      <c r="J482" s="36"/>
    </row>
    <row r="483" spans="1:14" s="61" customFormat="1" x14ac:dyDescent="0.35">
      <c r="A483" s="121" t="s">
        <v>203</v>
      </c>
      <c r="B483" s="122"/>
      <c r="C483" s="122"/>
      <c r="D483" s="122"/>
      <c r="E483" s="122"/>
      <c r="F483" s="122"/>
      <c r="G483" s="122"/>
      <c r="H483" s="123"/>
      <c r="J483" s="36"/>
    </row>
    <row r="484" spans="1:14" s="61" customFormat="1" ht="15.75" customHeight="1" x14ac:dyDescent="0.35">
      <c r="A484" s="124">
        <v>2</v>
      </c>
      <c r="B484" s="125"/>
      <c r="C484" s="54">
        <v>2</v>
      </c>
      <c r="D484" s="55">
        <f>(47.9+(2.88*0.75+1.5*0.75))*(10.746)</f>
        <v>550.03401000000008</v>
      </c>
      <c r="E484" s="59">
        <v>0</v>
      </c>
      <c r="F484" s="59">
        <f>D484*(($F$336)+1)+(IF(E484&lt;101,E484,IF(E484&lt;201,E484/2,IF(E484&lt;=301,E484/3,E484/4))))</f>
        <v>825.05101500000012</v>
      </c>
      <c r="G484" s="126" t="str">
        <f>A483</f>
        <v>1st Floor For Residential &amp; Parking</v>
      </c>
      <c r="H484" s="127"/>
      <c r="I484" s="36"/>
      <c r="L484" s="132"/>
      <c r="M484" s="132"/>
      <c r="N484" s="36"/>
    </row>
    <row r="485" spans="1:14" s="61" customFormat="1" ht="15.75" customHeight="1" x14ac:dyDescent="0.35">
      <c r="A485" s="124">
        <v>5</v>
      </c>
      <c r="B485" s="125"/>
      <c r="C485" s="54">
        <v>2</v>
      </c>
      <c r="D485" s="55">
        <f>(47.9+(2.88*0.75+1.5*0.75))*(10.746)</f>
        <v>550.03401000000008</v>
      </c>
      <c r="E485" s="59">
        <v>0</v>
      </c>
      <c r="F485" s="59">
        <f>D485*(($F$336)+1)+(IF(E485&lt;101,E485,IF(E485&lt;201,E485/2,IF(E485&lt;=301,E485/3,E485/4))))</f>
        <v>825.05101500000012</v>
      </c>
      <c r="G485" s="130"/>
      <c r="H485" s="131"/>
      <c r="I485" s="36"/>
      <c r="L485" s="132"/>
      <c r="M485" s="132"/>
      <c r="N485" s="36"/>
    </row>
    <row r="486" spans="1:14" s="61" customFormat="1" x14ac:dyDescent="0.35">
      <c r="A486" s="121" t="s">
        <v>119</v>
      </c>
      <c r="B486" s="122"/>
      <c r="C486" s="122"/>
      <c r="D486" s="122"/>
      <c r="E486" s="122"/>
      <c r="F486" s="122"/>
      <c r="G486" s="122"/>
      <c r="H486" s="123"/>
      <c r="J486" s="36"/>
    </row>
    <row r="487" spans="1:14" s="61" customFormat="1" x14ac:dyDescent="0.35">
      <c r="A487" s="124">
        <v>2</v>
      </c>
      <c r="B487" s="125"/>
      <c r="C487" s="54">
        <v>2</v>
      </c>
      <c r="D487" s="55">
        <f>(47.9+(2.88*0.75+1.5*0.75))*(10.746)</f>
        <v>550.03401000000008</v>
      </c>
      <c r="E487" s="59">
        <v>0</v>
      </c>
      <c r="F487" s="59">
        <f>D487*(($F$336)+1)+(IF(E487&lt;101,E487,IF(E487&lt;201,E487/2,IF(E487&lt;=301,E487/3,E487/4))))</f>
        <v>825.05101500000012</v>
      </c>
      <c r="G487" s="126" t="str">
        <f>A486</f>
        <v>2nd Floor</v>
      </c>
      <c r="H487" s="127"/>
      <c r="I487" s="36"/>
      <c r="L487" s="132"/>
      <c r="M487" s="132"/>
      <c r="N487" s="36"/>
    </row>
    <row r="488" spans="1:14" s="61" customFormat="1" x14ac:dyDescent="0.35">
      <c r="A488" s="124">
        <f t="shared" ref="A488:A490" si="55">A487+1</f>
        <v>3</v>
      </c>
      <c r="B488" s="125"/>
      <c r="C488" s="54">
        <v>1</v>
      </c>
      <c r="D488" s="55">
        <f>(34.75+(2.81*0.75+1.5*0.75))*(10.746)</f>
        <v>408.15994500000005</v>
      </c>
      <c r="E488" s="59">
        <v>0</v>
      </c>
      <c r="F488" s="59">
        <f>D488*(($F$336)+1)+(IF(E488&lt;101,E488,IF(E488&lt;201,E488/2,IF(E488&lt;=301,E488/3,E488/4))))</f>
        <v>612.23991750000005</v>
      </c>
      <c r="G488" s="128"/>
      <c r="H488" s="129"/>
      <c r="I488" s="36"/>
      <c r="L488" s="132"/>
      <c r="M488" s="132"/>
      <c r="N488" s="36"/>
    </row>
    <row r="489" spans="1:14" s="61" customFormat="1" x14ac:dyDescent="0.35">
      <c r="A489" s="124">
        <f t="shared" si="55"/>
        <v>4</v>
      </c>
      <c r="B489" s="125"/>
      <c r="C489" s="54">
        <v>1</v>
      </c>
      <c r="D489" s="55">
        <f>(34.75+(2.81*0.75+1.5*0.75))*(10.746)</f>
        <v>408.15994500000005</v>
      </c>
      <c r="E489" s="59">
        <v>0</v>
      </c>
      <c r="F489" s="59">
        <f>D489*(($F$336)+1)+(IF(E489&lt;101,E489,IF(E489&lt;201,E489/2,IF(E489&lt;=301,E489/3,E489/4))))</f>
        <v>612.23991750000005</v>
      </c>
      <c r="G489" s="128"/>
      <c r="H489" s="129"/>
      <c r="I489" s="36"/>
      <c r="L489" s="132"/>
      <c r="M489" s="132"/>
      <c r="N489" s="36"/>
    </row>
    <row r="490" spans="1:14" s="61" customFormat="1" x14ac:dyDescent="0.35">
      <c r="A490" s="124">
        <f t="shared" si="55"/>
        <v>5</v>
      </c>
      <c r="B490" s="125"/>
      <c r="C490" s="54">
        <v>2</v>
      </c>
      <c r="D490" s="55">
        <f>(47.9+(2.88*0.75+1.5*0.75))*(10.746)</f>
        <v>550.03401000000008</v>
      </c>
      <c r="E490" s="59">
        <v>0</v>
      </c>
      <c r="F490" s="59">
        <f>D490*(($F$336)+1)+(IF(E490&lt;101,E490,IF(E490&lt;201,E490/2,IF(E490&lt;=301,E490/3,E490/4))))</f>
        <v>825.05101500000012</v>
      </c>
      <c r="G490" s="130"/>
      <c r="H490" s="131"/>
      <c r="I490" s="36"/>
      <c r="L490" s="132"/>
      <c r="M490" s="132"/>
      <c r="N490" s="36"/>
    </row>
    <row r="491" spans="1:14" s="61" customFormat="1" x14ac:dyDescent="0.35">
      <c r="A491" s="121" t="s">
        <v>191</v>
      </c>
      <c r="B491" s="122"/>
      <c r="C491" s="122"/>
      <c r="D491" s="122"/>
      <c r="E491" s="122"/>
      <c r="F491" s="122"/>
      <c r="G491" s="122"/>
      <c r="H491" s="123"/>
      <c r="J491" s="36"/>
    </row>
    <row r="492" spans="1:14" s="61" customFormat="1" x14ac:dyDescent="0.35">
      <c r="A492" s="124">
        <v>1</v>
      </c>
      <c r="B492" s="125"/>
      <c r="C492" s="54">
        <v>2</v>
      </c>
      <c r="D492" s="55">
        <f>(47.9+(2.88*0.75+1.5*0.75))*(10.746)</f>
        <v>550.03401000000008</v>
      </c>
      <c r="E492" s="59">
        <f>(10.52*6+4.3*1.3+2.5*0.8+1.5*0.5+12*1)*10.764</f>
        <v>898.36343999999985</v>
      </c>
      <c r="F492" s="59">
        <f t="shared" ref="F492:F499" si="56">D492*(($F$336)+1)+(IF(E492&lt;101,E492,IF(E492&lt;201,E492/2,IF(E492&lt;=301,E492/3,E492/4))))</f>
        <v>1049.641875</v>
      </c>
      <c r="G492" s="126" t="str">
        <f>A491</f>
        <v>3rd Floor</v>
      </c>
      <c r="H492" s="127"/>
      <c r="I492" s="36"/>
      <c r="L492" s="132"/>
      <c r="M492" s="132"/>
      <c r="N492" s="36"/>
    </row>
    <row r="493" spans="1:14" s="61" customFormat="1" x14ac:dyDescent="0.35">
      <c r="A493" s="124">
        <f t="shared" ref="A493:A499" si="57">A492+1</f>
        <v>2</v>
      </c>
      <c r="B493" s="125"/>
      <c r="C493" s="54">
        <v>2</v>
      </c>
      <c r="D493" s="55">
        <f>(47.9+(2.88*0.75+1.5*0.75))*(10.746)</f>
        <v>550.03401000000008</v>
      </c>
      <c r="E493" s="59">
        <v>0</v>
      </c>
      <c r="F493" s="59">
        <f t="shared" si="56"/>
        <v>825.05101500000012</v>
      </c>
      <c r="G493" s="128"/>
      <c r="H493" s="129"/>
      <c r="I493" s="36"/>
      <c r="L493" s="132"/>
      <c r="M493" s="132"/>
      <c r="N493" s="36"/>
    </row>
    <row r="494" spans="1:14" s="61" customFormat="1" x14ac:dyDescent="0.35">
      <c r="A494" s="124">
        <f t="shared" si="57"/>
        <v>3</v>
      </c>
      <c r="B494" s="125"/>
      <c r="C494" s="54">
        <v>1</v>
      </c>
      <c r="D494" s="55">
        <f>(34.75+(2.81*0.75+1.5*0.75))*(10.746)</f>
        <v>408.15994500000005</v>
      </c>
      <c r="E494" s="59">
        <v>0</v>
      </c>
      <c r="F494" s="59">
        <f t="shared" si="56"/>
        <v>612.23991750000005</v>
      </c>
      <c r="G494" s="128"/>
      <c r="H494" s="129"/>
      <c r="I494" s="36"/>
      <c r="L494" s="132"/>
      <c r="M494" s="132"/>
      <c r="N494" s="36"/>
    </row>
    <row r="495" spans="1:14" s="61" customFormat="1" x14ac:dyDescent="0.35">
      <c r="A495" s="124">
        <f t="shared" si="57"/>
        <v>4</v>
      </c>
      <c r="B495" s="125"/>
      <c r="C495" s="54">
        <v>1</v>
      </c>
      <c r="D495" s="55">
        <f>(34.75+(2.81*0.75+1.5*0.75))*(10.746)</f>
        <v>408.15994500000005</v>
      </c>
      <c r="E495" s="59">
        <v>0</v>
      </c>
      <c r="F495" s="59">
        <f t="shared" si="56"/>
        <v>612.23991750000005</v>
      </c>
      <c r="G495" s="128"/>
      <c r="H495" s="129"/>
      <c r="I495" s="36"/>
      <c r="L495" s="132"/>
      <c r="M495" s="132"/>
      <c r="N495" s="36"/>
    </row>
    <row r="496" spans="1:14" s="61" customFormat="1" x14ac:dyDescent="0.35">
      <c r="A496" s="124">
        <f t="shared" si="57"/>
        <v>5</v>
      </c>
      <c r="B496" s="125"/>
      <c r="C496" s="54">
        <v>2</v>
      </c>
      <c r="D496" s="55">
        <f>(47.9+(2.88*0.75+1.5*0.75))*(10.746)</f>
        <v>550.03401000000008</v>
      </c>
      <c r="E496" s="59">
        <v>0</v>
      </c>
      <c r="F496" s="59">
        <f t="shared" si="56"/>
        <v>825.05101500000012</v>
      </c>
      <c r="G496" s="128"/>
      <c r="H496" s="129"/>
      <c r="I496" s="36"/>
      <c r="L496" s="132"/>
      <c r="M496" s="132"/>
      <c r="N496" s="36"/>
    </row>
    <row r="497" spans="1:14" s="61" customFormat="1" x14ac:dyDescent="0.35">
      <c r="A497" s="124">
        <f t="shared" si="57"/>
        <v>6</v>
      </c>
      <c r="B497" s="125"/>
      <c r="C497" s="54">
        <v>2</v>
      </c>
      <c r="D497" s="55">
        <f>(47.9+(2.88*0.75+1.5*0.75))*(10.746)</f>
        <v>550.03401000000008</v>
      </c>
      <c r="E497" s="59">
        <f>(5.9*11.9+10.52*6+4.3*1.3+2.5*0.8+1.5*0.5)*10.746</f>
        <v>1522.3858200000002</v>
      </c>
      <c r="F497" s="59">
        <f t="shared" si="56"/>
        <v>1205.6474700000001</v>
      </c>
      <c r="G497" s="128"/>
      <c r="H497" s="129"/>
      <c r="I497" s="36"/>
      <c r="L497" s="132"/>
      <c r="M497" s="132"/>
      <c r="N497" s="36"/>
    </row>
    <row r="498" spans="1:14" s="61" customFormat="1" x14ac:dyDescent="0.35">
      <c r="A498" s="124">
        <f t="shared" si="57"/>
        <v>7</v>
      </c>
      <c r="B498" s="125"/>
      <c r="C498" s="54">
        <v>1</v>
      </c>
      <c r="D498" s="55">
        <f>(34.75+(2.81*0.75+1.5*0.75))*(10.746)</f>
        <v>408.15994500000005</v>
      </c>
      <c r="E498" s="59">
        <f>(8.06*3.4+2.8*1.4+2.5*0.5)*10.764</f>
        <v>350.62653599999993</v>
      </c>
      <c r="F498" s="59">
        <f t="shared" si="56"/>
        <v>699.89655149999999</v>
      </c>
      <c r="G498" s="128"/>
      <c r="H498" s="129"/>
      <c r="I498" s="36"/>
      <c r="L498" s="132"/>
      <c r="M498" s="132"/>
      <c r="N498" s="36"/>
    </row>
    <row r="499" spans="1:14" s="61" customFormat="1" x14ac:dyDescent="0.35">
      <c r="A499" s="124">
        <f t="shared" si="57"/>
        <v>8</v>
      </c>
      <c r="B499" s="125"/>
      <c r="C499" s="54">
        <v>1</v>
      </c>
      <c r="D499" s="55">
        <f>(34.75+(2.81*0.75+1.5*0.75))*(10.746)</f>
        <v>408.15994500000005</v>
      </c>
      <c r="E499" s="59">
        <f>(8.06*3.4+2.8*1.4+2.5*0.5)*10.764</f>
        <v>350.62653599999993</v>
      </c>
      <c r="F499" s="59">
        <f t="shared" si="56"/>
        <v>699.89655149999999</v>
      </c>
      <c r="G499" s="130"/>
      <c r="H499" s="131"/>
      <c r="I499" s="36"/>
      <c r="L499" s="132"/>
      <c r="M499" s="132"/>
      <c r="N499" s="36"/>
    </row>
    <row r="500" spans="1:14" s="61" customFormat="1" x14ac:dyDescent="0.35">
      <c r="A500" s="121" t="s">
        <v>192</v>
      </c>
      <c r="B500" s="122"/>
      <c r="C500" s="122"/>
      <c r="D500" s="122"/>
      <c r="E500" s="122"/>
      <c r="F500" s="122"/>
      <c r="G500" s="122"/>
      <c r="H500" s="123"/>
      <c r="J500" s="36"/>
    </row>
    <row r="501" spans="1:14" s="61" customFormat="1" ht="15.75" customHeight="1" x14ac:dyDescent="0.35">
      <c r="A501" s="124">
        <v>1</v>
      </c>
      <c r="B501" s="125"/>
      <c r="C501" s="54">
        <v>2</v>
      </c>
      <c r="D501" s="55">
        <f>(47.9+(2.88*0.75+1.5*0.75))*(10.746)</f>
        <v>550.03401000000008</v>
      </c>
      <c r="E501" s="59">
        <v>0</v>
      </c>
      <c r="F501" s="59">
        <f t="shared" ref="F501:F508" si="58">D501*(($F$336)+1)+(IF(E501&lt;101,E501,IF(E501&lt;201,E501/2,IF(E501&lt;=301,E501/3,E501/4))))</f>
        <v>825.05101500000012</v>
      </c>
      <c r="G501" s="126" t="str">
        <f>A500</f>
        <v>4th to 7th, 9th to 12th, 14th to 17th, 19th to 23rd Floor</v>
      </c>
      <c r="H501" s="127"/>
      <c r="I501" s="36"/>
      <c r="L501" s="132"/>
      <c r="M501" s="132"/>
      <c r="N501" s="36"/>
    </row>
    <row r="502" spans="1:14" s="61" customFormat="1" ht="15.75" customHeight="1" x14ac:dyDescent="0.35">
      <c r="A502" s="124">
        <f t="shared" ref="A502:A508" si="59">A501+1</f>
        <v>2</v>
      </c>
      <c r="B502" s="125"/>
      <c r="C502" s="54">
        <v>2</v>
      </c>
      <c r="D502" s="55">
        <f>(47.9+(2.88*0.75+1.5*0.75))*(10.746)</f>
        <v>550.03401000000008</v>
      </c>
      <c r="E502" s="59">
        <v>0</v>
      </c>
      <c r="F502" s="59">
        <f t="shared" si="58"/>
        <v>825.05101500000012</v>
      </c>
      <c r="G502" s="128"/>
      <c r="H502" s="129"/>
      <c r="I502" s="36"/>
      <c r="L502" s="132"/>
      <c r="M502" s="132"/>
      <c r="N502" s="36"/>
    </row>
    <row r="503" spans="1:14" s="61" customFormat="1" ht="15.75" customHeight="1" x14ac:dyDescent="0.35">
      <c r="A503" s="124">
        <f t="shared" si="59"/>
        <v>3</v>
      </c>
      <c r="B503" s="125"/>
      <c r="C503" s="54">
        <v>1</v>
      </c>
      <c r="D503" s="55">
        <f>(34.75+(2.81*0.75+1.5*0.75))*(10.746)</f>
        <v>408.15994500000005</v>
      </c>
      <c r="E503" s="59">
        <v>0</v>
      </c>
      <c r="F503" s="59">
        <f t="shared" si="58"/>
        <v>612.23991750000005</v>
      </c>
      <c r="G503" s="128"/>
      <c r="H503" s="129"/>
      <c r="I503" s="36"/>
      <c r="L503" s="132"/>
      <c r="M503" s="132"/>
      <c r="N503" s="36"/>
    </row>
    <row r="504" spans="1:14" s="61" customFormat="1" ht="15.75" customHeight="1" x14ac:dyDescent="0.35">
      <c r="A504" s="124">
        <f t="shared" si="59"/>
        <v>4</v>
      </c>
      <c r="B504" s="125"/>
      <c r="C504" s="54">
        <v>1</v>
      </c>
      <c r="D504" s="55">
        <f>(34.75+(2.81*0.75+1.5*0.75))*(10.746)</f>
        <v>408.15994500000005</v>
      </c>
      <c r="E504" s="59">
        <v>0</v>
      </c>
      <c r="F504" s="59">
        <f t="shared" si="58"/>
        <v>612.23991750000005</v>
      </c>
      <c r="G504" s="128"/>
      <c r="H504" s="129"/>
      <c r="I504" s="36"/>
      <c r="L504" s="132"/>
      <c r="M504" s="132"/>
      <c r="N504" s="36"/>
    </row>
    <row r="505" spans="1:14" s="61" customFormat="1" ht="15.75" customHeight="1" x14ac:dyDescent="0.35">
      <c r="A505" s="124">
        <f t="shared" si="59"/>
        <v>5</v>
      </c>
      <c r="B505" s="125"/>
      <c r="C505" s="54">
        <v>2</v>
      </c>
      <c r="D505" s="55">
        <f>(47.9+(2.88*0.75+1.5*0.75))*(10.746)</f>
        <v>550.03401000000008</v>
      </c>
      <c r="E505" s="59">
        <v>0</v>
      </c>
      <c r="F505" s="59">
        <f t="shared" si="58"/>
        <v>825.05101500000012</v>
      </c>
      <c r="G505" s="128"/>
      <c r="H505" s="129"/>
      <c r="I505" s="36"/>
      <c r="L505" s="132"/>
      <c r="M505" s="132"/>
      <c r="N505" s="36"/>
    </row>
    <row r="506" spans="1:14" s="61" customFormat="1" ht="15.75" customHeight="1" x14ac:dyDescent="0.35">
      <c r="A506" s="124">
        <f t="shared" si="59"/>
        <v>6</v>
      </c>
      <c r="B506" s="125"/>
      <c r="C506" s="54">
        <v>2</v>
      </c>
      <c r="D506" s="55">
        <f>(47.9+(2.88*0.75+1.5*0.75))*(10.746)</f>
        <v>550.03401000000008</v>
      </c>
      <c r="E506" s="59">
        <v>0</v>
      </c>
      <c r="F506" s="59">
        <f t="shared" si="58"/>
        <v>825.05101500000012</v>
      </c>
      <c r="G506" s="128"/>
      <c r="H506" s="129"/>
      <c r="I506" s="36"/>
      <c r="L506" s="132"/>
      <c r="M506" s="132"/>
      <c r="N506" s="36"/>
    </row>
    <row r="507" spans="1:14" s="61" customFormat="1" ht="15.75" customHeight="1" x14ac:dyDescent="0.35">
      <c r="A507" s="124">
        <f t="shared" si="59"/>
        <v>7</v>
      </c>
      <c r="B507" s="125"/>
      <c r="C507" s="54">
        <v>1</v>
      </c>
      <c r="D507" s="55">
        <f>(34.75+(2.81*0.75+1.5*0.75))*(10.746)</f>
        <v>408.15994500000005</v>
      </c>
      <c r="E507" s="59">
        <v>0</v>
      </c>
      <c r="F507" s="59">
        <f t="shared" si="58"/>
        <v>612.23991750000005</v>
      </c>
      <c r="G507" s="128"/>
      <c r="H507" s="129"/>
      <c r="I507" s="36"/>
      <c r="L507" s="132"/>
      <c r="M507" s="132"/>
      <c r="N507" s="36"/>
    </row>
    <row r="508" spans="1:14" s="61" customFormat="1" ht="15.75" customHeight="1" x14ac:dyDescent="0.35">
      <c r="A508" s="124">
        <f t="shared" si="59"/>
        <v>8</v>
      </c>
      <c r="B508" s="125"/>
      <c r="C508" s="54">
        <v>1</v>
      </c>
      <c r="D508" s="55">
        <f>(34.75+(2.81*0.75+1.5*0.75))*(10.746)</f>
        <v>408.15994500000005</v>
      </c>
      <c r="E508" s="59">
        <v>0</v>
      </c>
      <c r="F508" s="59">
        <f t="shared" si="58"/>
        <v>612.23991750000005</v>
      </c>
      <c r="G508" s="130"/>
      <c r="H508" s="131"/>
      <c r="I508" s="36"/>
      <c r="L508" s="132"/>
      <c r="M508" s="132"/>
      <c r="N508" s="36"/>
    </row>
    <row r="509" spans="1:14" s="61" customFormat="1" x14ac:dyDescent="0.35">
      <c r="A509" s="121" t="s">
        <v>194</v>
      </c>
      <c r="B509" s="122"/>
      <c r="C509" s="122"/>
      <c r="D509" s="122"/>
      <c r="E509" s="122"/>
      <c r="F509" s="122"/>
      <c r="G509" s="122"/>
      <c r="H509" s="123"/>
      <c r="J509" s="36"/>
    </row>
    <row r="510" spans="1:14" s="61" customFormat="1" ht="15.75" customHeight="1" x14ac:dyDescent="0.35">
      <c r="A510" s="124">
        <v>1</v>
      </c>
      <c r="B510" s="125"/>
      <c r="C510" s="54">
        <v>2</v>
      </c>
      <c r="D510" s="55">
        <f>(47.9+(2.88*0.75+1.5*0.75))*(10.746)</f>
        <v>550.03401000000008</v>
      </c>
      <c r="E510" s="59">
        <v>0</v>
      </c>
      <c r="F510" s="59">
        <f t="shared" ref="F510:F511" si="60">D510*(($F$336)+1)+(IF(E510&lt;101,E510,IF(E510&lt;201,E510/2,IF(E510&lt;=301,E510/3,E510/4))))</f>
        <v>825.05101500000012</v>
      </c>
      <c r="G510" s="126" t="str">
        <f>A509</f>
        <v>8th, 13th &amp; 18th Floor (Part Refuge Area)</v>
      </c>
      <c r="H510" s="127"/>
      <c r="I510" s="36"/>
      <c r="L510" s="132"/>
      <c r="M510" s="132"/>
      <c r="N510" s="36"/>
    </row>
    <row r="511" spans="1:14" s="61" customFormat="1" ht="15.75" customHeight="1" x14ac:dyDescent="0.35">
      <c r="A511" s="124">
        <f t="shared" ref="A511:A517" si="61">A510+1</f>
        <v>2</v>
      </c>
      <c r="B511" s="125"/>
      <c r="C511" s="54">
        <v>2</v>
      </c>
      <c r="D511" s="55">
        <f>(47.9+(2.88*0.75+1.5*0.75))*(10.746)</f>
        <v>550.03401000000008</v>
      </c>
      <c r="E511" s="59">
        <v>0</v>
      </c>
      <c r="F511" s="59">
        <f t="shared" si="60"/>
        <v>825.05101500000012</v>
      </c>
      <c r="G511" s="128"/>
      <c r="H511" s="129"/>
      <c r="I511" s="36"/>
      <c r="L511" s="132"/>
      <c r="M511" s="132"/>
      <c r="N511" s="36"/>
    </row>
    <row r="512" spans="1:14" s="61" customFormat="1" ht="15.75" customHeight="1" x14ac:dyDescent="0.35">
      <c r="A512" s="124">
        <f t="shared" si="61"/>
        <v>3</v>
      </c>
      <c r="B512" s="125"/>
      <c r="C512" s="133" t="s">
        <v>193</v>
      </c>
      <c r="D512" s="134"/>
      <c r="E512" s="134"/>
      <c r="F512" s="135"/>
      <c r="G512" s="128"/>
      <c r="H512" s="129"/>
      <c r="I512" s="36"/>
      <c r="L512" s="132"/>
      <c r="M512" s="132"/>
      <c r="N512" s="36"/>
    </row>
    <row r="513" spans="1:14" s="61" customFormat="1" ht="15.75" customHeight="1" x14ac:dyDescent="0.35">
      <c r="A513" s="124">
        <f t="shared" si="61"/>
        <v>4</v>
      </c>
      <c r="B513" s="125"/>
      <c r="C513" s="54">
        <v>1</v>
      </c>
      <c r="D513" s="55">
        <f>(34.75+(2.81*0.75+1.5*0.75))*(10.746)</f>
        <v>408.15994500000005</v>
      </c>
      <c r="E513" s="59">
        <v>0</v>
      </c>
      <c r="F513" s="59">
        <f t="shared" ref="F513:F517" si="62">D513*(($F$336)+1)+(IF(E513&lt;101,E513,IF(E513&lt;201,E513/2,IF(E513&lt;=301,E513/3,E513/4))))</f>
        <v>612.23991750000005</v>
      </c>
      <c r="G513" s="128"/>
      <c r="H513" s="129"/>
      <c r="I513" s="36"/>
      <c r="L513" s="132"/>
      <c r="M513" s="132"/>
      <c r="N513" s="36"/>
    </row>
    <row r="514" spans="1:14" s="61" customFormat="1" ht="15.75" customHeight="1" x14ac:dyDescent="0.35">
      <c r="A514" s="124">
        <f t="shared" si="61"/>
        <v>5</v>
      </c>
      <c r="B514" s="125"/>
      <c r="C514" s="54">
        <v>2</v>
      </c>
      <c r="D514" s="55">
        <f>(47.9+(2.88*0.75+1.5*0.75))*(10.746)</f>
        <v>550.03401000000008</v>
      </c>
      <c r="E514" s="59">
        <v>0</v>
      </c>
      <c r="F514" s="59">
        <f t="shared" si="62"/>
        <v>825.05101500000012</v>
      </c>
      <c r="G514" s="128"/>
      <c r="H514" s="129"/>
      <c r="I514" s="36"/>
      <c r="L514" s="132"/>
      <c r="M514" s="132"/>
      <c r="N514" s="36"/>
    </row>
    <row r="515" spans="1:14" s="61" customFormat="1" ht="15.75" customHeight="1" x14ac:dyDescent="0.35">
      <c r="A515" s="124">
        <f t="shared" si="61"/>
        <v>6</v>
      </c>
      <c r="B515" s="125"/>
      <c r="C515" s="54">
        <v>2</v>
      </c>
      <c r="D515" s="55">
        <f>(47.9+(2.88*0.75+1.5*0.75))*(10.746)</f>
        <v>550.03401000000008</v>
      </c>
      <c r="E515" s="59">
        <v>0</v>
      </c>
      <c r="F515" s="59">
        <f t="shared" si="62"/>
        <v>825.05101500000012</v>
      </c>
      <c r="G515" s="128"/>
      <c r="H515" s="129"/>
      <c r="I515" s="36"/>
      <c r="L515" s="132"/>
      <c r="M515" s="132"/>
      <c r="N515" s="36"/>
    </row>
    <row r="516" spans="1:14" s="61" customFormat="1" ht="15.75" customHeight="1" x14ac:dyDescent="0.35">
      <c r="A516" s="124">
        <f t="shared" si="61"/>
        <v>7</v>
      </c>
      <c r="B516" s="125"/>
      <c r="C516" s="54">
        <v>1</v>
      </c>
      <c r="D516" s="55">
        <f>(34.75+(2.81*0.75+1.5*0.75))*(10.746)</f>
        <v>408.15994500000005</v>
      </c>
      <c r="E516" s="59">
        <v>0</v>
      </c>
      <c r="F516" s="59">
        <f t="shared" si="62"/>
        <v>612.23991750000005</v>
      </c>
      <c r="G516" s="128"/>
      <c r="H516" s="129"/>
      <c r="I516" s="36"/>
      <c r="L516" s="132"/>
      <c r="M516" s="132"/>
      <c r="N516" s="36"/>
    </row>
    <row r="517" spans="1:14" s="61" customFormat="1" ht="15.75" customHeight="1" x14ac:dyDescent="0.35">
      <c r="A517" s="124">
        <f t="shared" si="61"/>
        <v>8</v>
      </c>
      <c r="B517" s="125"/>
      <c r="C517" s="54">
        <v>1</v>
      </c>
      <c r="D517" s="55">
        <f>(34.75+(2.81*0.75+1.5*0.75))*(10.746)</f>
        <v>408.15994500000005</v>
      </c>
      <c r="E517" s="59">
        <v>0</v>
      </c>
      <c r="F517" s="59">
        <f t="shared" si="62"/>
        <v>612.23991750000005</v>
      </c>
      <c r="G517" s="130"/>
      <c r="H517" s="131"/>
      <c r="I517" s="36"/>
      <c r="L517" s="132"/>
      <c r="M517" s="132"/>
      <c r="N517" s="36"/>
    </row>
    <row r="518" spans="1:14" s="37" customFormat="1" ht="15.75" customHeight="1" x14ac:dyDescent="0.35">
      <c r="A518" s="166" t="s">
        <v>224</v>
      </c>
      <c r="B518" s="167"/>
      <c r="C518" s="167"/>
      <c r="D518" s="167"/>
      <c r="E518" s="167"/>
      <c r="F518" s="167"/>
      <c r="G518" s="167"/>
      <c r="H518" s="168"/>
      <c r="J518" s="36"/>
    </row>
    <row r="519" spans="1:14" s="37" customFormat="1" ht="15.75" customHeight="1" x14ac:dyDescent="0.35">
      <c r="A519" s="121" t="s">
        <v>225</v>
      </c>
      <c r="B519" s="122"/>
      <c r="C519" s="122"/>
      <c r="D519" s="122"/>
      <c r="E519" s="122"/>
      <c r="F519" s="122"/>
      <c r="G519" s="122"/>
      <c r="H519" s="123"/>
      <c r="J519" s="36"/>
    </row>
    <row r="520" spans="1:14" s="37" customFormat="1" ht="15.75" customHeight="1" x14ac:dyDescent="0.35">
      <c r="A520" s="121" t="s">
        <v>214</v>
      </c>
      <c r="B520" s="122"/>
      <c r="C520" s="122"/>
      <c r="D520" s="122"/>
      <c r="E520" s="122"/>
      <c r="F520" s="122"/>
      <c r="G520" s="122"/>
      <c r="H520" s="123"/>
      <c r="J520" s="36"/>
    </row>
    <row r="521" spans="1:14" s="37" customFormat="1" ht="15.75" customHeight="1" x14ac:dyDescent="0.35">
      <c r="A521" s="124">
        <v>1</v>
      </c>
      <c r="B521" s="125"/>
      <c r="C521" s="54">
        <v>2</v>
      </c>
      <c r="D521" s="55">
        <f t="shared" ref="D521:D522" si="63">(47.9+(2.88*0.75+1.5*0.75))*(10.746)</f>
        <v>550.03401000000008</v>
      </c>
      <c r="E521" s="42">
        <v>0</v>
      </c>
      <c r="F521" s="42">
        <f>D521*(($F$336)+1)+(IF(E521&lt;101,E521,IF(E521&lt;201,E521/2,IF(E521&lt;=301,E521/3,E521/4))))</f>
        <v>825.05101500000012</v>
      </c>
      <c r="G521" s="126" t="str">
        <f>A520</f>
        <v>1st Floor For Residential</v>
      </c>
      <c r="H521" s="127"/>
      <c r="I521" s="36"/>
      <c r="L521" s="132"/>
      <c r="M521" s="132"/>
      <c r="N521" s="36"/>
    </row>
    <row r="522" spans="1:14" s="37" customFormat="1" ht="15.75" customHeight="1" x14ac:dyDescent="0.35">
      <c r="A522" s="124">
        <f t="shared" ref="A522:A528" si="64">A521+1</f>
        <v>2</v>
      </c>
      <c r="B522" s="125"/>
      <c r="C522" s="54">
        <v>2</v>
      </c>
      <c r="D522" s="55">
        <f t="shared" si="63"/>
        <v>550.03401000000008</v>
      </c>
      <c r="E522" s="42">
        <v>0</v>
      </c>
      <c r="F522" s="42">
        <f>D522*(($F$336)+1)+(IF(E522&lt;101,E522,IF(E522&lt;201,E522/2,IF(E522&lt;=301,E522/3,E522/4))))</f>
        <v>825.05101500000012</v>
      </c>
      <c r="G522" s="128"/>
      <c r="H522" s="129"/>
      <c r="I522" s="36"/>
      <c r="L522" s="132"/>
      <c r="M522" s="132"/>
      <c r="N522" s="36"/>
    </row>
    <row r="523" spans="1:14" s="37" customFormat="1" x14ac:dyDescent="0.35">
      <c r="A523" s="124">
        <f t="shared" si="64"/>
        <v>3</v>
      </c>
      <c r="B523" s="125"/>
      <c r="C523" s="145" t="s">
        <v>229</v>
      </c>
      <c r="D523" s="146"/>
      <c r="E523" s="146"/>
      <c r="F523" s="147"/>
      <c r="G523" s="128"/>
      <c r="H523" s="129"/>
      <c r="I523" s="36"/>
      <c r="L523" s="132"/>
      <c r="M523" s="132"/>
      <c r="N523" s="36"/>
    </row>
    <row r="524" spans="1:14" s="37" customFormat="1" x14ac:dyDescent="0.35">
      <c r="A524" s="124">
        <f t="shared" si="64"/>
        <v>4</v>
      </c>
      <c r="B524" s="125"/>
      <c r="C524" s="148"/>
      <c r="D524" s="149"/>
      <c r="E524" s="149"/>
      <c r="F524" s="150"/>
      <c r="G524" s="128"/>
      <c r="H524" s="129"/>
      <c r="I524" s="36"/>
      <c r="L524" s="132"/>
      <c r="M524" s="132"/>
      <c r="N524" s="36"/>
    </row>
    <row r="525" spans="1:14" s="37" customFormat="1" ht="15.75" customHeight="1" x14ac:dyDescent="0.35">
      <c r="A525" s="124">
        <f t="shared" si="64"/>
        <v>5</v>
      </c>
      <c r="B525" s="125"/>
      <c r="C525" s="54">
        <v>2</v>
      </c>
      <c r="D525" s="55">
        <f t="shared" ref="D525:D526" si="65">(47.9+(2.88*0.75+1.5*0.75))*(10.746)</f>
        <v>550.03401000000008</v>
      </c>
      <c r="E525" s="42">
        <v>0</v>
      </c>
      <c r="F525" s="42">
        <f>D525*(($F$336)+1)+(IF(E525&lt;101,E525,IF(E525&lt;201,E525/2,IF(E525&lt;=301,E525/3,E525/4))))</f>
        <v>825.05101500000012</v>
      </c>
      <c r="G525" s="128"/>
      <c r="H525" s="129"/>
      <c r="I525" s="36"/>
      <c r="L525" s="132"/>
      <c r="M525" s="132"/>
      <c r="N525" s="36"/>
    </row>
    <row r="526" spans="1:14" s="37" customFormat="1" x14ac:dyDescent="0.35">
      <c r="A526" s="124">
        <f t="shared" si="64"/>
        <v>6</v>
      </c>
      <c r="B526" s="125"/>
      <c r="C526" s="54">
        <v>2</v>
      </c>
      <c r="D526" s="55">
        <f t="shared" si="65"/>
        <v>550.03401000000008</v>
      </c>
      <c r="E526" s="42">
        <v>0</v>
      </c>
      <c r="F526" s="42">
        <f>D526*(($F$336)+1)+(IF(E526&lt;101,E526,IF(E526&lt;201,E526/2,IF(E526&lt;=301,E526/3,E526/4))))</f>
        <v>825.05101500000012</v>
      </c>
      <c r="G526" s="128"/>
      <c r="H526" s="129"/>
      <c r="I526" s="36"/>
      <c r="L526" s="132"/>
      <c r="M526" s="132"/>
      <c r="N526" s="36"/>
    </row>
    <row r="527" spans="1:14" s="37" customFormat="1" x14ac:dyDescent="0.35">
      <c r="A527" s="124">
        <f t="shared" si="64"/>
        <v>7</v>
      </c>
      <c r="B527" s="125"/>
      <c r="C527" s="54">
        <v>1</v>
      </c>
      <c r="D527" s="55">
        <f t="shared" ref="D527:D528" si="66">(34.75+(2.81*0.75+1.5*0.75))*(10.746)</f>
        <v>408.15994500000005</v>
      </c>
      <c r="E527" s="42">
        <v>0</v>
      </c>
      <c r="F527" s="42">
        <f>D527*(($F$336)+1)+(IF(E527&lt;101,E527,IF(E527&lt;201,E527/2,IF(E527&lt;=301,E527/3,E527/4))))</f>
        <v>612.23991750000005</v>
      </c>
      <c r="G527" s="128"/>
      <c r="H527" s="129"/>
      <c r="I527" s="36"/>
      <c r="L527" s="132"/>
      <c r="M527" s="132"/>
      <c r="N527" s="36"/>
    </row>
    <row r="528" spans="1:14" s="37" customFormat="1" x14ac:dyDescent="0.35">
      <c r="A528" s="124">
        <f t="shared" si="64"/>
        <v>8</v>
      </c>
      <c r="B528" s="125"/>
      <c r="C528" s="54">
        <v>1</v>
      </c>
      <c r="D528" s="55">
        <f t="shared" si="66"/>
        <v>408.15994500000005</v>
      </c>
      <c r="E528" s="42">
        <v>0</v>
      </c>
      <c r="F528" s="42">
        <f>D528*(($F$336)+1)+(IF(E528&lt;101,E528,IF(E528&lt;201,E528/2,IF(E528&lt;=301,E528/3,E528/4))))</f>
        <v>612.23991750000005</v>
      </c>
      <c r="G528" s="130"/>
      <c r="H528" s="131"/>
      <c r="I528" s="36"/>
      <c r="L528" s="132"/>
      <c r="M528" s="132"/>
      <c r="N528" s="36"/>
    </row>
    <row r="529" spans="1:14" s="37" customFormat="1" ht="15.75" customHeight="1" x14ac:dyDescent="0.35">
      <c r="A529" s="121" t="s">
        <v>226</v>
      </c>
      <c r="B529" s="122"/>
      <c r="C529" s="122"/>
      <c r="D529" s="122"/>
      <c r="E529" s="122"/>
      <c r="F529" s="122"/>
      <c r="G529" s="122"/>
      <c r="H529" s="123"/>
      <c r="J529" s="36"/>
    </row>
    <row r="530" spans="1:14" s="37" customFormat="1" ht="15.75" customHeight="1" x14ac:dyDescent="0.35">
      <c r="A530" s="124">
        <v>1</v>
      </c>
      <c r="B530" s="125"/>
      <c r="C530" s="54">
        <v>2</v>
      </c>
      <c r="D530" s="55">
        <f>(47.9+(2.88*0.75+1.5*0.75))*(10.746)</f>
        <v>550.03401000000008</v>
      </c>
      <c r="E530" s="57">
        <v>0</v>
      </c>
      <c r="F530" s="42">
        <f t="shared" ref="F530:F537" si="67">D530*(($F$336)+1)+(IF(E530&lt;101,E530,IF(E530&lt;201,E530/2,IF(E530&lt;=301,E530/3,E530/4))))</f>
        <v>825.05101500000012</v>
      </c>
      <c r="G530" s="126" t="str">
        <f>A529</f>
        <v>2nd to 7th, 9th to 12th, 14th to 17th, 19th to 23rd Floor</v>
      </c>
      <c r="H530" s="127"/>
      <c r="I530" s="36"/>
      <c r="L530" s="132"/>
      <c r="M530" s="132"/>
      <c r="N530" s="36"/>
    </row>
    <row r="531" spans="1:14" s="37" customFormat="1" ht="15.75" customHeight="1" x14ac:dyDescent="0.35">
      <c r="A531" s="124">
        <f t="shared" ref="A531:A537" si="68">A530+1</f>
        <v>2</v>
      </c>
      <c r="B531" s="125"/>
      <c r="C531" s="54">
        <v>2</v>
      </c>
      <c r="D531" s="55">
        <f>(47.9+(2.88*0.75+1.5*0.75))*(10.746)</f>
        <v>550.03401000000008</v>
      </c>
      <c r="E531" s="57">
        <v>0</v>
      </c>
      <c r="F531" s="42">
        <f t="shared" si="67"/>
        <v>825.05101500000012</v>
      </c>
      <c r="G531" s="128"/>
      <c r="H531" s="129"/>
      <c r="I531" s="36"/>
      <c r="L531" s="132"/>
      <c r="M531" s="132"/>
      <c r="N531" s="36"/>
    </row>
    <row r="532" spans="1:14" s="37" customFormat="1" x14ac:dyDescent="0.35">
      <c r="A532" s="124">
        <f t="shared" si="68"/>
        <v>3</v>
      </c>
      <c r="B532" s="125"/>
      <c r="C532" s="54">
        <v>1</v>
      </c>
      <c r="D532" s="55">
        <f t="shared" ref="D532:D533" si="69">(34.75+(2.81*0.75+1.5*0.75))*(10.746)</f>
        <v>408.15994500000005</v>
      </c>
      <c r="E532" s="57">
        <v>0</v>
      </c>
      <c r="F532" s="42">
        <f t="shared" si="67"/>
        <v>612.23991750000005</v>
      </c>
      <c r="G532" s="128"/>
      <c r="H532" s="129"/>
      <c r="I532" s="36"/>
      <c r="L532" s="132"/>
      <c r="M532" s="132"/>
      <c r="N532" s="36"/>
    </row>
    <row r="533" spans="1:14" s="37" customFormat="1" x14ac:dyDescent="0.35">
      <c r="A533" s="124">
        <f t="shared" si="68"/>
        <v>4</v>
      </c>
      <c r="B533" s="125"/>
      <c r="C533" s="54">
        <v>1</v>
      </c>
      <c r="D533" s="55">
        <f t="shared" si="69"/>
        <v>408.15994500000005</v>
      </c>
      <c r="E533" s="57">
        <v>0</v>
      </c>
      <c r="F533" s="42">
        <f t="shared" si="67"/>
        <v>612.23991750000005</v>
      </c>
      <c r="G533" s="128"/>
      <c r="H533" s="129"/>
      <c r="I533" s="36"/>
      <c r="L533" s="132"/>
      <c r="M533" s="132"/>
      <c r="N533" s="36"/>
    </row>
    <row r="534" spans="1:14" s="37" customFormat="1" ht="15.75" customHeight="1" x14ac:dyDescent="0.35">
      <c r="A534" s="124">
        <f t="shared" si="68"/>
        <v>5</v>
      </c>
      <c r="B534" s="125"/>
      <c r="C534" s="54">
        <v>2</v>
      </c>
      <c r="D534" s="55">
        <f t="shared" ref="D534" si="70">(47.9+(2.88*0.75+1.5*0.75))*(10.746)</f>
        <v>550.03401000000008</v>
      </c>
      <c r="E534" s="57">
        <v>0</v>
      </c>
      <c r="F534" s="42">
        <f t="shared" si="67"/>
        <v>825.05101500000012</v>
      </c>
      <c r="G534" s="128"/>
      <c r="H534" s="129"/>
      <c r="I534" s="36"/>
      <c r="L534" s="132"/>
      <c r="M534" s="132"/>
      <c r="N534" s="36"/>
    </row>
    <row r="535" spans="1:14" s="37" customFormat="1" x14ac:dyDescent="0.35">
      <c r="A535" s="124">
        <f t="shared" si="68"/>
        <v>6</v>
      </c>
      <c r="B535" s="125"/>
      <c r="C535" s="54">
        <v>2</v>
      </c>
      <c r="D535" s="55">
        <f>(47.9+(2.88*0.75+1.5*0.75))*(10.746)</f>
        <v>550.03401000000008</v>
      </c>
      <c r="E535" s="57">
        <v>0</v>
      </c>
      <c r="F535" s="42">
        <f t="shared" si="67"/>
        <v>825.05101500000012</v>
      </c>
      <c r="G535" s="128"/>
      <c r="H535" s="129"/>
      <c r="I535" s="36"/>
      <c r="L535" s="132"/>
      <c r="M535" s="132"/>
      <c r="N535" s="36"/>
    </row>
    <row r="536" spans="1:14" s="37" customFormat="1" x14ac:dyDescent="0.35">
      <c r="A536" s="124">
        <f t="shared" si="68"/>
        <v>7</v>
      </c>
      <c r="B536" s="125"/>
      <c r="C536" s="54">
        <v>1</v>
      </c>
      <c r="D536" s="55">
        <f t="shared" ref="D536:D537" si="71">(34.75+(2.81*0.75+1.5*0.75))*(10.746)</f>
        <v>408.15994500000005</v>
      </c>
      <c r="E536" s="42">
        <v>0</v>
      </c>
      <c r="F536" s="42">
        <f t="shared" si="67"/>
        <v>612.23991750000005</v>
      </c>
      <c r="G536" s="128"/>
      <c r="H536" s="129"/>
      <c r="I536" s="36"/>
      <c r="L536" s="132"/>
      <c r="M536" s="132"/>
      <c r="N536" s="36"/>
    </row>
    <row r="537" spans="1:14" s="37" customFormat="1" x14ac:dyDescent="0.35">
      <c r="A537" s="124">
        <f t="shared" si="68"/>
        <v>8</v>
      </c>
      <c r="B537" s="125"/>
      <c r="C537" s="54">
        <v>1</v>
      </c>
      <c r="D537" s="55">
        <f t="shared" si="71"/>
        <v>408.15994500000005</v>
      </c>
      <c r="E537" s="42">
        <v>0</v>
      </c>
      <c r="F537" s="42">
        <f t="shared" si="67"/>
        <v>612.23991750000005</v>
      </c>
      <c r="G537" s="130"/>
      <c r="H537" s="131"/>
      <c r="I537" s="36"/>
      <c r="L537" s="132"/>
      <c r="M537" s="132"/>
      <c r="N537" s="36"/>
    </row>
    <row r="538" spans="1:14" s="37" customFormat="1" ht="15.75" customHeight="1" x14ac:dyDescent="0.35">
      <c r="A538" s="121" t="s">
        <v>194</v>
      </c>
      <c r="B538" s="122"/>
      <c r="C538" s="122"/>
      <c r="D538" s="122"/>
      <c r="E538" s="122"/>
      <c r="F538" s="122"/>
      <c r="G538" s="122"/>
      <c r="H538" s="123"/>
      <c r="J538" s="36"/>
    </row>
    <row r="539" spans="1:14" s="37" customFormat="1" ht="15.75" customHeight="1" x14ac:dyDescent="0.35">
      <c r="A539" s="124">
        <v>1</v>
      </c>
      <c r="B539" s="125"/>
      <c r="C539" s="54">
        <v>2</v>
      </c>
      <c r="D539" s="55">
        <f>(47.9+(2.88*0.75+1.5*0.75))*(10.746)</f>
        <v>550.03401000000008</v>
      </c>
      <c r="E539" s="42">
        <v>0</v>
      </c>
      <c r="F539" s="42">
        <f>D539*(($F$336)+1)+(IF(E539&lt;101,E539,IF(E539&lt;201,E539/2,IF(E539&lt;=301,E539/3,E539/4))))</f>
        <v>825.05101500000012</v>
      </c>
      <c r="G539" s="126" t="str">
        <f>A538</f>
        <v>8th, 13th &amp; 18th Floor (Part Refuge Area)</v>
      </c>
      <c r="H539" s="127"/>
      <c r="I539" s="36"/>
      <c r="L539" s="132"/>
      <c r="M539" s="132"/>
      <c r="N539" s="36"/>
    </row>
    <row r="540" spans="1:14" s="37" customFormat="1" ht="15.75" customHeight="1" x14ac:dyDescent="0.35">
      <c r="A540" s="124">
        <f t="shared" ref="A540:A546" si="72">A539+1</f>
        <v>2</v>
      </c>
      <c r="B540" s="125"/>
      <c r="C540" s="54">
        <v>2</v>
      </c>
      <c r="D540" s="55">
        <f>(47.9+(2.88*0.75+1.5*0.75))*(10.746)</f>
        <v>550.03401000000008</v>
      </c>
      <c r="E540" s="42">
        <v>0</v>
      </c>
      <c r="F540" s="42">
        <f>D540*(($F$336)+1)+(IF(E540&lt;101,E540,IF(E540&lt;201,E540/2,IF(E540&lt;=301,E540/3,E540/4))))</f>
        <v>825.05101500000012</v>
      </c>
      <c r="G540" s="128"/>
      <c r="H540" s="129"/>
      <c r="I540" s="36"/>
      <c r="L540" s="132"/>
      <c r="M540" s="132"/>
      <c r="N540" s="36"/>
    </row>
    <row r="541" spans="1:14" s="37" customFormat="1" ht="15.75" customHeight="1" x14ac:dyDescent="0.35">
      <c r="A541" s="124">
        <f t="shared" si="72"/>
        <v>3</v>
      </c>
      <c r="B541" s="125"/>
      <c r="C541" s="133" t="s">
        <v>193</v>
      </c>
      <c r="D541" s="134"/>
      <c r="E541" s="134"/>
      <c r="F541" s="135"/>
      <c r="G541" s="128"/>
      <c r="H541" s="129"/>
      <c r="I541" s="36"/>
      <c r="L541" s="132"/>
      <c r="M541" s="132"/>
      <c r="N541" s="36"/>
    </row>
    <row r="542" spans="1:14" s="37" customFormat="1" ht="15.75" customHeight="1" x14ac:dyDescent="0.35">
      <c r="A542" s="124">
        <f t="shared" si="72"/>
        <v>4</v>
      </c>
      <c r="B542" s="125"/>
      <c r="C542" s="54">
        <v>1</v>
      </c>
      <c r="D542" s="55">
        <f t="shared" ref="D542:D546" si="73">(34.75+(2.81*0.75+1.5*0.75))*(10.746)</f>
        <v>408.15994500000005</v>
      </c>
      <c r="E542" s="42">
        <v>0</v>
      </c>
      <c r="F542" s="42">
        <f>D542*(($F$336)+1)+(IF(E542&lt;101,E542,IF(E542&lt;201,E542/2,IF(E542&lt;=301,E542/3,E542/4))))</f>
        <v>612.23991750000005</v>
      </c>
      <c r="G542" s="128"/>
      <c r="H542" s="129"/>
      <c r="I542" s="36"/>
      <c r="L542" s="132"/>
      <c r="M542" s="132"/>
      <c r="N542" s="36"/>
    </row>
    <row r="543" spans="1:14" s="37" customFormat="1" ht="15.75" customHeight="1" x14ac:dyDescent="0.35">
      <c r="A543" s="124">
        <f t="shared" si="72"/>
        <v>5</v>
      </c>
      <c r="B543" s="125"/>
      <c r="C543" s="54">
        <v>2</v>
      </c>
      <c r="D543" s="55">
        <f t="shared" ref="D543:D544" si="74">(47.9+(2.88*0.75+1.5*0.75))*(10.746)</f>
        <v>550.03401000000008</v>
      </c>
      <c r="E543" s="42">
        <v>0</v>
      </c>
      <c r="F543" s="42">
        <f>D543*(($F$336)+1)+(IF(E543&lt;101,E543,IF(E543&lt;201,E543/2,IF(E543&lt;=301,E543/3,E543/4))))</f>
        <v>825.05101500000012</v>
      </c>
      <c r="G543" s="128"/>
      <c r="H543" s="129"/>
      <c r="I543" s="36"/>
      <c r="L543" s="132"/>
      <c r="M543" s="132"/>
      <c r="N543" s="36"/>
    </row>
    <row r="544" spans="1:14" s="37" customFormat="1" ht="15.75" customHeight="1" x14ac:dyDescent="0.35">
      <c r="A544" s="124">
        <f t="shared" si="72"/>
        <v>6</v>
      </c>
      <c r="B544" s="125"/>
      <c r="C544" s="54">
        <v>2</v>
      </c>
      <c r="D544" s="55">
        <f t="shared" si="74"/>
        <v>550.03401000000008</v>
      </c>
      <c r="E544" s="42">
        <v>0</v>
      </c>
      <c r="F544" s="42">
        <f>D544*(($F$336)+1)+(IF(E544&lt;101,E544,IF(E544&lt;201,E544/2,IF(E544&lt;=301,E544/3,E544/4))))</f>
        <v>825.05101500000012</v>
      </c>
      <c r="G544" s="128"/>
      <c r="H544" s="129"/>
      <c r="I544" s="36"/>
      <c r="L544" s="132"/>
      <c r="M544" s="132"/>
      <c r="N544" s="36"/>
    </row>
    <row r="545" spans="1:14" s="37" customFormat="1" ht="15.75" customHeight="1" x14ac:dyDescent="0.35">
      <c r="A545" s="124">
        <f t="shared" si="72"/>
        <v>7</v>
      </c>
      <c r="B545" s="125"/>
      <c r="C545" s="54">
        <v>1</v>
      </c>
      <c r="D545" s="55">
        <f t="shared" si="73"/>
        <v>408.15994500000005</v>
      </c>
      <c r="E545" s="42">
        <v>0</v>
      </c>
      <c r="F545" s="42">
        <f>D545*(($F$336)+1)+(IF(E545&lt;101,E545,IF(E545&lt;201,E545/2,IF(E545&lt;=301,E545/3,E545/4))))</f>
        <v>612.23991750000005</v>
      </c>
      <c r="G545" s="128"/>
      <c r="H545" s="129"/>
      <c r="I545" s="36"/>
      <c r="L545" s="132"/>
      <c r="M545" s="132"/>
      <c r="N545" s="36"/>
    </row>
    <row r="546" spans="1:14" s="37" customFormat="1" ht="15.75" customHeight="1" x14ac:dyDescent="0.35">
      <c r="A546" s="124">
        <f t="shared" si="72"/>
        <v>8</v>
      </c>
      <c r="B546" s="125"/>
      <c r="C546" s="54">
        <v>1</v>
      </c>
      <c r="D546" s="55">
        <f t="shared" si="73"/>
        <v>408.15994500000005</v>
      </c>
      <c r="E546" s="42">
        <v>0</v>
      </c>
      <c r="F546" s="42">
        <f>D546*(($F$336)+1)+(IF(E546&lt;101,E546,IF(E546&lt;201,E546/2,IF(E546&lt;=301,E546/3,E546/4))))</f>
        <v>612.23991750000005</v>
      </c>
      <c r="G546" s="130"/>
      <c r="H546" s="131"/>
      <c r="I546" s="36"/>
      <c r="L546" s="132"/>
      <c r="M546" s="132"/>
      <c r="N546" s="36"/>
    </row>
    <row r="547" spans="1:14" s="37" customFormat="1" ht="15.75" customHeight="1" x14ac:dyDescent="0.35">
      <c r="A547" s="166" t="s">
        <v>227</v>
      </c>
      <c r="B547" s="167"/>
      <c r="C547" s="167"/>
      <c r="D547" s="167"/>
      <c r="E547" s="167"/>
      <c r="F547" s="167"/>
      <c r="G547" s="167"/>
      <c r="H547" s="168"/>
      <c r="J547" s="36"/>
    </row>
    <row r="548" spans="1:14" s="37" customFormat="1" ht="15.75" customHeight="1" x14ac:dyDescent="0.35">
      <c r="A548" s="121" t="s">
        <v>228</v>
      </c>
      <c r="B548" s="122"/>
      <c r="C548" s="122"/>
      <c r="D548" s="122"/>
      <c r="E548" s="122"/>
      <c r="F548" s="122"/>
      <c r="G548" s="122"/>
      <c r="H548" s="123"/>
      <c r="J548" s="36"/>
    </row>
    <row r="549" spans="1:14" s="37" customFormat="1" ht="15.75" customHeight="1" x14ac:dyDescent="0.35">
      <c r="A549" s="121" t="s">
        <v>214</v>
      </c>
      <c r="B549" s="122"/>
      <c r="C549" s="122"/>
      <c r="D549" s="122"/>
      <c r="E549" s="122"/>
      <c r="F549" s="122"/>
      <c r="G549" s="122"/>
      <c r="H549" s="123"/>
      <c r="J549" s="36"/>
    </row>
    <row r="550" spans="1:14" s="37" customFormat="1" ht="15.75" customHeight="1" x14ac:dyDescent="0.35">
      <c r="A550" s="124">
        <v>1</v>
      </c>
      <c r="B550" s="125"/>
      <c r="C550" s="54">
        <v>2</v>
      </c>
      <c r="D550" s="55">
        <f t="shared" ref="D550:D551" si="75">(47.9+(2.88*0.75+1.5*0.75))*(10.746)</f>
        <v>550.03401000000008</v>
      </c>
      <c r="E550" s="42">
        <v>0</v>
      </c>
      <c r="F550" s="42">
        <f>D550*(($F$336)+1)+(IF(E550&lt;101,E550,IF(E550&lt;201,E550/2,IF(E550&lt;=301,E550/3,E550/4))))</f>
        <v>825.05101500000012</v>
      </c>
      <c r="G550" s="126" t="str">
        <f>A549</f>
        <v>1st Floor For Residential</v>
      </c>
      <c r="H550" s="127"/>
      <c r="I550" s="36"/>
      <c r="L550" s="132"/>
      <c r="M550" s="132"/>
      <c r="N550" s="36"/>
    </row>
    <row r="551" spans="1:14" s="37" customFormat="1" ht="15.75" customHeight="1" x14ac:dyDescent="0.35">
      <c r="A551" s="124">
        <f t="shared" ref="A551:A557" si="76">A550+1</f>
        <v>2</v>
      </c>
      <c r="B551" s="125"/>
      <c r="C551" s="54">
        <v>2</v>
      </c>
      <c r="D551" s="55">
        <f t="shared" si="75"/>
        <v>550.03401000000008</v>
      </c>
      <c r="E551" s="42">
        <v>0</v>
      </c>
      <c r="F551" s="42">
        <f>D551*(($F$336)+1)+(IF(E551&lt;101,E551,IF(E551&lt;201,E551/2,IF(E551&lt;=301,E551/3,E551/4))))</f>
        <v>825.05101500000012</v>
      </c>
      <c r="G551" s="128"/>
      <c r="H551" s="129"/>
      <c r="I551" s="36"/>
      <c r="L551" s="132"/>
      <c r="M551" s="132"/>
      <c r="N551" s="36"/>
    </row>
    <row r="552" spans="1:14" s="37" customFormat="1" x14ac:dyDescent="0.35">
      <c r="A552" s="124">
        <f t="shared" si="76"/>
        <v>3</v>
      </c>
      <c r="B552" s="125"/>
      <c r="C552" s="145" t="s">
        <v>229</v>
      </c>
      <c r="D552" s="146"/>
      <c r="E552" s="146"/>
      <c r="F552" s="147"/>
      <c r="G552" s="128"/>
      <c r="H552" s="129"/>
      <c r="I552" s="36"/>
      <c r="L552" s="132"/>
      <c r="M552" s="132"/>
      <c r="N552" s="36"/>
    </row>
    <row r="553" spans="1:14" s="37" customFormat="1" x14ac:dyDescent="0.35">
      <c r="A553" s="124">
        <f t="shared" si="76"/>
        <v>4</v>
      </c>
      <c r="B553" s="125"/>
      <c r="C553" s="148"/>
      <c r="D553" s="149"/>
      <c r="E553" s="149"/>
      <c r="F553" s="150"/>
      <c r="G553" s="128"/>
      <c r="H553" s="129"/>
      <c r="I553" s="36"/>
      <c r="L553" s="132"/>
      <c r="M553" s="132"/>
      <c r="N553" s="36"/>
    </row>
    <row r="554" spans="1:14" s="37" customFormat="1" ht="15.75" customHeight="1" x14ac:dyDescent="0.35">
      <c r="A554" s="124">
        <f t="shared" si="76"/>
        <v>5</v>
      </c>
      <c r="B554" s="125"/>
      <c r="C554" s="54">
        <v>2</v>
      </c>
      <c r="D554" s="55">
        <f t="shared" ref="D554:D555" si="77">(47.9+(2.88*0.75+1.5*0.75))*(10.746)</f>
        <v>550.03401000000008</v>
      </c>
      <c r="E554" s="42">
        <v>0</v>
      </c>
      <c r="F554" s="42">
        <f>D554*(($F$336)+1)+(IF(E554&lt;101,E554,IF(E554&lt;201,E554/2,IF(E554&lt;=301,E554/3,E554/4))))</f>
        <v>825.05101500000012</v>
      </c>
      <c r="G554" s="128"/>
      <c r="H554" s="129"/>
      <c r="I554" s="36"/>
      <c r="L554" s="132"/>
      <c r="M554" s="132"/>
      <c r="N554" s="36"/>
    </row>
    <row r="555" spans="1:14" s="37" customFormat="1" x14ac:dyDescent="0.35">
      <c r="A555" s="124">
        <f t="shared" si="76"/>
        <v>6</v>
      </c>
      <c r="B555" s="125"/>
      <c r="C555" s="54">
        <v>2</v>
      </c>
      <c r="D555" s="55">
        <f t="shared" si="77"/>
        <v>550.03401000000008</v>
      </c>
      <c r="E555" s="42">
        <v>0</v>
      </c>
      <c r="F555" s="42">
        <f>D555*(($F$336)+1)+(IF(E555&lt;101,E555,IF(E555&lt;201,E555/2,IF(E555&lt;=301,E555/3,E555/4))))</f>
        <v>825.05101500000012</v>
      </c>
      <c r="G555" s="128"/>
      <c r="H555" s="129"/>
      <c r="I555" s="36"/>
      <c r="L555" s="132"/>
      <c r="M555" s="132"/>
      <c r="N555" s="36"/>
    </row>
    <row r="556" spans="1:14" s="37" customFormat="1" x14ac:dyDescent="0.35">
      <c r="A556" s="124">
        <f t="shared" si="76"/>
        <v>7</v>
      </c>
      <c r="B556" s="125"/>
      <c r="C556" s="54">
        <v>1</v>
      </c>
      <c r="D556" s="55">
        <f t="shared" ref="D556:D557" si="78">(34.75+(2.81*0.75+1.5*0.75))*(10.746)</f>
        <v>408.15994500000005</v>
      </c>
      <c r="E556" s="42">
        <v>0</v>
      </c>
      <c r="F556" s="42">
        <f>D556*(($F$336)+1)+(IF(E556&lt;101,E556,IF(E556&lt;201,E556/2,IF(E556&lt;=301,E556/3,E556/4))))</f>
        <v>612.23991750000005</v>
      </c>
      <c r="G556" s="128"/>
      <c r="H556" s="129"/>
      <c r="I556" s="36"/>
      <c r="L556" s="132"/>
      <c r="M556" s="132"/>
      <c r="N556" s="36"/>
    </row>
    <row r="557" spans="1:14" s="37" customFormat="1" x14ac:dyDescent="0.35">
      <c r="A557" s="124">
        <f t="shared" si="76"/>
        <v>8</v>
      </c>
      <c r="B557" s="125"/>
      <c r="C557" s="54">
        <v>1</v>
      </c>
      <c r="D557" s="55">
        <f t="shared" si="78"/>
        <v>408.15994500000005</v>
      </c>
      <c r="E557" s="42">
        <v>0</v>
      </c>
      <c r="F557" s="42">
        <f>D557*(($F$336)+1)+(IF(E557&lt;101,E557,IF(E557&lt;201,E557/2,IF(E557&lt;=301,E557/3,E557/4))))</f>
        <v>612.23991750000005</v>
      </c>
      <c r="G557" s="130"/>
      <c r="H557" s="131"/>
      <c r="I557" s="36"/>
      <c r="L557" s="132"/>
      <c r="M557" s="132"/>
      <c r="N557" s="36"/>
    </row>
    <row r="558" spans="1:14" s="37" customFormat="1" ht="15.75" customHeight="1" x14ac:dyDescent="0.35">
      <c r="A558" s="121" t="s">
        <v>226</v>
      </c>
      <c r="B558" s="122"/>
      <c r="C558" s="122"/>
      <c r="D558" s="122"/>
      <c r="E558" s="122"/>
      <c r="F558" s="122"/>
      <c r="G558" s="122"/>
      <c r="H558" s="123"/>
      <c r="J558" s="36"/>
    </row>
    <row r="559" spans="1:14" s="37" customFormat="1" ht="15.75" customHeight="1" x14ac:dyDescent="0.35">
      <c r="A559" s="124">
        <v>1</v>
      </c>
      <c r="B559" s="125"/>
      <c r="C559" s="54">
        <v>2</v>
      </c>
      <c r="D559" s="55">
        <f>(47.9+(2.88*0.75+1.5*0.75))*(10.746)</f>
        <v>550.03401000000008</v>
      </c>
      <c r="E559" s="57">
        <v>0</v>
      </c>
      <c r="F559" s="42">
        <f t="shared" ref="F559:F566" si="79">D559*(($F$336)+1)+(IF(E559&lt;101,E559,IF(E559&lt;201,E559/2,IF(E559&lt;=301,E559/3,E559/4))))</f>
        <v>825.05101500000012</v>
      </c>
      <c r="G559" s="126" t="str">
        <f>A558</f>
        <v>2nd to 7th, 9th to 12th, 14th to 17th, 19th to 23rd Floor</v>
      </c>
      <c r="H559" s="127"/>
      <c r="I559" s="36"/>
      <c r="L559" s="132"/>
      <c r="M559" s="132"/>
      <c r="N559" s="36"/>
    </row>
    <row r="560" spans="1:14" s="37" customFormat="1" ht="15.75" customHeight="1" x14ac:dyDescent="0.35">
      <c r="A560" s="124">
        <f t="shared" ref="A560:A566" si="80">A559+1</f>
        <v>2</v>
      </c>
      <c r="B560" s="125"/>
      <c r="C560" s="54">
        <v>2</v>
      </c>
      <c r="D560" s="55">
        <f>(47.9+(2.88*0.75+1.5*0.75))*(10.746)</f>
        <v>550.03401000000008</v>
      </c>
      <c r="E560" s="57">
        <v>0</v>
      </c>
      <c r="F560" s="42">
        <f t="shared" si="79"/>
        <v>825.05101500000012</v>
      </c>
      <c r="G560" s="128"/>
      <c r="H560" s="129"/>
      <c r="I560" s="36"/>
      <c r="L560" s="132"/>
      <c r="M560" s="132"/>
      <c r="N560" s="36"/>
    </row>
    <row r="561" spans="1:14" s="37" customFormat="1" x14ac:dyDescent="0.35">
      <c r="A561" s="124">
        <f t="shared" si="80"/>
        <v>3</v>
      </c>
      <c r="B561" s="125"/>
      <c r="C561" s="54">
        <v>1</v>
      </c>
      <c r="D561" s="55">
        <f t="shared" ref="D561:D562" si="81">(34.75+(2.81*0.75+1.5*0.75))*(10.746)</f>
        <v>408.15994500000005</v>
      </c>
      <c r="E561" s="57">
        <v>0</v>
      </c>
      <c r="F561" s="42">
        <f t="shared" si="79"/>
        <v>612.23991750000005</v>
      </c>
      <c r="G561" s="128"/>
      <c r="H561" s="129"/>
      <c r="I561" s="36"/>
      <c r="L561" s="132"/>
      <c r="M561" s="132"/>
      <c r="N561" s="36"/>
    </row>
    <row r="562" spans="1:14" s="37" customFormat="1" x14ac:dyDescent="0.35">
      <c r="A562" s="124">
        <f t="shared" si="80"/>
        <v>4</v>
      </c>
      <c r="B562" s="125"/>
      <c r="C562" s="54">
        <v>1</v>
      </c>
      <c r="D562" s="55">
        <f t="shared" si="81"/>
        <v>408.15994500000005</v>
      </c>
      <c r="E562" s="57">
        <v>0</v>
      </c>
      <c r="F562" s="42">
        <f t="shared" si="79"/>
        <v>612.23991750000005</v>
      </c>
      <c r="G562" s="128"/>
      <c r="H562" s="129"/>
      <c r="I562" s="36"/>
      <c r="L562" s="132"/>
      <c r="M562" s="132"/>
      <c r="N562" s="36"/>
    </row>
    <row r="563" spans="1:14" s="37" customFormat="1" ht="15.75" customHeight="1" x14ac:dyDescent="0.35">
      <c r="A563" s="124">
        <f t="shared" si="80"/>
        <v>5</v>
      </c>
      <c r="B563" s="125"/>
      <c r="C563" s="54">
        <v>2</v>
      </c>
      <c r="D563" s="55">
        <f t="shared" ref="D563" si="82">(47.9+(2.88*0.75+1.5*0.75))*(10.746)</f>
        <v>550.03401000000008</v>
      </c>
      <c r="E563" s="57">
        <v>0</v>
      </c>
      <c r="F563" s="42">
        <f t="shared" si="79"/>
        <v>825.05101500000012</v>
      </c>
      <c r="G563" s="128"/>
      <c r="H563" s="129"/>
      <c r="I563" s="36"/>
      <c r="L563" s="132"/>
      <c r="M563" s="132"/>
      <c r="N563" s="36"/>
    </row>
    <row r="564" spans="1:14" s="37" customFormat="1" x14ac:dyDescent="0.35">
      <c r="A564" s="124">
        <f t="shared" si="80"/>
        <v>6</v>
      </c>
      <c r="B564" s="125"/>
      <c r="C564" s="54">
        <v>2</v>
      </c>
      <c r="D564" s="55">
        <f>(47.9+(2.88*0.75+1.5*0.75))*(10.746)</f>
        <v>550.03401000000008</v>
      </c>
      <c r="E564" s="57">
        <v>0</v>
      </c>
      <c r="F564" s="42">
        <f t="shared" si="79"/>
        <v>825.05101500000012</v>
      </c>
      <c r="G564" s="128"/>
      <c r="H564" s="129"/>
      <c r="I564" s="36"/>
      <c r="L564" s="132"/>
      <c r="M564" s="132"/>
      <c r="N564" s="36"/>
    </row>
    <row r="565" spans="1:14" s="37" customFormat="1" x14ac:dyDescent="0.35">
      <c r="A565" s="124">
        <f t="shared" si="80"/>
        <v>7</v>
      </c>
      <c r="B565" s="125"/>
      <c r="C565" s="54">
        <v>1</v>
      </c>
      <c r="D565" s="55">
        <f t="shared" ref="D565:D566" si="83">(34.75+(2.81*0.75+1.5*0.75))*(10.746)</f>
        <v>408.15994500000005</v>
      </c>
      <c r="E565" s="42">
        <v>0</v>
      </c>
      <c r="F565" s="42">
        <f t="shared" si="79"/>
        <v>612.23991750000005</v>
      </c>
      <c r="G565" s="128"/>
      <c r="H565" s="129"/>
      <c r="I565" s="36"/>
      <c r="L565" s="132"/>
      <c r="M565" s="132"/>
      <c r="N565" s="36"/>
    </row>
    <row r="566" spans="1:14" s="37" customFormat="1" x14ac:dyDescent="0.35">
      <c r="A566" s="124">
        <f t="shared" si="80"/>
        <v>8</v>
      </c>
      <c r="B566" s="125"/>
      <c r="C566" s="54">
        <v>1</v>
      </c>
      <c r="D566" s="55">
        <f t="shared" si="83"/>
        <v>408.15994500000005</v>
      </c>
      <c r="E566" s="42">
        <v>0</v>
      </c>
      <c r="F566" s="42">
        <f t="shared" si="79"/>
        <v>612.23991750000005</v>
      </c>
      <c r="G566" s="130"/>
      <c r="H566" s="131"/>
      <c r="I566" s="36"/>
      <c r="L566" s="132"/>
      <c r="M566" s="132"/>
      <c r="N566" s="36"/>
    </row>
    <row r="567" spans="1:14" s="37" customFormat="1" ht="15.75" customHeight="1" x14ac:dyDescent="0.35">
      <c r="A567" s="121" t="s">
        <v>194</v>
      </c>
      <c r="B567" s="122"/>
      <c r="C567" s="122"/>
      <c r="D567" s="122"/>
      <c r="E567" s="122"/>
      <c r="F567" s="122"/>
      <c r="G567" s="122"/>
      <c r="H567" s="123"/>
      <c r="J567" s="36"/>
    </row>
    <row r="568" spans="1:14" s="37" customFormat="1" ht="15.75" customHeight="1" x14ac:dyDescent="0.35">
      <c r="A568" s="124">
        <v>1</v>
      </c>
      <c r="B568" s="125"/>
      <c r="C568" s="54">
        <v>2</v>
      </c>
      <c r="D568" s="55">
        <f>(47.9+(2.88*0.75+1.5*0.75))*(10.746)</f>
        <v>550.03401000000008</v>
      </c>
      <c r="E568" s="42">
        <v>0</v>
      </c>
      <c r="F568" s="42">
        <f t="shared" ref="F568:F570" si="84">D568*(($F$336)+1)+(IF(E568&lt;101,E568,IF(E568&lt;201,E568/2,IF(E568&lt;=301,E568/3,E568/4))))</f>
        <v>825.05101500000012</v>
      </c>
      <c r="G568" s="126" t="str">
        <f>A567</f>
        <v>8th, 13th &amp; 18th Floor (Part Refuge Area)</v>
      </c>
      <c r="H568" s="127"/>
      <c r="I568" s="36"/>
      <c r="L568" s="132"/>
      <c r="M568" s="132"/>
      <c r="N568" s="36"/>
    </row>
    <row r="569" spans="1:14" s="37" customFormat="1" ht="15.75" customHeight="1" x14ac:dyDescent="0.35">
      <c r="A569" s="124">
        <f t="shared" ref="A569:A575" si="85">A568+1</f>
        <v>2</v>
      </c>
      <c r="B569" s="125"/>
      <c r="C569" s="54">
        <v>2</v>
      </c>
      <c r="D569" s="55">
        <f>(47.9+(2.88*0.75+1.5*0.75))*(10.746)</f>
        <v>550.03401000000008</v>
      </c>
      <c r="E569" s="42">
        <v>0</v>
      </c>
      <c r="F569" s="42">
        <f t="shared" si="84"/>
        <v>825.05101500000012</v>
      </c>
      <c r="G569" s="128"/>
      <c r="H569" s="129"/>
      <c r="I569" s="36"/>
      <c r="L569" s="132"/>
      <c r="M569" s="132"/>
      <c r="N569" s="36"/>
    </row>
    <row r="570" spans="1:14" s="37" customFormat="1" ht="15.75" customHeight="1" x14ac:dyDescent="0.35">
      <c r="A570" s="124">
        <f t="shared" si="85"/>
        <v>3</v>
      </c>
      <c r="B570" s="125"/>
      <c r="C570" s="54">
        <v>1</v>
      </c>
      <c r="D570" s="55">
        <f t="shared" ref="D570:D575" si="86">(34.75+(2.81*0.75+1.5*0.75))*(10.746)</f>
        <v>408.15994500000005</v>
      </c>
      <c r="E570" s="42">
        <v>0</v>
      </c>
      <c r="F570" s="42">
        <f t="shared" si="84"/>
        <v>612.23991750000005</v>
      </c>
      <c r="G570" s="128"/>
      <c r="H570" s="129"/>
      <c r="I570" s="36"/>
      <c r="L570" s="132"/>
      <c r="M570" s="132"/>
      <c r="N570" s="36"/>
    </row>
    <row r="571" spans="1:14" s="37" customFormat="1" ht="15.75" customHeight="1" x14ac:dyDescent="0.35">
      <c r="A571" s="124">
        <f t="shared" si="85"/>
        <v>4</v>
      </c>
      <c r="B571" s="125"/>
      <c r="C571" s="133" t="s">
        <v>193</v>
      </c>
      <c r="D571" s="134"/>
      <c r="E571" s="134"/>
      <c r="F571" s="135"/>
      <c r="G571" s="128"/>
      <c r="H571" s="129"/>
      <c r="I571" s="36"/>
      <c r="L571" s="132"/>
      <c r="M571" s="132"/>
      <c r="N571" s="36"/>
    </row>
    <row r="572" spans="1:14" s="37" customFormat="1" ht="15.75" customHeight="1" x14ac:dyDescent="0.35">
      <c r="A572" s="124">
        <f t="shared" si="85"/>
        <v>5</v>
      </c>
      <c r="B572" s="125"/>
      <c r="C572" s="54">
        <v>2</v>
      </c>
      <c r="D572" s="55">
        <f t="shared" ref="D572:D573" si="87">(47.9+(2.88*0.75+1.5*0.75))*(10.746)</f>
        <v>550.03401000000008</v>
      </c>
      <c r="E572" s="42">
        <v>0</v>
      </c>
      <c r="F572" s="42">
        <f>D572*(($F$336)+1)+(IF(E572&lt;101,E572,IF(E572&lt;201,E572/2,IF(E572&lt;=301,E572/3,E572/4))))</f>
        <v>825.05101500000012</v>
      </c>
      <c r="G572" s="128"/>
      <c r="H572" s="129"/>
      <c r="I572" s="36"/>
      <c r="L572" s="132"/>
      <c r="M572" s="132"/>
      <c r="N572" s="36"/>
    </row>
    <row r="573" spans="1:14" s="37" customFormat="1" ht="15.75" customHeight="1" x14ac:dyDescent="0.35">
      <c r="A573" s="124">
        <f t="shared" si="85"/>
        <v>6</v>
      </c>
      <c r="B573" s="125"/>
      <c r="C573" s="54">
        <v>2</v>
      </c>
      <c r="D573" s="55">
        <f t="shared" si="87"/>
        <v>550.03401000000008</v>
      </c>
      <c r="E573" s="42">
        <v>0</v>
      </c>
      <c r="F573" s="42">
        <f>D573*(($F$336)+1)+(IF(E573&lt;101,E573,IF(E573&lt;201,E573/2,IF(E573&lt;=301,E573/3,E573/4))))</f>
        <v>825.05101500000012</v>
      </c>
      <c r="G573" s="128"/>
      <c r="H573" s="129"/>
      <c r="I573" s="36"/>
      <c r="L573" s="132"/>
      <c r="M573" s="132"/>
      <c r="N573" s="36"/>
    </row>
    <row r="574" spans="1:14" s="37" customFormat="1" ht="15.75" customHeight="1" x14ac:dyDescent="0.35">
      <c r="A574" s="124">
        <f t="shared" si="85"/>
        <v>7</v>
      </c>
      <c r="B574" s="125"/>
      <c r="C574" s="54">
        <v>1</v>
      </c>
      <c r="D574" s="55">
        <f t="shared" si="86"/>
        <v>408.15994500000005</v>
      </c>
      <c r="E574" s="42">
        <v>0</v>
      </c>
      <c r="F574" s="42">
        <f>D574*(($F$336)+1)+(IF(E574&lt;101,E574,IF(E574&lt;201,E574/2,IF(E574&lt;=301,E574/3,E574/4))))</f>
        <v>612.23991750000005</v>
      </c>
      <c r="G574" s="128"/>
      <c r="H574" s="129"/>
      <c r="I574" s="36"/>
      <c r="L574" s="132"/>
      <c r="M574" s="132"/>
      <c r="N574" s="36"/>
    </row>
    <row r="575" spans="1:14" s="37" customFormat="1" ht="15.75" customHeight="1" x14ac:dyDescent="0.35">
      <c r="A575" s="124">
        <f t="shared" si="85"/>
        <v>8</v>
      </c>
      <c r="B575" s="125"/>
      <c r="C575" s="54">
        <v>1</v>
      </c>
      <c r="D575" s="55">
        <f t="shared" si="86"/>
        <v>408.15994500000005</v>
      </c>
      <c r="E575" s="42">
        <v>0</v>
      </c>
      <c r="F575" s="42">
        <f>D575*(($F$336)+1)+(IF(E575&lt;101,E575,IF(E575&lt;201,E575/2,IF(E575&lt;=301,E575/3,E575/4))))</f>
        <v>612.23991750000005</v>
      </c>
      <c r="G575" s="130"/>
      <c r="H575" s="131"/>
      <c r="I575" s="36"/>
      <c r="L575" s="132"/>
      <c r="M575" s="132"/>
      <c r="N575" s="36"/>
    </row>
    <row r="576" spans="1:14" s="37" customFormat="1" ht="15.75" customHeight="1" x14ac:dyDescent="0.35">
      <c r="A576" s="166" t="s">
        <v>210</v>
      </c>
      <c r="B576" s="167"/>
      <c r="C576" s="167"/>
      <c r="D576" s="167"/>
      <c r="E576" s="167"/>
      <c r="F576" s="167"/>
      <c r="G576" s="167"/>
      <c r="H576" s="168"/>
      <c r="J576" s="36"/>
    </row>
    <row r="577" spans="1:14" s="37" customFormat="1" x14ac:dyDescent="0.35">
      <c r="A577" s="121" t="s">
        <v>214</v>
      </c>
      <c r="B577" s="122"/>
      <c r="C577" s="122"/>
      <c r="D577" s="122"/>
      <c r="E577" s="122"/>
      <c r="F577" s="122"/>
      <c r="G577" s="122"/>
      <c r="H577" s="123"/>
      <c r="J577" s="36"/>
    </row>
    <row r="578" spans="1:14" s="37" customFormat="1" ht="15.75" customHeight="1" x14ac:dyDescent="0.35">
      <c r="A578" s="124">
        <v>2</v>
      </c>
      <c r="B578" s="125"/>
      <c r="C578" s="54">
        <v>2</v>
      </c>
      <c r="D578" s="55">
        <f>(47.9+(2.88*0.75+1.5*0.75))*(10.746)</f>
        <v>550.03401000000008</v>
      </c>
      <c r="E578" s="42">
        <v>0</v>
      </c>
      <c r="F578" s="42">
        <f>D578*(($F$336)+1)+(IF(E578&lt;101,E578,IF(E578&lt;201,E578/2,IF(E578&lt;=301,E578/3,E578/4))))</f>
        <v>825.05101500000012</v>
      </c>
      <c r="G578" s="126" t="str">
        <f>A577</f>
        <v>1st Floor For Residential</v>
      </c>
      <c r="H578" s="127"/>
      <c r="I578" s="36"/>
      <c r="L578" s="132"/>
      <c r="M578" s="132"/>
      <c r="N578" s="36"/>
    </row>
    <row r="579" spans="1:14" s="37" customFormat="1" ht="15.75" customHeight="1" x14ac:dyDescent="0.35">
      <c r="A579" s="124">
        <v>5</v>
      </c>
      <c r="B579" s="125"/>
      <c r="C579" s="54">
        <v>2</v>
      </c>
      <c r="D579" s="55">
        <f>(47.9+(2.88*0.75+1.5*0.75))*(10.746)</f>
        <v>550.03401000000008</v>
      </c>
      <c r="E579" s="42">
        <v>0</v>
      </c>
      <c r="F579" s="42">
        <f>D579*(($F$336)+1)+(IF(E579&lt;101,E579,IF(E579&lt;201,E579/2,IF(E579&lt;=301,E579/3,E579/4))))</f>
        <v>825.05101500000012</v>
      </c>
      <c r="G579" s="130"/>
      <c r="H579" s="131"/>
      <c r="I579" s="36"/>
      <c r="L579" s="132"/>
      <c r="M579" s="132"/>
      <c r="N579" s="36"/>
    </row>
    <row r="580" spans="1:14" s="37" customFormat="1" ht="15.75" customHeight="1" x14ac:dyDescent="0.35">
      <c r="A580" s="121" t="s">
        <v>119</v>
      </c>
      <c r="B580" s="122"/>
      <c r="C580" s="122"/>
      <c r="D580" s="122"/>
      <c r="E580" s="122"/>
      <c r="F580" s="122"/>
      <c r="G580" s="122"/>
      <c r="H580" s="123"/>
      <c r="J580" s="36"/>
    </row>
    <row r="581" spans="1:14" s="37" customFormat="1" ht="15.75" customHeight="1" x14ac:dyDescent="0.35">
      <c r="A581" s="124">
        <v>2</v>
      </c>
      <c r="B581" s="125"/>
      <c r="C581" s="54">
        <v>2</v>
      </c>
      <c r="D581" s="55">
        <f>(47.9+(2.88*0.75+1.5*0.75))*(10.746)</f>
        <v>550.03401000000008</v>
      </c>
      <c r="E581" s="42">
        <v>0</v>
      </c>
      <c r="F581" s="42">
        <f>D581*(($F$336)+1)+(IF(E581&lt;101,E581,IF(E581&lt;201,E581/2,IF(E581&lt;=301,E581/3,E581/4))))</f>
        <v>825.05101500000012</v>
      </c>
      <c r="G581" s="126" t="str">
        <f>A580</f>
        <v>2nd Floor</v>
      </c>
      <c r="H581" s="127"/>
      <c r="I581" s="36"/>
      <c r="L581" s="132"/>
      <c r="M581" s="132"/>
      <c r="N581" s="36"/>
    </row>
    <row r="582" spans="1:14" s="37" customFormat="1" ht="15.75" customHeight="1" x14ac:dyDescent="0.35">
      <c r="A582" s="124">
        <f t="shared" ref="A582:A584" si="88">A581+1</f>
        <v>3</v>
      </c>
      <c r="B582" s="125"/>
      <c r="C582" s="54">
        <v>1</v>
      </c>
      <c r="D582" s="55">
        <f t="shared" ref="D582:D583" si="89">(34.75+(2.81*0.75+1.5*0.75))*(10.746)</f>
        <v>408.15994500000005</v>
      </c>
      <c r="E582" s="42">
        <v>0</v>
      </c>
      <c r="F582" s="42">
        <f>D582*(($F$336)+1)+(IF(E582&lt;101,E582,IF(E582&lt;201,E582/2,IF(E582&lt;=301,E582/3,E582/4))))</f>
        <v>612.23991750000005</v>
      </c>
      <c r="G582" s="128"/>
      <c r="H582" s="129"/>
      <c r="I582" s="36"/>
      <c r="L582" s="132"/>
      <c r="M582" s="132"/>
      <c r="N582" s="36"/>
    </row>
    <row r="583" spans="1:14" s="37" customFormat="1" x14ac:dyDescent="0.35">
      <c r="A583" s="124">
        <f t="shared" si="88"/>
        <v>4</v>
      </c>
      <c r="B583" s="125"/>
      <c r="C583" s="54">
        <v>1</v>
      </c>
      <c r="D583" s="55">
        <f t="shared" si="89"/>
        <v>408.15994500000005</v>
      </c>
      <c r="E583" s="42">
        <v>0</v>
      </c>
      <c r="F583" s="42">
        <f>D583*(($F$336)+1)+(IF(E583&lt;101,E583,IF(E583&lt;201,E583/2,IF(E583&lt;=301,E583/3,E583/4))))</f>
        <v>612.23991750000005</v>
      </c>
      <c r="G583" s="128"/>
      <c r="H583" s="129"/>
      <c r="I583" s="36"/>
      <c r="L583" s="132"/>
      <c r="M583" s="132"/>
      <c r="N583" s="36"/>
    </row>
    <row r="584" spans="1:14" s="37" customFormat="1" x14ac:dyDescent="0.35">
      <c r="A584" s="124">
        <f t="shared" si="88"/>
        <v>5</v>
      </c>
      <c r="B584" s="125"/>
      <c r="C584" s="54">
        <v>2</v>
      </c>
      <c r="D584" s="55">
        <f>(47.9+(2.88*0.75+1.5*0.75))*(10.746)</f>
        <v>550.03401000000008</v>
      </c>
      <c r="E584" s="42">
        <v>0</v>
      </c>
      <c r="F584" s="42">
        <f>D584*(($F$336)+1)+(IF(E584&lt;101,E584,IF(E584&lt;201,E584/2,IF(E584&lt;=301,E584/3,E584/4))))</f>
        <v>825.05101500000012</v>
      </c>
      <c r="G584" s="130"/>
      <c r="H584" s="131"/>
      <c r="I584" s="36"/>
      <c r="L584" s="132"/>
      <c r="M584" s="132"/>
      <c r="N584" s="36"/>
    </row>
    <row r="585" spans="1:14" s="37" customFormat="1" ht="15.75" customHeight="1" x14ac:dyDescent="0.35">
      <c r="A585" s="121" t="s">
        <v>191</v>
      </c>
      <c r="B585" s="122"/>
      <c r="C585" s="122"/>
      <c r="D585" s="122"/>
      <c r="E585" s="122"/>
      <c r="F585" s="122"/>
      <c r="G585" s="122"/>
      <c r="H585" s="123"/>
      <c r="J585" s="36"/>
    </row>
    <row r="586" spans="1:14" s="37" customFormat="1" ht="15.75" customHeight="1" x14ac:dyDescent="0.35">
      <c r="A586" s="124">
        <v>1</v>
      </c>
      <c r="B586" s="125"/>
      <c r="C586" s="54">
        <v>2</v>
      </c>
      <c r="D586" s="55">
        <f>(47.9+(2.88*0.75+1.5*0.75))*(10.746)</f>
        <v>550.03401000000008</v>
      </c>
      <c r="E586" s="57">
        <f>(10.52*6.5+4.5*1.3+2.5*0.8+1.5*0.5+11*1.5+11.9*2.7+(0.5*12.8*5.8)+0.75*(2.88+1.5))*10.764</f>
        <v>1786.9854599999996</v>
      </c>
      <c r="F586" s="42">
        <f t="shared" ref="F586:F593" si="90">D586*(($F$336)+1)+(IF(E586&lt;101,E586,IF(E586&lt;201,E586/2,IF(E586&lt;=301,E586/3,E586/4))))</f>
        <v>1271.79738</v>
      </c>
      <c r="G586" s="126" t="str">
        <f>A585</f>
        <v>3rd Floor</v>
      </c>
      <c r="H586" s="127"/>
      <c r="I586" s="36"/>
      <c r="L586" s="132"/>
      <c r="M586" s="132"/>
      <c r="N586" s="36"/>
    </row>
    <row r="587" spans="1:14" s="37" customFormat="1" ht="15.75" customHeight="1" x14ac:dyDescent="0.35">
      <c r="A587" s="124">
        <f t="shared" ref="A587:A593" si="91">A586+1</f>
        <v>2</v>
      </c>
      <c r="B587" s="125"/>
      <c r="C587" s="54">
        <v>2</v>
      </c>
      <c r="D587" s="55">
        <f>(47.9+(2.88*0.75+1.5*0.75))*(10.746)</f>
        <v>550.03401000000008</v>
      </c>
      <c r="E587" s="57">
        <v>0</v>
      </c>
      <c r="F587" s="42">
        <f t="shared" si="90"/>
        <v>825.05101500000012</v>
      </c>
      <c r="G587" s="128"/>
      <c r="H587" s="129"/>
      <c r="I587" s="36"/>
      <c r="L587" s="132"/>
      <c r="M587" s="132"/>
      <c r="N587" s="36"/>
    </row>
    <row r="588" spans="1:14" s="37" customFormat="1" x14ac:dyDescent="0.35">
      <c r="A588" s="124">
        <f t="shared" si="91"/>
        <v>3</v>
      </c>
      <c r="B588" s="125"/>
      <c r="C588" s="54">
        <v>1</v>
      </c>
      <c r="D588" s="55">
        <f t="shared" ref="D588:D589" si="92">(34.75+(2.81*0.75+1.5*0.75))*(10.746)</f>
        <v>408.15994500000005</v>
      </c>
      <c r="E588" s="57">
        <v>0</v>
      </c>
      <c r="F588" s="42">
        <f t="shared" si="90"/>
        <v>612.23991750000005</v>
      </c>
      <c r="G588" s="128"/>
      <c r="H588" s="129"/>
      <c r="I588" s="36"/>
      <c r="L588" s="132"/>
      <c r="M588" s="132"/>
      <c r="N588" s="36"/>
    </row>
    <row r="589" spans="1:14" s="37" customFormat="1" x14ac:dyDescent="0.35">
      <c r="A589" s="124">
        <f t="shared" si="91"/>
        <v>4</v>
      </c>
      <c r="B589" s="125"/>
      <c r="C589" s="54">
        <v>1</v>
      </c>
      <c r="D589" s="55">
        <f t="shared" si="92"/>
        <v>408.15994500000005</v>
      </c>
      <c r="E589" s="57">
        <v>0</v>
      </c>
      <c r="F589" s="42">
        <f t="shared" si="90"/>
        <v>612.23991750000005</v>
      </c>
      <c r="G589" s="128"/>
      <c r="H589" s="129"/>
      <c r="I589" s="36"/>
      <c r="L589" s="132"/>
      <c r="M589" s="132"/>
      <c r="N589" s="36"/>
    </row>
    <row r="590" spans="1:14" s="37" customFormat="1" ht="15.75" customHeight="1" x14ac:dyDescent="0.35">
      <c r="A590" s="124">
        <f t="shared" si="91"/>
        <v>5</v>
      </c>
      <c r="B590" s="125"/>
      <c r="C590" s="54">
        <v>2</v>
      </c>
      <c r="D590" s="55">
        <f t="shared" ref="D590" si="93">(47.9+(2.88*0.75+1.5*0.75))*(10.746)</f>
        <v>550.03401000000008</v>
      </c>
      <c r="E590" s="57">
        <v>0</v>
      </c>
      <c r="F590" s="42">
        <f t="shared" si="90"/>
        <v>825.05101500000012</v>
      </c>
      <c r="G590" s="128"/>
      <c r="H590" s="129"/>
      <c r="I590" s="36"/>
      <c r="L590" s="132"/>
      <c r="M590" s="132"/>
      <c r="N590" s="36"/>
    </row>
    <row r="591" spans="1:14" s="37" customFormat="1" x14ac:dyDescent="0.35">
      <c r="A591" s="124">
        <f t="shared" si="91"/>
        <v>6</v>
      </c>
      <c r="B591" s="125"/>
      <c r="C591" s="54">
        <v>2</v>
      </c>
      <c r="D591" s="55">
        <f>(47.9+(2.88*0.75+1.5*0.75))*(10.746)</f>
        <v>550.03401000000008</v>
      </c>
      <c r="E591" s="57">
        <f>(1.53*7.5+2.885*7+3.385*5.7+2.715*6.5+0.75*(2.88+1.5))*10.764</f>
        <v>773.89930799999991</v>
      </c>
      <c r="F591" s="42">
        <f t="shared" si="90"/>
        <v>1018.5258420000001</v>
      </c>
      <c r="G591" s="128"/>
      <c r="H591" s="129"/>
      <c r="I591" s="36"/>
      <c r="L591" s="132"/>
      <c r="M591" s="132"/>
      <c r="N591" s="36"/>
    </row>
    <row r="592" spans="1:14" s="37" customFormat="1" x14ac:dyDescent="0.35">
      <c r="A592" s="124">
        <f t="shared" si="91"/>
        <v>7</v>
      </c>
      <c r="B592" s="125"/>
      <c r="C592" s="54">
        <v>1</v>
      </c>
      <c r="D592" s="55">
        <f t="shared" ref="D592:D593" si="94">(34.75+(2.81*0.75+1.5*0.75))*(10.746)</f>
        <v>408.15994500000005</v>
      </c>
      <c r="E592" s="42">
        <f>(8.2*2.8+2.76*1.4+2.73*0.8+0.75*(2.76+1.5))*10.764</f>
        <v>346.63309199999992</v>
      </c>
      <c r="F592" s="42">
        <f t="shared" si="90"/>
        <v>698.89819050000006</v>
      </c>
      <c r="G592" s="128"/>
      <c r="H592" s="129"/>
      <c r="I592" s="36"/>
      <c r="L592" s="132"/>
      <c r="M592" s="132"/>
      <c r="N592" s="36"/>
    </row>
    <row r="593" spans="1:14" s="37" customFormat="1" x14ac:dyDescent="0.35">
      <c r="A593" s="124">
        <f t="shared" si="91"/>
        <v>8</v>
      </c>
      <c r="B593" s="125"/>
      <c r="C593" s="54">
        <v>1</v>
      </c>
      <c r="D593" s="55">
        <f t="shared" si="94"/>
        <v>408.15994500000005</v>
      </c>
      <c r="E593" s="42">
        <f>(8.2*2.8+2.76*1.4+2.73*0.8+0.75*(2.76+1.5))*10.764</f>
        <v>346.63309199999992</v>
      </c>
      <c r="F593" s="42">
        <f t="shared" si="90"/>
        <v>698.89819050000006</v>
      </c>
      <c r="G593" s="130"/>
      <c r="H593" s="131"/>
      <c r="I593" s="36"/>
      <c r="L593" s="132"/>
      <c r="M593" s="132"/>
      <c r="N593" s="36"/>
    </row>
    <row r="594" spans="1:14" s="37" customFormat="1" ht="15.75" customHeight="1" x14ac:dyDescent="0.35">
      <c r="A594" s="121" t="s">
        <v>192</v>
      </c>
      <c r="B594" s="122"/>
      <c r="C594" s="122"/>
      <c r="D594" s="122"/>
      <c r="E594" s="122"/>
      <c r="F594" s="122"/>
      <c r="G594" s="122"/>
      <c r="H594" s="123"/>
      <c r="J594" s="36"/>
    </row>
    <row r="595" spans="1:14" s="37" customFormat="1" ht="15.75" customHeight="1" x14ac:dyDescent="0.35">
      <c r="A595" s="124">
        <v>1</v>
      </c>
      <c r="B595" s="125"/>
      <c r="C595" s="54">
        <v>2</v>
      </c>
      <c r="D595" s="55">
        <f>(47.9+(2.88*0.75+1.5*0.75))*(10.746)</f>
        <v>550.03401000000008</v>
      </c>
      <c r="E595" s="42">
        <v>0</v>
      </c>
      <c r="F595" s="42">
        <f t="shared" ref="F595:F602" si="95">D595*(($F$336)+1)+(IF(E595&lt;101,E595,IF(E595&lt;201,E595/2,IF(E595&lt;=301,E595/3,E595/4))))</f>
        <v>825.05101500000012</v>
      </c>
      <c r="G595" s="126" t="str">
        <f>A594</f>
        <v>4th to 7th, 9th to 12th, 14th to 17th, 19th to 23rd Floor</v>
      </c>
      <c r="H595" s="127"/>
      <c r="I595" s="36"/>
      <c r="L595" s="132"/>
      <c r="M595" s="132"/>
      <c r="N595" s="36"/>
    </row>
    <row r="596" spans="1:14" s="37" customFormat="1" ht="15.75" customHeight="1" x14ac:dyDescent="0.35">
      <c r="A596" s="124">
        <f t="shared" ref="A596:A602" si="96">A595+1</f>
        <v>2</v>
      </c>
      <c r="B596" s="125"/>
      <c r="C596" s="54">
        <v>2</v>
      </c>
      <c r="D596" s="55">
        <f>(47.9+(2.88*0.75+1.5*0.75))*(10.746)</f>
        <v>550.03401000000008</v>
      </c>
      <c r="E596" s="42">
        <v>0</v>
      </c>
      <c r="F596" s="42">
        <f t="shared" si="95"/>
        <v>825.05101500000012</v>
      </c>
      <c r="G596" s="128"/>
      <c r="H596" s="129"/>
      <c r="I596" s="36"/>
      <c r="L596" s="132"/>
      <c r="M596" s="132"/>
      <c r="N596" s="36"/>
    </row>
    <row r="597" spans="1:14" s="37" customFormat="1" ht="15.75" customHeight="1" x14ac:dyDescent="0.35">
      <c r="A597" s="124">
        <f t="shared" si="96"/>
        <v>3</v>
      </c>
      <c r="B597" s="125"/>
      <c r="C597" s="54">
        <v>1</v>
      </c>
      <c r="D597" s="55">
        <f t="shared" ref="D597:D602" si="97">(34.75+(2.81*0.75+1.5*0.75))*(10.746)</f>
        <v>408.15994500000005</v>
      </c>
      <c r="E597" s="42">
        <v>0</v>
      </c>
      <c r="F597" s="42">
        <f t="shared" si="95"/>
        <v>612.23991750000005</v>
      </c>
      <c r="G597" s="128"/>
      <c r="H597" s="129"/>
      <c r="I597" s="36"/>
      <c r="L597" s="132"/>
      <c r="M597" s="132"/>
      <c r="N597" s="36"/>
    </row>
    <row r="598" spans="1:14" s="37" customFormat="1" ht="15.75" customHeight="1" x14ac:dyDescent="0.35">
      <c r="A598" s="124">
        <f t="shared" si="96"/>
        <v>4</v>
      </c>
      <c r="B598" s="125"/>
      <c r="C598" s="54">
        <v>1</v>
      </c>
      <c r="D598" s="55">
        <f t="shared" si="97"/>
        <v>408.15994500000005</v>
      </c>
      <c r="E598" s="42">
        <v>0</v>
      </c>
      <c r="F598" s="42">
        <f t="shared" si="95"/>
        <v>612.23991750000005</v>
      </c>
      <c r="G598" s="128"/>
      <c r="H598" s="129"/>
      <c r="I598" s="36"/>
      <c r="L598" s="132"/>
      <c r="M598" s="132"/>
      <c r="N598" s="36"/>
    </row>
    <row r="599" spans="1:14" s="37" customFormat="1" ht="15.75" customHeight="1" x14ac:dyDescent="0.35">
      <c r="A599" s="124">
        <f t="shared" si="96"/>
        <v>5</v>
      </c>
      <c r="B599" s="125"/>
      <c r="C599" s="54">
        <v>2</v>
      </c>
      <c r="D599" s="55">
        <f t="shared" ref="D599:D600" si="98">(47.9+(2.88*0.75+1.5*0.75))*(10.746)</f>
        <v>550.03401000000008</v>
      </c>
      <c r="E599" s="42">
        <v>0</v>
      </c>
      <c r="F599" s="42">
        <f t="shared" si="95"/>
        <v>825.05101500000012</v>
      </c>
      <c r="G599" s="128"/>
      <c r="H599" s="129"/>
      <c r="I599" s="36"/>
      <c r="L599" s="132"/>
      <c r="M599" s="132"/>
      <c r="N599" s="36"/>
    </row>
    <row r="600" spans="1:14" s="37" customFormat="1" ht="15.75" customHeight="1" x14ac:dyDescent="0.35">
      <c r="A600" s="124">
        <f t="shared" si="96"/>
        <v>6</v>
      </c>
      <c r="B600" s="125"/>
      <c r="C600" s="54">
        <v>2</v>
      </c>
      <c r="D600" s="55">
        <f t="shared" si="98"/>
        <v>550.03401000000008</v>
      </c>
      <c r="E600" s="42">
        <v>0</v>
      </c>
      <c r="F600" s="42">
        <f t="shared" si="95"/>
        <v>825.05101500000012</v>
      </c>
      <c r="G600" s="128"/>
      <c r="H600" s="129"/>
      <c r="I600" s="36"/>
      <c r="L600" s="132"/>
      <c r="M600" s="132"/>
      <c r="N600" s="36"/>
    </row>
    <row r="601" spans="1:14" s="37" customFormat="1" ht="15.75" customHeight="1" x14ac:dyDescent="0.35">
      <c r="A601" s="124">
        <f t="shared" si="96"/>
        <v>7</v>
      </c>
      <c r="B601" s="125"/>
      <c r="C601" s="54">
        <v>1</v>
      </c>
      <c r="D601" s="55">
        <f t="shared" si="97"/>
        <v>408.15994500000005</v>
      </c>
      <c r="E601" s="42">
        <v>0</v>
      </c>
      <c r="F601" s="42">
        <f t="shared" si="95"/>
        <v>612.23991750000005</v>
      </c>
      <c r="G601" s="128"/>
      <c r="H601" s="129"/>
      <c r="I601" s="36"/>
      <c r="L601" s="132"/>
      <c r="M601" s="132"/>
      <c r="N601" s="36"/>
    </row>
    <row r="602" spans="1:14" s="37" customFormat="1" ht="15.75" customHeight="1" x14ac:dyDescent="0.35">
      <c r="A602" s="124">
        <f t="shared" si="96"/>
        <v>8</v>
      </c>
      <c r="B602" s="125"/>
      <c r="C602" s="54">
        <v>1</v>
      </c>
      <c r="D602" s="55">
        <f t="shared" si="97"/>
        <v>408.15994500000005</v>
      </c>
      <c r="E602" s="42">
        <v>0</v>
      </c>
      <c r="F602" s="42">
        <f t="shared" si="95"/>
        <v>612.23991750000005</v>
      </c>
      <c r="G602" s="130"/>
      <c r="H602" s="131"/>
      <c r="I602" s="36"/>
      <c r="L602" s="132"/>
      <c r="M602" s="132"/>
      <c r="N602" s="36"/>
    </row>
    <row r="603" spans="1:14" s="37" customFormat="1" ht="15.75" customHeight="1" x14ac:dyDescent="0.35">
      <c r="A603" s="121" t="s">
        <v>194</v>
      </c>
      <c r="B603" s="122"/>
      <c r="C603" s="122"/>
      <c r="D603" s="122"/>
      <c r="E603" s="122"/>
      <c r="F603" s="122"/>
      <c r="G603" s="122"/>
      <c r="H603" s="123"/>
      <c r="J603" s="36"/>
    </row>
    <row r="604" spans="1:14" s="37" customFormat="1" ht="15.75" customHeight="1" x14ac:dyDescent="0.35">
      <c r="A604" s="124">
        <v>1</v>
      </c>
      <c r="B604" s="125"/>
      <c r="C604" s="54">
        <v>2</v>
      </c>
      <c r="D604" s="55">
        <f>(47.9+(2.88*0.75+1.5*0.75))*(10.746)</f>
        <v>550.03401000000008</v>
      </c>
      <c r="E604" s="42">
        <v>0</v>
      </c>
      <c r="F604" s="42">
        <f>D604*(($F$336)+1)+(IF(E604&lt;101,E604,IF(E604&lt;201,E604/2,IF(E604&lt;=301,E604/3,E604/4))))</f>
        <v>825.05101500000012</v>
      </c>
      <c r="G604" s="126" t="str">
        <f>A603</f>
        <v>8th, 13th &amp; 18th Floor (Part Refuge Area)</v>
      </c>
      <c r="H604" s="127"/>
      <c r="I604" s="36"/>
      <c r="L604" s="132"/>
      <c r="M604" s="132"/>
      <c r="N604" s="36"/>
    </row>
    <row r="605" spans="1:14" s="37" customFormat="1" ht="15.75" customHeight="1" x14ac:dyDescent="0.35">
      <c r="A605" s="124">
        <f t="shared" ref="A605:A611" si="99">A604+1</f>
        <v>2</v>
      </c>
      <c r="B605" s="125"/>
      <c r="C605" s="54">
        <v>2</v>
      </c>
      <c r="D605" s="55">
        <f>(47.9+(2.88*0.75+1.5*0.75))*(10.746)</f>
        <v>550.03401000000008</v>
      </c>
      <c r="E605" s="42">
        <v>0</v>
      </c>
      <c r="F605" s="42">
        <f>D605*(($F$336)+1)+(IF(E605&lt;101,E605,IF(E605&lt;201,E605/2,IF(E605&lt;=301,E605/3,E605/4))))</f>
        <v>825.05101500000012</v>
      </c>
      <c r="G605" s="128"/>
      <c r="H605" s="129"/>
      <c r="I605" s="36"/>
      <c r="L605" s="132"/>
      <c r="M605" s="132"/>
      <c r="N605" s="36"/>
    </row>
    <row r="606" spans="1:14" s="37" customFormat="1" ht="15.75" customHeight="1" x14ac:dyDescent="0.35">
      <c r="A606" s="124">
        <f t="shared" si="99"/>
        <v>3</v>
      </c>
      <c r="B606" s="125"/>
      <c r="C606" s="133" t="s">
        <v>193</v>
      </c>
      <c r="D606" s="134"/>
      <c r="E606" s="134"/>
      <c r="F606" s="135"/>
      <c r="G606" s="128"/>
      <c r="H606" s="129"/>
      <c r="I606" s="36"/>
      <c r="L606" s="132"/>
      <c r="M606" s="132"/>
      <c r="N606" s="36"/>
    </row>
    <row r="607" spans="1:14" s="37" customFormat="1" ht="15.75" customHeight="1" x14ac:dyDescent="0.35">
      <c r="A607" s="124">
        <f t="shared" si="99"/>
        <v>4</v>
      </c>
      <c r="B607" s="125"/>
      <c r="C607" s="54">
        <v>1</v>
      </c>
      <c r="D607" s="55">
        <f t="shared" ref="D607:D611" si="100">(34.75+(2.81*0.75+1.5*0.75))*(10.746)</f>
        <v>408.15994500000005</v>
      </c>
      <c r="E607" s="42">
        <v>0</v>
      </c>
      <c r="F607" s="42">
        <f>D607*(($F$336)+1)+(IF(E607&lt;101,E607,IF(E607&lt;201,E607/2,IF(E607&lt;=301,E607/3,E607/4))))</f>
        <v>612.23991750000005</v>
      </c>
      <c r="G607" s="128"/>
      <c r="H607" s="129"/>
      <c r="I607" s="36"/>
      <c r="L607" s="132"/>
      <c r="M607" s="132"/>
      <c r="N607" s="36"/>
    </row>
    <row r="608" spans="1:14" s="37" customFormat="1" ht="15.75" customHeight="1" x14ac:dyDescent="0.35">
      <c r="A608" s="124">
        <f t="shared" si="99"/>
        <v>5</v>
      </c>
      <c r="B608" s="125"/>
      <c r="C608" s="54">
        <v>2</v>
      </c>
      <c r="D608" s="55">
        <f t="shared" ref="D608:D609" si="101">(47.9+(2.88*0.75+1.5*0.75))*(10.746)</f>
        <v>550.03401000000008</v>
      </c>
      <c r="E608" s="42">
        <v>0</v>
      </c>
      <c r="F608" s="42">
        <f>D608*(($F$336)+1)+(IF(E608&lt;101,E608,IF(E608&lt;201,E608/2,IF(E608&lt;=301,E608/3,E608/4))))</f>
        <v>825.05101500000012</v>
      </c>
      <c r="G608" s="128"/>
      <c r="H608" s="129"/>
      <c r="I608" s="36"/>
      <c r="L608" s="132"/>
      <c r="M608" s="132"/>
      <c r="N608" s="36"/>
    </row>
    <row r="609" spans="1:14" s="37" customFormat="1" ht="15.75" customHeight="1" x14ac:dyDescent="0.35">
      <c r="A609" s="124">
        <f t="shared" si="99"/>
        <v>6</v>
      </c>
      <c r="B609" s="125"/>
      <c r="C609" s="54">
        <v>2</v>
      </c>
      <c r="D609" s="55">
        <f t="shared" si="101"/>
        <v>550.03401000000008</v>
      </c>
      <c r="E609" s="42">
        <v>0</v>
      </c>
      <c r="F609" s="42">
        <f>D609*(($F$336)+1)+(IF(E609&lt;101,E609,IF(E609&lt;201,E609/2,IF(E609&lt;=301,E609/3,E609/4))))</f>
        <v>825.05101500000012</v>
      </c>
      <c r="G609" s="128"/>
      <c r="H609" s="129"/>
      <c r="I609" s="36"/>
      <c r="L609" s="132"/>
      <c r="M609" s="132"/>
      <c r="N609" s="36"/>
    </row>
    <row r="610" spans="1:14" s="37" customFormat="1" ht="15.75" customHeight="1" x14ac:dyDescent="0.35">
      <c r="A610" s="124">
        <f t="shared" si="99"/>
        <v>7</v>
      </c>
      <c r="B610" s="125"/>
      <c r="C610" s="54">
        <v>1</v>
      </c>
      <c r="D610" s="55">
        <f t="shared" si="100"/>
        <v>408.15994500000005</v>
      </c>
      <c r="E610" s="42">
        <v>0</v>
      </c>
      <c r="F610" s="42">
        <f>D610*(($F$336)+1)+(IF(E610&lt;101,E610,IF(E610&lt;201,E610/2,IF(E610&lt;=301,E610/3,E610/4))))</f>
        <v>612.23991750000005</v>
      </c>
      <c r="G610" s="128"/>
      <c r="H610" s="129"/>
      <c r="I610" s="36"/>
      <c r="L610" s="132"/>
      <c r="M610" s="132"/>
      <c r="N610" s="36"/>
    </row>
    <row r="611" spans="1:14" s="37" customFormat="1" ht="15.75" customHeight="1" x14ac:dyDescent="0.35">
      <c r="A611" s="124">
        <f t="shared" si="99"/>
        <v>8</v>
      </c>
      <c r="B611" s="125"/>
      <c r="C611" s="54">
        <v>1</v>
      </c>
      <c r="D611" s="55">
        <f t="shared" si="100"/>
        <v>408.15994500000005</v>
      </c>
      <c r="E611" s="42">
        <v>0</v>
      </c>
      <c r="F611" s="42">
        <f>D611*(($F$336)+1)+(IF(E611&lt;101,E611,IF(E611&lt;201,E611/2,IF(E611&lt;=301,E611/3,E611/4))))</f>
        <v>612.23991750000005</v>
      </c>
      <c r="G611" s="130"/>
      <c r="H611" s="131"/>
      <c r="I611" s="36"/>
      <c r="L611" s="132"/>
      <c r="M611" s="132"/>
      <c r="N611" s="36"/>
    </row>
    <row r="612" spans="1:14" s="58" customFormat="1" ht="15.75" customHeight="1" x14ac:dyDescent="0.35">
      <c r="A612" s="166" t="s">
        <v>237</v>
      </c>
      <c r="B612" s="167"/>
      <c r="C612" s="167"/>
      <c r="D612" s="167"/>
      <c r="E612" s="167"/>
      <c r="F612" s="167"/>
      <c r="G612" s="167"/>
      <c r="H612" s="168"/>
      <c r="J612" s="36"/>
    </row>
    <row r="613" spans="1:14" s="58" customFormat="1" x14ac:dyDescent="0.35">
      <c r="A613" s="121" t="s">
        <v>215</v>
      </c>
      <c r="B613" s="122"/>
      <c r="C613" s="122"/>
      <c r="D613" s="122"/>
      <c r="E613" s="122"/>
      <c r="F613" s="122"/>
      <c r="G613" s="122"/>
      <c r="H613" s="123"/>
      <c r="J613" s="36"/>
    </row>
    <row r="614" spans="1:14" s="58" customFormat="1" ht="15.75" customHeight="1" x14ac:dyDescent="0.35">
      <c r="A614" s="124">
        <v>1</v>
      </c>
      <c r="B614" s="125"/>
      <c r="C614" s="133" t="s">
        <v>239</v>
      </c>
      <c r="D614" s="134"/>
      <c r="E614" s="134"/>
      <c r="F614" s="135"/>
      <c r="G614" s="126" t="str">
        <f>A613</f>
        <v>1st Floor</v>
      </c>
      <c r="H614" s="127"/>
      <c r="I614" s="36"/>
      <c r="L614" s="132"/>
      <c r="M614" s="132"/>
      <c r="N614" s="36"/>
    </row>
    <row r="615" spans="1:14" s="58" customFormat="1" ht="15.75" customHeight="1" x14ac:dyDescent="0.35">
      <c r="A615" s="124">
        <f t="shared" ref="A615:A621" si="102">A614+1</f>
        <v>2</v>
      </c>
      <c r="B615" s="125"/>
      <c r="C615" s="54">
        <v>2</v>
      </c>
      <c r="D615" s="55">
        <f>(47.9+(2.88*0.75+1.8*0.75))*(10.746)</f>
        <v>552.45186000000001</v>
      </c>
      <c r="E615" s="57">
        <v>0</v>
      </c>
      <c r="F615" s="59">
        <f>D615*(($F$336)+1)+(IF(E615&lt;101,E615,IF(E615&lt;201,E615/2,IF(E615&lt;=301,E615/3,E615/4))))</f>
        <v>828.67778999999996</v>
      </c>
      <c r="G615" s="128"/>
      <c r="H615" s="129"/>
      <c r="I615" s="36"/>
      <c r="L615" s="132"/>
      <c r="M615" s="132"/>
      <c r="N615" s="36"/>
    </row>
    <row r="616" spans="1:14" s="58" customFormat="1" x14ac:dyDescent="0.35">
      <c r="A616" s="124">
        <f t="shared" si="102"/>
        <v>3</v>
      </c>
      <c r="B616" s="125"/>
      <c r="C616" s="145" t="s">
        <v>229</v>
      </c>
      <c r="D616" s="146"/>
      <c r="E616" s="146"/>
      <c r="F616" s="147"/>
      <c r="G616" s="128"/>
      <c r="H616" s="129"/>
      <c r="I616" s="36"/>
      <c r="L616" s="132"/>
      <c r="M616" s="132"/>
      <c r="N616" s="36"/>
    </row>
    <row r="617" spans="1:14" s="58" customFormat="1" x14ac:dyDescent="0.35">
      <c r="A617" s="124">
        <f t="shared" si="102"/>
        <v>4</v>
      </c>
      <c r="B617" s="125"/>
      <c r="C617" s="148"/>
      <c r="D617" s="149"/>
      <c r="E617" s="149"/>
      <c r="F617" s="150"/>
      <c r="G617" s="128"/>
      <c r="H617" s="129"/>
      <c r="I617" s="36"/>
      <c r="L617" s="132"/>
      <c r="M617" s="132"/>
      <c r="N617" s="36"/>
    </row>
    <row r="618" spans="1:14" s="58" customFormat="1" ht="15.75" customHeight="1" x14ac:dyDescent="0.35">
      <c r="A618" s="124">
        <f t="shared" si="102"/>
        <v>5</v>
      </c>
      <c r="B618" s="125"/>
      <c r="C618" s="54">
        <v>2</v>
      </c>
      <c r="D618" s="55">
        <f>(47.9+(2.88*0.75+1.8*0.75))*(10.746)</f>
        <v>552.45186000000001</v>
      </c>
      <c r="E618" s="57">
        <v>0</v>
      </c>
      <c r="F618" s="59">
        <f>D618*(($F$336)+1)+(IF(E618&lt;101,E618,IF(E618&lt;201,E618/2,IF(E618&lt;=301,E618/3,E618/4))))</f>
        <v>828.67778999999996</v>
      </c>
      <c r="G618" s="128"/>
      <c r="H618" s="129"/>
      <c r="I618" s="36"/>
      <c r="L618" s="132"/>
      <c r="M618" s="132"/>
      <c r="N618" s="36"/>
    </row>
    <row r="619" spans="1:14" s="58" customFormat="1" x14ac:dyDescent="0.35">
      <c r="A619" s="124">
        <f t="shared" si="102"/>
        <v>6</v>
      </c>
      <c r="B619" s="125"/>
      <c r="C619" s="145" t="s">
        <v>239</v>
      </c>
      <c r="D619" s="146"/>
      <c r="E619" s="146"/>
      <c r="F619" s="147"/>
      <c r="G619" s="128"/>
      <c r="H619" s="129"/>
      <c r="I619" s="36"/>
      <c r="L619" s="132"/>
      <c r="M619" s="132"/>
      <c r="N619" s="36"/>
    </row>
    <row r="620" spans="1:14" s="58" customFormat="1" x14ac:dyDescent="0.35">
      <c r="A620" s="124">
        <f t="shared" si="102"/>
        <v>7</v>
      </c>
      <c r="B620" s="125"/>
      <c r="C620" s="242"/>
      <c r="D620" s="243"/>
      <c r="E620" s="243"/>
      <c r="F620" s="244"/>
      <c r="G620" s="128"/>
      <c r="H620" s="129"/>
      <c r="I620" s="36"/>
      <c r="L620" s="132"/>
      <c r="M620" s="132"/>
      <c r="N620" s="36"/>
    </row>
    <row r="621" spans="1:14" s="58" customFormat="1" x14ac:dyDescent="0.35">
      <c r="A621" s="124">
        <f t="shared" si="102"/>
        <v>8</v>
      </c>
      <c r="B621" s="125"/>
      <c r="C621" s="148"/>
      <c r="D621" s="149"/>
      <c r="E621" s="149"/>
      <c r="F621" s="150"/>
      <c r="G621" s="130"/>
      <c r="H621" s="131"/>
      <c r="I621" s="36"/>
      <c r="L621" s="132"/>
      <c r="M621" s="132"/>
      <c r="N621" s="36"/>
    </row>
    <row r="622" spans="1:14" s="58" customFormat="1" ht="15.75" customHeight="1" x14ac:dyDescent="0.35">
      <c r="A622" s="121" t="s">
        <v>226</v>
      </c>
      <c r="B622" s="122"/>
      <c r="C622" s="122"/>
      <c r="D622" s="122"/>
      <c r="E622" s="122"/>
      <c r="F622" s="122"/>
      <c r="G622" s="122"/>
      <c r="H622" s="123"/>
      <c r="J622" s="36"/>
    </row>
    <row r="623" spans="1:14" s="58" customFormat="1" ht="15.75" customHeight="1" x14ac:dyDescent="0.35">
      <c r="A623" s="124">
        <v>1</v>
      </c>
      <c r="B623" s="125"/>
      <c r="C623" s="54">
        <v>2</v>
      </c>
      <c r="D623" s="55">
        <f>(47.9+(2.88*0.75+1.8*0.75))*(10.746)</f>
        <v>552.45186000000001</v>
      </c>
      <c r="E623" s="57">
        <v>0</v>
      </c>
      <c r="F623" s="59">
        <f t="shared" ref="F623:F630" si="103">D623*(($F$336)+1)+(IF(E623&lt;101,E623,IF(E623&lt;201,E623/2,IF(E623&lt;=301,E623/3,E623/4))))</f>
        <v>828.67778999999996</v>
      </c>
      <c r="G623" s="126" t="str">
        <f>A622</f>
        <v>2nd to 7th, 9th to 12th, 14th to 17th, 19th to 23rd Floor</v>
      </c>
      <c r="H623" s="127"/>
      <c r="I623" s="36"/>
      <c r="L623" s="132"/>
      <c r="M623" s="132"/>
      <c r="N623" s="36"/>
    </row>
    <row r="624" spans="1:14" s="58" customFormat="1" ht="15.75" customHeight="1" x14ac:dyDescent="0.35">
      <c r="A624" s="124">
        <f t="shared" ref="A624:A630" si="104">A623+1</f>
        <v>2</v>
      </c>
      <c r="B624" s="125"/>
      <c r="C624" s="54">
        <v>2</v>
      </c>
      <c r="D624" s="55">
        <f>(47.9+(2.88*0.75+1.8*0.75))*(10.746)</f>
        <v>552.45186000000001</v>
      </c>
      <c r="E624" s="57">
        <v>0</v>
      </c>
      <c r="F624" s="59">
        <f t="shared" si="103"/>
        <v>828.67778999999996</v>
      </c>
      <c r="G624" s="128"/>
      <c r="H624" s="129"/>
      <c r="I624" s="36"/>
      <c r="J624" s="58">
        <f>2+19*8+3*7</f>
        <v>175</v>
      </c>
      <c r="L624" s="132"/>
      <c r="M624" s="132"/>
      <c r="N624" s="36"/>
    </row>
    <row r="625" spans="1:14" s="58" customFormat="1" x14ac:dyDescent="0.35">
      <c r="A625" s="124">
        <f t="shared" si="104"/>
        <v>3</v>
      </c>
      <c r="B625" s="125"/>
      <c r="C625" s="54">
        <v>1</v>
      </c>
      <c r="D625" s="55">
        <f>(34.75+(2.81*0.75+1.8*0.75))*(10.746)</f>
        <v>410.57779500000004</v>
      </c>
      <c r="E625" s="57">
        <v>0</v>
      </c>
      <c r="F625" s="59">
        <f t="shared" si="103"/>
        <v>615.8666925</v>
      </c>
      <c r="G625" s="128"/>
      <c r="H625" s="129"/>
      <c r="I625" s="36"/>
      <c r="L625" s="132"/>
      <c r="M625" s="132"/>
      <c r="N625" s="36"/>
    </row>
    <row r="626" spans="1:14" s="58" customFormat="1" x14ac:dyDescent="0.35">
      <c r="A626" s="124">
        <f t="shared" si="104"/>
        <v>4</v>
      </c>
      <c r="B626" s="125"/>
      <c r="C626" s="54">
        <v>1</v>
      </c>
      <c r="D626" s="55">
        <f>(34.75+(2.81*0.75+1.8*0.75))*(10.746)</f>
        <v>410.57779500000004</v>
      </c>
      <c r="E626" s="57">
        <v>0</v>
      </c>
      <c r="F626" s="59">
        <f t="shared" si="103"/>
        <v>615.8666925</v>
      </c>
      <c r="G626" s="128"/>
      <c r="H626" s="129"/>
      <c r="I626" s="36"/>
      <c r="L626" s="132"/>
      <c r="M626" s="132"/>
      <c r="N626" s="36"/>
    </row>
    <row r="627" spans="1:14" s="58" customFormat="1" ht="15.75" customHeight="1" x14ac:dyDescent="0.35">
      <c r="A627" s="124">
        <f t="shared" si="104"/>
        <v>5</v>
      </c>
      <c r="B627" s="125"/>
      <c r="C627" s="54">
        <v>2</v>
      </c>
      <c r="D627" s="55">
        <f>(47.9+(2.88*0.75+1.8*0.75))*(10.746)</f>
        <v>552.45186000000001</v>
      </c>
      <c r="E627" s="57">
        <v>0</v>
      </c>
      <c r="F627" s="59">
        <f t="shared" si="103"/>
        <v>828.67778999999996</v>
      </c>
      <c r="G627" s="128"/>
      <c r="H627" s="129"/>
      <c r="I627" s="36"/>
      <c r="L627" s="132"/>
      <c r="M627" s="132"/>
      <c r="N627" s="36"/>
    </row>
    <row r="628" spans="1:14" s="58" customFormat="1" x14ac:dyDescent="0.35">
      <c r="A628" s="124">
        <f t="shared" si="104"/>
        <v>6</v>
      </c>
      <c r="B628" s="125"/>
      <c r="C628" s="54">
        <v>2</v>
      </c>
      <c r="D628" s="55">
        <f>(47.9+(2.88*0.75+1.8*0.75))*(10.746)</f>
        <v>552.45186000000001</v>
      </c>
      <c r="E628" s="57">
        <v>0</v>
      </c>
      <c r="F628" s="59">
        <f t="shared" si="103"/>
        <v>828.67778999999996</v>
      </c>
      <c r="G628" s="128"/>
      <c r="H628" s="129"/>
      <c r="I628" s="36"/>
      <c r="L628" s="132"/>
      <c r="M628" s="132"/>
      <c r="N628" s="36"/>
    </row>
    <row r="629" spans="1:14" s="58" customFormat="1" x14ac:dyDescent="0.35">
      <c r="A629" s="124">
        <f t="shared" si="104"/>
        <v>7</v>
      </c>
      <c r="B629" s="125"/>
      <c r="C629" s="54">
        <v>1</v>
      </c>
      <c r="D629" s="55">
        <f>(34.75+(2.81*0.75+1.8*0.75))*(10.746)</f>
        <v>410.57779500000004</v>
      </c>
      <c r="E629" s="59">
        <v>0</v>
      </c>
      <c r="F629" s="59">
        <f t="shared" si="103"/>
        <v>615.8666925</v>
      </c>
      <c r="G629" s="128"/>
      <c r="H629" s="129"/>
      <c r="I629" s="36"/>
      <c r="L629" s="132"/>
      <c r="M629" s="132"/>
      <c r="N629" s="36"/>
    </row>
    <row r="630" spans="1:14" s="58" customFormat="1" x14ac:dyDescent="0.35">
      <c r="A630" s="124">
        <f t="shared" si="104"/>
        <v>8</v>
      </c>
      <c r="B630" s="125"/>
      <c r="C630" s="54">
        <v>1</v>
      </c>
      <c r="D630" s="55">
        <f>(34.75+(2.81*0.75+1.8*0.75))*(10.746)</f>
        <v>410.57779500000004</v>
      </c>
      <c r="E630" s="59">
        <v>0</v>
      </c>
      <c r="F630" s="59">
        <f t="shared" si="103"/>
        <v>615.8666925</v>
      </c>
      <c r="G630" s="130"/>
      <c r="H630" s="131"/>
      <c r="I630" s="36"/>
      <c r="L630" s="132"/>
      <c r="M630" s="132"/>
      <c r="N630" s="36"/>
    </row>
    <row r="631" spans="1:14" s="58" customFormat="1" ht="15.75" customHeight="1" x14ac:dyDescent="0.35">
      <c r="A631" s="121" t="s">
        <v>194</v>
      </c>
      <c r="B631" s="122"/>
      <c r="C631" s="122"/>
      <c r="D631" s="122"/>
      <c r="E631" s="122"/>
      <c r="F631" s="122"/>
      <c r="G631" s="122"/>
      <c r="H631" s="123"/>
      <c r="J631" s="36"/>
    </row>
    <row r="632" spans="1:14" s="58" customFormat="1" ht="15.75" customHeight="1" x14ac:dyDescent="0.35">
      <c r="A632" s="124">
        <v>1</v>
      </c>
      <c r="B632" s="125"/>
      <c r="C632" s="54">
        <v>2</v>
      </c>
      <c r="D632" s="55">
        <f>(47.9+(2.88*0.75+1.8*0.75))*(10.746)</f>
        <v>552.45186000000001</v>
      </c>
      <c r="E632" s="59">
        <v>0</v>
      </c>
      <c r="F632" s="59">
        <f>D632*(($F$336)+1)+(IF(E632&lt;101,E632,IF(E632&lt;201,E632/2,IF(E632&lt;=301,E632/3,E632/4))))</f>
        <v>828.67778999999996</v>
      </c>
      <c r="G632" s="126" t="str">
        <f>A631</f>
        <v>8th, 13th &amp; 18th Floor (Part Refuge Area)</v>
      </c>
      <c r="H632" s="127"/>
      <c r="I632" s="36"/>
      <c r="L632" s="132"/>
      <c r="M632" s="132"/>
      <c r="N632" s="36"/>
    </row>
    <row r="633" spans="1:14" s="58" customFormat="1" ht="15.75" customHeight="1" x14ac:dyDescent="0.35">
      <c r="A633" s="124">
        <f t="shared" ref="A633:A639" si="105">A632+1</f>
        <v>2</v>
      </c>
      <c r="B633" s="125"/>
      <c r="C633" s="54">
        <v>2</v>
      </c>
      <c r="D633" s="55">
        <f>(47.9+(2.88*0.75+1.8*0.75))*(10.746)</f>
        <v>552.45186000000001</v>
      </c>
      <c r="E633" s="59">
        <v>0</v>
      </c>
      <c r="F633" s="59">
        <f>D633*(($F$336)+1)+(IF(E633&lt;101,E633,IF(E633&lt;201,E633/2,IF(E633&lt;=301,E633/3,E633/4))))</f>
        <v>828.67778999999996</v>
      </c>
      <c r="G633" s="128"/>
      <c r="H633" s="129"/>
      <c r="I633" s="36"/>
      <c r="L633" s="132"/>
      <c r="M633" s="132"/>
      <c r="N633" s="36"/>
    </row>
    <row r="634" spans="1:14" s="58" customFormat="1" ht="15.75" customHeight="1" x14ac:dyDescent="0.35">
      <c r="A634" s="124">
        <f t="shared" si="105"/>
        <v>3</v>
      </c>
      <c r="B634" s="125"/>
      <c r="C634" s="54">
        <v>1</v>
      </c>
      <c r="D634" s="55">
        <f>(34.75+(2.81*0.75+1.8*0.75))*(10.746)</f>
        <v>410.57779500000004</v>
      </c>
      <c r="E634" s="59">
        <v>0</v>
      </c>
      <c r="F634" s="59">
        <f>D634*(($F$336)+1)+(IF(E634&lt;101,E634,IF(E634&lt;201,E634/2,IF(E634&lt;=301,E634/3,E634/4))))</f>
        <v>615.8666925</v>
      </c>
      <c r="G634" s="128"/>
      <c r="H634" s="129"/>
      <c r="I634" s="36"/>
      <c r="L634" s="132"/>
      <c r="M634" s="132"/>
      <c r="N634" s="36"/>
    </row>
    <row r="635" spans="1:14" s="58" customFormat="1" ht="15.75" customHeight="1" x14ac:dyDescent="0.35">
      <c r="A635" s="124">
        <f t="shared" si="105"/>
        <v>4</v>
      </c>
      <c r="B635" s="125"/>
      <c r="C635" s="133" t="s">
        <v>193</v>
      </c>
      <c r="D635" s="134"/>
      <c r="E635" s="134"/>
      <c r="F635" s="135"/>
      <c r="G635" s="128"/>
      <c r="H635" s="129"/>
      <c r="I635" s="36"/>
      <c r="L635" s="132"/>
      <c r="M635" s="132"/>
      <c r="N635" s="36"/>
    </row>
    <row r="636" spans="1:14" s="58" customFormat="1" ht="15.75" customHeight="1" x14ac:dyDescent="0.35">
      <c r="A636" s="124">
        <f t="shared" si="105"/>
        <v>5</v>
      </c>
      <c r="B636" s="125"/>
      <c r="C636" s="54">
        <v>2</v>
      </c>
      <c r="D636" s="55">
        <f>(47.9+(2.88*0.75+1.8*0.75))*(10.746)</f>
        <v>552.45186000000001</v>
      </c>
      <c r="E636" s="59">
        <v>0</v>
      </c>
      <c r="F636" s="59">
        <f>D636*(($F$336)+1)+(IF(E636&lt;101,E636,IF(E636&lt;201,E636/2,IF(E636&lt;=301,E636/3,E636/4))))</f>
        <v>828.67778999999996</v>
      </c>
      <c r="G636" s="128"/>
      <c r="H636" s="129"/>
      <c r="I636" s="36"/>
      <c r="L636" s="132"/>
      <c r="M636" s="132"/>
      <c r="N636" s="36"/>
    </row>
    <row r="637" spans="1:14" s="58" customFormat="1" ht="15.75" customHeight="1" x14ac:dyDescent="0.35">
      <c r="A637" s="124">
        <f t="shared" si="105"/>
        <v>6</v>
      </c>
      <c r="B637" s="125"/>
      <c r="C637" s="54">
        <v>2</v>
      </c>
      <c r="D637" s="55">
        <f>(47.9+(2.88*0.75+1.8*0.75))*(10.746)</f>
        <v>552.45186000000001</v>
      </c>
      <c r="E637" s="59">
        <v>0</v>
      </c>
      <c r="F637" s="59">
        <f>D637*(($F$336)+1)+(IF(E637&lt;101,E637,IF(E637&lt;201,E637/2,IF(E637&lt;=301,E637/3,E637/4))))</f>
        <v>828.67778999999996</v>
      </c>
      <c r="G637" s="128"/>
      <c r="H637" s="129"/>
      <c r="I637" s="36"/>
      <c r="L637" s="132"/>
      <c r="M637" s="132"/>
      <c r="N637" s="36"/>
    </row>
    <row r="638" spans="1:14" s="58" customFormat="1" ht="15.75" customHeight="1" x14ac:dyDescent="0.35">
      <c r="A638" s="124">
        <f t="shared" si="105"/>
        <v>7</v>
      </c>
      <c r="B638" s="125"/>
      <c r="C638" s="54">
        <v>1</v>
      </c>
      <c r="D638" s="55">
        <f>(34.75+(2.81*0.75+1.8*0.75))*(10.746)</f>
        <v>410.57779500000004</v>
      </c>
      <c r="E638" s="59">
        <v>0</v>
      </c>
      <c r="F638" s="59">
        <f>D638*(($F$336)+1)+(IF(E638&lt;101,E638,IF(E638&lt;201,E638/2,IF(E638&lt;=301,E638/3,E638/4))))</f>
        <v>615.8666925</v>
      </c>
      <c r="G638" s="128"/>
      <c r="H638" s="129"/>
      <c r="I638" s="36"/>
      <c r="L638" s="132"/>
      <c r="M638" s="132"/>
      <c r="N638" s="36"/>
    </row>
    <row r="639" spans="1:14" s="58" customFormat="1" ht="15.75" customHeight="1" x14ac:dyDescent="0.35">
      <c r="A639" s="124">
        <f t="shared" si="105"/>
        <v>8</v>
      </c>
      <c r="B639" s="125"/>
      <c r="C639" s="54">
        <v>1</v>
      </c>
      <c r="D639" s="55">
        <f>(34.75+(2.81*0.75+1.8*0.75))*(10.746)</f>
        <v>410.57779500000004</v>
      </c>
      <c r="E639" s="59">
        <v>0</v>
      </c>
      <c r="F639" s="59">
        <f>D639*(($F$336)+1)+(IF(E639&lt;101,E639,IF(E639&lt;201,E639/2,IF(E639&lt;=301,E639/3,E639/4))))</f>
        <v>615.8666925</v>
      </c>
      <c r="G639" s="130"/>
      <c r="H639" s="131"/>
      <c r="I639" s="36"/>
      <c r="L639" s="132"/>
      <c r="M639" s="132"/>
      <c r="N639" s="36"/>
    </row>
    <row r="640" spans="1:14" s="35" customFormat="1" x14ac:dyDescent="0.35">
      <c r="A640" s="165" t="s">
        <v>69</v>
      </c>
      <c r="B640" s="165"/>
      <c r="C640" s="165"/>
      <c r="D640" s="165"/>
      <c r="E640" s="165"/>
      <c r="F640" s="165"/>
      <c r="G640" s="165"/>
      <c r="H640" s="165"/>
    </row>
    <row r="641" spans="1:8" s="35" customFormat="1" ht="33.5" customHeight="1" x14ac:dyDescent="0.35">
      <c r="A641" s="46" t="s">
        <v>156</v>
      </c>
      <c r="B641" s="144" t="s">
        <v>264</v>
      </c>
      <c r="C641" s="144"/>
      <c r="D641" s="144"/>
      <c r="E641" s="144"/>
      <c r="F641" s="144"/>
      <c r="G641" s="144"/>
      <c r="H641" s="144"/>
    </row>
    <row r="642" spans="1:8" s="35" customFormat="1" hidden="1" x14ac:dyDescent="0.35">
      <c r="A642" s="46" t="s">
        <v>156</v>
      </c>
      <c r="B642" s="144" t="s">
        <v>232</v>
      </c>
      <c r="C642" s="144"/>
      <c r="D642" s="144"/>
      <c r="E642" s="144"/>
      <c r="F642" s="144"/>
      <c r="G642" s="144"/>
      <c r="H642" s="144"/>
    </row>
    <row r="643" spans="1:8" s="35" customFormat="1" x14ac:dyDescent="0.35">
      <c r="A643" s="46" t="s">
        <v>156</v>
      </c>
      <c r="B643" s="144" t="str">
        <f>(IF(F335="Saleable area Loading :","We have considered Saleable area of Flats as per our Calculation.","We considered Saleable area of Flat as per Builder area Sheet."))</f>
        <v>We have considered Saleable area of Flats as per our Calculation.</v>
      </c>
      <c r="C643" s="144"/>
      <c r="D643" s="144"/>
      <c r="E643" s="144"/>
      <c r="F643" s="144"/>
      <c r="G643" s="144"/>
      <c r="H643" s="144"/>
    </row>
    <row r="644" spans="1:8" s="35" customFormat="1" x14ac:dyDescent="0.35">
      <c r="A644" s="46" t="s">
        <v>156</v>
      </c>
      <c r="B644" s="144" t="str">
        <f>(IF(F218="Saleable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644" s="144"/>
      <c r="D644" s="144"/>
      <c r="E644" s="144"/>
      <c r="F644" s="144"/>
      <c r="G644" s="144"/>
      <c r="H644" s="144"/>
    </row>
    <row r="645" spans="1:8" s="35" customFormat="1" x14ac:dyDescent="0.35">
      <c r="A645" s="46" t="s">
        <v>156</v>
      </c>
      <c r="B645" s="156" t="s">
        <v>126</v>
      </c>
      <c r="C645" s="156"/>
      <c r="D645" s="156"/>
      <c r="E645" s="156"/>
      <c r="F645" s="156"/>
      <c r="G645" s="156"/>
      <c r="H645" s="156"/>
    </row>
    <row r="646" spans="1:8" s="35" customFormat="1" x14ac:dyDescent="0.35">
      <c r="A646" s="46" t="s">
        <v>156</v>
      </c>
      <c r="B646" s="156" t="s">
        <v>201</v>
      </c>
      <c r="C646" s="156"/>
      <c r="D646" s="156"/>
      <c r="E646" s="156"/>
      <c r="F646" s="156"/>
      <c r="G646" s="156"/>
      <c r="H646" s="156"/>
    </row>
    <row r="647" spans="1:8" s="35" customFormat="1" x14ac:dyDescent="0.35">
      <c r="A647" s="46" t="s">
        <v>156</v>
      </c>
      <c r="B647" s="156" t="s">
        <v>155</v>
      </c>
      <c r="C647" s="156"/>
      <c r="D647" s="156"/>
      <c r="E647" s="156"/>
      <c r="F647" s="156"/>
      <c r="G647" s="156"/>
      <c r="H647" s="156"/>
    </row>
    <row r="648" spans="1:8" s="35" customFormat="1" x14ac:dyDescent="0.35">
      <c r="A648" s="46" t="s">
        <v>156</v>
      </c>
      <c r="B648" s="156" t="s">
        <v>127</v>
      </c>
      <c r="C648" s="156"/>
      <c r="D648" s="156"/>
      <c r="E648" s="156"/>
      <c r="F648" s="156"/>
      <c r="G648" s="156"/>
      <c r="H648" s="156"/>
    </row>
    <row r="649" spans="1:8" s="35" customFormat="1" ht="34.5" customHeight="1" x14ac:dyDescent="0.35">
      <c r="A649" s="46" t="s">
        <v>156</v>
      </c>
      <c r="B649" s="156" t="s">
        <v>157</v>
      </c>
      <c r="C649" s="156"/>
      <c r="D649" s="156"/>
      <c r="E649" s="156"/>
      <c r="F649" s="156"/>
      <c r="G649" s="156"/>
      <c r="H649" s="156"/>
    </row>
    <row r="650" spans="1:8" s="35" customFormat="1" x14ac:dyDescent="0.35">
      <c r="A650" s="46" t="s">
        <v>156</v>
      </c>
      <c r="B650" s="234" t="s">
        <v>128</v>
      </c>
      <c r="C650" s="235"/>
      <c r="D650" s="235"/>
      <c r="E650" s="235"/>
      <c r="F650" s="235"/>
      <c r="G650" s="235"/>
      <c r="H650" s="236"/>
    </row>
    <row r="651" spans="1:8" s="35" customFormat="1" x14ac:dyDescent="0.35">
      <c r="A651" s="46" t="s">
        <v>156</v>
      </c>
      <c r="B651" s="116" t="s">
        <v>207</v>
      </c>
      <c r="C651" s="117"/>
      <c r="D651" s="117"/>
      <c r="E651" s="117"/>
      <c r="F651" s="117"/>
      <c r="G651" s="117"/>
      <c r="H651" s="118"/>
    </row>
    <row r="652" spans="1:8" s="35" customFormat="1" x14ac:dyDescent="0.35">
      <c r="A652" s="46" t="s">
        <v>156</v>
      </c>
      <c r="B652" s="116" t="s">
        <v>222</v>
      </c>
      <c r="C652" s="117"/>
      <c r="D652" s="117"/>
      <c r="E652" s="117"/>
      <c r="F652" s="117"/>
      <c r="G652" s="117"/>
      <c r="H652" s="118"/>
    </row>
    <row r="653" spans="1:8" s="35" customFormat="1" x14ac:dyDescent="0.35">
      <c r="A653" s="46" t="s">
        <v>156</v>
      </c>
      <c r="B653" s="116" t="s">
        <v>230</v>
      </c>
      <c r="C653" s="117"/>
      <c r="D653" s="117"/>
      <c r="E653" s="117"/>
      <c r="F653" s="117"/>
      <c r="G653" s="117"/>
      <c r="H653" s="118"/>
    </row>
    <row r="654" spans="1:8" s="35" customFormat="1" x14ac:dyDescent="0.35">
      <c r="A654" s="46" t="s">
        <v>156</v>
      </c>
      <c r="B654" s="116" t="s">
        <v>238</v>
      </c>
      <c r="C654" s="117"/>
      <c r="D654" s="117"/>
      <c r="E654" s="117"/>
      <c r="F654" s="117"/>
      <c r="G654" s="117"/>
      <c r="H654" s="118"/>
    </row>
    <row r="655" spans="1:8" s="35" customFormat="1" x14ac:dyDescent="0.35">
      <c r="A655" s="46" t="s">
        <v>156</v>
      </c>
      <c r="B655" s="116" t="s">
        <v>246</v>
      </c>
      <c r="C655" s="117"/>
      <c r="D655" s="117"/>
      <c r="E655" s="117"/>
      <c r="F655" s="117"/>
      <c r="G655" s="117"/>
      <c r="H655" s="118"/>
    </row>
    <row r="656" spans="1:8" x14ac:dyDescent="0.35">
      <c r="A656" s="209" t="s">
        <v>62</v>
      </c>
      <c r="B656" s="209"/>
      <c r="C656" s="209"/>
      <c r="D656" s="209"/>
      <c r="E656" s="209"/>
      <c r="F656" s="209"/>
      <c r="G656" s="209"/>
      <c r="H656" s="209"/>
    </row>
    <row r="657" spans="1:8" x14ac:dyDescent="0.35">
      <c r="A657" s="136" t="s">
        <v>63</v>
      </c>
      <c r="B657" s="136"/>
      <c r="C657" s="136"/>
      <c r="D657" s="136"/>
      <c r="E657" s="136"/>
      <c r="F657" s="136"/>
      <c r="G657" s="136"/>
      <c r="H657" s="136"/>
    </row>
    <row r="658" spans="1:8" ht="15.75" customHeight="1" x14ac:dyDescent="0.35">
      <c r="A658" s="237" t="s">
        <v>64</v>
      </c>
      <c r="B658" s="237"/>
      <c r="C658" s="237"/>
      <c r="D658" s="237"/>
      <c r="E658" s="237"/>
      <c r="F658" s="237"/>
      <c r="G658" s="237"/>
      <c r="H658" s="237"/>
    </row>
    <row r="659" spans="1:8" x14ac:dyDescent="0.35">
      <c r="A659" s="136" t="s">
        <v>65</v>
      </c>
      <c r="B659" s="136"/>
      <c r="C659" s="136"/>
      <c r="D659" s="136"/>
      <c r="E659" s="136"/>
      <c r="F659" s="136"/>
      <c r="G659" s="136"/>
      <c r="H659" s="136"/>
    </row>
    <row r="660" spans="1:8" x14ac:dyDescent="0.35">
      <c r="A660" s="136" t="s">
        <v>66</v>
      </c>
      <c r="B660" s="136"/>
      <c r="C660" s="136"/>
      <c r="D660" s="136"/>
      <c r="E660" s="136"/>
      <c r="F660" s="136"/>
      <c r="G660" s="136"/>
      <c r="H660" s="136"/>
    </row>
    <row r="661" spans="1:8" x14ac:dyDescent="0.35">
      <c r="A661" s="136" t="s">
        <v>129</v>
      </c>
      <c r="B661" s="136"/>
      <c r="C661" s="136"/>
      <c r="D661" s="136"/>
      <c r="E661" s="136"/>
      <c r="F661" s="136"/>
      <c r="G661" s="136"/>
      <c r="H661" s="136"/>
    </row>
    <row r="662" spans="1:8" ht="35.25" customHeight="1" x14ac:dyDescent="0.35">
      <c r="A662" s="180" t="s">
        <v>130</v>
      </c>
      <c r="B662" s="180"/>
      <c r="C662" s="180"/>
      <c r="D662" s="180"/>
      <c r="E662" s="180"/>
      <c r="F662" s="180"/>
      <c r="G662" s="180"/>
      <c r="H662" s="180"/>
    </row>
    <row r="663" spans="1:8" x14ac:dyDescent="0.35">
      <c r="A663" s="233" t="s">
        <v>78</v>
      </c>
      <c r="B663" s="233"/>
      <c r="C663" s="233" t="s">
        <v>202</v>
      </c>
      <c r="D663" s="233"/>
      <c r="E663" s="233" t="s">
        <v>106</v>
      </c>
      <c r="F663" s="233"/>
      <c r="G663" s="233" t="s">
        <v>262</v>
      </c>
      <c r="H663" s="233"/>
    </row>
    <row r="664" spans="1:8" x14ac:dyDescent="0.35">
      <c r="A664" s="232" t="s">
        <v>80</v>
      </c>
      <c r="B664" s="232"/>
      <c r="C664" s="232"/>
      <c r="D664" s="232"/>
      <c r="E664" s="232"/>
      <c r="F664" s="232"/>
      <c r="G664" s="232"/>
      <c r="H664" s="232"/>
    </row>
    <row r="665" spans="1:8" x14ac:dyDescent="0.35">
      <c r="A665" s="232"/>
      <c r="B665" s="232"/>
      <c r="C665" s="232"/>
      <c r="D665" s="232"/>
      <c r="E665" s="232"/>
      <c r="F665" s="232"/>
      <c r="G665" s="232"/>
      <c r="H665" s="232"/>
    </row>
    <row r="666" spans="1:8" x14ac:dyDescent="0.35">
      <c r="A666" s="232"/>
      <c r="B666" s="232"/>
      <c r="C666" s="232"/>
      <c r="D666" s="232"/>
      <c r="E666" s="232"/>
      <c r="F666" s="232"/>
      <c r="G666" s="232"/>
      <c r="H666" s="232"/>
    </row>
    <row r="667" spans="1:8" x14ac:dyDescent="0.35">
      <c r="A667" s="232"/>
      <c r="B667" s="232"/>
      <c r="C667" s="232"/>
      <c r="D667" s="232"/>
      <c r="E667" s="232"/>
      <c r="F667" s="232"/>
      <c r="G667" s="232"/>
      <c r="H667" s="232"/>
    </row>
    <row r="668" spans="1:8" x14ac:dyDescent="0.35">
      <c r="A668" s="38" t="s">
        <v>67</v>
      </c>
      <c r="B668" s="39"/>
      <c r="C668" s="39"/>
      <c r="D668" s="38" t="str">
        <f>E8</f>
        <v>Sunteck One World 2 to 10</v>
      </c>
      <c r="F668" s="39"/>
      <c r="G668" s="39"/>
      <c r="H668" s="39"/>
    </row>
    <row r="669" spans="1:8" x14ac:dyDescent="0.35">
      <c r="A669" s="39"/>
      <c r="B669" s="39"/>
      <c r="C669" s="39"/>
      <c r="D669" s="39"/>
      <c r="E669" s="39"/>
      <c r="F669" s="39"/>
      <c r="G669" s="39"/>
      <c r="H669" s="39"/>
    </row>
    <row r="670" spans="1:8" x14ac:dyDescent="0.35">
      <c r="A670" s="39"/>
      <c r="B670" s="39"/>
      <c r="C670" s="39"/>
      <c r="D670" s="39"/>
      <c r="E670" s="39"/>
      <c r="F670" s="39"/>
      <c r="G670" s="39"/>
      <c r="H670" s="39"/>
    </row>
    <row r="671" spans="1:8" ht="15" customHeight="1" x14ac:dyDescent="0.35"/>
    <row r="713" spans="1:1" x14ac:dyDescent="0.35">
      <c r="A713" s="41" t="s">
        <v>68</v>
      </c>
    </row>
  </sheetData>
  <mergeCells count="1265">
    <mergeCell ref="I10:L10"/>
    <mergeCell ref="A128:B128"/>
    <mergeCell ref="E128:F137"/>
    <mergeCell ref="G128:H137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86:B86"/>
    <mergeCell ref="E86:F95"/>
    <mergeCell ref="G86:H95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124:B124"/>
    <mergeCell ref="C124:H124"/>
    <mergeCell ref="A126:B126"/>
    <mergeCell ref="C126:H126"/>
    <mergeCell ref="A127:B127"/>
    <mergeCell ref="E127:F127"/>
    <mergeCell ref="G127:H127"/>
    <mergeCell ref="B654:H654"/>
    <mergeCell ref="C201:D201"/>
    <mergeCell ref="E201:F201"/>
    <mergeCell ref="G201:H201"/>
    <mergeCell ref="C213:D213"/>
    <mergeCell ref="E213:F213"/>
    <mergeCell ref="G213:H213"/>
    <mergeCell ref="A614:B614"/>
    <mergeCell ref="G614:H621"/>
    <mergeCell ref="L614:M614"/>
    <mergeCell ref="A615:B615"/>
    <mergeCell ref="L615:M615"/>
    <mergeCell ref="A616:B616"/>
    <mergeCell ref="L616:M616"/>
    <mergeCell ref="A617:B617"/>
    <mergeCell ref="L617:M617"/>
    <mergeCell ref="A618:B618"/>
    <mergeCell ref="L618:M618"/>
    <mergeCell ref="A619:B619"/>
    <mergeCell ref="L619:M619"/>
    <mergeCell ref="A620:B620"/>
    <mergeCell ref="L620:M620"/>
    <mergeCell ref="A621:B621"/>
    <mergeCell ref="L621:M621"/>
    <mergeCell ref="C614:F614"/>
    <mergeCell ref="C616:F617"/>
    <mergeCell ref="C619:F621"/>
    <mergeCell ref="A332:B332"/>
    <mergeCell ref="A631:H631"/>
    <mergeCell ref="A632:B632"/>
    <mergeCell ref="G632:H639"/>
    <mergeCell ref="L632:M632"/>
    <mergeCell ref="A633:B633"/>
    <mergeCell ref="L633:M633"/>
    <mergeCell ref="A634:B634"/>
    <mergeCell ref="L634:M634"/>
    <mergeCell ref="A635:B635"/>
    <mergeCell ref="L635:M635"/>
    <mergeCell ref="A636:B636"/>
    <mergeCell ref="L636:M636"/>
    <mergeCell ref="A637:B637"/>
    <mergeCell ref="L637:M637"/>
    <mergeCell ref="A638:B638"/>
    <mergeCell ref="L638:M638"/>
    <mergeCell ref="A639:B639"/>
    <mergeCell ref="L639:M639"/>
    <mergeCell ref="C635:F635"/>
    <mergeCell ref="A623:B623"/>
    <mergeCell ref="G623:H630"/>
    <mergeCell ref="L623:M623"/>
    <mergeCell ref="A624:B624"/>
    <mergeCell ref="L624:M624"/>
    <mergeCell ref="A625:B625"/>
    <mergeCell ref="L625:M625"/>
    <mergeCell ref="A626:B626"/>
    <mergeCell ref="L626:M626"/>
    <mergeCell ref="A627:B627"/>
    <mergeCell ref="L627:M627"/>
    <mergeCell ref="A628:B628"/>
    <mergeCell ref="L628:M628"/>
    <mergeCell ref="A629:B629"/>
    <mergeCell ref="L629:M629"/>
    <mergeCell ref="A630:B630"/>
    <mergeCell ref="L630:M630"/>
    <mergeCell ref="A622:H622"/>
    <mergeCell ref="L590:M590"/>
    <mergeCell ref="A591:B591"/>
    <mergeCell ref="L591:M591"/>
    <mergeCell ref="A592:B592"/>
    <mergeCell ref="L592:M592"/>
    <mergeCell ref="A593:B593"/>
    <mergeCell ref="L593:M593"/>
    <mergeCell ref="A590:B590"/>
    <mergeCell ref="A612:H612"/>
    <mergeCell ref="A613:H613"/>
    <mergeCell ref="G521:H528"/>
    <mergeCell ref="G550:H557"/>
    <mergeCell ref="B652:H652"/>
    <mergeCell ref="A608:B608"/>
    <mergeCell ref="L608:M608"/>
    <mergeCell ref="A609:B609"/>
    <mergeCell ref="L609:M609"/>
    <mergeCell ref="A610:B610"/>
    <mergeCell ref="L610:M610"/>
    <mergeCell ref="B651:H651"/>
    <mergeCell ref="B641:H641"/>
    <mergeCell ref="A596:B596"/>
    <mergeCell ref="L596:M596"/>
    <mergeCell ref="A597:B597"/>
    <mergeCell ref="L597:M597"/>
    <mergeCell ref="G595:H602"/>
    <mergeCell ref="A598:B598"/>
    <mergeCell ref="L598:M598"/>
    <mergeCell ref="A599:B599"/>
    <mergeCell ref="L599:M599"/>
    <mergeCell ref="A600:B600"/>
    <mergeCell ref="A586:B586"/>
    <mergeCell ref="L586:M586"/>
    <mergeCell ref="L581:M581"/>
    <mergeCell ref="A582:B582"/>
    <mergeCell ref="L582:M582"/>
    <mergeCell ref="A583:B583"/>
    <mergeCell ref="L583:M583"/>
    <mergeCell ref="A584:B584"/>
    <mergeCell ref="L584:M584"/>
    <mergeCell ref="A580:H580"/>
    <mergeCell ref="A581:B581"/>
    <mergeCell ref="G581:H584"/>
    <mergeCell ref="A602:B602"/>
    <mergeCell ref="L602:M602"/>
    <mergeCell ref="A603:H603"/>
    <mergeCell ref="A604:B604"/>
    <mergeCell ref="L604:M604"/>
    <mergeCell ref="G604:H611"/>
    <mergeCell ref="A605:B605"/>
    <mergeCell ref="L605:M605"/>
    <mergeCell ref="A606:B606"/>
    <mergeCell ref="L606:M606"/>
    <mergeCell ref="A607:B607"/>
    <mergeCell ref="L607:M607"/>
    <mergeCell ref="A611:B611"/>
    <mergeCell ref="L611:M611"/>
    <mergeCell ref="C606:F606"/>
    <mergeCell ref="L600:M600"/>
    <mergeCell ref="A601:B601"/>
    <mergeCell ref="L601:M601"/>
    <mergeCell ref="L478:M478"/>
    <mergeCell ref="A479:B479"/>
    <mergeCell ref="L479:M479"/>
    <mergeCell ref="A480:B480"/>
    <mergeCell ref="A361:B361"/>
    <mergeCell ref="A288:B288"/>
    <mergeCell ref="G257:H262"/>
    <mergeCell ref="G218:H219"/>
    <mergeCell ref="A227:B227"/>
    <mergeCell ref="A230:B230"/>
    <mergeCell ref="G376:H377"/>
    <mergeCell ref="G379:H382"/>
    <mergeCell ref="G384:H391"/>
    <mergeCell ref="G393:H400"/>
    <mergeCell ref="G402:H409"/>
    <mergeCell ref="G412:H413"/>
    <mergeCell ref="A334:H334"/>
    <mergeCell ref="A335:A336"/>
    <mergeCell ref="C335:C336"/>
    <mergeCell ref="A374:H374"/>
    <mergeCell ref="A366:B366"/>
    <mergeCell ref="A365:H365"/>
    <mergeCell ref="A410:H410"/>
    <mergeCell ref="B218:B219"/>
    <mergeCell ref="A218:A219"/>
    <mergeCell ref="L306:M306"/>
    <mergeCell ref="A307:B307"/>
    <mergeCell ref="L480:M480"/>
    <mergeCell ref="G474:H481"/>
    <mergeCell ref="A273:B273"/>
    <mergeCell ref="L475:M475"/>
    <mergeCell ref="A476:B476"/>
    <mergeCell ref="L476:M476"/>
    <mergeCell ref="A477:B477"/>
    <mergeCell ref="L477:M477"/>
    <mergeCell ref="A471:B471"/>
    <mergeCell ref="L471:M471"/>
    <mergeCell ref="A472:B472"/>
    <mergeCell ref="L472:M472"/>
    <mergeCell ref="A473:H473"/>
    <mergeCell ref="A474:B474"/>
    <mergeCell ref="L474:M474"/>
    <mergeCell ref="G465:H472"/>
    <mergeCell ref="A468:B468"/>
    <mergeCell ref="L468:M468"/>
    <mergeCell ref="A469:B469"/>
    <mergeCell ref="L469:M469"/>
    <mergeCell ref="A470:B470"/>
    <mergeCell ref="L470:M470"/>
    <mergeCell ref="L465:M465"/>
    <mergeCell ref="A466:B466"/>
    <mergeCell ref="L481:M481"/>
    <mergeCell ref="L307:M307"/>
    <mergeCell ref="A308:B308"/>
    <mergeCell ref="L308:M308"/>
    <mergeCell ref="A317:H317"/>
    <mergeCell ref="A318:B318"/>
    <mergeCell ref="G318:H323"/>
    <mergeCell ref="A478:B478"/>
    <mergeCell ref="L454:M454"/>
    <mergeCell ref="A455:H455"/>
    <mergeCell ref="A456:B456"/>
    <mergeCell ref="L456:M456"/>
    <mergeCell ref="A457:B457"/>
    <mergeCell ref="L457:M457"/>
    <mergeCell ref="G451:H454"/>
    <mergeCell ref="A450:H450"/>
    <mergeCell ref="A451:B451"/>
    <mergeCell ref="L451:M451"/>
    <mergeCell ref="A452:B452"/>
    <mergeCell ref="L452:M452"/>
    <mergeCell ref="A453:B453"/>
    <mergeCell ref="L453:M453"/>
    <mergeCell ref="A454:B454"/>
    <mergeCell ref="L466:M466"/>
    <mergeCell ref="A467:B467"/>
    <mergeCell ref="L467:M467"/>
    <mergeCell ref="A461:B461"/>
    <mergeCell ref="L461:M461"/>
    <mergeCell ref="A462:B462"/>
    <mergeCell ref="L462:M462"/>
    <mergeCell ref="A463:B463"/>
    <mergeCell ref="L463:M463"/>
    <mergeCell ref="L458:M458"/>
    <mergeCell ref="A459:B459"/>
    <mergeCell ref="L459:M459"/>
    <mergeCell ref="A460:B460"/>
    <mergeCell ref="L460:M460"/>
    <mergeCell ref="A464:H464"/>
    <mergeCell ref="L445:M445"/>
    <mergeCell ref="A446:H446"/>
    <mergeCell ref="A447:H447"/>
    <mergeCell ref="A448:B448"/>
    <mergeCell ref="L448:M448"/>
    <mergeCell ref="A449:B449"/>
    <mergeCell ref="L449:M449"/>
    <mergeCell ref="G438:H445"/>
    <mergeCell ref="G448:H449"/>
    <mergeCell ref="A442:B442"/>
    <mergeCell ref="L442:M442"/>
    <mergeCell ref="A443:B443"/>
    <mergeCell ref="L443:M443"/>
    <mergeCell ref="A444:B444"/>
    <mergeCell ref="L444:M444"/>
    <mergeCell ref="A439:B439"/>
    <mergeCell ref="L439:M439"/>
    <mergeCell ref="A440:B440"/>
    <mergeCell ref="L440:M440"/>
    <mergeCell ref="A441:B441"/>
    <mergeCell ref="C441:F441"/>
    <mergeCell ref="L441:M441"/>
    <mergeCell ref="A445:B445"/>
    <mergeCell ref="L427:M427"/>
    <mergeCell ref="G420:H427"/>
    <mergeCell ref="A428:H428"/>
    <mergeCell ref="A422:B422"/>
    <mergeCell ref="L422:M422"/>
    <mergeCell ref="A423:B423"/>
    <mergeCell ref="L423:M423"/>
    <mergeCell ref="A424:B424"/>
    <mergeCell ref="L424:M424"/>
    <mergeCell ref="A425:B425"/>
    <mergeCell ref="L435:M435"/>
    <mergeCell ref="A436:B436"/>
    <mergeCell ref="L436:M436"/>
    <mergeCell ref="A437:H437"/>
    <mergeCell ref="A438:B438"/>
    <mergeCell ref="L438:M438"/>
    <mergeCell ref="A432:B432"/>
    <mergeCell ref="L432:M432"/>
    <mergeCell ref="A433:B433"/>
    <mergeCell ref="L433:M433"/>
    <mergeCell ref="A434:B434"/>
    <mergeCell ref="L434:M434"/>
    <mergeCell ref="G429:H436"/>
    <mergeCell ref="A429:B429"/>
    <mergeCell ref="L429:M429"/>
    <mergeCell ref="A430:B430"/>
    <mergeCell ref="L430:M430"/>
    <mergeCell ref="A431:B431"/>
    <mergeCell ref="L431:M431"/>
    <mergeCell ref="A435:B435"/>
    <mergeCell ref="L418:M418"/>
    <mergeCell ref="A419:H419"/>
    <mergeCell ref="A420:B420"/>
    <mergeCell ref="L420:M420"/>
    <mergeCell ref="A421:B421"/>
    <mergeCell ref="L421:M421"/>
    <mergeCell ref="G415:H418"/>
    <mergeCell ref="A415:B415"/>
    <mergeCell ref="L415:M415"/>
    <mergeCell ref="A416:B416"/>
    <mergeCell ref="L416:M416"/>
    <mergeCell ref="A417:B417"/>
    <mergeCell ref="L417:M417"/>
    <mergeCell ref="A418:B418"/>
    <mergeCell ref="L425:M425"/>
    <mergeCell ref="A426:B426"/>
    <mergeCell ref="L426:M426"/>
    <mergeCell ref="L404:M404"/>
    <mergeCell ref="A405:B405"/>
    <mergeCell ref="L405:M405"/>
    <mergeCell ref="A406:B406"/>
    <mergeCell ref="L406:M406"/>
    <mergeCell ref="C404:F404"/>
    <mergeCell ref="A407:B407"/>
    <mergeCell ref="L400:M400"/>
    <mergeCell ref="A401:H401"/>
    <mergeCell ref="A402:B402"/>
    <mergeCell ref="L402:M402"/>
    <mergeCell ref="A403:B403"/>
    <mergeCell ref="L403:M403"/>
    <mergeCell ref="A404:B404"/>
    <mergeCell ref="L412:M412"/>
    <mergeCell ref="A413:B413"/>
    <mergeCell ref="L413:M413"/>
    <mergeCell ref="L407:M407"/>
    <mergeCell ref="A408:B408"/>
    <mergeCell ref="L408:M408"/>
    <mergeCell ref="A409:B409"/>
    <mergeCell ref="L409:M409"/>
    <mergeCell ref="A411:H411"/>
    <mergeCell ref="A412:B412"/>
    <mergeCell ref="L390:M390"/>
    <mergeCell ref="A391:B391"/>
    <mergeCell ref="L391:M391"/>
    <mergeCell ref="L393:M393"/>
    <mergeCell ref="A394:B394"/>
    <mergeCell ref="L387:M387"/>
    <mergeCell ref="A388:B388"/>
    <mergeCell ref="L388:M388"/>
    <mergeCell ref="A389:B389"/>
    <mergeCell ref="L389:M389"/>
    <mergeCell ref="A390:B390"/>
    <mergeCell ref="L397:M397"/>
    <mergeCell ref="A398:B398"/>
    <mergeCell ref="L398:M398"/>
    <mergeCell ref="A399:B399"/>
    <mergeCell ref="L399:M399"/>
    <mergeCell ref="A400:B400"/>
    <mergeCell ref="L394:M394"/>
    <mergeCell ref="A395:B395"/>
    <mergeCell ref="L395:M395"/>
    <mergeCell ref="A396:B396"/>
    <mergeCell ref="L396:M396"/>
    <mergeCell ref="A397:B397"/>
    <mergeCell ref="L384:M384"/>
    <mergeCell ref="A385:B385"/>
    <mergeCell ref="L385:M385"/>
    <mergeCell ref="A386:B386"/>
    <mergeCell ref="L386:M386"/>
    <mergeCell ref="A387:B387"/>
    <mergeCell ref="L380:M380"/>
    <mergeCell ref="A381:B381"/>
    <mergeCell ref="L381:M381"/>
    <mergeCell ref="A382:B382"/>
    <mergeCell ref="L382:M382"/>
    <mergeCell ref="A380:B380"/>
    <mergeCell ref="A383:H383"/>
    <mergeCell ref="A384:B384"/>
    <mergeCell ref="L331:M331"/>
    <mergeCell ref="L332:M332"/>
    <mergeCell ref="A333:B333"/>
    <mergeCell ref="L333:M333"/>
    <mergeCell ref="G326:H333"/>
    <mergeCell ref="B335:B336"/>
    <mergeCell ref="L341:M341"/>
    <mergeCell ref="A337:H337"/>
    <mergeCell ref="A339:H339"/>
    <mergeCell ref="A340:B340"/>
    <mergeCell ref="A342:H342"/>
    <mergeCell ref="A343:B343"/>
    <mergeCell ref="A344:B344"/>
    <mergeCell ref="A341:B341"/>
    <mergeCell ref="L379:M379"/>
    <mergeCell ref="L329:M329"/>
    <mergeCell ref="L346:M346"/>
    <mergeCell ref="L376:M376"/>
    <mergeCell ref="L377:M377"/>
    <mergeCell ref="L364:M364"/>
    <mergeCell ref="G357:H364"/>
    <mergeCell ref="L288:M288"/>
    <mergeCell ref="A283:B283"/>
    <mergeCell ref="L283:M283"/>
    <mergeCell ref="A284:B284"/>
    <mergeCell ref="L284:M284"/>
    <mergeCell ref="A309:B309"/>
    <mergeCell ref="G272:H279"/>
    <mergeCell ref="L318:M318"/>
    <mergeCell ref="A319:B319"/>
    <mergeCell ref="L319:M319"/>
    <mergeCell ref="A320:B320"/>
    <mergeCell ref="A324:H324"/>
    <mergeCell ref="L320:M320"/>
    <mergeCell ref="A321:B321"/>
    <mergeCell ref="L321:M321"/>
    <mergeCell ref="L327:M327"/>
    <mergeCell ref="L357:M357"/>
    <mergeCell ref="A358:B358"/>
    <mergeCell ref="L358:M358"/>
    <mergeCell ref="A359:B359"/>
    <mergeCell ref="G281:H288"/>
    <mergeCell ref="G340:H341"/>
    <mergeCell ref="A312:B312"/>
    <mergeCell ref="A313:B313"/>
    <mergeCell ref="L359:M359"/>
    <mergeCell ref="A360:B360"/>
    <mergeCell ref="L360:M360"/>
    <mergeCell ref="L370:M370"/>
    <mergeCell ref="L371:M371"/>
    <mergeCell ref="A255:H255"/>
    <mergeCell ref="A256:H256"/>
    <mergeCell ref="A257:B257"/>
    <mergeCell ref="L257:M257"/>
    <mergeCell ref="A258:B258"/>
    <mergeCell ref="L258:M258"/>
    <mergeCell ref="A259:B259"/>
    <mergeCell ref="L259:M259"/>
    <mergeCell ref="A260:B260"/>
    <mergeCell ref="A262:B262"/>
    <mergeCell ref="L262:M262"/>
    <mergeCell ref="A263:H263"/>
    <mergeCell ref="L273:M273"/>
    <mergeCell ref="L274:M274"/>
    <mergeCell ref="L328:M328"/>
    <mergeCell ref="A264:B264"/>
    <mergeCell ref="L264:M264"/>
    <mergeCell ref="A265:B265"/>
    <mergeCell ref="L265:M265"/>
    <mergeCell ref="A266:B266"/>
    <mergeCell ref="L266:M266"/>
    <mergeCell ref="A267:B267"/>
    <mergeCell ref="L267:M267"/>
    <mergeCell ref="A268:B268"/>
    <mergeCell ref="L287:M287"/>
    <mergeCell ref="L304:M304"/>
    <mergeCell ref="L305:M305"/>
    <mergeCell ref="A306:B306"/>
    <mergeCell ref="A285:B285"/>
    <mergeCell ref="L285:M285"/>
    <mergeCell ref="L322:M322"/>
    <mergeCell ref="L323:M323"/>
    <mergeCell ref="L372:M372"/>
    <mergeCell ref="A373:B373"/>
    <mergeCell ref="L373:M373"/>
    <mergeCell ref="G366:H373"/>
    <mergeCell ref="L366:M366"/>
    <mergeCell ref="L367:M367"/>
    <mergeCell ref="A368:B368"/>
    <mergeCell ref="L368:M368"/>
    <mergeCell ref="A369:B369"/>
    <mergeCell ref="L369:M369"/>
    <mergeCell ref="A370:B370"/>
    <mergeCell ref="C369:F369"/>
    <mergeCell ref="A367:B367"/>
    <mergeCell ref="L361:M361"/>
    <mergeCell ref="A362:B362"/>
    <mergeCell ref="L362:M362"/>
    <mergeCell ref="A363:B363"/>
    <mergeCell ref="L363:M363"/>
    <mergeCell ref="A364:B364"/>
    <mergeCell ref="B644:H644"/>
    <mergeCell ref="A251:B251"/>
    <mergeCell ref="A252:B252"/>
    <mergeCell ref="A287:B287"/>
    <mergeCell ref="A217:H217"/>
    <mergeCell ref="A215:B215"/>
    <mergeCell ref="G223:H228"/>
    <mergeCell ref="A249:B249"/>
    <mergeCell ref="A392:H392"/>
    <mergeCell ref="A393:B393"/>
    <mergeCell ref="A414:H414"/>
    <mergeCell ref="A427:B427"/>
    <mergeCell ref="A465:B465"/>
    <mergeCell ref="A228:B228"/>
    <mergeCell ref="A223:B223"/>
    <mergeCell ref="A229:H229"/>
    <mergeCell ref="A310:H310"/>
    <mergeCell ref="A311:B311"/>
    <mergeCell ref="G311:H316"/>
    <mergeCell ref="A221:H221"/>
    <mergeCell ref="A576:H576"/>
    <mergeCell ref="A314:B314"/>
    <mergeCell ref="A246:H246"/>
    <mergeCell ref="A275:B275"/>
    <mergeCell ref="A269:B269"/>
    <mergeCell ref="A247:B247"/>
    <mergeCell ref="G343:H346"/>
    <mergeCell ref="G456:H463"/>
    <mergeCell ref="A458:B458"/>
    <mergeCell ref="C476:F476"/>
    <mergeCell ref="A578:B578"/>
    <mergeCell ref="G578:H579"/>
    <mergeCell ref="A664:H667"/>
    <mergeCell ref="A663:B663"/>
    <mergeCell ref="E663:F663"/>
    <mergeCell ref="C663:D663"/>
    <mergeCell ref="G663:H663"/>
    <mergeCell ref="A194:H194"/>
    <mergeCell ref="A192:E192"/>
    <mergeCell ref="F192:H192"/>
    <mergeCell ref="A193:E193"/>
    <mergeCell ref="F193:H193"/>
    <mergeCell ref="A659:H659"/>
    <mergeCell ref="A204:H204"/>
    <mergeCell ref="A662:H662"/>
    <mergeCell ref="A660:H660"/>
    <mergeCell ref="C206:D206"/>
    <mergeCell ref="E206:F206"/>
    <mergeCell ref="A656:H656"/>
    <mergeCell ref="A657:H657"/>
    <mergeCell ref="E205:F205"/>
    <mergeCell ref="B650:H650"/>
    <mergeCell ref="A276:B276"/>
    <mergeCell ref="A277:B277"/>
    <mergeCell ref="A378:H378"/>
    <mergeCell ref="A661:H661"/>
    <mergeCell ref="A658:H658"/>
    <mergeCell ref="A205:B205"/>
    <mergeCell ref="D335:D336"/>
    <mergeCell ref="E335:E336"/>
    <mergeCell ref="G335:H336"/>
    <mergeCell ref="A475:B475"/>
    <mergeCell ref="A481:B481"/>
    <mergeCell ref="B648:H648"/>
    <mergeCell ref="E207:F207"/>
    <mergeCell ref="G207:H207"/>
    <mergeCell ref="C205:D205"/>
    <mergeCell ref="G205:H205"/>
    <mergeCell ref="E218:E219"/>
    <mergeCell ref="G215:H215"/>
    <mergeCell ref="A216:H216"/>
    <mergeCell ref="C215:D215"/>
    <mergeCell ref="E215:F215"/>
    <mergeCell ref="C200:D200"/>
    <mergeCell ref="E200:F200"/>
    <mergeCell ref="G200:H200"/>
    <mergeCell ref="E202:F202"/>
    <mergeCell ref="G202:H202"/>
    <mergeCell ref="A196:A202"/>
    <mergeCell ref="C198:D198"/>
    <mergeCell ref="C197:D197"/>
    <mergeCell ref="E197:F197"/>
    <mergeCell ref="G199:H199"/>
    <mergeCell ref="C214:D214"/>
    <mergeCell ref="E198:F198"/>
    <mergeCell ref="G198:H198"/>
    <mergeCell ref="C199:D199"/>
    <mergeCell ref="E199:F19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C208:D208"/>
    <mergeCell ref="E208:F208"/>
    <mergeCell ref="G208:H208"/>
    <mergeCell ref="C209:D209"/>
    <mergeCell ref="A206:A214"/>
    <mergeCell ref="C202:D202"/>
    <mergeCell ref="E214:F214"/>
    <mergeCell ref="G214:H214"/>
    <mergeCell ref="A16:B16"/>
    <mergeCell ref="C16:H16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9:B19"/>
    <mergeCell ref="C19:D19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61:C61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E41:H41"/>
    <mergeCell ref="A41:D41"/>
    <mergeCell ref="D61:H61"/>
    <mergeCell ref="C53:H53"/>
    <mergeCell ref="C48:E48"/>
    <mergeCell ref="G48:H48"/>
    <mergeCell ref="G50:H50"/>
    <mergeCell ref="D55:H55"/>
    <mergeCell ref="A38:B38"/>
    <mergeCell ref="C38:H38"/>
    <mergeCell ref="C37:H37"/>
    <mergeCell ref="A49:B49"/>
    <mergeCell ref="A54:H54"/>
    <mergeCell ref="A55:C55"/>
    <mergeCell ref="A56:C56"/>
    <mergeCell ref="D56:H56"/>
    <mergeCell ref="G52:H52"/>
    <mergeCell ref="D60:H60"/>
    <mergeCell ref="A58:C60"/>
    <mergeCell ref="A64:C64"/>
    <mergeCell ref="D64:H64"/>
    <mergeCell ref="A67:C67"/>
    <mergeCell ref="D67:H67"/>
    <mergeCell ref="A65:C65"/>
    <mergeCell ref="D65:H65"/>
    <mergeCell ref="A66:C66"/>
    <mergeCell ref="D66:H66"/>
    <mergeCell ref="D59:H59"/>
    <mergeCell ref="A62:C62"/>
    <mergeCell ref="A70:B70"/>
    <mergeCell ref="C70:H70"/>
    <mergeCell ref="A52:B53"/>
    <mergeCell ref="A36:H36"/>
    <mergeCell ref="A35:B35"/>
    <mergeCell ref="C35:E35"/>
    <mergeCell ref="A40:D40"/>
    <mergeCell ref="E40:H40"/>
    <mergeCell ref="A42:D42"/>
    <mergeCell ref="E42:H42"/>
    <mergeCell ref="E43:H43"/>
    <mergeCell ref="E44:H44"/>
    <mergeCell ref="E45:H45"/>
    <mergeCell ref="A43:D43"/>
    <mergeCell ref="A63:C63"/>
    <mergeCell ref="D63:H63"/>
    <mergeCell ref="A48:B48"/>
    <mergeCell ref="D62:H62"/>
    <mergeCell ref="C50:E50"/>
    <mergeCell ref="D58:H58"/>
    <mergeCell ref="C49:E49"/>
    <mergeCell ref="C52:E52"/>
    <mergeCell ref="C523:F524"/>
    <mergeCell ref="A538:H538"/>
    <mergeCell ref="A539:B539"/>
    <mergeCell ref="G539:H546"/>
    <mergeCell ref="C315:F315"/>
    <mergeCell ref="C316:F316"/>
    <mergeCell ref="C311:F311"/>
    <mergeCell ref="A325:H325"/>
    <mergeCell ref="A331:B331"/>
    <mergeCell ref="A518:H518"/>
    <mergeCell ref="A519:H519"/>
    <mergeCell ref="A520:H520"/>
    <mergeCell ref="A521:B521"/>
    <mergeCell ref="A379:B379"/>
    <mergeCell ref="A338:H338"/>
    <mergeCell ref="A356:H356"/>
    <mergeCell ref="A357:B357"/>
    <mergeCell ref="A375:H375"/>
    <mergeCell ref="A376:B376"/>
    <mergeCell ref="A323:B323"/>
    <mergeCell ref="A482:H482"/>
    <mergeCell ref="A483:H483"/>
    <mergeCell ref="A484:B484"/>
    <mergeCell ref="G484:H485"/>
    <mergeCell ref="A507:B507"/>
    <mergeCell ref="A371:B371"/>
    <mergeCell ref="A377:B377"/>
    <mergeCell ref="A372:B372"/>
    <mergeCell ref="L340:M340"/>
    <mergeCell ref="L326:M326"/>
    <mergeCell ref="L238:M238"/>
    <mergeCell ref="L239:M239"/>
    <mergeCell ref="L240:M240"/>
    <mergeCell ref="L241:M241"/>
    <mergeCell ref="A236:H236"/>
    <mergeCell ref="A237:H237"/>
    <mergeCell ref="A302:H302"/>
    <mergeCell ref="G304:H309"/>
    <mergeCell ref="G230:H235"/>
    <mergeCell ref="G238:H245"/>
    <mergeCell ref="G247:H254"/>
    <mergeCell ref="G264:H269"/>
    <mergeCell ref="A238:B238"/>
    <mergeCell ref="A270:H270"/>
    <mergeCell ref="A271:H271"/>
    <mergeCell ref="A272:B272"/>
    <mergeCell ref="A279:B279"/>
    <mergeCell ref="A274:B274"/>
    <mergeCell ref="A248:B248"/>
    <mergeCell ref="L247:M247"/>
    <mergeCell ref="L248:M248"/>
    <mergeCell ref="L249:M249"/>
    <mergeCell ref="A250:B250"/>
    <mergeCell ref="L250:M250"/>
    <mergeCell ref="L252:M252"/>
    <mergeCell ref="A253:B253"/>
    <mergeCell ref="L253:M253"/>
    <mergeCell ref="A254:B254"/>
    <mergeCell ref="L254:M254"/>
    <mergeCell ref="L286:M286"/>
    <mergeCell ref="A186:E186"/>
    <mergeCell ref="F186:H186"/>
    <mergeCell ref="A187:E187"/>
    <mergeCell ref="A189:E189"/>
    <mergeCell ref="A188:E188"/>
    <mergeCell ref="A328:B328"/>
    <mergeCell ref="C218:C219"/>
    <mergeCell ref="A234:B234"/>
    <mergeCell ref="L227:M227"/>
    <mergeCell ref="L228:M228"/>
    <mergeCell ref="A280:H280"/>
    <mergeCell ref="A281:B281"/>
    <mergeCell ref="A282:B282"/>
    <mergeCell ref="L260:M260"/>
    <mergeCell ref="A261:B261"/>
    <mergeCell ref="L261:M261"/>
    <mergeCell ref="A330:B330"/>
    <mergeCell ref="L330:M330"/>
    <mergeCell ref="L223:M223"/>
    <mergeCell ref="L224:M224"/>
    <mergeCell ref="L225:M225"/>
    <mergeCell ref="L226:M226"/>
    <mergeCell ref="A220:H220"/>
    <mergeCell ref="E209:F209"/>
    <mergeCell ref="G209:H209"/>
    <mergeCell ref="G206:H206"/>
    <mergeCell ref="G197:H197"/>
    <mergeCell ref="A203:B203"/>
    <mergeCell ref="C203:D203"/>
    <mergeCell ref="E203:F203"/>
    <mergeCell ref="G203:H203"/>
    <mergeCell ref="C207:D207"/>
    <mergeCell ref="A191:E191"/>
    <mergeCell ref="B649:H649"/>
    <mergeCell ref="A47:B47"/>
    <mergeCell ref="C47:H47"/>
    <mergeCell ref="B647:H647"/>
    <mergeCell ref="F182:H182"/>
    <mergeCell ref="A182:E182"/>
    <mergeCell ref="D218:D219"/>
    <mergeCell ref="A184:E184"/>
    <mergeCell ref="A326:B326"/>
    <mergeCell ref="A327:B327"/>
    <mergeCell ref="F184:H184"/>
    <mergeCell ref="F190:H190"/>
    <mergeCell ref="C51:H51"/>
    <mergeCell ref="A329:B329"/>
    <mergeCell ref="A222:H222"/>
    <mergeCell ref="B643:H643"/>
    <mergeCell ref="B645:H645"/>
    <mergeCell ref="B646:H646"/>
    <mergeCell ref="A640:H640"/>
    <mergeCell ref="A224:B224"/>
    <mergeCell ref="A225:B225"/>
    <mergeCell ref="A226:B226"/>
    <mergeCell ref="C314:F314"/>
    <mergeCell ref="A547:H547"/>
    <mergeCell ref="A548:H548"/>
    <mergeCell ref="A549:H549"/>
    <mergeCell ref="A550:B550"/>
    <mergeCell ref="A286:B286"/>
    <mergeCell ref="A303:H303"/>
    <mergeCell ref="A304:B304"/>
    <mergeCell ref="A305:B305"/>
    <mergeCell ref="L309:M309"/>
    <mergeCell ref="L311:M311"/>
    <mergeCell ref="L312:M312"/>
    <mergeCell ref="L313:M313"/>
    <mergeCell ref="L314:M314"/>
    <mergeCell ref="C312:F312"/>
    <mergeCell ref="C313:F313"/>
    <mergeCell ref="A315:B315"/>
    <mergeCell ref="A322:B322"/>
    <mergeCell ref="A289:H289"/>
    <mergeCell ref="A295:H295"/>
    <mergeCell ref="A290:B290"/>
    <mergeCell ref="G290:H294"/>
    <mergeCell ref="L290:M290"/>
    <mergeCell ref="A291:B291"/>
    <mergeCell ref="L291:M291"/>
    <mergeCell ref="A292:B292"/>
    <mergeCell ref="L292:M292"/>
    <mergeCell ref="L293:M293"/>
    <mergeCell ref="L294:M294"/>
    <mergeCell ref="A296:H296"/>
    <mergeCell ref="A297:B297"/>
    <mergeCell ref="G297:H301"/>
    <mergeCell ref="L297:M297"/>
    <mergeCell ref="A298:B298"/>
    <mergeCell ref="L298:M298"/>
    <mergeCell ref="A299:B299"/>
    <mergeCell ref="L299:M299"/>
    <mergeCell ref="A300:B300"/>
    <mergeCell ref="L300:M300"/>
    <mergeCell ref="A301:B301"/>
    <mergeCell ref="L301:M301"/>
    <mergeCell ref="A231:B231"/>
    <mergeCell ref="L231:M231"/>
    <mergeCell ref="A232:B232"/>
    <mergeCell ref="L232:M232"/>
    <mergeCell ref="A233:B233"/>
    <mergeCell ref="L233:M233"/>
    <mergeCell ref="L281:M281"/>
    <mergeCell ref="L282:M282"/>
    <mergeCell ref="L276:M276"/>
    <mergeCell ref="L277:M277"/>
    <mergeCell ref="L278:M278"/>
    <mergeCell ref="L234:M234"/>
    <mergeCell ref="A235:B235"/>
    <mergeCell ref="L235:M235"/>
    <mergeCell ref="A240:B240"/>
    <mergeCell ref="A241:B241"/>
    <mergeCell ref="A242:B242"/>
    <mergeCell ref="A243:B243"/>
    <mergeCell ref="L251:M251"/>
    <mergeCell ref="A244:B244"/>
    <mergeCell ref="A245:B245"/>
    <mergeCell ref="A239:B239"/>
    <mergeCell ref="L242:M242"/>
    <mergeCell ref="L243:M243"/>
    <mergeCell ref="L244:M244"/>
    <mergeCell ref="L245:M245"/>
    <mergeCell ref="L275:M275"/>
    <mergeCell ref="L268:M268"/>
    <mergeCell ref="L269:M269"/>
    <mergeCell ref="L272:M272"/>
    <mergeCell ref="L279:M279"/>
    <mergeCell ref="A278:B278"/>
    <mergeCell ref="C166:H166"/>
    <mergeCell ref="A168:B168"/>
    <mergeCell ref="F181:H181"/>
    <mergeCell ref="G196:H196"/>
    <mergeCell ref="F189:H189"/>
    <mergeCell ref="G195:H195"/>
    <mergeCell ref="E195:F195"/>
    <mergeCell ref="A195:B195"/>
    <mergeCell ref="A347:H347"/>
    <mergeCell ref="A348:B348"/>
    <mergeCell ref="L348:M348"/>
    <mergeCell ref="L343:M343"/>
    <mergeCell ref="L349:M349"/>
    <mergeCell ref="A350:B350"/>
    <mergeCell ref="L350:M350"/>
    <mergeCell ref="G348:H355"/>
    <mergeCell ref="A354:B354"/>
    <mergeCell ref="L354:M354"/>
    <mergeCell ref="A355:B355"/>
    <mergeCell ref="L355:M355"/>
    <mergeCell ref="A351:B351"/>
    <mergeCell ref="L351:M351"/>
    <mergeCell ref="A352:B352"/>
    <mergeCell ref="L352:M352"/>
    <mergeCell ref="A353:B353"/>
    <mergeCell ref="L353:M353"/>
    <mergeCell ref="A349:B349"/>
    <mergeCell ref="A346:B346"/>
    <mergeCell ref="L344:M344"/>
    <mergeCell ref="A345:B345"/>
    <mergeCell ref="L345:M345"/>
    <mergeCell ref="L230:M230"/>
    <mergeCell ref="L521:M521"/>
    <mergeCell ref="A522:B522"/>
    <mergeCell ref="L522:M522"/>
    <mergeCell ref="A523:B523"/>
    <mergeCell ref="L523:M523"/>
    <mergeCell ref="A524:B524"/>
    <mergeCell ref="L524:M524"/>
    <mergeCell ref="C168:H168"/>
    <mergeCell ref="A169:B169"/>
    <mergeCell ref="E169:F169"/>
    <mergeCell ref="G169:H169"/>
    <mergeCell ref="A170:B170"/>
    <mergeCell ref="E170:F179"/>
    <mergeCell ref="G170:H179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L315:M315"/>
    <mergeCell ref="A316:B316"/>
    <mergeCell ref="L316:M316"/>
    <mergeCell ref="C212:D212"/>
    <mergeCell ref="E212:F212"/>
    <mergeCell ref="G212:H212"/>
    <mergeCell ref="C211:D211"/>
    <mergeCell ref="E211:F211"/>
    <mergeCell ref="G211:H211"/>
    <mergeCell ref="L544:M544"/>
    <mergeCell ref="A545:B545"/>
    <mergeCell ref="L545:M545"/>
    <mergeCell ref="A546:B546"/>
    <mergeCell ref="L546:M546"/>
    <mergeCell ref="C541:F541"/>
    <mergeCell ref="A529:H529"/>
    <mergeCell ref="A530:B530"/>
    <mergeCell ref="G530:H537"/>
    <mergeCell ref="L530:M530"/>
    <mergeCell ref="A531:B531"/>
    <mergeCell ref="L531:M531"/>
    <mergeCell ref="A532:B532"/>
    <mergeCell ref="L532:M532"/>
    <mergeCell ref="A533:B533"/>
    <mergeCell ref="L533:M533"/>
    <mergeCell ref="A534:B534"/>
    <mergeCell ref="L534:M534"/>
    <mergeCell ref="L550:M550"/>
    <mergeCell ref="A551:B551"/>
    <mergeCell ref="L551:M551"/>
    <mergeCell ref="A552:B552"/>
    <mergeCell ref="C552:F553"/>
    <mergeCell ref="L552:M552"/>
    <mergeCell ref="A553:B553"/>
    <mergeCell ref="L553:M553"/>
    <mergeCell ref="A525:B525"/>
    <mergeCell ref="L525:M525"/>
    <mergeCell ref="A526:B526"/>
    <mergeCell ref="L526:M526"/>
    <mergeCell ref="A527:B527"/>
    <mergeCell ref="L527:M527"/>
    <mergeCell ref="A528:B528"/>
    <mergeCell ref="L528:M528"/>
    <mergeCell ref="A535:B535"/>
    <mergeCell ref="L535:M535"/>
    <mergeCell ref="A536:B536"/>
    <mergeCell ref="L536:M536"/>
    <mergeCell ref="A537:B537"/>
    <mergeCell ref="L537:M537"/>
    <mergeCell ref="L539:M539"/>
    <mergeCell ref="A540:B540"/>
    <mergeCell ref="L540:M540"/>
    <mergeCell ref="A541:B541"/>
    <mergeCell ref="L541:M541"/>
    <mergeCell ref="A542:B542"/>
    <mergeCell ref="L542:M542"/>
    <mergeCell ref="A543:B543"/>
    <mergeCell ref="L543:M543"/>
    <mergeCell ref="A544:B544"/>
    <mergeCell ref="L561:M561"/>
    <mergeCell ref="A562:B562"/>
    <mergeCell ref="L562:M562"/>
    <mergeCell ref="A563:B563"/>
    <mergeCell ref="L563:M563"/>
    <mergeCell ref="A564:B564"/>
    <mergeCell ref="L564:M564"/>
    <mergeCell ref="A565:B565"/>
    <mergeCell ref="L565:M565"/>
    <mergeCell ref="A566:B566"/>
    <mergeCell ref="L566:M566"/>
    <mergeCell ref="A554:B554"/>
    <mergeCell ref="L554:M554"/>
    <mergeCell ref="A555:B555"/>
    <mergeCell ref="L555:M555"/>
    <mergeCell ref="A556:B556"/>
    <mergeCell ref="L556:M556"/>
    <mergeCell ref="A557:B557"/>
    <mergeCell ref="L557:M557"/>
    <mergeCell ref="A558:H558"/>
    <mergeCell ref="A559:B559"/>
    <mergeCell ref="G559:H566"/>
    <mergeCell ref="L559:M559"/>
    <mergeCell ref="A560:B560"/>
    <mergeCell ref="L560:M560"/>
    <mergeCell ref="A561:B561"/>
    <mergeCell ref="L568:M568"/>
    <mergeCell ref="A569:B569"/>
    <mergeCell ref="L569:M569"/>
    <mergeCell ref="A570:B570"/>
    <mergeCell ref="L570:M570"/>
    <mergeCell ref="A571:B571"/>
    <mergeCell ref="L571:M571"/>
    <mergeCell ref="A572:B572"/>
    <mergeCell ref="L572:M572"/>
    <mergeCell ref="A573:B573"/>
    <mergeCell ref="L573:M573"/>
    <mergeCell ref="A574:B574"/>
    <mergeCell ref="L574:M574"/>
    <mergeCell ref="A575:B575"/>
    <mergeCell ref="L575:M575"/>
    <mergeCell ref="C571:F571"/>
    <mergeCell ref="B642:H642"/>
    <mergeCell ref="A587:B587"/>
    <mergeCell ref="L587:M587"/>
    <mergeCell ref="A588:B588"/>
    <mergeCell ref="L588:M588"/>
    <mergeCell ref="A589:B589"/>
    <mergeCell ref="L589:M589"/>
    <mergeCell ref="G586:H593"/>
    <mergeCell ref="A594:H594"/>
    <mergeCell ref="A595:B595"/>
    <mergeCell ref="L595:M595"/>
    <mergeCell ref="A577:H577"/>
    <mergeCell ref="L578:M578"/>
    <mergeCell ref="A579:B579"/>
    <mergeCell ref="L579:M579"/>
    <mergeCell ref="A585:H585"/>
    <mergeCell ref="E72:F81"/>
    <mergeCell ref="G72:H81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B653:H653"/>
    <mergeCell ref="A567:H567"/>
    <mergeCell ref="A568:B568"/>
    <mergeCell ref="G568:H575"/>
    <mergeCell ref="A183:E183"/>
    <mergeCell ref="A180:E180"/>
    <mergeCell ref="F183:H183"/>
    <mergeCell ref="A185:E185"/>
    <mergeCell ref="A190:E190"/>
    <mergeCell ref="C196:D196"/>
    <mergeCell ref="E196:F196"/>
    <mergeCell ref="C195:D195"/>
    <mergeCell ref="F191:H191"/>
    <mergeCell ref="F188:H188"/>
    <mergeCell ref="F187:H187"/>
    <mergeCell ref="A181:E181"/>
    <mergeCell ref="F180:H180"/>
    <mergeCell ref="F185:H185"/>
    <mergeCell ref="A166:B166"/>
    <mergeCell ref="A293:B293"/>
    <mergeCell ref="A294:B294"/>
    <mergeCell ref="L484:M484"/>
    <mergeCell ref="A485:B485"/>
    <mergeCell ref="L485:M485"/>
    <mergeCell ref="A486:H486"/>
    <mergeCell ref="A487:B487"/>
    <mergeCell ref="G487:H490"/>
    <mergeCell ref="L487:M487"/>
    <mergeCell ref="A488:B488"/>
    <mergeCell ref="L488:M488"/>
    <mergeCell ref="A489:B489"/>
    <mergeCell ref="L489:M489"/>
    <mergeCell ref="A490:B490"/>
    <mergeCell ref="L490:M490"/>
    <mergeCell ref="L504:M504"/>
    <mergeCell ref="A505:B505"/>
    <mergeCell ref="L505:M505"/>
    <mergeCell ref="A506:B506"/>
    <mergeCell ref="L506:M506"/>
    <mergeCell ref="L507:M507"/>
    <mergeCell ref="A508:B508"/>
    <mergeCell ref="L508:M508"/>
    <mergeCell ref="A491:H491"/>
    <mergeCell ref="A492:B492"/>
    <mergeCell ref="G492:H499"/>
    <mergeCell ref="L492:M492"/>
    <mergeCell ref="A493:B493"/>
    <mergeCell ref="L493:M493"/>
    <mergeCell ref="A494:B494"/>
    <mergeCell ref="L494:M494"/>
    <mergeCell ref="A495:B495"/>
    <mergeCell ref="L495:M495"/>
    <mergeCell ref="A496:B496"/>
    <mergeCell ref="L496:M496"/>
    <mergeCell ref="A497:B497"/>
    <mergeCell ref="L497:M497"/>
    <mergeCell ref="A498:B498"/>
    <mergeCell ref="L498:M498"/>
    <mergeCell ref="A499:B499"/>
    <mergeCell ref="L499:M499"/>
    <mergeCell ref="B655:H655"/>
    <mergeCell ref="C210:D210"/>
    <mergeCell ref="E210:F210"/>
    <mergeCell ref="G210:H210"/>
    <mergeCell ref="A509:H509"/>
    <mergeCell ref="A510:B510"/>
    <mergeCell ref="G510:H517"/>
    <mergeCell ref="L510:M510"/>
    <mergeCell ref="A511:B511"/>
    <mergeCell ref="L511:M511"/>
    <mergeCell ref="A512:B512"/>
    <mergeCell ref="C512:F512"/>
    <mergeCell ref="L512:M512"/>
    <mergeCell ref="A513:B513"/>
    <mergeCell ref="L513:M513"/>
    <mergeCell ref="A514:B514"/>
    <mergeCell ref="L514:M514"/>
    <mergeCell ref="A515:B515"/>
    <mergeCell ref="L515:M515"/>
    <mergeCell ref="A516:B516"/>
    <mergeCell ref="L516:M516"/>
    <mergeCell ref="A517:B517"/>
    <mergeCell ref="L517:M517"/>
    <mergeCell ref="A500:H500"/>
    <mergeCell ref="A501:B501"/>
    <mergeCell ref="G501:H508"/>
    <mergeCell ref="L501:M501"/>
    <mergeCell ref="A502:B502"/>
    <mergeCell ref="L502:M502"/>
    <mergeCell ref="A503:B503"/>
    <mergeCell ref="L503:M503"/>
    <mergeCell ref="A504:B504"/>
    <mergeCell ref="C68:H68"/>
    <mergeCell ref="A68:B68"/>
    <mergeCell ref="A138:B138"/>
    <mergeCell ref="C138:H138"/>
    <mergeCell ref="A140:B140"/>
    <mergeCell ref="C140:H140"/>
    <mergeCell ref="A141:B141"/>
    <mergeCell ref="E141:F141"/>
    <mergeCell ref="G141:H141"/>
    <mergeCell ref="A142:B142"/>
    <mergeCell ref="E142:F151"/>
    <mergeCell ref="G142:H151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71:B71"/>
    <mergeCell ref="E71:F71"/>
    <mergeCell ref="G71:H71"/>
    <mergeCell ref="A72:B72"/>
    <mergeCell ref="A82:B82"/>
    <mergeCell ref="C82:H82"/>
    <mergeCell ref="A84:B84"/>
    <mergeCell ref="C84:H84"/>
    <mergeCell ref="A85:B85"/>
    <mergeCell ref="E85:F85"/>
    <mergeCell ref="G85:H85"/>
    <mergeCell ref="A152:B152"/>
    <mergeCell ref="C152:H152"/>
    <mergeCell ref="A154:B154"/>
    <mergeCell ref="C154:H154"/>
    <mergeCell ref="A155:B155"/>
    <mergeCell ref="E155:F155"/>
    <mergeCell ref="G155:H155"/>
    <mergeCell ref="A156:B156"/>
    <mergeCell ref="E156:F165"/>
    <mergeCell ref="G156:H165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C110:H110"/>
    <mergeCell ref="A112:B112"/>
    <mergeCell ref="C112:H112"/>
    <mergeCell ref="A113:B113"/>
    <mergeCell ref="E113:F113"/>
    <mergeCell ref="G113:H113"/>
    <mergeCell ref="A114:B114"/>
    <mergeCell ref="E114:F123"/>
    <mergeCell ref="G114:H123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10:B110"/>
    <mergeCell ref="A96:B96"/>
    <mergeCell ref="C96:H96"/>
    <mergeCell ref="A98:B98"/>
    <mergeCell ref="C98:H98"/>
    <mergeCell ref="A99:B99"/>
    <mergeCell ref="E99:F99"/>
    <mergeCell ref="G99:H99"/>
    <mergeCell ref="A100:B100"/>
    <mergeCell ref="E100:F109"/>
    <mergeCell ref="G100:H109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</mergeCells>
  <hyperlinks>
    <hyperlink ref="C38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7" max="16383" man="1"/>
    <brk id="109" max="7" man="1"/>
    <brk id="151" max="7" man="1"/>
    <brk id="667" max="16383" man="1"/>
    <brk id="71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6328125" defaultRowHeight="14.5" x14ac:dyDescent="0.35"/>
  <cols>
    <col min="1" max="1" width="8.632812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63281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47" t="s">
        <v>107</v>
      </c>
      <c r="C3" s="247"/>
      <c r="D3" s="247"/>
      <c r="E3" s="247"/>
      <c r="F3" s="247"/>
      <c r="G3" s="247"/>
      <c r="H3" s="247"/>
    </row>
    <row r="4" spans="1:9" x14ac:dyDescent="0.35">
      <c r="A4" s="2"/>
      <c r="B4" s="3" t="s">
        <v>108</v>
      </c>
      <c r="C4" s="3" t="s">
        <v>109</v>
      </c>
      <c r="D4" s="3" t="s">
        <v>70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2025-07-17T05:27:46Z</cp:lastPrinted>
  <dcterms:created xsi:type="dcterms:W3CDTF">2019-07-16T09:29:46Z</dcterms:created>
  <dcterms:modified xsi:type="dcterms:W3CDTF">2025-07-17T05:29:16Z</dcterms:modified>
</cp:coreProperties>
</file>