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6-07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K135" i="1"/>
  <c r="D190" i="1"/>
  <c r="D189" i="1"/>
  <c r="D186" i="1"/>
  <c r="D187" i="1"/>
  <c r="D188" i="1"/>
  <c r="D185" i="1"/>
  <c r="D180" i="1"/>
  <c r="D178" i="1"/>
  <c r="D177" i="1"/>
  <c r="D176" i="1"/>
  <c r="D175" i="1"/>
  <c r="D174" i="1"/>
  <c r="D173" i="1"/>
  <c r="D172" i="1"/>
  <c r="D171" i="1"/>
  <c r="D170" i="1"/>
  <c r="D169" i="1"/>
  <c r="D166" i="1"/>
  <c r="D165" i="1"/>
  <c r="D157" i="1"/>
  <c r="D158" i="1"/>
  <c r="D159" i="1"/>
  <c r="D160" i="1"/>
  <c r="D161" i="1"/>
  <c r="D162" i="1"/>
  <c r="D163" i="1"/>
  <c r="D164" i="1"/>
  <c r="D156" i="1"/>
  <c r="C75" i="1"/>
  <c r="C61" i="1"/>
  <c r="J86" i="1"/>
  <c r="J85" i="1"/>
  <c r="J84" i="1"/>
  <c r="J83" i="1"/>
  <c r="J72" i="1"/>
  <c r="J71" i="1"/>
  <c r="J70" i="1"/>
  <c r="J69" i="1"/>
  <c r="H76" i="1"/>
  <c r="H62" i="1"/>
  <c r="J67" i="1" l="1"/>
  <c r="J68" i="1" s="1"/>
  <c r="J73" i="1" s="1"/>
  <c r="J74" i="1" s="1"/>
  <c r="C66" i="1" s="1"/>
  <c r="J61" i="1"/>
  <c r="J63" i="1" s="1"/>
  <c r="D73" i="1"/>
  <c r="D71" i="1"/>
  <c r="D69" i="1"/>
  <c r="D67" i="1"/>
  <c r="J65" i="1"/>
  <c r="J66" i="1"/>
  <c r="C65" i="1" s="1"/>
  <c r="J64" i="1"/>
  <c r="D74" i="1"/>
  <c r="D72" i="1"/>
  <c r="D70" i="1"/>
  <c r="D68" i="1"/>
  <c r="J80" i="1"/>
  <c r="C79" i="1" s="1"/>
  <c r="D79" i="1" s="1"/>
  <c r="J78" i="1"/>
  <c r="D88" i="1"/>
  <c r="D86" i="1"/>
  <c r="D84" i="1"/>
  <c r="D82" i="1"/>
  <c r="J81" i="1"/>
  <c r="J82" i="1" s="1"/>
  <c r="J87" i="1" s="1"/>
  <c r="D87" i="1"/>
  <c r="D85" i="1"/>
  <c r="D83" i="1"/>
  <c r="D81" i="1"/>
  <c r="J79" i="1"/>
  <c r="J75" i="1"/>
  <c r="J77" i="1" s="1"/>
  <c r="J88" i="1" l="1"/>
  <c r="C80" i="1" s="1"/>
  <c r="G79" i="1" s="1"/>
  <c r="E65" i="1"/>
  <c r="D66" i="1"/>
  <c r="G65" i="1"/>
  <c r="D60" i="1" s="1"/>
  <c r="F89" i="1" s="1"/>
  <c r="D65" i="1"/>
  <c r="E79" i="1" l="1"/>
  <c r="J76" i="1"/>
  <c r="D80" i="1"/>
  <c r="I76" i="1" s="1"/>
  <c r="I77" i="1" s="1"/>
  <c r="I62" i="1"/>
  <c r="I63" i="1" s="1"/>
  <c r="J62" i="1"/>
  <c r="I75" i="1" l="1"/>
  <c r="C77" i="1" s="1"/>
  <c r="I61" i="1"/>
  <c r="C63" i="1" s="1"/>
  <c r="D152" i="1" l="1"/>
  <c r="D151" i="1"/>
  <c r="D150" i="1"/>
  <c r="D149" i="1"/>
  <c r="D148" i="1"/>
  <c r="D147" i="1"/>
  <c r="D146" i="1"/>
  <c r="D145" i="1"/>
  <c r="D144" i="1"/>
  <c r="D141" i="1"/>
  <c r="D140" i="1"/>
  <c r="D139" i="1"/>
  <c r="D138" i="1" l="1"/>
  <c r="D137" i="1"/>
  <c r="D133" i="1"/>
  <c r="D134" i="1"/>
  <c r="D135" i="1"/>
  <c r="D136" i="1"/>
  <c r="D132" i="1"/>
  <c r="I136" i="1" l="1"/>
  <c r="E28" i="1" l="1"/>
  <c r="C112" i="1" l="1"/>
  <c r="E112" i="1"/>
  <c r="C113" i="1"/>
  <c r="I132" i="1"/>
  <c r="C114" i="1" l="1"/>
  <c r="E113" i="1"/>
  <c r="E114" i="1" s="1"/>
  <c r="F189" i="1"/>
  <c r="F177" i="1"/>
  <c r="F165" i="1"/>
  <c r="B193" i="1"/>
  <c r="F190" i="1" l="1"/>
  <c r="F188" i="1"/>
  <c r="F187" i="1"/>
  <c r="F186" i="1"/>
  <c r="F185" i="1"/>
  <c r="A181" i="1"/>
  <c r="A182" i="1" s="1"/>
  <c r="A183" i="1" s="1"/>
  <c r="A184" i="1" s="1"/>
  <c r="G180" i="1"/>
  <c r="F180" i="1"/>
  <c r="F178" i="1"/>
  <c r="F176" i="1"/>
  <c r="F175" i="1"/>
  <c r="F174" i="1"/>
  <c r="F173" i="1"/>
  <c r="F172" i="1"/>
  <c r="F171" i="1"/>
  <c r="F170" i="1"/>
  <c r="F169" i="1"/>
  <c r="A169" i="1"/>
  <c r="A170" i="1" s="1"/>
  <c r="A171" i="1" s="1"/>
  <c r="A172" i="1" s="1"/>
  <c r="G168" i="1"/>
  <c r="F151" i="1"/>
  <c r="F149" i="1"/>
  <c r="F166" i="1"/>
  <c r="F164" i="1"/>
  <c r="F163" i="1"/>
  <c r="F162" i="1"/>
  <c r="F161" i="1"/>
  <c r="F160" i="1"/>
  <c r="F159" i="1"/>
  <c r="F158" i="1"/>
  <c r="F157" i="1"/>
  <c r="A157" i="1"/>
  <c r="A158" i="1" s="1"/>
  <c r="A159" i="1" s="1"/>
  <c r="A160" i="1" s="1"/>
  <c r="G156" i="1"/>
  <c r="F156" i="1"/>
  <c r="F152" i="1"/>
  <c r="F150" i="1"/>
  <c r="F148" i="1"/>
  <c r="A144" i="1"/>
  <c r="A145" i="1" s="1"/>
  <c r="A146" i="1" s="1"/>
  <c r="A147" i="1" s="1"/>
  <c r="A148" i="1" s="1"/>
  <c r="A149" i="1" s="1"/>
  <c r="A150" i="1" s="1"/>
  <c r="A151" i="1" s="1"/>
  <c r="A152" i="1" s="1"/>
  <c r="O156" i="1"/>
  <c r="P180" i="1"/>
  <c r="P168" i="1"/>
  <c r="O180" i="1"/>
  <c r="P148" i="1"/>
  <c r="P156" i="1"/>
  <c r="O168" i="1"/>
  <c r="G113" i="1" l="1"/>
  <c r="P181" i="1"/>
  <c r="P182" i="1" s="1"/>
  <c r="P183" i="1" s="1"/>
  <c r="P184" i="1" s="1"/>
  <c r="O181" i="1"/>
  <c r="N180" i="1"/>
  <c r="A185" i="1"/>
  <c r="A186" i="1" s="1"/>
  <c r="A187" i="1" s="1"/>
  <c r="P169" i="1"/>
  <c r="P170" i="1" s="1"/>
  <c r="P171" i="1" s="1"/>
  <c r="P172" i="1" s="1"/>
  <c r="O169" i="1"/>
  <c r="N168" i="1"/>
  <c r="A173" i="1"/>
  <c r="A174" i="1" s="1"/>
  <c r="A175" i="1" s="1"/>
  <c r="P157" i="1"/>
  <c r="P158" i="1" s="1"/>
  <c r="P159" i="1" s="1"/>
  <c r="P160" i="1" s="1"/>
  <c r="O157" i="1"/>
  <c r="N156" i="1"/>
  <c r="A161" i="1"/>
  <c r="A162" i="1" s="1"/>
  <c r="A163" i="1" s="1"/>
  <c r="P149" i="1"/>
  <c r="P150" i="1" s="1"/>
  <c r="P151" i="1" s="1"/>
  <c r="P152" i="1" s="1"/>
  <c r="F139" i="1"/>
  <c r="L139" i="1" s="1"/>
  <c r="F138" i="1"/>
  <c r="L138" i="1" s="1"/>
  <c r="F137" i="1"/>
  <c r="L137" i="1" s="1"/>
  <c r="F141" i="1"/>
  <c r="L141" i="1" s="1"/>
  <c r="F140" i="1"/>
  <c r="L140" i="1" s="1"/>
  <c r="O185" i="1"/>
  <c r="O161" i="1"/>
  <c r="O148" i="1"/>
  <c r="P173" i="1"/>
  <c r="P185" i="1"/>
  <c r="P161" i="1"/>
  <c r="O173" i="1"/>
  <c r="N148" i="1" l="1"/>
  <c r="O149" i="1"/>
  <c r="N149" i="1" s="1"/>
  <c r="K137" i="1"/>
  <c r="A188" i="1"/>
  <c r="A189" i="1" s="1"/>
  <c r="A190" i="1" s="1"/>
  <c r="A176" i="1"/>
  <c r="A177" i="1" s="1"/>
  <c r="A178" i="1" s="1"/>
  <c r="A164" i="1"/>
  <c r="A165" i="1" s="1"/>
  <c r="A166" i="1" s="1"/>
  <c r="O186" i="1"/>
  <c r="N185" i="1"/>
  <c r="P186" i="1"/>
  <c r="P187" i="1" s="1"/>
  <c r="O182" i="1"/>
  <c r="N181" i="1"/>
  <c r="O174" i="1"/>
  <c r="N173" i="1"/>
  <c r="P174" i="1"/>
  <c r="P175" i="1" s="1"/>
  <c r="O170" i="1"/>
  <c r="N169" i="1"/>
  <c r="O162" i="1"/>
  <c r="N161" i="1"/>
  <c r="P162" i="1"/>
  <c r="P163" i="1" s="1"/>
  <c r="O158" i="1"/>
  <c r="N157" i="1"/>
  <c r="F147" i="1"/>
  <c r="F146" i="1"/>
  <c r="F145" i="1"/>
  <c r="F144" i="1"/>
  <c r="F136" i="1"/>
  <c r="L136" i="1" s="1"/>
  <c r="F135" i="1"/>
  <c r="L135" i="1" s="1"/>
  <c r="F134" i="1"/>
  <c r="L134" i="1" s="1"/>
  <c r="F133" i="1"/>
  <c r="L133" i="1" s="1"/>
  <c r="F132" i="1"/>
  <c r="L132" i="1" s="1"/>
  <c r="O150" i="1" l="1"/>
  <c r="O151" i="1" s="1"/>
  <c r="M132" i="1"/>
  <c r="J136" i="1"/>
  <c r="J135" i="1"/>
  <c r="J137" i="1"/>
  <c r="G112" i="1"/>
  <c r="G114" i="1" s="1"/>
  <c r="P188" i="1"/>
  <c r="P190" i="1" s="1"/>
  <c r="P189" i="1"/>
  <c r="P176" i="1"/>
  <c r="P178" i="1" s="1"/>
  <c r="P177" i="1"/>
  <c r="P164" i="1"/>
  <c r="P166" i="1" s="1"/>
  <c r="P165" i="1"/>
  <c r="O183" i="1"/>
  <c r="N182" i="1"/>
  <c r="O187" i="1"/>
  <c r="O189" i="1" s="1"/>
  <c r="N186" i="1"/>
  <c r="O171" i="1"/>
  <c r="N170" i="1"/>
  <c r="O175" i="1"/>
  <c r="O177" i="1" s="1"/>
  <c r="N174" i="1"/>
  <c r="O159" i="1"/>
  <c r="N158" i="1"/>
  <c r="O163" i="1"/>
  <c r="O165" i="1" s="1"/>
  <c r="N162" i="1"/>
  <c r="E3" i="1"/>
  <c r="N150" i="1" l="1"/>
  <c r="N165" i="1"/>
  <c r="N177" i="1"/>
  <c r="N189" i="1"/>
  <c r="O188" i="1"/>
  <c r="N187" i="1"/>
  <c r="O184" i="1"/>
  <c r="N184" i="1" s="1"/>
  <c r="N183" i="1"/>
  <c r="O176" i="1"/>
  <c r="N175" i="1"/>
  <c r="O172" i="1"/>
  <c r="N172" i="1" s="1"/>
  <c r="N171" i="1"/>
  <c r="O164" i="1"/>
  <c r="N163" i="1"/>
  <c r="O160" i="1"/>
  <c r="N160" i="1" s="1"/>
  <c r="N159" i="1"/>
  <c r="N151" i="1"/>
  <c r="O152" i="1"/>
  <c r="N152" i="1" s="1"/>
  <c r="E120" i="1"/>
  <c r="F120" i="1" s="1"/>
  <c r="O190" i="1" l="1"/>
  <c r="N190" i="1" s="1"/>
  <c r="N188" i="1"/>
  <c r="O178" i="1"/>
  <c r="N178" i="1" s="1"/>
  <c r="N176" i="1"/>
  <c r="O166" i="1"/>
  <c r="N166" i="1" s="1"/>
  <c r="N164" i="1"/>
  <c r="E123" i="1"/>
  <c r="F123" i="1" s="1"/>
  <c r="E121" i="1"/>
  <c r="F121" i="1" s="1"/>
  <c r="E124" i="1"/>
  <c r="F124" i="1" s="1"/>
  <c r="E122" i="1"/>
  <c r="F122" i="1" s="1"/>
  <c r="F11" i="5"/>
  <c r="G11" i="5" s="1"/>
  <c r="F10" i="5"/>
  <c r="G10" i="5" s="1"/>
  <c r="F9" i="5"/>
  <c r="G9" i="5" s="1"/>
  <c r="F8" i="5"/>
  <c r="G8" i="5" s="1"/>
  <c r="F7" i="5"/>
  <c r="G7" i="5" s="1"/>
  <c r="F6" i="5"/>
  <c r="F5" i="5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210" i="1"/>
  <c r="A193" i="1"/>
  <c r="A194" i="1" s="1"/>
  <c r="A195" i="1" s="1"/>
  <c r="A196" i="1" s="1"/>
  <c r="A197" i="1" s="1"/>
  <c r="G143" i="1"/>
  <c r="G132" i="1"/>
  <c r="A133" i="1"/>
  <c r="A134" i="1" s="1"/>
  <c r="A135" i="1" s="1"/>
  <c r="A136" i="1" s="1"/>
  <c r="A137" i="1" s="1"/>
  <c r="A138" i="1" s="1"/>
  <c r="A139" i="1" s="1"/>
  <c r="A140" i="1" s="1"/>
  <c r="A141" i="1" s="1"/>
  <c r="A121" i="1"/>
  <c r="A122" i="1" s="1"/>
  <c r="A123" i="1" s="1"/>
  <c r="A124" i="1" s="1"/>
  <c r="G120" i="1"/>
  <c r="G121" i="1" s="1"/>
  <c r="G122" i="1" s="1"/>
  <c r="G123" i="1" s="1"/>
  <c r="G124" i="1" s="1"/>
  <c r="F105" i="1"/>
  <c r="D58" i="1"/>
  <c r="D52" i="1"/>
  <c r="G47" i="1"/>
  <c r="G48" i="1" s="1"/>
  <c r="C47" i="1"/>
  <c r="E41" i="1"/>
  <c r="E42" i="1" s="1"/>
  <c r="E25" i="1"/>
  <c r="E23" i="1"/>
  <c r="E7" i="1"/>
  <c r="P143" i="1"/>
  <c r="O143" i="1"/>
  <c r="I34" i="3" l="1"/>
  <c r="H34" i="3" s="1"/>
  <c r="E34" i="3"/>
  <c r="L34" i="3"/>
  <c r="K34" i="3" s="1"/>
  <c r="G12" i="5"/>
  <c r="N143" i="1"/>
  <c r="O144" i="1"/>
  <c r="P144" i="1"/>
  <c r="P145" i="1" s="1"/>
  <c r="P146" i="1" s="1"/>
  <c r="P147" i="1" s="1"/>
  <c r="D34" i="3"/>
  <c r="E36" i="3" l="1"/>
  <c r="D36" i="3"/>
  <c r="N144" i="1"/>
  <c r="O145" i="1"/>
  <c r="N145" i="1" l="1"/>
  <c r="O146" i="1"/>
  <c r="N146" i="1" l="1"/>
  <c r="O147" i="1"/>
  <c r="N147" i="1" l="1"/>
</calcChain>
</file>

<file path=xl/sharedStrings.xml><?xml version="1.0" encoding="utf-8"?>
<sst xmlns="http://schemas.openxmlformats.org/spreadsheetml/2006/main" count="387" uniqueCount="241">
  <si>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</si>
  <si>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</si>
  <si>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</si>
  <si>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</si>
  <si>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</si>
  <si>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</si>
  <si>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</si>
  <si>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</si>
  <si>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</si>
  <si>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</si>
  <si>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</si>
  <si>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</si>
  <si>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</si>
  <si>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</si>
  <si>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</si>
  <si>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</si>
  <si>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</si>
  <si>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</si>
  <si>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</si>
  <si>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</si>
  <si>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</si>
  <si>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</si>
  <si>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</si>
  <si>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</si>
  <si>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</si>
  <si>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</si>
  <si>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</si>
  <si>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</si>
  <si>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</si>
  <si>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</si>
  <si>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</si>
  <si>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</si>
  <si>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</si>
  <si>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</si>
  <si>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</si>
  <si>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</si>
  <si>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</si>
  <si>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</si>
  <si>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</si>
  <si>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</si>
  <si>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</si>
  <si>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</si>
  <si>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</si>
  <si>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</si>
  <si>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</si>
  <si>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</si>
  <si>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</si>
  <si>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</si>
  <si>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</si>
  <si>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</si>
  <si>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</si>
  <si>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</si>
  <si>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</si>
  <si>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</si>
  <si>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</si>
  <si>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</si>
  <si>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</si>
  <si>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</si>
  <si>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</si>
  <si>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</si>
  <si>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</si>
  <si>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</si>
  <si>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</si>
  <si>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</si>
  <si>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</si>
  <si>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</si>
  <si>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</si>
  <si>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</si>
  <si>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</si>
  <si>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</si>
  <si>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</si>
  <si>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</si>
  <si>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</si>
  <si>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</si>
  <si>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</si>
  <si>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</si>
  <si>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</si>
  <si>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</si>
  <si>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</si>
  <si>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</si>
  <si>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</si>
  <si>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</si>
  <si>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</si>
  <si>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</si>
  <si>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</si>
  <si>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</si>
  <si>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</si>
  <si>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</si>
  <si>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</si>
  <si>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</si>
  <si>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</si>
  <si>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</si>
  <si>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</si>
  <si>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</si>
  <si>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</si>
  <si>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</si>
  <si>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</si>
  <si>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</si>
  <si>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</si>
  <si>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</si>
  <si>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</si>
  <si>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</si>
  <si>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</si>
  <si>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</si>
  <si>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</si>
  <si>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</si>
  <si>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</si>
  <si>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</si>
  <si>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</si>
  <si>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</si>
  <si>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</si>
  <si>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</si>
  <si>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</si>
  <si>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</si>
  <si>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</si>
  <si>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</si>
  <si>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</si>
  <si>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</si>
  <si>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</si>
  <si>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</si>
  <si>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</si>
  <si>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</si>
  <si>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</si>
  <si>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</si>
  <si>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</si>
  <si>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</si>
  <si>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</si>
  <si>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</si>
  <si>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</si>
  <si>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</si>
  <si>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</si>
  <si>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</si>
  <si>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</si>
  <si>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</si>
  <si>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</si>
  <si>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</si>
  <si>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</si>
  <si>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</si>
  <si>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</si>
  <si>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</si>
  <si>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</si>
  <si>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</si>
  <si>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</si>
  <si>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</si>
  <si>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</si>
  <si>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</si>
  <si>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</si>
  <si>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</si>
  <si>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</si>
  <si>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</si>
  <si>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</si>
  <si>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</si>
  <si>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</si>
  <si>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</si>
  <si>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</si>
  <si>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</si>
  <si>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</si>
  <si>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</si>
  <si>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</si>
  <si>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</si>
  <si>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</si>
  <si>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</si>
  <si>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</si>
  <si>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</si>
  <si>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</si>
  <si>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</si>
  <si>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</si>
  <si>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</si>
  <si>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</si>
  <si>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</si>
  <si>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</si>
  <si>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</si>
  <si>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</si>
  <si>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</si>
  <si>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</si>
  <si>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</si>
  <si>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</si>
  <si>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</si>
  <si>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</si>
  <si>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</si>
  <si>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</si>
  <si>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</si>
  <si>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</si>
  <si>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Gut No</t>
  </si>
  <si>
    <t>Taloje Majkur</t>
  </si>
  <si>
    <t>Panvel</t>
  </si>
  <si>
    <t>Simran Majestic CHS Ltd</t>
  </si>
  <si>
    <t>Internal Road</t>
  </si>
  <si>
    <t>Open Plot</t>
  </si>
  <si>
    <t>Sunil Peravi</t>
  </si>
  <si>
    <t>1BHK</t>
  </si>
  <si>
    <t>2BHK</t>
  </si>
  <si>
    <t>Raigad</t>
  </si>
  <si>
    <t>Taloja Panchanand</t>
  </si>
  <si>
    <t>3,00,000/-</t>
  </si>
  <si>
    <t>3,50,000/-</t>
  </si>
  <si>
    <t>8th Floor (Part Refuge Area)</t>
  </si>
  <si>
    <t>Refuge Area</t>
  </si>
  <si>
    <t xml:space="preserve"> Location Link</t>
  </si>
  <si>
    <t>Construction work was in process at the time of visit (Labour found).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</si>
  <si>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</si>
  <si>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Site Person - Contact Details ( Name &amp; Contact No.)</t>
  </si>
  <si>
    <t>Provided Contact Details ( Name &amp; Contact No.)</t>
  </si>
  <si>
    <t>Mr.Rakesh Kumar - 8369445081</t>
  </si>
  <si>
    <t>PNB Panvel</t>
  </si>
  <si>
    <t>P52000049395</t>
  </si>
  <si>
    <t>Approved Plans, CC</t>
  </si>
  <si>
    <t>Arihant Anant Phase II</t>
  </si>
  <si>
    <t>https://goo.gl/maps/Go1D4zhPywMfY8u98?coh=178572&amp;entry=tt</t>
  </si>
  <si>
    <t>Latitude, Longitude</t>
  </si>
  <si>
    <t>19.077693, 73.107387</t>
  </si>
  <si>
    <t>3.9 KM from Taloja Panchanand Railway Station</t>
  </si>
  <si>
    <t>112/11/14/5 &amp; 112/12/15/5 (P)</t>
  </si>
  <si>
    <t>02 Wings</t>
  </si>
  <si>
    <t>PMP/NRV/16097/J.K/1992/2022</t>
  </si>
  <si>
    <t>PMC/TP/Taloje Majkur/112/11/14/5 &amp; Others/21-22/16097/1992/2022</t>
  </si>
  <si>
    <t>Commencement-CC No.
Valid Up to:</t>
  </si>
  <si>
    <t>As per RERA - 30/12/2027</t>
  </si>
  <si>
    <t>Wing B</t>
  </si>
  <si>
    <t>Ground Floor For Entrance Lobby, Meter Room &amp; Parking</t>
  </si>
  <si>
    <t>Wing B = G + 1st to 9th floor
Wing C = G + 1st to 10th floor</t>
  </si>
  <si>
    <t>Ground Floor For Commetial &amp; Parking</t>
  </si>
  <si>
    <t>-</t>
  </si>
  <si>
    <t>Wing C</t>
  </si>
  <si>
    <t>1st to 7th &amp; 9th Floor For Residential</t>
  </si>
  <si>
    <t>Saleable area Loading :</t>
  </si>
  <si>
    <t>We considered Gross carpet area = Net carpet + Balcony.</t>
  </si>
  <si>
    <t>10th Floor (Part Terrace Area)</t>
  </si>
  <si>
    <t>Flats - 194</t>
  </si>
  <si>
    <t>Wing B = G + 1st to 9th Floor
Wing C = G + 1st to 10th Floor</t>
  </si>
  <si>
    <t>Wing B = G + 1st to 9th Floor</t>
  </si>
  <si>
    <t>Wing C = G + 1st to 10th Floor</t>
  </si>
  <si>
    <t>Phase II</t>
  </si>
  <si>
    <t>Phase II - Wing B &amp; C</t>
  </si>
  <si>
    <t>Ghot Road</t>
  </si>
  <si>
    <t>Ext. Plaster</t>
  </si>
  <si>
    <t>Electrification</t>
  </si>
  <si>
    <t>Terrace Area</t>
  </si>
  <si>
    <t>Mahalaxmi Cotton Mills</t>
  </si>
  <si>
    <t>Pooja</t>
  </si>
  <si>
    <t>Mr. Abhijeet : 9049011496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</si>
</sst>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"/>
    <numFmt numFmtId="169" formatCode="0.0000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9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/>
    <xf numFmtId="0" fontId="5" fillId="0" borderId="0" xfId="4"/>
    <xf numFmtId="0" fontId="2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168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2" fontId="7" fillId="0" borderId="0" xfId="1" applyNumberFormat="1" applyFont="1" applyAlignment="1">
      <alignment horizontal="center" vertical="center"/>
    </xf>
    <xf numFmtId="0" fontId="15" fillId="3" borderId="0" xfId="1" applyFont="1" applyFill="1"/>
    <xf numFmtId="14" fontId="15" fillId="3" borderId="0" xfId="1" applyNumberFormat="1" applyFont="1" applyFill="1"/>
    <xf numFmtId="0" fontId="7" fillId="3" borderId="0" xfId="1" applyFont="1" applyFill="1"/>
    <xf numFmtId="0" fontId="16" fillId="3" borderId="0" xfId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9" xfId="0" applyFont="1" applyBorder="1" applyProtection="1">
      <protection hidden="1"/>
    </xf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7" fillId="0" borderId="0" xfId="0" applyFont="1" applyAlignment="1">
      <alignment horizontal="center" vertical="center"/>
    </xf>
    <xf numFmtId="9" fontId="8" fillId="0" borderId="14" xfId="9" applyFont="1" applyBorder="1" applyAlignment="1" applyProtection="1">
      <alignment horizontal="center" vertical="top" wrapText="1"/>
      <protection locked="0"/>
    </xf>
    <xf numFmtId="9" fontId="8" fillId="0" borderId="25" xfId="9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3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9" fontId="12" fillId="0" borderId="1" xfId="9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/>
    <xf numFmtId="0" fontId="25" fillId="0" borderId="7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9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1" fillId="0" borderId="1" xfId="1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6" xfId="1" applyFont="1" applyFill="1" applyBorder="1" applyAlignment="1" applyProtection="1">
      <alignment horizontal="left" vertical="top" wrapText="1"/>
      <protection locked="0"/>
    </xf>
    <xf numFmtId="0" fontId="12" fillId="2" borderId="17" xfId="1" applyFont="1" applyFill="1" applyBorder="1" applyAlignment="1" applyProtection="1">
      <alignment horizontal="left" vertical="top" wrapText="1"/>
      <protection locked="0"/>
    </xf>
    <xf numFmtId="0" fontId="12" fillId="2" borderId="7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2" fillId="0" borderId="1" xfId="8" applyBorder="1" applyAlignment="1" applyProtection="1">
      <alignment horizontal="left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5">
    <cellStyle name="Comma 2" xfId="6"/>
    <cellStyle name="Comma 2 2" xfId="13"/>
    <cellStyle name="Comma 3" xfId="14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2 2" xfId="11"/>
    <cellStyle name="Normal 3" xfId="1"/>
    <cellStyle name="Normal 3 2" xfId="10"/>
    <cellStyle name="Normal 3 3" xfId="7"/>
    <cellStyle name="Normal 4" xfId="5"/>
    <cellStyle name="Normal 4 2" xfId="12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248479</xdr:colOff>
      <xdr:row>254</xdr:row>
      <xdr:rowOff>16566</xdr:rowOff>
    </xdr:from>
    <xdr:to>
      <xdr:col>6</xdr:col>
      <xdr:colOff>531391</xdr:colOff>
      <xdr:row>268</xdr:row>
      <xdr:rowOff>113609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0479" y="48105392"/>
          <a:ext cx="443249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248479</xdr:colOff>
      <xdr:row>269</xdr:row>
      <xdr:rowOff>71600</xdr:rowOff>
    </xdr:from>
    <xdr:to>
      <xdr:col>6</xdr:col>
      <xdr:colOff>536557</xdr:colOff>
      <xdr:row>283</xdr:row>
      <xdr:rowOff>168643</xdr:rowOff>
    </xdr:to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0479" y="51142165"/>
          <a:ext cx="443766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803097</xdr:colOff>
      <xdr:row>274</xdr:row>
      <xdr:rowOff>69200</xdr:rowOff>
    </xdr:from>
    <xdr:to>
      <xdr:col>4</xdr:col>
      <xdr:colOff>148595</xdr:colOff>
      <xdr:row>279</xdr:row>
      <xdr:rowOff>31248</xdr:rowOff>
    </xdr:to>
    <xdr:sp macro="" textlink="">
      <xdr:nvSpPr>
        <xdr:cNvPr id="2" name="Rectangle 1"/>
        <xdr:cNvSpPr/>
      </xdr:nvSpPr>
      <xdr:spPr>
        <a:xfrm rot="20409178">
          <a:off x="3213336" y="52133678"/>
          <a:ext cx="289716" cy="955961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275739</xdr:colOff>
      <xdr:row>276</xdr:row>
      <xdr:rowOff>126595</xdr:rowOff>
    </xdr:from>
    <xdr:to>
      <xdr:col>5</xdr:col>
      <xdr:colOff>138750</xdr:colOff>
      <xdr:row>278</xdr:row>
      <xdr:rowOff>18745</xdr:rowOff>
    </xdr:to>
    <xdr:sp macro="" textlink="">
      <xdr:nvSpPr>
        <xdr:cNvPr id="26" name="Rectangle 25"/>
        <xdr:cNvSpPr/>
      </xdr:nvSpPr>
      <xdr:spPr>
        <a:xfrm rot="4057461">
          <a:off x="3806126" y="52412708"/>
          <a:ext cx="289716" cy="64157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107674</xdr:colOff>
      <xdr:row>274</xdr:row>
      <xdr:rowOff>46751</xdr:rowOff>
    </xdr:from>
    <xdr:to>
      <xdr:col>4</xdr:col>
      <xdr:colOff>749250</xdr:colOff>
      <xdr:row>275</xdr:row>
      <xdr:rowOff>137684</xdr:rowOff>
    </xdr:to>
    <xdr:sp macro="" textlink="">
      <xdr:nvSpPr>
        <xdr:cNvPr id="27" name="Rectangle 26"/>
        <xdr:cNvSpPr/>
      </xdr:nvSpPr>
      <xdr:spPr>
        <a:xfrm rot="4057461">
          <a:off x="3638061" y="51935299"/>
          <a:ext cx="289716" cy="64157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815836</xdr:colOff>
      <xdr:row>275</xdr:row>
      <xdr:rowOff>45556</xdr:rowOff>
    </xdr:from>
    <xdr:to>
      <xdr:col>4</xdr:col>
      <xdr:colOff>153226</xdr:colOff>
      <xdr:row>278</xdr:row>
      <xdr:rowOff>53838</xdr:rowOff>
    </xdr:to>
    <xdr:sp macro="" textlink="">
      <xdr:nvSpPr>
        <xdr:cNvPr id="3" name="TextBox 2"/>
        <xdr:cNvSpPr txBox="1"/>
      </xdr:nvSpPr>
      <xdr:spPr>
        <a:xfrm rot="4107385">
          <a:off x="3064564" y="52470328"/>
          <a:ext cx="604630" cy="28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100" b="1">
              <a:solidFill>
                <a:srgbClr val="FFFF00"/>
              </a:solidFill>
            </a:rPr>
            <a:t>Wing A</a:t>
          </a:r>
        </a:p>
      </xdr:txBody>
    </xdr:sp>
    <xdr:clientData/>
  </xdr:twoCellAnchor>
  <xdr:twoCellAnchor>
    <xdr:from>
      <xdr:col>4</xdr:col>
      <xdr:colOff>269186</xdr:colOff>
      <xdr:row>276</xdr:row>
      <xdr:rowOff>150285</xdr:rowOff>
    </xdr:from>
    <xdr:to>
      <xdr:col>5</xdr:col>
      <xdr:colOff>95251</xdr:colOff>
      <xdr:row>278</xdr:row>
      <xdr:rowOff>34327</xdr:rowOff>
    </xdr:to>
    <xdr:sp macro="" textlink="">
      <xdr:nvSpPr>
        <xdr:cNvPr id="28" name="TextBox 27"/>
        <xdr:cNvSpPr txBox="1"/>
      </xdr:nvSpPr>
      <xdr:spPr>
        <a:xfrm rot="20323455">
          <a:off x="3623643" y="52612328"/>
          <a:ext cx="604630" cy="28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100" b="1">
              <a:solidFill>
                <a:srgbClr val="FFFF00"/>
              </a:solidFill>
            </a:rPr>
            <a:t>Wing C</a:t>
          </a:r>
        </a:p>
      </xdr:txBody>
    </xdr:sp>
    <xdr:clientData/>
  </xdr:twoCellAnchor>
  <xdr:twoCellAnchor>
    <xdr:from>
      <xdr:col>4</xdr:col>
      <xdr:colOff>70404</xdr:colOff>
      <xdr:row>274</xdr:row>
      <xdr:rowOff>84024</xdr:rowOff>
    </xdr:from>
    <xdr:to>
      <xdr:col>4</xdr:col>
      <xdr:colOff>675034</xdr:colOff>
      <xdr:row>275</xdr:row>
      <xdr:rowOff>166849</xdr:rowOff>
    </xdr:to>
    <xdr:sp macro="" textlink="">
      <xdr:nvSpPr>
        <xdr:cNvPr id="36" name="TextBox 35"/>
        <xdr:cNvSpPr txBox="1"/>
      </xdr:nvSpPr>
      <xdr:spPr>
        <a:xfrm rot="20223448">
          <a:off x="3424861" y="52148502"/>
          <a:ext cx="604630" cy="28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100" b="1">
              <a:solidFill>
                <a:srgbClr val="FFFF00"/>
              </a:solidFill>
            </a:rPr>
            <a:t>Wing B</a:t>
          </a:r>
        </a:p>
      </xdr:txBody>
    </xdr:sp>
    <xdr:clientData/>
  </xdr:twoCellAnchor>
  <xdr:twoCellAnchor>
    <xdr:from>
      <xdr:col>8</xdr:col>
      <xdr:colOff>982759</xdr:colOff>
      <xdr:row>220</xdr:row>
      <xdr:rowOff>45630</xdr:rowOff>
    </xdr:from>
    <xdr:to>
      <xdr:col>9</xdr:col>
      <xdr:colOff>471194</xdr:colOff>
      <xdr:row>221</xdr:row>
      <xdr:rowOff>134848</xdr:rowOff>
    </xdr:to>
    <xdr:sp macro="" textlink="">
      <xdr:nvSpPr>
        <xdr:cNvPr id="103" name="TextBox 102"/>
        <xdr:cNvSpPr txBox="1"/>
      </xdr:nvSpPr>
      <xdr:spPr>
        <a:xfrm>
          <a:off x="7501172" y="41798260"/>
          <a:ext cx="648000" cy="288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twoCellAnchor>
  <xdr:twoCellAnchor>
    <xdr:from>
      <xdr:col>0</xdr:col>
      <xdr:colOff>190500</xdr:colOff>
      <xdr:row>210</xdr:row>
      <xdr:rowOff>95250</xdr:rowOff>
    </xdr:from>
    <xdr:to>
      <xdr:col>7</xdr:col>
      <xdr:colOff>657474</xdr:colOff>
      <xdr:row>249</xdr:row>
      <xdr:rowOff>135881</xdr:rowOff>
    </xdr:to>
    <xdr:grpSp>
      <xdr:nvGrpSpPr>
        <xdr:cNvPr id="5" name="Group 4"/>
        <xdr:cNvGrpSpPr/>
      </xdr:nvGrpSpPr>
      <xdr:grpSpPr>
        <a:xfrm>
          <a:off x="190500" y="40316150"/>
          <a:ext cx="6442324" cy="7711431"/>
          <a:chOff x="190500" y="40119300"/>
          <a:chExt cx="6442324" cy="7711431"/>
        </a:xfrm>
      </xdr:grpSpPr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4820" y="4581473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29696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2960" y="429696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6731" y="4012456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6730" y="429696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2961" y="40119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7243" y="4581473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089" y="4581473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9666" y="4581473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1" y="4012456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TextBox 45"/>
          <xdr:cNvSpPr txBox="1"/>
        </xdr:nvSpPr>
        <xdr:spPr>
          <a:xfrm>
            <a:off x="1212851" y="40245211"/>
            <a:ext cx="707635" cy="286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7" name="TextBox 46"/>
          <xdr:cNvSpPr txBox="1"/>
        </xdr:nvSpPr>
        <xdr:spPr>
          <a:xfrm>
            <a:off x="2901081" y="40467461"/>
            <a:ext cx="707635" cy="286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8" name="TextBox 47"/>
          <xdr:cNvSpPr txBox="1"/>
        </xdr:nvSpPr>
        <xdr:spPr>
          <a:xfrm>
            <a:off x="5249711" y="40170100"/>
            <a:ext cx="707635" cy="286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9" name="TextBox 48"/>
          <xdr:cNvSpPr txBox="1"/>
        </xdr:nvSpPr>
        <xdr:spPr>
          <a:xfrm>
            <a:off x="552450" y="43014096"/>
            <a:ext cx="707635" cy="286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2501030" y="43033146"/>
            <a:ext cx="707635" cy="286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417979</xdr:colOff>
      <xdr:row>29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675283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627530</xdr:colOff>
      <xdr:row>14</xdr:row>
      <xdr:rowOff>27772</xdr:rowOff>
    </xdr:from>
    <xdr:to>
      <xdr:col>10</xdr:col>
      <xdr:colOff>469293</xdr:colOff>
      <xdr:row>29</xdr:row>
      <xdr:rowOff>50272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6706" y="2705978"/>
          <a:ext cx="513094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o1D4zhPywMfY8u98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53"/>
  <sheetViews>
    <sheetView tabSelected="1" view="pageBreakPreview" topLeftCell="A70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7265625" style="16" customWidth="1"/>
    <col min="4" max="4" width="14.1796875" style="16" customWidth="1"/>
    <col min="5" max="7" width="11.7265625" style="16" customWidth="1"/>
    <col min="8" max="8" width="12.453125" style="16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1.81640625" style="8" bestFit="1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09" t="s">
        <v>200</v>
      </c>
      <c r="B1" s="109"/>
      <c r="C1" s="109"/>
      <c r="D1" s="109"/>
      <c r="E1" s="109"/>
      <c r="F1" s="109"/>
      <c r="G1" s="109"/>
      <c r="H1" s="109"/>
    </row>
    <row r="2" spans="1:8" ht="16.5" customHeight="1" x14ac:dyDescent="0.3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8" x14ac:dyDescent="0.35">
      <c r="A3" s="110" t="s">
        <v>1</v>
      </c>
      <c r="B3" s="110"/>
      <c r="C3" s="110"/>
      <c r="D3" s="110"/>
      <c r="E3" s="164" t="str">
        <f ca="1">TEXT(TODAY(),"DD/MM/YYYY")</f>
        <v>16/07/2025</v>
      </c>
      <c r="F3" s="164"/>
      <c r="G3" s="164"/>
      <c r="H3" s="164"/>
    </row>
    <row r="4" spans="1:8" x14ac:dyDescent="0.35">
      <c r="A4" s="155" t="s">
        <v>2</v>
      </c>
      <c r="B4" s="155"/>
      <c r="C4" s="155"/>
      <c r="D4" s="155"/>
      <c r="E4" s="166" t="s">
        <v>204</v>
      </c>
      <c r="F4" s="166"/>
      <c r="G4" s="166"/>
      <c r="H4" s="166"/>
    </row>
    <row r="5" spans="1:8" x14ac:dyDescent="0.35">
      <c r="A5" s="110" t="s">
        <v>3</v>
      </c>
      <c r="B5" s="110"/>
      <c r="C5" s="110"/>
      <c r="D5" s="110"/>
      <c r="E5" s="164">
        <v>45854</v>
      </c>
      <c r="F5" s="164"/>
      <c r="G5" s="164"/>
      <c r="H5" s="164"/>
    </row>
    <row r="6" spans="1:8" ht="16.5" customHeight="1" x14ac:dyDescent="0.35">
      <c r="A6" s="110" t="s">
        <v>4</v>
      </c>
      <c r="B6" s="110"/>
      <c r="C6" s="110"/>
      <c r="D6" s="110"/>
      <c r="E6" s="115" t="s">
        <v>238</v>
      </c>
      <c r="F6" s="115"/>
      <c r="G6" s="115"/>
      <c r="H6" s="115"/>
    </row>
    <row r="7" spans="1:8" ht="15" customHeight="1" x14ac:dyDescent="0.35">
      <c r="A7" s="110" t="s">
        <v>5</v>
      </c>
      <c r="B7" s="110"/>
      <c r="C7" s="110"/>
      <c r="D7" s="110"/>
      <c r="E7" s="115" t="str">
        <f>E6</f>
        <v>Mahalaxmi Cotton Mills</v>
      </c>
      <c r="F7" s="115"/>
      <c r="G7" s="115"/>
      <c r="H7" s="115"/>
    </row>
    <row r="8" spans="1:8" x14ac:dyDescent="0.35">
      <c r="A8" s="110" t="s">
        <v>6</v>
      </c>
      <c r="B8" s="110"/>
      <c r="C8" s="110"/>
      <c r="D8" s="110"/>
      <c r="E8" s="165" t="s">
        <v>207</v>
      </c>
      <c r="F8" s="125"/>
      <c r="G8" s="125"/>
      <c r="H8" s="125"/>
    </row>
    <row r="9" spans="1:8" x14ac:dyDescent="0.35">
      <c r="A9" s="110" t="s">
        <v>202</v>
      </c>
      <c r="B9" s="110"/>
      <c r="C9" s="110"/>
      <c r="D9" s="110"/>
      <c r="E9" s="110" t="s">
        <v>203</v>
      </c>
      <c r="F9" s="110"/>
      <c r="G9" s="110"/>
      <c r="H9" s="110"/>
    </row>
    <row r="10" spans="1:8" x14ac:dyDescent="0.35">
      <c r="A10" s="110" t="s">
        <v>201</v>
      </c>
      <c r="B10" s="110"/>
      <c r="C10" s="110"/>
      <c r="D10" s="110"/>
      <c r="E10" s="110" t="s">
        <v>240</v>
      </c>
      <c r="F10" s="110"/>
      <c r="G10" s="110"/>
      <c r="H10" s="110"/>
    </row>
    <row r="11" spans="1:8" ht="15.75" customHeight="1" x14ac:dyDescent="0.35">
      <c r="A11" s="92" t="s">
        <v>7</v>
      </c>
      <c r="B11" s="92"/>
      <c r="C11" s="92"/>
      <c r="D11" s="92"/>
      <c r="E11" s="158" t="s">
        <v>233</v>
      </c>
      <c r="F11" s="92"/>
      <c r="G11" s="92"/>
      <c r="H11" s="92"/>
    </row>
    <row r="12" spans="1:8" x14ac:dyDescent="0.35">
      <c r="A12" s="155" t="s">
        <v>8</v>
      </c>
      <c r="B12" s="155"/>
      <c r="C12" s="155"/>
      <c r="D12" s="155"/>
      <c r="E12" s="158" t="s">
        <v>206</v>
      </c>
      <c r="F12" s="158"/>
      <c r="G12" s="158"/>
      <c r="H12" s="158"/>
    </row>
    <row r="13" spans="1:8" x14ac:dyDescent="0.35">
      <c r="A13" s="155" t="s">
        <v>9</v>
      </c>
      <c r="B13" s="155"/>
      <c r="C13" s="155"/>
      <c r="D13" s="155"/>
      <c r="E13" s="158" t="s">
        <v>205</v>
      </c>
      <c r="F13" s="92"/>
      <c r="G13" s="92"/>
      <c r="H13" s="92"/>
    </row>
    <row r="14" spans="1:8" ht="48.75" customHeight="1" x14ac:dyDescent="0.35">
      <c r="A14" s="115" t="s">
        <v>10</v>
      </c>
      <c r="B14" s="115"/>
      <c r="C14" s="11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",(IF(OR(G17="",G17="NA"),"",G17)),", ",(IF(OR(G18="",G18="NA"),"",G18)),".")</f>
        <v>Arihant Anant Phase II, Gut No.112/11/14/5 &amp; 112/12/15/5 (P), near Simran Majestic CHS Ltd, Ghot Road, Taloje Majkur, Taloja Panchanand, Panvel, Raigad, 410208.</v>
      </c>
      <c r="D14" s="115"/>
      <c r="E14" s="115"/>
      <c r="F14" s="115"/>
      <c r="G14" s="115"/>
      <c r="H14" s="115"/>
    </row>
    <row r="15" spans="1:8" x14ac:dyDescent="0.35">
      <c r="A15" s="115" t="s">
        <v>183</v>
      </c>
      <c r="B15" s="115"/>
      <c r="C15" s="158" t="s">
        <v>212</v>
      </c>
      <c r="D15" s="158"/>
      <c r="E15" s="158"/>
      <c r="F15" s="158"/>
      <c r="G15" s="158"/>
      <c r="H15" s="158"/>
    </row>
    <row r="16" spans="1:8" ht="15.75" customHeight="1" x14ac:dyDescent="0.35">
      <c r="A16" s="115" t="s">
        <v>11</v>
      </c>
      <c r="B16" s="115"/>
      <c r="C16" s="92" t="s">
        <v>234</v>
      </c>
      <c r="D16" s="92"/>
      <c r="E16" s="115" t="s">
        <v>101</v>
      </c>
      <c r="F16" s="115"/>
      <c r="G16" s="158" t="s">
        <v>184</v>
      </c>
      <c r="H16" s="158"/>
    </row>
    <row r="17" spans="1:8" x14ac:dyDescent="0.35">
      <c r="A17" s="110" t="s">
        <v>13</v>
      </c>
      <c r="B17" s="110"/>
      <c r="C17" s="158" t="s">
        <v>193</v>
      </c>
      <c r="D17" s="158"/>
      <c r="E17" s="115" t="s">
        <v>12</v>
      </c>
      <c r="F17" s="115"/>
      <c r="G17" s="167" t="s">
        <v>192</v>
      </c>
      <c r="H17" s="167"/>
    </row>
    <row r="18" spans="1:8" x14ac:dyDescent="0.35">
      <c r="A18" s="110" t="s">
        <v>102</v>
      </c>
      <c r="B18" s="110"/>
      <c r="C18" s="158" t="s">
        <v>185</v>
      </c>
      <c r="D18" s="158"/>
      <c r="E18" s="115" t="s">
        <v>14</v>
      </c>
      <c r="F18" s="115"/>
      <c r="G18" s="158">
        <v>410208</v>
      </c>
      <c r="H18" s="158"/>
    </row>
    <row r="19" spans="1:8" ht="32.25" customHeight="1" x14ac:dyDescent="0.35">
      <c r="A19" s="110" t="s">
        <v>159</v>
      </c>
      <c r="B19" s="110"/>
      <c r="C19" s="168" t="s">
        <v>186</v>
      </c>
      <c r="D19" s="168"/>
      <c r="E19" s="115" t="s">
        <v>15</v>
      </c>
      <c r="F19" s="115"/>
      <c r="G19" s="158" t="s">
        <v>211</v>
      </c>
      <c r="H19" s="158"/>
    </row>
    <row r="20" spans="1:8" ht="15" customHeight="1" x14ac:dyDescent="0.35">
      <c r="A20" s="115" t="s">
        <v>107</v>
      </c>
      <c r="B20" s="115"/>
      <c r="C20" s="115"/>
      <c r="D20" s="115"/>
      <c r="E20" s="92" t="s">
        <v>16</v>
      </c>
      <c r="F20" s="92"/>
      <c r="G20" s="92"/>
      <c r="H20" s="92"/>
    </row>
    <row r="21" spans="1:8" ht="18.75" customHeight="1" x14ac:dyDescent="0.35">
      <c r="A21" s="115"/>
      <c r="B21" s="115"/>
      <c r="C21" s="115"/>
      <c r="D21" s="115"/>
      <c r="E21" s="92"/>
      <c r="F21" s="92"/>
      <c r="G21" s="92"/>
      <c r="H21" s="92"/>
    </row>
    <row r="22" spans="1:8" ht="15" customHeight="1" x14ac:dyDescent="0.35">
      <c r="A22" s="115" t="s">
        <v>17</v>
      </c>
      <c r="B22" s="115"/>
      <c r="C22" s="115"/>
      <c r="D22" s="115"/>
      <c r="E22" s="158" t="s">
        <v>18</v>
      </c>
      <c r="F22" s="158"/>
      <c r="G22" s="158"/>
      <c r="H22" s="158"/>
    </row>
    <row r="23" spans="1:8" ht="15" customHeight="1" x14ac:dyDescent="0.35">
      <c r="A23" s="110" t="s">
        <v>19</v>
      </c>
      <c r="B23" s="110"/>
      <c r="C23" s="110"/>
      <c r="D23" s="110"/>
      <c r="E23" s="158" t="str">
        <f>IF(AND(G17="Mumbai"),"Upper Class","Middle Class")</f>
        <v>Middle Class</v>
      </c>
      <c r="F23" s="158"/>
      <c r="G23" s="158"/>
      <c r="H23" s="158"/>
    </row>
    <row r="24" spans="1:8" x14ac:dyDescent="0.35">
      <c r="A24" s="110" t="s">
        <v>20</v>
      </c>
      <c r="B24" s="110"/>
      <c r="C24" s="110"/>
      <c r="D24" s="110"/>
      <c r="E24" s="158" t="s">
        <v>21</v>
      </c>
      <c r="F24" s="158"/>
      <c r="G24" s="158"/>
      <c r="H24" s="158"/>
    </row>
    <row r="25" spans="1:8" ht="15.75" customHeight="1" x14ac:dyDescent="0.35">
      <c r="A25" s="110" t="s">
        <v>22</v>
      </c>
      <c r="B25" s="110"/>
      <c r="C25" s="110"/>
      <c r="D25" s="110"/>
      <c r="E25" s="158" t="str">
        <f>IF(AND(G17="Mumbai"),"Developed","Developing")</f>
        <v>Developing</v>
      </c>
      <c r="F25" s="158"/>
      <c r="G25" s="158"/>
      <c r="H25" s="158"/>
    </row>
    <row r="26" spans="1:8" x14ac:dyDescent="0.35">
      <c r="A26" s="110" t="s">
        <v>23</v>
      </c>
      <c r="B26" s="110"/>
      <c r="C26" s="110"/>
      <c r="D26" s="110"/>
      <c r="E26" s="158" t="s">
        <v>24</v>
      </c>
      <c r="F26" s="158"/>
      <c r="G26" s="158"/>
      <c r="H26" s="158"/>
    </row>
    <row r="27" spans="1:8" x14ac:dyDescent="0.35">
      <c r="A27" s="110" t="s">
        <v>114</v>
      </c>
      <c r="B27" s="110"/>
      <c r="C27" s="110"/>
      <c r="D27" s="110"/>
      <c r="E27" s="158" t="s">
        <v>115</v>
      </c>
      <c r="F27" s="158"/>
      <c r="G27" s="158"/>
      <c r="H27" s="158"/>
    </row>
    <row r="28" spans="1:8" ht="15" customHeight="1" x14ac:dyDescent="0.35">
      <c r="A28" s="171" t="s">
        <v>33</v>
      </c>
      <c r="B28" s="171"/>
      <c r="C28" s="171"/>
      <c r="D28" s="171"/>
      <c r="E28" s="172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</v>
      </c>
      <c r="F28" s="172"/>
      <c r="G28" s="172"/>
      <c r="H28" s="172"/>
    </row>
    <row r="29" spans="1:8" x14ac:dyDescent="0.35">
      <c r="A29" s="115" t="s">
        <v>126</v>
      </c>
      <c r="B29" s="115"/>
      <c r="C29" s="115"/>
      <c r="D29" s="115"/>
      <c r="E29" s="115" t="s">
        <v>34</v>
      </c>
      <c r="F29" s="115"/>
      <c r="G29" s="115"/>
      <c r="H29" s="115"/>
    </row>
    <row r="30" spans="1:8" s="11" customFormat="1" x14ac:dyDescent="0.35">
      <c r="A30" s="175" t="s">
        <v>127</v>
      </c>
      <c r="B30" s="175"/>
      <c r="C30" s="174" t="s">
        <v>29</v>
      </c>
      <c r="D30" s="174"/>
      <c r="E30" s="174"/>
      <c r="F30" s="174" t="s">
        <v>31</v>
      </c>
      <c r="G30" s="174"/>
      <c r="H30" s="174"/>
    </row>
    <row r="31" spans="1:8" s="11" customFormat="1" x14ac:dyDescent="0.35">
      <c r="A31" s="169" t="s">
        <v>25</v>
      </c>
      <c r="B31" s="169" t="s">
        <v>30</v>
      </c>
      <c r="C31" s="170" t="s">
        <v>30</v>
      </c>
      <c r="D31" s="170"/>
      <c r="E31" s="170"/>
      <c r="F31" s="170" t="s">
        <v>188</v>
      </c>
      <c r="G31" s="170"/>
      <c r="H31" s="170"/>
    </row>
    <row r="32" spans="1:8" x14ac:dyDescent="0.35">
      <c r="A32" s="169" t="s">
        <v>26</v>
      </c>
      <c r="B32" s="169" t="s">
        <v>30</v>
      </c>
      <c r="C32" s="170" t="s">
        <v>30</v>
      </c>
      <c r="D32" s="170"/>
      <c r="E32" s="170"/>
      <c r="F32" s="170" t="s">
        <v>186</v>
      </c>
      <c r="G32" s="170"/>
      <c r="H32" s="170"/>
    </row>
    <row r="33" spans="1:8" s="11" customFormat="1" x14ac:dyDescent="0.35">
      <c r="A33" s="169" t="s">
        <v>28</v>
      </c>
      <c r="B33" s="169" t="s">
        <v>30</v>
      </c>
      <c r="C33" s="170" t="s">
        <v>30</v>
      </c>
      <c r="D33" s="170"/>
      <c r="E33" s="170"/>
      <c r="F33" s="170" t="s">
        <v>187</v>
      </c>
      <c r="G33" s="170"/>
      <c r="H33" s="170"/>
    </row>
    <row r="34" spans="1:8" x14ac:dyDescent="0.35">
      <c r="A34" s="169" t="s">
        <v>27</v>
      </c>
      <c r="B34" s="169" t="s">
        <v>30</v>
      </c>
      <c r="C34" s="170" t="s">
        <v>30</v>
      </c>
      <c r="D34" s="170"/>
      <c r="E34" s="170"/>
      <c r="F34" s="170" t="s">
        <v>188</v>
      </c>
      <c r="G34" s="170"/>
      <c r="H34" s="170"/>
    </row>
    <row r="35" spans="1:8" x14ac:dyDescent="0.35">
      <c r="A35" s="110" t="s">
        <v>32</v>
      </c>
      <c r="B35" s="110"/>
      <c r="C35" s="110"/>
      <c r="D35" s="110"/>
      <c r="E35" s="110"/>
      <c r="F35" s="110"/>
      <c r="G35" s="110"/>
      <c r="H35" s="110"/>
    </row>
    <row r="36" spans="1:8" ht="15.75" customHeight="1" x14ac:dyDescent="0.35">
      <c r="A36" s="142" t="s">
        <v>209</v>
      </c>
      <c r="B36" s="142"/>
      <c r="C36" s="111" t="s">
        <v>210</v>
      </c>
      <c r="D36" s="111"/>
      <c r="E36" s="111"/>
      <c r="F36" s="111"/>
      <c r="G36" s="111"/>
      <c r="H36" s="111"/>
    </row>
    <row r="37" spans="1:8" ht="15.75" customHeight="1" x14ac:dyDescent="0.35">
      <c r="A37" s="142" t="s">
        <v>198</v>
      </c>
      <c r="B37" s="142"/>
      <c r="C37" s="176" t="s">
        <v>208</v>
      </c>
      <c r="D37" s="111"/>
      <c r="E37" s="111"/>
      <c r="F37" s="111"/>
      <c r="G37" s="111"/>
      <c r="H37" s="111"/>
    </row>
    <row r="38" spans="1:8" x14ac:dyDescent="0.35">
      <c r="A38" s="125" t="s">
        <v>35</v>
      </c>
      <c r="B38" s="125"/>
      <c r="C38" s="125"/>
      <c r="D38" s="125"/>
      <c r="E38" s="125"/>
      <c r="F38" s="125"/>
      <c r="G38" s="125"/>
      <c r="H38" s="125"/>
    </row>
    <row r="39" spans="1:8" x14ac:dyDescent="0.35">
      <c r="A39" s="110" t="s">
        <v>36</v>
      </c>
      <c r="B39" s="110"/>
      <c r="C39" s="110"/>
      <c r="D39" s="110"/>
      <c r="E39" s="173">
        <v>6877.4610000000002</v>
      </c>
      <c r="F39" s="173"/>
      <c r="G39" s="173"/>
      <c r="H39" s="173"/>
    </row>
    <row r="40" spans="1:8" x14ac:dyDescent="0.35">
      <c r="A40" s="110" t="s">
        <v>37</v>
      </c>
      <c r="B40" s="110"/>
      <c r="C40" s="110"/>
      <c r="D40" s="110"/>
      <c r="E40" s="114">
        <v>1.1000000000000001</v>
      </c>
      <c r="F40" s="114"/>
      <c r="G40" s="114"/>
      <c r="H40" s="114"/>
    </row>
    <row r="41" spans="1:8" x14ac:dyDescent="0.35">
      <c r="A41" s="110" t="s">
        <v>38</v>
      </c>
      <c r="B41" s="110"/>
      <c r="C41" s="110"/>
      <c r="D41" s="110"/>
      <c r="E41" s="114">
        <f>E43/E39-E40</f>
        <v>0.39693935014680548</v>
      </c>
      <c r="F41" s="114"/>
      <c r="G41" s="114"/>
      <c r="H41" s="114"/>
    </row>
    <row r="42" spans="1:8" x14ac:dyDescent="0.35">
      <c r="A42" s="110" t="s">
        <v>39</v>
      </c>
      <c r="B42" s="110"/>
      <c r="C42" s="110"/>
      <c r="D42" s="110"/>
      <c r="E42" s="114">
        <f>E40+E41</f>
        <v>1.4969393501468056</v>
      </c>
      <c r="F42" s="114"/>
      <c r="G42" s="114"/>
      <c r="H42" s="114"/>
    </row>
    <row r="43" spans="1:8" x14ac:dyDescent="0.35">
      <c r="A43" s="110" t="s">
        <v>125</v>
      </c>
      <c r="B43" s="110"/>
      <c r="C43" s="110"/>
      <c r="D43" s="110"/>
      <c r="E43" s="154">
        <v>10295.142</v>
      </c>
      <c r="F43" s="154"/>
      <c r="G43" s="154"/>
      <c r="H43" s="154"/>
    </row>
    <row r="44" spans="1:8" x14ac:dyDescent="0.35">
      <c r="A44" s="155" t="s">
        <v>40</v>
      </c>
      <c r="B44" s="155"/>
      <c r="C44" s="155"/>
      <c r="D44" s="155"/>
      <c r="E44" s="155" t="s">
        <v>213</v>
      </c>
      <c r="F44" s="155"/>
      <c r="G44" s="155"/>
      <c r="H44" s="155"/>
    </row>
    <row r="45" spans="1:8" x14ac:dyDescent="0.35">
      <c r="A45" s="125" t="s">
        <v>41</v>
      </c>
      <c r="B45" s="125"/>
      <c r="C45" s="125"/>
      <c r="D45" s="125"/>
      <c r="E45" s="125"/>
      <c r="F45" s="125"/>
      <c r="G45" s="125"/>
      <c r="H45" s="125"/>
    </row>
    <row r="46" spans="1:8" x14ac:dyDescent="0.35">
      <c r="A46" s="115" t="s">
        <v>42</v>
      </c>
      <c r="B46" s="115"/>
      <c r="C46" s="116" t="s">
        <v>214</v>
      </c>
      <c r="D46" s="116"/>
      <c r="E46" s="116"/>
      <c r="F46" s="42" t="s">
        <v>43</v>
      </c>
      <c r="G46" s="117">
        <v>44742</v>
      </c>
      <c r="H46" s="117"/>
    </row>
    <row r="47" spans="1:8" x14ac:dyDescent="0.35">
      <c r="A47" s="110" t="s">
        <v>44</v>
      </c>
      <c r="B47" s="110"/>
      <c r="C47" s="116" t="str">
        <f>C46</f>
        <v>PMP/NRV/16097/J.K/1992/2022</v>
      </c>
      <c r="D47" s="116"/>
      <c r="E47" s="116"/>
      <c r="F47" s="42" t="s">
        <v>43</v>
      </c>
      <c r="G47" s="117">
        <f>G46</f>
        <v>44742</v>
      </c>
      <c r="H47" s="117"/>
    </row>
    <row r="48" spans="1:8" s="10" customFormat="1" ht="34.5" customHeight="1" x14ac:dyDescent="0.35">
      <c r="A48" s="158" t="s">
        <v>216</v>
      </c>
      <c r="B48" s="158"/>
      <c r="C48" s="116" t="s">
        <v>215</v>
      </c>
      <c r="D48" s="93"/>
      <c r="E48" s="93"/>
      <c r="F48" s="13" t="s">
        <v>43</v>
      </c>
      <c r="G48" s="117">
        <f>G47</f>
        <v>44742</v>
      </c>
      <c r="H48" s="117"/>
    </row>
    <row r="49" spans="1:14" s="10" customFormat="1" ht="33.75" customHeight="1" x14ac:dyDescent="0.35">
      <c r="A49" s="158"/>
      <c r="B49" s="158"/>
      <c r="C49" s="134" t="s">
        <v>220</v>
      </c>
      <c r="D49" s="135"/>
      <c r="E49" s="135"/>
      <c r="F49" s="135"/>
      <c r="G49" s="135"/>
      <c r="H49" s="136"/>
    </row>
    <row r="50" spans="1:14" x14ac:dyDescent="0.35">
      <c r="A50" s="146" t="s">
        <v>45</v>
      </c>
      <c r="B50" s="146"/>
      <c r="C50" s="121" t="s">
        <v>141</v>
      </c>
      <c r="D50" s="122"/>
      <c r="E50" s="122" t="s">
        <v>46</v>
      </c>
      <c r="F50" s="39" t="s">
        <v>43</v>
      </c>
      <c r="G50" s="133" t="s">
        <v>30</v>
      </c>
      <c r="H50" s="133"/>
    </row>
    <row r="51" spans="1:14" x14ac:dyDescent="0.35">
      <c r="A51" s="137" t="s">
        <v>48</v>
      </c>
      <c r="B51" s="137"/>
      <c r="C51" s="137"/>
      <c r="D51" s="137"/>
      <c r="E51" s="137"/>
      <c r="F51" s="137"/>
      <c r="G51" s="137"/>
      <c r="H51" s="137"/>
    </row>
    <row r="52" spans="1:14" x14ac:dyDescent="0.35">
      <c r="A52" s="115" t="s">
        <v>124</v>
      </c>
      <c r="B52" s="115"/>
      <c r="C52" s="115"/>
      <c r="D52" s="110">
        <f>E43</f>
        <v>10295.142</v>
      </c>
      <c r="E52" s="110"/>
      <c r="F52" s="110"/>
      <c r="G52" s="110"/>
      <c r="H52" s="110"/>
    </row>
    <row r="53" spans="1:14" x14ac:dyDescent="0.35">
      <c r="A53" s="158" t="s">
        <v>49</v>
      </c>
      <c r="B53" s="92"/>
      <c r="C53" s="92"/>
      <c r="D53" s="92" t="s">
        <v>228</v>
      </c>
      <c r="E53" s="92"/>
      <c r="F53" s="92"/>
      <c r="G53" s="92"/>
      <c r="H53" s="92"/>
      <c r="I53" s="36"/>
    </row>
    <row r="54" spans="1:14" ht="33" customHeight="1" x14ac:dyDescent="0.35">
      <c r="A54" s="159" t="s">
        <v>50</v>
      </c>
      <c r="B54" s="160"/>
      <c r="C54" s="187"/>
      <c r="D54" s="185" t="s">
        <v>229</v>
      </c>
      <c r="E54" s="186"/>
      <c r="F54" s="186"/>
      <c r="G54" s="186"/>
      <c r="H54" s="186"/>
    </row>
    <row r="55" spans="1:14" ht="15.75" customHeight="1" x14ac:dyDescent="0.35">
      <c r="A55" s="159" t="s">
        <v>122</v>
      </c>
      <c r="B55" s="160"/>
      <c r="C55" s="160"/>
      <c r="D55" s="118" t="s">
        <v>230</v>
      </c>
      <c r="E55" s="119"/>
      <c r="F55" s="119"/>
      <c r="G55" s="119"/>
      <c r="H55" s="120"/>
    </row>
    <row r="56" spans="1:14" ht="15.75" customHeight="1" x14ac:dyDescent="0.35">
      <c r="A56" s="161"/>
      <c r="B56" s="162"/>
      <c r="C56" s="163"/>
      <c r="D56" s="139" t="s">
        <v>231</v>
      </c>
      <c r="E56" s="140"/>
      <c r="F56" s="140"/>
      <c r="G56" s="140"/>
      <c r="H56" s="141"/>
    </row>
    <row r="57" spans="1:14" ht="15.75" customHeight="1" x14ac:dyDescent="0.35">
      <c r="A57" s="110" t="s">
        <v>47</v>
      </c>
      <c r="B57" s="110"/>
      <c r="C57" s="110"/>
      <c r="D57" s="156" t="s">
        <v>217</v>
      </c>
      <c r="E57" s="156"/>
      <c r="F57" s="156"/>
      <c r="G57" s="156"/>
      <c r="H57" s="156"/>
      <c r="J57" s="35"/>
      <c r="K57" s="36"/>
      <c r="N57" s="36"/>
    </row>
    <row r="58" spans="1:14" ht="15.75" customHeight="1" x14ac:dyDescent="0.35">
      <c r="A58" s="110" t="s">
        <v>120</v>
      </c>
      <c r="B58" s="110"/>
      <c r="C58" s="110"/>
      <c r="D58" s="157" t="str">
        <f>(IF(G50="NA","60 Years After Completion",IF(G50&lt;&gt;"NA",""&amp;60-ROUNDDOWN((E3-G50)/360,0)&amp;" Years"," ")))</f>
        <v>60 Years After Completion</v>
      </c>
      <c r="E58" s="157"/>
      <c r="F58" s="157"/>
      <c r="G58" s="157"/>
      <c r="H58" s="157"/>
      <c r="N58" s="36"/>
    </row>
    <row r="59" spans="1:14" ht="15.75" customHeight="1" x14ac:dyDescent="0.35">
      <c r="A59" s="110" t="s">
        <v>121</v>
      </c>
      <c r="B59" s="110"/>
      <c r="C59" s="110"/>
      <c r="D59" s="115" t="s">
        <v>24</v>
      </c>
      <c r="E59" s="115"/>
      <c r="F59" s="115"/>
      <c r="G59" s="115"/>
      <c r="H59" s="115"/>
      <c r="J59" s="18"/>
      <c r="K59" s="18"/>
    </row>
    <row r="60" spans="1:14" ht="15.75" customHeight="1" thickBot="1" x14ac:dyDescent="0.4">
      <c r="A60" s="186" t="s">
        <v>119</v>
      </c>
      <c r="B60" s="186"/>
      <c r="C60" s="186"/>
      <c r="D60" s="185" t="str">
        <f ca="1">(IF(G65&gt;95%,"Nothing",IF(G65&gt;0%,"Cement, Aggregate, Steel, etc",IF(#REF!=0%,"Work not yet Started"))))</f>
        <v>Cement, Aggregate, Steel, etc</v>
      </c>
      <c r="E60" s="185"/>
      <c r="F60" s="185"/>
      <c r="G60" s="185"/>
      <c r="H60" s="185"/>
      <c r="J60" s="18"/>
    </row>
    <row r="61" spans="1:14" ht="15.75" customHeight="1" x14ac:dyDescent="0.35">
      <c r="A61" s="177" t="s">
        <v>175</v>
      </c>
      <c r="B61" s="178"/>
      <c r="C61" s="179" t="str">
        <f>D55</f>
        <v>Wing B = G + 1st to 9th Floor</v>
      </c>
      <c r="D61" s="180"/>
      <c r="E61" s="180"/>
      <c r="F61" s="180"/>
      <c r="G61" s="180"/>
      <c r="H61" s="181"/>
      <c r="I61" s="66" t="str">
        <f ca="1">IF(D74=100%,"All work Completed. Possession granted to the Building.",IF(D73=100%,"All work Completed, Waiting for OC",I62&amp;""&amp;I63&amp;""&amp;J62&amp;""&amp;J61&amp;" "&amp;J63))</f>
        <v>Excavation, Plinth, RCC Slab, Brickwork, Internal Plaster, External Plaster Completed, Flooring upto 4 Floor, Electric work upto 3 Floor, Painting upto 3 Floor Completed</v>
      </c>
      <c r="J61" s="67" t="str">
        <f ca="1">(IF(C67=(D62+F62+H62),"",IF(C67&gt;0,", RCC upto "&amp;C67&amp;" Slab","")))&amp;(IF(C68=H62,"",IF(C68&gt;0,", Brickwork upto "&amp;C68&amp;" Floor","")))&amp;(IF(C69=H62,"",IF(C69&gt;0,", Internal Plaster upto "&amp;C69&amp;" Floor","")))&amp;(IF(C70=H62,"",IF(C70&gt;0,", External Plaster upto "&amp;C70&amp;" Floor","")))&amp;(IF(C71=H62,"",IF(C71&gt;0,", Flooring upto "&amp;C71&amp;" Floor","")))&amp;(IF(C72=H62,"",IF(C72&gt;0,", Electric work upto "&amp;C72&amp;" Floor","")))&amp;(IF(C73=H62,"",IF(C73&gt;0,", Painting upto "&amp;C73&amp;" Floor","")))&amp;(IF(C74=H62,"",IF(C74&gt;0,", Possession upto "&amp;C74&amp;" Floor","")))</f>
        <v>, Flooring upto 4 Floor, Electric work upto 3 Floor, Painting upto 3 Floor</v>
      </c>
    </row>
    <row r="62" spans="1:14" x14ac:dyDescent="0.35">
      <c r="A62" s="64" t="s">
        <v>177</v>
      </c>
      <c r="B62" s="65">
        <v>0</v>
      </c>
      <c r="C62" s="65" t="s">
        <v>100</v>
      </c>
      <c r="D62" s="65">
        <v>1</v>
      </c>
      <c r="E62" s="65" t="s">
        <v>99</v>
      </c>
      <c r="F62" s="65">
        <v>0</v>
      </c>
      <c r="G62" s="65" t="s">
        <v>113</v>
      </c>
      <c r="H62" s="38">
        <f ca="1">--TRIM(RIGHT(SUBSTITUTE(LEFT(C61,_xlfn.AGGREGATE(16,6,FIND({0,1,2,3,4,5,6,7,8,9},C61,ROW(INDIRECT("1:"&amp;LEN(C61)))),1))," ",REPT(" ",LEN(C61))),LEN(C61)))</f>
        <v>9</v>
      </c>
      <c r="I62" s="68" t="str">
        <f ca="1">IF(D65=100%,"Excavation","")&amp;IF(D66=100%,", Plinth","")&amp;IF(D67=100%,", RCC Slab","")&amp;IF(D68=100%,", Brickwork","")&amp;IF(D69=100%,", Internal Plaster","")&amp;IF(D70=100%,", External Plaster","")&amp;IF(D71=100%,", Flooring","")&amp;IF(D72=100%,", Electric work","")&amp;IF(D73=100%,", Painting &amp; Wodden work","")</f>
        <v>Excavation, Plinth, RCC Slab, Brickwork, Internal Plaster, External Plaster</v>
      </c>
      <c r="J62" s="69" t="str">
        <f ca="1">(IF(C65=0,"Work not yet Started.",IF(D65=25%,"Piling work in process",IF(D65=50%,"Excavation work in process",IF(D65=100%,"","0")))))&amp;(IF(C66=0%,"",IF(C66=J67,", Footing work is process",IF(C66=J68,", Footing work Completed",IF(C66=J69,", 1st Basement Completed",IF(C66=J70,", 1st &amp; 2nd Basement Completed",IF(C66=J71,", 1st to 3rd Basement Completed",IF(C66=J72,", 1st to 4th Basement Completed",IF(C66=J73,", Plinth work is process",IF(C66=J74,"","0"))))))))))</f>
        <v/>
      </c>
    </row>
    <row r="63" spans="1:14" ht="49" customHeight="1" x14ac:dyDescent="0.35">
      <c r="A63" s="182" t="s">
        <v>123</v>
      </c>
      <c r="B63" s="85"/>
      <c r="C63" s="84" t="str">
        <f ca="1">I61</f>
        <v>Excavation, Plinth, RCC Slab, Brickwork, Internal Plaster, External Plaster Completed, Flooring upto 4 Floor, Electric work upto 3 Floor, Painting upto 3 Floor Completed</v>
      </c>
      <c r="D63" s="84"/>
      <c r="E63" s="84"/>
      <c r="F63" s="84"/>
      <c r="G63" s="84"/>
      <c r="H63" s="183"/>
      <c r="I63" s="68" t="str">
        <f ca="1">IF(I62&lt;&gt;""," Completed","")</f>
        <v xml:space="preserve"> Completed</v>
      </c>
      <c r="J63" s="69" t="str">
        <f ca="1">IF(J61&lt;&gt;"","Completed","")</f>
        <v>Completed</v>
      </c>
    </row>
    <row r="64" spans="1:14" ht="15.75" customHeight="1" x14ac:dyDescent="0.35">
      <c r="A64" s="184" t="s">
        <v>51</v>
      </c>
      <c r="B64" s="78"/>
      <c r="C64" s="63" t="s">
        <v>174</v>
      </c>
      <c r="D64" s="63" t="s">
        <v>116</v>
      </c>
      <c r="E64" s="78" t="s">
        <v>118</v>
      </c>
      <c r="F64" s="78"/>
      <c r="G64" s="78" t="s">
        <v>117</v>
      </c>
      <c r="H64" s="83"/>
      <c r="I64" s="51" t="s">
        <v>176</v>
      </c>
      <c r="J64" s="20">
        <f ca="1">H62*25%</f>
        <v>2.25</v>
      </c>
    </row>
    <row r="65" spans="1:10" x14ac:dyDescent="0.35">
      <c r="A65" s="78" t="s">
        <v>165</v>
      </c>
      <c r="B65" s="78"/>
      <c r="C65" s="74">
        <f ca="1">J66</f>
        <v>9</v>
      </c>
      <c r="D65" s="70">
        <f ca="1">((100/H62)*C65)/100</f>
        <v>1</v>
      </c>
      <c r="E65" s="79">
        <f ca="1">(((C66/H62*10)+(50/(D62+F62+H62)*C67)+(5/(H62)*C68)+(5/(H62)*C69)+(5/H62*C70)+(10/H62*C71)+(5/H62*C72)+(5/H62*C73)+(5/H62*C74))/100)</f>
        <v>0.82777777777777783</v>
      </c>
      <c r="F65" s="79"/>
      <c r="G65" s="79">
        <f ca="1">((((C65/H62)*20)+((C66/H62)*25)+(30/(H62+F62+D62)*C67)+(5/H62*C68)+(5/H62*C69)+(5/H62*C70)+(5/H62*C71)+(0/H62*C72)+(5/H62*C73)+(0/H62*C74))/100)</f>
        <v>0.93888888888888899</v>
      </c>
      <c r="H65" s="79"/>
      <c r="I65" s="51" t="s">
        <v>136</v>
      </c>
      <c r="J65" s="53">
        <f ca="1">H62*50%</f>
        <v>4.5</v>
      </c>
    </row>
    <row r="66" spans="1:10" x14ac:dyDescent="0.35">
      <c r="A66" s="78" t="s">
        <v>52</v>
      </c>
      <c r="B66" s="78"/>
      <c r="C66" s="71">
        <f ca="1">J74</f>
        <v>9</v>
      </c>
      <c r="D66" s="70">
        <f ca="1">((100/H62)*C66)/100</f>
        <v>1</v>
      </c>
      <c r="E66" s="79"/>
      <c r="F66" s="79"/>
      <c r="G66" s="79"/>
      <c r="H66" s="79"/>
      <c r="I66" s="51" t="s">
        <v>137</v>
      </c>
      <c r="J66" s="53">
        <f ca="1">H62</f>
        <v>9</v>
      </c>
    </row>
    <row r="67" spans="1:10" ht="15.75" customHeight="1" x14ac:dyDescent="0.35">
      <c r="A67" s="78" t="s">
        <v>166</v>
      </c>
      <c r="B67" s="78"/>
      <c r="C67" s="74">
        <v>10</v>
      </c>
      <c r="D67" s="70">
        <f ca="1">((100/(D62+F62+H62))*C67)/100</f>
        <v>1</v>
      </c>
      <c r="E67" s="79"/>
      <c r="F67" s="79"/>
      <c r="G67" s="79"/>
      <c r="H67" s="79"/>
      <c r="I67" s="51" t="s">
        <v>138</v>
      </c>
      <c r="J67" s="54">
        <f ca="1">(IF(B62&gt;1,(H62/(B62+2)),H62/4))</f>
        <v>2.25</v>
      </c>
    </row>
    <row r="68" spans="1:10" ht="15.75" customHeight="1" x14ac:dyDescent="0.35">
      <c r="A68" s="78" t="s">
        <v>171</v>
      </c>
      <c r="B68" s="78" t="s">
        <v>167</v>
      </c>
      <c r="C68" s="74">
        <v>9</v>
      </c>
      <c r="D68" s="70">
        <f ca="1">((100/H62)*C68)/100</f>
        <v>1</v>
      </c>
      <c r="E68" s="79"/>
      <c r="F68" s="79"/>
      <c r="G68" s="79"/>
      <c r="H68" s="79"/>
      <c r="I68" s="51" t="s">
        <v>139</v>
      </c>
      <c r="J68" s="54">
        <f ca="1">(IF(B62&gt;1,(H62/(B62+2)+J67),H62/4+J67))</f>
        <v>4.5</v>
      </c>
    </row>
    <row r="69" spans="1:10" ht="15.75" customHeight="1" x14ac:dyDescent="0.35">
      <c r="A69" s="78" t="s">
        <v>172</v>
      </c>
      <c r="B69" s="78" t="s">
        <v>167</v>
      </c>
      <c r="C69" s="74">
        <v>9</v>
      </c>
      <c r="D69" s="70">
        <f ca="1">((100/H62)*C69)/100</f>
        <v>1</v>
      </c>
      <c r="E69" s="79"/>
      <c r="F69" s="79"/>
      <c r="G69" s="79"/>
      <c r="H69" s="79"/>
      <c r="I69" s="51" t="s">
        <v>181</v>
      </c>
      <c r="J69" s="54">
        <f>(IF(B62&gt;1,(H62/(B62+2)+J68),0))</f>
        <v>0</v>
      </c>
    </row>
    <row r="70" spans="1:10" ht="15" customHeight="1" x14ac:dyDescent="0.35">
      <c r="A70" s="78" t="s">
        <v>235</v>
      </c>
      <c r="B70" s="78" t="s">
        <v>169</v>
      </c>
      <c r="C70" s="74">
        <v>9</v>
      </c>
      <c r="D70" s="70">
        <f ca="1">((100/(H62))*C70)/100</f>
        <v>1</v>
      </c>
      <c r="E70" s="79"/>
      <c r="F70" s="79"/>
      <c r="G70" s="79"/>
      <c r="H70" s="79"/>
      <c r="I70" s="51" t="s">
        <v>178</v>
      </c>
      <c r="J70" s="54">
        <f>(IF(B62&gt;2,(H62/(B62+2)+J69),0))</f>
        <v>0</v>
      </c>
    </row>
    <row r="71" spans="1:10" ht="15.75" customHeight="1" x14ac:dyDescent="0.35">
      <c r="A71" s="78" t="s">
        <v>168</v>
      </c>
      <c r="B71" s="78" t="s">
        <v>168</v>
      </c>
      <c r="C71" s="74">
        <v>4</v>
      </c>
      <c r="D71" s="70">
        <f ca="1">((100/H62)*C71)/100</f>
        <v>0.44444444444444442</v>
      </c>
      <c r="E71" s="79"/>
      <c r="F71" s="79"/>
      <c r="G71" s="79"/>
      <c r="H71" s="79"/>
      <c r="I71" s="51" t="s">
        <v>179</v>
      </c>
      <c r="J71" s="55">
        <f>(IF(B62&gt;3,(H62/(B62+2)+J70),0))</f>
        <v>0</v>
      </c>
    </row>
    <row r="72" spans="1:10" ht="15.75" customHeight="1" x14ac:dyDescent="0.35">
      <c r="A72" s="78" t="s">
        <v>236</v>
      </c>
      <c r="B72" s="78"/>
      <c r="C72" s="74">
        <v>3</v>
      </c>
      <c r="D72" s="70">
        <f ca="1">((100/H62)*C72)/100</f>
        <v>0.33333333333333326</v>
      </c>
      <c r="E72" s="79"/>
      <c r="F72" s="79"/>
      <c r="G72" s="79"/>
      <c r="H72" s="79"/>
      <c r="I72" s="51" t="s">
        <v>180</v>
      </c>
      <c r="J72" s="54">
        <f>(IF(B62&gt;4,(H62/(B62+2)+J71),0))</f>
        <v>0</v>
      </c>
    </row>
    <row r="73" spans="1:10" ht="15.75" customHeight="1" x14ac:dyDescent="0.35">
      <c r="A73" s="78" t="s">
        <v>173</v>
      </c>
      <c r="B73" s="78"/>
      <c r="C73" s="74">
        <v>3</v>
      </c>
      <c r="D73" s="70">
        <f ca="1">((100/(H62))*C73)/100</f>
        <v>0.33333333333333326</v>
      </c>
      <c r="E73" s="79"/>
      <c r="F73" s="79"/>
      <c r="G73" s="79"/>
      <c r="H73" s="79"/>
      <c r="I73" s="51" t="s">
        <v>182</v>
      </c>
      <c r="J73" s="54">
        <f ca="1">(IF(B62=1,(H62/(B62+3)+J68),IF(B62=0,(H62/4+J68),IF(B62&gt;1,0))))</f>
        <v>6.75</v>
      </c>
    </row>
    <row r="74" spans="1:10" ht="16" thickBot="1" x14ac:dyDescent="0.4">
      <c r="A74" s="78" t="s">
        <v>170</v>
      </c>
      <c r="B74" s="78"/>
      <c r="C74" s="74">
        <v>0</v>
      </c>
      <c r="D74" s="70">
        <f ca="1">((100/(H62))*C74)/100</f>
        <v>0</v>
      </c>
      <c r="E74" s="79"/>
      <c r="F74" s="79"/>
      <c r="G74" s="79"/>
      <c r="H74" s="79"/>
      <c r="I74" s="52" t="s">
        <v>140</v>
      </c>
      <c r="J74" s="56">
        <f ca="1">(IF(B62&gt;1.5,(H62/(B62+2)+J68+MAX(0,J69-J68)+MAX(0,J70-J69)+MAX(0,J71-J70)+MAX(0,J72-J71)+MAX(0,J73-J72)),IF(B62=1,(H62/(B62+3)+J73),IF(B62=0,H62/4+J73))))</f>
        <v>9</v>
      </c>
    </row>
    <row r="75" spans="1:10" ht="15.75" customHeight="1" x14ac:dyDescent="0.35">
      <c r="A75" s="84" t="s">
        <v>175</v>
      </c>
      <c r="B75" s="84"/>
      <c r="C75" s="84" t="str">
        <f>D56</f>
        <v>Wing C = G + 1st to 10th Floor</v>
      </c>
      <c r="D75" s="84"/>
      <c r="E75" s="84"/>
      <c r="F75" s="84"/>
      <c r="G75" s="84"/>
      <c r="H75" s="84"/>
      <c r="I75" s="76" t="str">
        <f ca="1">IF(D88=100%,"All work Completed. Possession granted to the Building.",IF(D87=100%,"All work Completed, Waiting for OC",I76&amp;""&amp;I77&amp;""&amp;J76&amp;""&amp;J75&amp;" "&amp;J77))</f>
        <v>Excavation, Plinth, RCC Slab, Brickwork, Internal Plaster, External Plaster Completed, Flooring upto 4 Floor, Electric work upto 3 Floor, Painting upto 3 Floor Completed</v>
      </c>
      <c r="J75" s="67" t="str">
        <f ca="1">(IF(C81=(D76+F76+H76),"",IF(C81&gt;0,", RCC upto "&amp;C81&amp;" Slab","")))&amp;(IF(C82=H76,"",IF(C82&gt;0,", Brickwork upto "&amp;C82&amp;" Floor","")))&amp;(IF(C83=H76,"",IF(C83&gt;0,", Internal Plaster upto "&amp;C83&amp;" Floor","")))&amp;(IF(C84=H76,"",IF(C84&gt;0,", External Plaster upto "&amp;C84&amp;" Floor","")))&amp;(IF(C85=H76,"",IF(C85&gt;0,", Flooring upto "&amp;C85&amp;" Floor","")))&amp;(IF(C86=H76,"",IF(C86&gt;0,", Electric work upto "&amp;C86&amp;" Floor","")))&amp;(IF(C87=H76,"",IF(C87&gt;0,", Painting upto "&amp;C87&amp;" Floor","")))&amp;(IF(C88=H76,"",IF(C88&gt;0,", Possession upto "&amp;C88&amp;" Floor","")))</f>
        <v>, Flooring upto 4 Floor, Electric work upto 3 Floor, Painting upto 3 Floor</v>
      </c>
    </row>
    <row r="76" spans="1:10" x14ac:dyDescent="0.35">
      <c r="A76" s="73" t="s">
        <v>177</v>
      </c>
      <c r="B76" s="73">
        <v>0</v>
      </c>
      <c r="C76" s="73" t="s">
        <v>100</v>
      </c>
      <c r="D76" s="73">
        <v>1</v>
      </c>
      <c r="E76" s="73" t="s">
        <v>99</v>
      </c>
      <c r="F76" s="73">
        <v>0</v>
      </c>
      <c r="G76" s="73" t="s">
        <v>113</v>
      </c>
      <c r="H76" s="73">
        <f ca="1">--TRIM(RIGHT(SUBSTITUTE(LEFT(C75,_xlfn.AGGREGATE(16,6,FIND({0,1,2,3,4,5,6,7,8,9},C75,ROW(INDIRECT("1:"&amp;LEN(C75)))),1))," ",REPT(" ",LEN(C75))),LEN(C75)))</f>
        <v>10</v>
      </c>
      <c r="I76" s="77" t="str">
        <f ca="1">IF(D79=100%,"Excavation","")&amp;IF(D80=100%,", Plinth","")&amp;IF(D81=100%,", RCC Slab","")&amp;IF(D82=100%,", Brickwork","")&amp;IF(D83=100%,", Internal Plaster","")&amp;IF(D84=100%,", External Plaster","")&amp;IF(D85=100%,", Flooring","")&amp;IF(D86=100%,", Electric work","")&amp;IF(D87=100%,", Painting &amp; Wodden work","")</f>
        <v>Excavation, Plinth, RCC Slab, Brickwork, Internal Plaster, External Plaster</v>
      </c>
      <c r="J76" s="69" t="str">
        <f ca="1">(IF(C79=0,"Work not yet Started.",IF(D79=25%,"Piling work in process",IF(D79=50%,"Excavation work in process",IF(D79=100%,"","0")))))&amp;(IF(C80=0%,"",IF(C80=J81,", Footing work is process",IF(C80=J82,", Footing work Completed",IF(C80=J83,", 1st Basement Completed",IF(C80=J84,", 1st &amp; 2nd Basement Completed",IF(C80=J85,", 1st to 3rd Basement Completed",IF(C80=J86,", 1st to 4th Basement Completed",IF(C80=J87,", Plinth work is process",IF(C80=J88,"","0"))))))))))</f>
        <v/>
      </c>
    </row>
    <row r="77" spans="1:10" ht="47" customHeight="1" x14ac:dyDescent="0.35">
      <c r="A77" s="85" t="s">
        <v>123</v>
      </c>
      <c r="B77" s="85"/>
      <c r="C77" s="84" t="str">
        <f ca="1">I75</f>
        <v>Excavation, Plinth, RCC Slab, Brickwork, Internal Plaster, External Plaster Completed, Flooring upto 4 Floor, Electric work upto 3 Floor, Painting upto 3 Floor Completed</v>
      </c>
      <c r="D77" s="84"/>
      <c r="E77" s="84"/>
      <c r="F77" s="84"/>
      <c r="G77" s="84"/>
      <c r="H77" s="84"/>
      <c r="I77" s="77" t="str">
        <f ca="1">IF(I76&lt;&gt;""," Completed","")</f>
        <v xml:space="preserve"> Completed</v>
      </c>
      <c r="J77" s="69" t="str">
        <f ca="1">IF(J75&lt;&gt;"","Completed","")</f>
        <v>Completed</v>
      </c>
    </row>
    <row r="78" spans="1:10" ht="15.75" customHeight="1" x14ac:dyDescent="0.35">
      <c r="A78" s="78" t="s">
        <v>51</v>
      </c>
      <c r="B78" s="78"/>
      <c r="C78" s="74" t="s">
        <v>174</v>
      </c>
      <c r="D78" s="74" t="s">
        <v>116</v>
      </c>
      <c r="E78" s="78" t="s">
        <v>118</v>
      </c>
      <c r="F78" s="78"/>
      <c r="G78" s="78" t="s">
        <v>117</v>
      </c>
      <c r="H78" s="78"/>
      <c r="I78" s="51" t="s">
        <v>176</v>
      </c>
      <c r="J78" s="20">
        <f ca="1">H76*25%</f>
        <v>2.5</v>
      </c>
    </row>
    <row r="79" spans="1:10" x14ac:dyDescent="0.35">
      <c r="A79" s="78" t="s">
        <v>165</v>
      </c>
      <c r="B79" s="78"/>
      <c r="C79" s="74">
        <f ca="1">J80</f>
        <v>10</v>
      </c>
      <c r="D79" s="70">
        <f ca="1">((100/H76)*C79)/100</f>
        <v>1</v>
      </c>
      <c r="E79" s="79">
        <f ca="1">(((C80/H76*10)+(50/(D76+F76+H76)*C81)+(5/(H76)*C82)+(5/(H76)*C83)+(5/H76*C84)+(10/H76*C85)+(5/H76*C86)+(5/H76*C87)+(5/H76*C88))/100)</f>
        <v>0.82</v>
      </c>
      <c r="F79" s="79"/>
      <c r="G79" s="79">
        <f ca="1">((((C79/H76)*20)+((C80/H76)*25)+(30/(H76+F76+D76)*C81)+(5/H76*C82)+(5/H76*C83)+(5/H76*C84)+(5/H76*C85)+(0/H76*C86)+(5/H76*C87)+(0/H76*C88))/100)</f>
        <v>0.93500000000000005</v>
      </c>
      <c r="H79" s="79"/>
      <c r="I79" s="51" t="s">
        <v>136</v>
      </c>
      <c r="J79" s="53">
        <f ca="1">H76*50%</f>
        <v>5</v>
      </c>
    </row>
    <row r="80" spans="1:10" x14ac:dyDescent="0.35">
      <c r="A80" s="78" t="s">
        <v>52</v>
      </c>
      <c r="B80" s="78"/>
      <c r="C80" s="71">
        <f ca="1">J88</f>
        <v>10</v>
      </c>
      <c r="D80" s="70">
        <f ca="1">((100/H76)*C80)/100</f>
        <v>1</v>
      </c>
      <c r="E80" s="79"/>
      <c r="F80" s="79"/>
      <c r="G80" s="79"/>
      <c r="H80" s="79"/>
      <c r="I80" s="51" t="s">
        <v>137</v>
      </c>
      <c r="J80" s="53">
        <f ca="1">H76</f>
        <v>10</v>
      </c>
    </row>
    <row r="81" spans="1:12" ht="15.75" customHeight="1" x14ac:dyDescent="0.35">
      <c r="A81" s="78" t="s">
        <v>166</v>
      </c>
      <c r="B81" s="78"/>
      <c r="C81" s="74">
        <v>11</v>
      </c>
      <c r="D81" s="70">
        <f ca="1">((100/(D76+F76+H76))*C81)/100</f>
        <v>1.0000000000000002</v>
      </c>
      <c r="E81" s="79"/>
      <c r="F81" s="79"/>
      <c r="G81" s="79"/>
      <c r="H81" s="79"/>
      <c r="I81" s="51" t="s">
        <v>138</v>
      </c>
      <c r="J81" s="54">
        <f ca="1">(IF(B76&gt;1,(H76/(B76+2)),H76/4))</f>
        <v>2.5</v>
      </c>
    </row>
    <row r="82" spans="1:12" ht="15.75" customHeight="1" x14ac:dyDescent="0.35">
      <c r="A82" s="78" t="s">
        <v>171</v>
      </c>
      <c r="B82" s="78" t="s">
        <v>167</v>
      </c>
      <c r="C82" s="74">
        <v>10</v>
      </c>
      <c r="D82" s="70">
        <f ca="1">((100/H76)*C82)/100</f>
        <v>1</v>
      </c>
      <c r="E82" s="79"/>
      <c r="F82" s="79"/>
      <c r="G82" s="79"/>
      <c r="H82" s="79"/>
      <c r="I82" s="51" t="s">
        <v>139</v>
      </c>
      <c r="J82" s="54">
        <f ca="1">(IF(B76&gt;1,(H76/(B76+2)+J81),H76/4+J81))</f>
        <v>5</v>
      </c>
    </row>
    <row r="83" spans="1:12" ht="15.75" customHeight="1" x14ac:dyDescent="0.35">
      <c r="A83" s="78" t="s">
        <v>172</v>
      </c>
      <c r="B83" s="78" t="s">
        <v>167</v>
      </c>
      <c r="C83" s="74">
        <v>10</v>
      </c>
      <c r="D83" s="70">
        <f ca="1">((100/H76)*C83)/100</f>
        <v>1</v>
      </c>
      <c r="E83" s="79"/>
      <c r="F83" s="79"/>
      <c r="G83" s="79"/>
      <c r="H83" s="79"/>
      <c r="I83" s="51" t="s">
        <v>181</v>
      </c>
      <c r="J83" s="54">
        <f>(IF(B76&gt;1,(H76/(B76+2)+J82),0))</f>
        <v>0</v>
      </c>
    </row>
    <row r="84" spans="1:12" ht="15" customHeight="1" x14ac:dyDescent="0.35">
      <c r="A84" s="78" t="s">
        <v>235</v>
      </c>
      <c r="B84" s="78" t="s">
        <v>169</v>
      </c>
      <c r="C84" s="74">
        <v>10</v>
      </c>
      <c r="D84" s="70">
        <f ca="1">((100/(H76))*C84)/100</f>
        <v>1</v>
      </c>
      <c r="E84" s="79"/>
      <c r="F84" s="79"/>
      <c r="G84" s="79"/>
      <c r="H84" s="79"/>
      <c r="I84" s="51" t="s">
        <v>178</v>
      </c>
      <c r="J84" s="54">
        <f>(IF(B76&gt;2,(H76/(B76+2)+J83),0))</f>
        <v>0</v>
      </c>
    </row>
    <row r="85" spans="1:12" ht="15.75" customHeight="1" x14ac:dyDescent="0.35">
      <c r="A85" s="78" t="s">
        <v>168</v>
      </c>
      <c r="B85" s="78" t="s">
        <v>168</v>
      </c>
      <c r="C85" s="74">
        <v>4</v>
      </c>
      <c r="D85" s="70">
        <f ca="1">((100/H76)*C85)/100</f>
        <v>0.4</v>
      </c>
      <c r="E85" s="79"/>
      <c r="F85" s="79"/>
      <c r="G85" s="79"/>
      <c r="H85" s="79"/>
      <c r="I85" s="51" t="s">
        <v>179</v>
      </c>
      <c r="J85" s="55">
        <f>(IF(B76&gt;3,(H76/(B76+2)+J84),0))</f>
        <v>0</v>
      </c>
    </row>
    <row r="86" spans="1:12" ht="15.75" customHeight="1" x14ac:dyDescent="0.35">
      <c r="A86" s="78" t="s">
        <v>236</v>
      </c>
      <c r="B86" s="78"/>
      <c r="C86" s="74">
        <v>3</v>
      </c>
      <c r="D86" s="70">
        <f ca="1">((100/H76)*C86)/100</f>
        <v>0.3</v>
      </c>
      <c r="E86" s="79"/>
      <c r="F86" s="79"/>
      <c r="G86" s="79"/>
      <c r="H86" s="79"/>
      <c r="I86" s="51" t="s">
        <v>180</v>
      </c>
      <c r="J86" s="54">
        <f>(IF(B76&gt;4,(H76/(B76+2)+J85),0))</f>
        <v>0</v>
      </c>
    </row>
    <row r="87" spans="1:12" ht="15.75" customHeight="1" x14ac:dyDescent="0.35">
      <c r="A87" s="78" t="s">
        <v>173</v>
      </c>
      <c r="B87" s="78"/>
      <c r="C87" s="74">
        <v>3</v>
      </c>
      <c r="D87" s="70">
        <f ca="1">((100/(H76))*C87)/100</f>
        <v>0.3</v>
      </c>
      <c r="E87" s="79"/>
      <c r="F87" s="79"/>
      <c r="G87" s="79"/>
      <c r="H87" s="79"/>
      <c r="I87" s="51" t="s">
        <v>182</v>
      </c>
      <c r="J87" s="54">
        <f ca="1">(IF(B76=1,(H76/(B76+3)+J82),IF(B76=0,(H76/4+J82),IF(B76&gt;1,0))))</f>
        <v>7.5</v>
      </c>
    </row>
    <row r="88" spans="1:12" ht="16" thickBot="1" x14ac:dyDescent="0.4">
      <c r="A88" s="78" t="s">
        <v>170</v>
      </c>
      <c r="B88" s="78"/>
      <c r="C88" s="74">
        <v>0</v>
      </c>
      <c r="D88" s="70">
        <f ca="1">((100/(H76))*C88)/100</f>
        <v>0</v>
      </c>
      <c r="E88" s="79"/>
      <c r="F88" s="79"/>
      <c r="G88" s="79"/>
      <c r="H88" s="79"/>
      <c r="I88" s="52" t="s">
        <v>140</v>
      </c>
      <c r="J88" s="56">
        <f ca="1">(IF(B76&gt;1.5,(H76/(B76+2)+J82+MAX(0,J83-J82)+MAX(0,J84-J83)+MAX(0,J85-J84)+MAX(0,J86-J85)+MAX(0,J87-J86)),IF(B76=1,(H76/(B76+3)+J87),IF(B76=0,H76/4+J87))))</f>
        <v>10</v>
      </c>
    </row>
    <row r="89" spans="1:12" x14ac:dyDescent="0.35">
      <c r="A89" s="139" t="s">
        <v>154</v>
      </c>
      <c r="B89" s="140"/>
      <c r="C89" s="140"/>
      <c r="D89" s="140"/>
      <c r="E89" s="141"/>
      <c r="F89" s="139" t="str">
        <f ca="1">(IF(D60="Nothing","Yes",IF(D60="Cement, Aggregate, Steel, etc","Under Construction",IF(D60="Work not yet Started","Work not yet Started"))))</f>
        <v>Under Construction</v>
      </c>
      <c r="G89" s="140"/>
      <c r="H89" s="141"/>
    </row>
    <row r="90" spans="1:12" x14ac:dyDescent="0.35">
      <c r="A90" s="110" t="s">
        <v>53</v>
      </c>
      <c r="B90" s="110"/>
      <c r="C90" s="110"/>
      <c r="D90" s="110"/>
      <c r="E90" s="110"/>
      <c r="F90" s="110"/>
      <c r="G90" s="110"/>
      <c r="H90" s="110"/>
    </row>
    <row r="91" spans="1:12" ht="15" customHeight="1" x14ac:dyDescent="0.35">
      <c r="A91" s="85" t="s">
        <v>103</v>
      </c>
      <c r="B91" s="85"/>
      <c r="C91" s="84" t="s">
        <v>104</v>
      </c>
      <c r="D91" s="84"/>
      <c r="E91" s="84"/>
      <c r="F91" s="84"/>
      <c r="G91" s="84"/>
      <c r="H91" s="84"/>
    </row>
    <row r="92" spans="1:12" x14ac:dyDescent="0.35">
      <c r="A92" s="125" t="s">
        <v>54</v>
      </c>
      <c r="B92" s="125"/>
      <c r="C92" s="125"/>
      <c r="D92" s="125"/>
      <c r="E92" s="125"/>
      <c r="F92" s="125"/>
      <c r="G92" s="125"/>
      <c r="H92" s="125"/>
    </row>
    <row r="93" spans="1:12" s="11" customFormat="1" x14ac:dyDescent="0.35">
      <c r="A93" s="92" t="s">
        <v>105</v>
      </c>
      <c r="B93" s="92"/>
      <c r="C93" s="92"/>
      <c r="D93" s="92"/>
      <c r="E93" s="92"/>
      <c r="F93" s="93">
        <v>5100</v>
      </c>
      <c r="G93" s="93"/>
      <c r="H93" s="93"/>
      <c r="I93" s="44"/>
      <c r="J93" s="44"/>
      <c r="K93" s="44"/>
      <c r="L93" s="45"/>
    </row>
    <row r="94" spans="1:12" s="11" customFormat="1" x14ac:dyDescent="0.35">
      <c r="A94" s="92" t="s">
        <v>111</v>
      </c>
      <c r="B94" s="92"/>
      <c r="C94" s="92"/>
      <c r="D94" s="92"/>
      <c r="E94" s="92"/>
      <c r="F94" s="93">
        <v>8500</v>
      </c>
      <c r="G94" s="93"/>
      <c r="H94" s="93"/>
      <c r="J94" s="44"/>
    </row>
    <row r="95" spans="1:12" hidden="1" x14ac:dyDescent="0.35">
      <c r="A95" s="92" t="s">
        <v>112</v>
      </c>
      <c r="B95" s="92"/>
      <c r="C95" s="92"/>
      <c r="D95" s="92"/>
      <c r="E95" s="92"/>
      <c r="F95" s="93"/>
      <c r="G95" s="93"/>
      <c r="H95" s="93"/>
      <c r="J95" s="46"/>
    </row>
    <row r="96" spans="1:12" s="12" customFormat="1" hidden="1" x14ac:dyDescent="0.3">
      <c r="A96" s="92" t="s">
        <v>128</v>
      </c>
      <c r="B96" s="92"/>
      <c r="C96" s="92"/>
      <c r="D96" s="92"/>
      <c r="E96" s="92"/>
      <c r="F96" s="93" t="s">
        <v>30</v>
      </c>
      <c r="G96" s="93"/>
      <c r="H96" s="93"/>
      <c r="J96" s="47"/>
    </row>
    <row r="97" spans="1:12" s="12" customFormat="1" hidden="1" x14ac:dyDescent="0.3">
      <c r="A97" s="92" t="s">
        <v>129</v>
      </c>
      <c r="B97" s="92"/>
      <c r="C97" s="92"/>
      <c r="D97" s="92"/>
      <c r="E97" s="92"/>
      <c r="F97" s="93" t="s">
        <v>195</v>
      </c>
      <c r="G97" s="93"/>
      <c r="H97" s="93"/>
      <c r="I97" s="47"/>
      <c r="J97" s="47"/>
      <c r="K97" s="47"/>
      <c r="L97" s="47"/>
    </row>
    <row r="98" spans="1:12" s="12" customFormat="1" hidden="1" x14ac:dyDescent="0.3">
      <c r="A98" s="92" t="s">
        <v>130</v>
      </c>
      <c r="B98" s="92"/>
      <c r="C98" s="92"/>
      <c r="D98" s="92"/>
      <c r="E98" s="92"/>
      <c r="F98" s="93" t="s">
        <v>30</v>
      </c>
      <c r="G98" s="93"/>
      <c r="H98" s="93"/>
    </row>
    <row r="99" spans="1:12" s="12" customFormat="1" hidden="1" x14ac:dyDescent="0.3">
      <c r="A99" s="92" t="s">
        <v>131</v>
      </c>
      <c r="B99" s="92"/>
      <c r="C99" s="92"/>
      <c r="D99" s="92"/>
      <c r="E99" s="92"/>
      <c r="F99" s="93" t="s">
        <v>30</v>
      </c>
      <c r="G99" s="93"/>
      <c r="H99" s="93"/>
    </row>
    <row r="100" spans="1:12" s="12" customFormat="1" hidden="1" x14ac:dyDescent="0.3">
      <c r="A100" s="92" t="s">
        <v>132</v>
      </c>
      <c r="B100" s="92"/>
      <c r="C100" s="92"/>
      <c r="D100" s="92"/>
      <c r="E100" s="92"/>
      <c r="F100" s="93" t="s">
        <v>30</v>
      </c>
      <c r="G100" s="93"/>
      <c r="H100" s="93"/>
    </row>
    <row r="101" spans="1:12" s="12" customFormat="1" hidden="1" x14ac:dyDescent="0.3">
      <c r="A101" s="92" t="s">
        <v>133</v>
      </c>
      <c r="B101" s="92"/>
      <c r="C101" s="92"/>
      <c r="D101" s="92"/>
      <c r="E101" s="92"/>
      <c r="F101" s="93" t="s">
        <v>30</v>
      </c>
      <c r="G101" s="93"/>
      <c r="H101" s="93"/>
    </row>
    <row r="102" spans="1:12" s="12" customFormat="1" hidden="1" x14ac:dyDescent="0.3">
      <c r="A102" s="92" t="s">
        <v>134</v>
      </c>
      <c r="B102" s="92"/>
      <c r="C102" s="92"/>
      <c r="D102" s="92"/>
      <c r="E102" s="92"/>
      <c r="F102" s="93" t="s">
        <v>30</v>
      </c>
      <c r="G102" s="93"/>
      <c r="H102" s="93"/>
    </row>
    <row r="103" spans="1:12" s="12" customFormat="1" hidden="1" x14ac:dyDescent="0.3">
      <c r="A103" s="92" t="s">
        <v>135</v>
      </c>
      <c r="B103" s="92"/>
      <c r="C103" s="92"/>
      <c r="D103" s="92"/>
      <c r="E103" s="92"/>
      <c r="F103" s="93" t="s">
        <v>30</v>
      </c>
      <c r="G103" s="93"/>
      <c r="H103" s="93"/>
    </row>
    <row r="104" spans="1:12" x14ac:dyDescent="0.35">
      <c r="A104" s="92" t="s">
        <v>55</v>
      </c>
      <c r="B104" s="92"/>
      <c r="C104" s="92"/>
      <c r="D104" s="92"/>
      <c r="E104" s="92"/>
      <c r="F104" s="116" t="s">
        <v>194</v>
      </c>
      <c r="G104" s="116"/>
      <c r="H104" s="116"/>
    </row>
    <row r="105" spans="1:12" s="9" customFormat="1" x14ac:dyDescent="0.35">
      <c r="A105" s="125" t="s">
        <v>56</v>
      </c>
      <c r="B105" s="125"/>
      <c r="C105" s="125"/>
      <c r="D105" s="125"/>
      <c r="E105" s="125"/>
      <c r="F105" s="93">
        <f>F93*0.8</f>
        <v>4080</v>
      </c>
      <c r="G105" s="93"/>
      <c r="H105" s="93"/>
    </row>
    <row r="106" spans="1:12" s="1" customFormat="1" ht="15.75" hidden="1" customHeight="1" x14ac:dyDescent="0.35">
      <c r="A106" s="94" t="s">
        <v>106</v>
      </c>
      <c r="B106" s="94"/>
      <c r="C106" s="94"/>
      <c r="D106" s="94"/>
      <c r="E106" s="94"/>
      <c r="F106" s="94"/>
      <c r="G106" s="94"/>
      <c r="H106" s="94"/>
    </row>
    <row r="107" spans="1:12" s="1" customFormat="1" ht="15.75" hidden="1" customHeight="1" x14ac:dyDescent="0.35">
      <c r="A107" s="124" t="s">
        <v>57</v>
      </c>
      <c r="B107" s="124"/>
      <c r="C107" s="143" t="s">
        <v>109</v>
      </c>
      <c r="D107" s="143"/>
      <c r="E107" s="138" t="s">
        <v>58</v>
      </c>
      <c r="F107" s="138"/>
      <c r="G107" s="124" t="s">
        <v>59</v>
      </c>
      <c r="H107" s="124"/>
    </row>
    <row r="108" spans="1:12" s="1" customFormat="1" hidden="1" x14ac:dyDescent="0.35">
      <c r="A108" s="97"/>
      <c r="B108" s="97"/>
      <c r="C108" s="98"/>
      <c r="D108" s="145"/>
      <c r="E108" s="96"/>
      <c r="F108" s="126"/>
      <c r="G108" s="96"/>
      <c r="H108" s="126"/>
    </row>
    <row r="109" spans="1:12" s="57" customFormat="1" hidden="1" x14ac:dyDescent="0.35">
      <c r="A109" s="97"/>
      <c r="B109" s="97"/>
      <c r="C109" s="98"/>
      <c r="D109" s="145"/>
      <c r="E109" s="96"/>
      <c r="F109" s="126"/>
      <c r="G109" s="96"/>
      <c r="H109" s="126"/>
    </row>
    <row r="110" spans="1:12" s="1" customFormat="1" x14ac:dyDescent="0.35">
      <c r="A110" s="94" t="s">
        <v>98</v>
      </c>
      <c r="B110" s="94"/>
      <c r="C110" s="94"/>
      <c r="D110" s="94"/>
      <c r="E110" s="94"/>
      <c r="F110" s="94"/>
      <c r="G110" s="94"/>
      <c r="H110" s="94"/>
    </row>
    <row r="111" spans="1:12" s="1" customFormat="1" ht="15.75" customHeight="1" x14ac:dyDescent="0.35">
      <c r="A111" s="124" t="s">
        <v>57</v>
      </c>
      <c r="B111" s="124"/>
      <c r="C111" s="143" t="s">
        <v>109</v>
      </c>
      <c r="D111" s="143"/>
      <c r="E111" s="138" t="s">
        <v>58</v>
      </c>
      <c r="F111" s="138"/>
      <c r="G111" s="124" t="s">
        <v>59</v>
      </c>
      <c r="H111" s="124"/>
    </row>
    <row r="112" spans="1:12" s="1" customFormat="1" x14ac:dyDescent="0.35">
      <c r="A112" s="97" t="s">
        <v>218</v>
      </c>
      <c r="B112" s="97"/>
      <c r="C112" s="98">
        <f>COUNT(D132:D141)*8+COUNT(D144:D152)</f>
        <v>89</v>
      </c>
      <c r="D112" s="98"/>
      <c r="E112" s="96">
        <f>SUM(D132:D141)*8+SUM(D144:D152)</f>
        <v>38984.476634999999</v>
      </c>
      <c r="F112" s="96"/>
      <c r="G112" s="96">
        <f>SUM(F132:F141)*8+SUM(F144:F152)</f>
        <v>58476.714952499991</v>
      </c>
      <c r="H112" s="96"/>
    </row>
    <row r="113" spans="1:14" s="57" customFormat="1" x14ac:dyDescent="0.35">
      <c r="A113" s="97" t="s">
        <v>223</v>
      </c>
      <c r="B113" s="97"/>
      <c r="C113" s="98">
        <f>COUNT(D156:D166)*8+COUNT(D169:D178)+COUNT(D180,D185:D190)</f>
        <v>105</v>
      </c>
      <c r="D113" s="98"/>
      <c r="E113" s="96">
        <f>SUM(D156:D166)*8+SUM(D169:D178)+SUM(D180,D185:D190)</f>
        <v>45756.687599999997</v>
      </c>
      <c r="F113" s="96"/>
      <c r="G113" s="96">
        <f>SUM(F156:F166)*8+SUM(F169:F178)+SUM(F180,F185:F190)</f>
        <v>68635.031399999993</v>
      </c>
      <c r="H113" s="96"/>
    </row>
    <row r="114" spans="1:14" s="57" customFormat="1" x14ac:dyDescent="0.35">
      <c r="A114" s="94" t="s">
        <v>61</v>
      </c>
      <c r="B114" s="94"/>
      <c r="C114" s="95">
        <f>SUM(C112:C113)</f>
        <v>194</v>
      </c>
      <c r="D114" s="95"/>
      <c r="E114" s="95">
        <f t="shared" ref="E114" si="0">SUM(E112:E113)</f>
        <v>84741.164235000004</v>
      </c>
      <c r="F114" s="95"/>
      <c r="G114" s="95">
        <f t="shared" ref="G114" si="1">SUM(G112:G113)</f>
        <v>127111.74635249999</v>
      </c>
      <c r="H114" s="95"/>
    </row>
    <row r="115" spans="1:14" s="9" customFormat="1" x14ac:dyDescent="0.35">
      <c r="A115" s="142" t="s">
        <v>62</v>
      </c>
      <c r="B115" s="142"/>
      <c r="C115" s="142"/>
      <c r="D115" s="142"/>
      <c r="E115" s="142"/>
      <c r="F115" s="142"/>
      <c r="G115" s="142"/>
      <c r="H115" s="142"/>
    </row>
    <row r="116" spans="1:14" x14ac:dyDescent="0.35">
      <c r="A116" s="144" t="s">
        <v>63</v>
      </c>
      <c r="B116" s="142"/>
      <c r="C116" s="142"/>
      <c r="D116" s="142"/>
      <c r="E116" s="142"/>
      <c r="F116" s="144"/>
      <c r="G116" s="142"/>
      <c r="H116" s="142"/>
    </row>
    <row r="117" spans="1:14" ht="47.25" hidden="1" customHeight="1" x14ac:dyDescent="0.35">
      <c r="A117" s="81" t="s">
        <v>156</v>
      </c>
      <c r="B117" s="81" t="s">
        <v>155</v>
      </c>
      <c r="C117" s="81" t="s">
        <v>64</v>
      </c>
      <c r="D117" s="81" t="s">
        <v>65</v>
      </c>
      <c r="E117" s="112" t="s">
        <v>66</v>
      </c>
      <c r="F117" s="34" t="s">
        <v>225</v>
      </c>
      <c r="G117" s="105" t="s">
        <v>67</v>
      </c>
      <c r="H117" s="106"/>
    </row>
    <row r="118" spans="1:14" s="50" customFormat="1" hidden="1" x14ac:dyDescent="0.35">
      <c r="A118" s="82"/>
      <c r="B118" s="82"/>
      <c r="C118" s="82"/>
      <c r="D118" s="82"/>
      <c r="E118" s="107"/>
      <c r="F118" s="58">
        <v>0.55000000000000004</v>
      </c>
      <c r="G118" s="113"/>
      <c r="H118" s="108"/>
      <c r="J118" s="43"/>
    </row>
    <row r="119" spans="1:14" s="2" customFormat="1" hidden="1" x14ac:dyDescent="0.35">
      <c r="A119" s="130" t="s">
        <v>221</v>
      </c>
      <c r="B119" s="131"/>
      <c r="C119" s="131"/>
      <c r="D119" s="131"/>
      <c r="E119" s="131"/>
      <c r="F119" s="131"/>
      <c r="G119" s="131"/>
      <c r="H119" s="132"/>
      <c r="J119" s="43"/>
    </row>
    <row r="120" spans="1:14" s="2" customFormat="1" hidden="1" x14ac:dyDescent="0.35">
      <c r="A120" s="86">
        <v>1</v>
      </c>
      <c r="B120" s="89"/>
      <c r="C120" s="19"/>
      <c r="D120" s="19"/>
      <c r="E120" s="19">
        <f>D120/3</f>
        <v>0</v>
      </c>
      <c r="F120" s="19">
        <f>(D120+E120)*(($F$118)+1)</f>
        <v>0</v>
      </c>
      <c r="G120" s="86" t="str">
        <f>A119</f>
        <v>Ground Floor For Commetial &amp; Parking</v>
      </c>
      <c r="H120" s="89"/>
      <c r="I120" s="33"/>
      <c r="J120" s="43"/>
      <c r="L120" s="80"/>
      <c r="M120" s="80"/>
      <c r="N120" s="33"/>
    </row>
    <row r="121" spans="1:14" s="2" customFormat="1" hidden="1" x14ac:dyDescent="0.35">
      <c r="A121" s="86">
        <f t="shared" ref="A121:A124" si="2">A120+1</f>
        <v>2</v>
      </c>
      <c r="B121" s="89"/>
      <c r="C121" s="19"/>
      <c r="D121" s="19"/>
      <c r="E121" s="48">
        <f t="shared" ref="E121:E124" si="3">D121/3</f>
        <v>0</v>
      </c>
      <c r="F121" s="49">
        <f t="shared" ref="F121:F124" si="4">(D121+E121)*(($F$118)+1)</f>
        <v>0</v>
      </c>
      <c r="G121" s="86" t="str">
        <f t="shared" ref="G121:G124" si="5">G120</f>
        <v>Ground Floor For Commetial &amp; Parking</v>
      </c>
      <c r="H121" s="89"/>
      <c r="I121" s="33"/>
      <c r="J121" s="43"/>
      <c r="L121" s="80"/>
      <c r="M121" s="80"/>
      <c r="N121" s="33"/>
    </row>
    <row r="122" spans="1:14" s="2" customFormat="1" hidden="1" x14ac:dyDescent="0.35">
      <c r="A122" s="86">
        <f t="shared" si="2"/>
        <v>3</v>
      </c>
      <c r="B122" s="89"/>
      <c r="C122" s="19"/>
      <c r="D122" s="19"/>
      <c r="E122" s="48">
        <f t="shared" si="3"/>
        <v>0</v>
      </c>
      <c r="F122" s="49">
        <f t="shared" si="4"/>
        <v>0</v>
      </c>
      <c r="G122" s="86" t="str">
        <f t="shared" si="5"/>
        <v>Ground Floor For Commetial &amp; Parking</v>
      </c>
      <c r="H122" s="89"/>
      <c r="I122" s="33"/>
      <c r="J122" s="43"/>
      <c r="L122" s="80"/>
      <c r="M122" s="80"/>
      <c r="N122" s="33"/>
    </row>
    <row r="123" spans="1:14" s="2" customFormat="1" hidden="1" x14ac:dyDescent="0.35">
      <c r="A123" s="86">
        <f t="shared" si="2"/>
        <v>4</v>
      </c>
      <c r="B123" s="89"/>
      <c r="C123" s="19"/>
      <c r="D123" s="19"/>
      <c r="E123" s="48">
        <f t="shared" si="3"/>
        <v>0</v>
      </c>
      <c r="F123" s="49">
        <f t="shared" si="4"/>
        <v>0</v>
      </c>
      <c r="G123" s="86" t="str">
        <f t="shared" si="5"/>
        <v>Ground Floor For Commetial &amp; Parking</v>
      </c>
      <c r="H123" s="89"/>
      <c r="I123" s="33"/>
      <c r="J123" s="43"/>
      <c r="L123" s="80"/>
      <c r="M123" s="80"/>
      <c r="N123" s="33"/>
    </row>
    <row r="124" spans="1:14" s="2" customFormat="1" hidden="1" x14ac:dyDescent="0.35">
      <c r="A124" s="86">
        <f t="shared" si="2"/>
        <v>5</v>
      </c>
      <c r="B124" s="89"/>
      <c r="C124" s="19"/>
      <c r="D124" s="19"/>
      <c r="E124" s="48">
        <f t="shared" si="3"/>
        <v>0</v>
      </c>
      <c r="F124" s="49">
        <f t="shared" si="4"/>
        <v>0</v>
      </c>
      <c r="G124" s="86" t="str">
        <f t="shared" si="5"/>
        <v>Ground Floor For Commetial &amp; Parking</v>
      </c>
      <c r="H124" s="89"/>
      <c r="I124" s="33"/>
      <c r="J124" s="43"/>
      <c r="L124" s="80"/>
      <c r="M124" s="80"/>
      <c r="N124" s="33"/>
    </row>
    <row r="125" spans="1:14" s="2" customFormat="1" hidden="1" x14ac:dyDescent="0.35">
      <c r="A125" s="86"/>
      <c r="B125" s="87"/>
      <c r="C125" s="87"/>
      <c r="D125" s="87"/>
      <c r="E125" s="87"/>
      <c r="F125" s="88"/>
      <c r="G125" s="87"/>
      <c r="H125" s="89"/>
      <c r="I125" s="33"/>
      <c r="N125" s="33"/>
    </row>
    <row r="126" spans="1:14" ht="47.25" customHeight="1" x14ac:dyDescent="0.35">
      <c r="A126" s="81" t="s">
        <v>157</v>
      </c>
      <c r="B126" s="81" t="s">
        <v>158</v>
      </c>
      <c r="C126" s="81" t="s">
        <v>64</v>
      </c>
      <c r="D126" s="81" t="s">
        <v>65</v>
      </c>
      <c r="E126" s="112" t="s">
        <v>66</v>
      </c>
      <c r="F126" s="34" t="s">
        <v>225</v>
      </c>
      <c r="G126" s="105" t="s">
        <v>67</v>
      </c>
      <c r="H126" s="106"/>
      <c r="I126" s="33"/>
    </row>
    <row r="127" spans="1:14" s="50" customFormat="1" x14ac:dyDescent="0.35">
      <c r="A127" s="82"/>
      <c r="B127" s="82"/>
      <c r="C127" s="82"/>
      <c r="D127" s="82"/>
      <c r="E127" s="82"/>
      <c r="F127" s="59">
        <v>0.5</v>
      </c>
      <c r="G127" s="107"/>
      <c r="H127" s="108"/>
      <c r="I127" s="33"/>
      <c r="L127" s="80"/>
      <c r="M127" s="80"/>
    </row>
    <row r="128" spans="1:14" s="60" customFormat="1" x14ac:dyDescent="0.35">
      <c r="A128" s="91" t="s">
        <v>232</v>
      </c>
      <c r="B128" s="91"/>
      <c r="C128" s="91"/>
      <c r="D128" s="91"/>
      <c r="E128" s="91"/>
      <c r="F128" s="91"/>
      <c r="G128" s="91"/>
      <c r="H128" s="91"/>
      <c r="I128" s="33"/>
      <c r="L128" s="80"/>
      <c r="M128" s="80"/>
    </row>
    <row r="129" spans="1:16" s="50" customFormat="1" x14ac:dyDescent="0.35">
      <c r="A129" s="91" t="s">
        <v>218</v>
      </c>
      <c r="B129" s="91"/>
      <c r="C129" s="91"/>
      <c r="D129" s="91"/>
      <c r="E129" s="91"/>
      <c r="F129" s="91"/>
      <c r="G129" s="91"/>
      <c r="H129" s="91"/>
      <c r="I129" s="33"/>
      <c r="L129" s="80"/>
      <c r="M129" s="80"/>
    </row>
    <row r="130" spans="1:16" s="50" customFormat="1" x14ac:dyDescent="0.35">
      <c r="A130" s="91" t="s">
        <v>219</v>
      </c>
      <c r="B130" s="91"/>
      <c r="C130" s="91"/>
      <c r="D130" s="91"/>
      <c r="E130" s="91"/>
      <c r="F130" s="91"/>
      <c r="G130" s="91"/>
      <c r="H130" s="91"/>
      <c r="I130" s="33"/>
      <c r="L130" s="80"/>
      <c r="M130" s="80"/>
    </row>
    <row r="131" spans="1:16" s="2" customFormat="1" x14ac:dyDescent="0.35">
      <c r="A131" s="91" t="s">
        <v>224</v>
      </c>
      <c r="B131" s="91"/>
      <c r="C131" s="91"/>
      <c r="D131" s="91"/>
      <c r="E131" s="91"/>
      <c r="F131" s="91"/>
      <c r="G131" s="91"/>
      <c r="H131" s="91"/>
      <c r="I131" s="33"/>
      <c r="L131" s="80"/>
      <c r="M131" s="80"/>
    </row>
    <row r="132" spans="1:16" s="2" customFormat="1" ht="15.75" customHeight="1" x14ac:dyDescent="0.35">
      <c r="A132" s="90">
        <v>1</v>
      </c>
      <c r="B132" s="90"/>
      <c r="C132" s="75" t="s">
        <v>190</v>
      </c>
      <c r="D132" s="61">
        <f>(3.95*3.1+2.75*2.1+2.75*3.35+1.55*0.9+1.2*1.2+1.4*0.9+2.25*1.25+0.75*2.75+0.75*1.2)*(10.764)</f>
        <v>399.37130999999999</v>
      </c>
      <c r="E132" s="75">
        <v>0</v>
      </c>
      <c r="F132" s="75">
        <f t="shared" ref="F132:F141" si="6">D132*(($F$127)+1)+(IF(E132&lt;101,E132,IF(E132&lt;201,E132/2,IF(E132&lt;=301,E132/3,E132/4))))</f>
        <v>599.05696499999999</v>
      </c>
      <c r="G132" s="90" t="str">
        <f>A131</f>
        <v>1st to 7th &amp; 9th Floor For Residential</v>
      </c>
      <c r="H132" s="90"/>
      <c r="I132" s="61">
        <f>10.764</f>
        <v>10.763999999999999</v>
      </c>
      <c r="J132" s="43"/>
      <c r="L132" s="2">
        <f>5100*F132</f>
        <v>3055190.5214999998</v>
      </c>
      <c r="M132" s="2">
        <f>3400000/F132</f>
        <v>5675.5871288467533</v>
      </c>
      <c r="N132" s="33"/>
    </row>
    <row r="133" spans="1:16" s="2" customFormat="1" ht="15.75" customHeight="1" x14ac:dyDescent="0.35">
      <c r="A133" s="90">
        <f t="shared" ref="A133:A141" si="7">A132+1</f>
        <v>2</v>
      </c>
      <c r="B133" s="90"/>
      <c r="C133" s="75" t="s">
        <v>190</v>
      </c>
      <c r="D133" s="61">
        <f t="shared" ref="D133:D136" si="8">(3.95*3.1+2.75*2.1+2.75*3.35+1.55*0.9+1.2*1.2+1.4*0.9+2.25*1.25+0.75*2.75+0.75*1.2)*(10.764)</f>
        <v>399.37130999999999</v>
      </c>
      <c r="E133" s="75">
        <v>0</v>
      </c>
      <c r="F133" s="75">
        <f t="shared" si="6"/>
        <v>599.05696499999999</v>
      </c>
      <c r="G133" s="90"/>
      <c r="H133" s="90"/>
      <c r="I133" s="33"/>
      <c r="J133" s="43"/>
      <c r="L133" s="62">
        <f t="shared" ref="L133:L141" si="9">5100*F133</f>
        <v>3055190.5214999998</v>
      </c>
      <c r="N133" s="33"/>
    </row>
    <row r="134" spans="1:16" s="2" customFormat="1" ht="15.75" customHeight="1" x14ac:dyDescent="0.35">
      <c r="A134" s="90">
        <f t="shared" si="7"/>
        <v>3</v>
      </c>
      <c r="B134" s="90"/>
      <c r="C134" s="75" t="s">
        <v>190</v>
      </c>
      <c r="D134" s="61">
        <f t="shared" si="8"/>
        <v>399.37130999999999</v>
      </c>
      <c r="E134" s="75">
        <v>0</v>
      </c>
      <c r="F134" s="75">
        <f t="shared" si="6"/>
        <v>599.05696499999999</v>
      </c>
      <c r="G134" s="90"/>
      <c r="H134" s="90"/>
      <c r="I134" s="33"/>
      <c r="J134" s="43"/>
      <c r="L134" s="62">
        <f t="shared" si="9"/>
        <v>3055190.5214999998</v>
      </c>
      <c r="N134" s="33"/>
    </row>
    <row r="135" spans="1:16" s="2" customFormat="1" ht="15.75" customHeight="1" x14ac:dyDescent="0.35">
      <c r="A135" s="90">
        <f t="shared" si="7"/>
        <v>4</v>
      </c>
      <c r="B135" s="90"/>
      <c r="C135" s="75" t="s">
        <v>190</v>
      </c>
      <c r="D135" s="61">
        <f t="shared" si="8"/>
        <v>399.37130999999999</v>
      </c>
      <c r="E135" s="75">
        <v>0</v>
      </c>
      <c r="F135" s="75">
        <f t="shared" si="6"/>
        <v>599.05696499999999</v>
      </c>
      <c r="G135" s="90"/>
      <c r="H135" s="90"/>
      <c r="I135" s="33"/>
      <c r="J135" s="43">
        <f>3150000/F135</f>
        <v>5258.2645458433153</v>
      </c>
      <c r="K135" s="2">
        <f>3150000/642</f>
        <v>4906.5420560747662</v>
      </c>
      <c r="L135" s="62">
        <f t="shared" si="9"/>
        <v>3055190.5214999998</v>
      </c>
      <c r="N135" s="33"/>
    </row>
    <row r="136" spans="1:16" s="2" customFormat="1" ht="15.75" customHeight="1" x14ac:dyDescent="0.35">
      <c r="A136" s="90">
        <f t="shared" si="7"/>
        <v>5</v>
      </c>
      <c r="B136" s="90"/>
      <c r="C136" s="75" t="s">
        <v>190</v>
      </c>
      <c r="D136" s="61">
        <f t="shared" si="8"/>
        <v>399.37130999999999</v>
      </c>
      <c r="E136" s="75">
        <v>0</v>
      </c>
      <c r="F136" s="75">
        <f t="shared" si="6"/>
        <v>599.05696499999999</v>
      </c>
      <c r="G136" s="90"/>
      <c r="H136" s="90"/>
      <c r="I136" s="33">
        <f>2.1*5.6+1*1.4</f>
        <v>13.16</v>
      </c>
      <c r="J136" s="33">
        <f>5000*F135</f>
        <v>2995284.8250000002</v>
      </c>
      <c r="L136" s="62">
        <f t="shared" si="9"/>
        <v>3055190.5214999998</v>
      </c>
      <c r="N136" s="33"/>
    </row>
    <row r="137" spans="1:16" s="50" customFormat="1" x14ac:dyDescent="0.35">
      <c r="A137" s="90">
        <f t="shared" si="7"/>
        <v>6</v>
      </c>
      <c r="B137" s="90"/>
      <c r="C137" s="75" t="s">
        <v>191</v>
      </c>
      <c r="D137" s="61">
        <f>(4.1*3.1+2.75*2.1+2.75*3.35+2.75*3.65+2.1*1.2+1.2*2.1+3*0.9+2.25*1.25+(0.75*(2.75*2.75+1.2)))*(10.764)</f>
        <v>590.50631250000004</v>
      </c>
      <c r="E137" s="75">
        <v>0</v>
      </c>
      <c r="F137" s="75">
        <f t="shared" si="6"/>
        <v>885.75946875</v>
      </c>
      <c r="G137" s="90"/>
      <c r="H137" s="90"/>
      <c r="I137" s="40"/>
      <c r="J137" s="43">
        <f>3100000/F134</f>
        <v>5174.8000292426277</v>
      </c>
      <c r="K137" s="50">
        <f>4450000/F137</f>
        <v>5023.9372617488598</v>
      </c>
      <c r="L137" s="62">
        <f t="shared" si="9"/>
        <v>4517373.2906250004</v>
      </c>
      <c r="N137" s="33"/>
    </row>
    <row r="138" spans="1:16" s="50" customFormat="1" x14ac:dyDescent="0.35">
      <c r="A138" s="90">
        <f t="shared" si="7"/>
        <v>7</v>
      </c>
      <c r="B138" s="90"/>
      <c r="C138" s="75" t="s">
        <v>191</v>
      </c>
      <c r="D138" s="61">
        <f>(4.1*3.1+2.75*2.1+2.75*3.35+2.75*3.65+2.1*1.2+1.2*2.1+3*0.9+2.25*1.25+(0.75*(2.75*2.75+1.2)))*(10.764)</f>
        <v>590.50631250000004</v>
      </c>
      <c r="E138" s="75">
        <v>0</v>
      </c>
      <c r="F138" s="75">
        <f t="shared" si="6"/>
        <v>885.75946875</v>
      </c>
      <c r="G138" s="90"/>
      <c r="H138" s="90"/>
      <c r="I138" s="33"/>
      <c r="J138" s="43">
        <v>1.34</v>
      </c>
      <c r="L138" s="62">
        <f t="shared" si="9"/>
        <v>4517373.2906250004</v>
      </c>
      <c r="N138" s="33"/>
    </row>
    <row r="139" spans="1:16" s="50" customFormat="1" x14ac:dyDescent="0.35">
      <c r="A139" s="90">
        <f t="shared" si="7"/>
        <v>8</v>
      </c>
      <c r="B139" s="90"/>
      <c r="C139" s="75" t="s">
        <v>190</v>
      </c>
      <c r="D139" s="61">
        <f>(3.95*3.1+2.75*2.1+2.75*3.35+1.55*0.9+1.2*1.2+1.4*0.9+2.25*1.25+0.75*2.75+0.75*1.2)*(10.764)</f>
        <v>399.37130999999999</v>
      </c>
      <c r="E139" s="75">
        <v>0</v>
      </c>
      <c r="F139" s="75">
        <f t="shared" si="6"/>
        <v>599.05696499999999</v>
      </c>
      <c r="G139" s="90"/>
      <c r="H139" s="90"/>
      <c r="I139" s="33"/>
      <c r="J139" s="43"/>
      <c r="L139" s="62">
        <f t="shared" si="9"/>
        <v>3055190.5214999998</v>
      </c>
      <c r="N139" s="33"/>
    </row>
    <row r="140" spans="1:16" s="50" customFormat="1" x14ac:dyDescent="0.35">
      <c r="A140" s="90">
        <f t="shared" si="7"/>
        <v>9</v>
      </c>
      <c r="B140" s="90"/>
      <c r="C140" s="75" t="s">
        <v>190</v>
      </c>
      <c r="D140" s="61">
        <f t="shared" ref="D140" si="10">(3.95*3.1+2.75*2.1+2.75*3.35+1.55*0.9+1.2*1.2+1.4*0.9+2.25*1.25+0.75*2.75+0.75*1.2)*(10.764)</f>
        <v>399.37130999999999</v>
      </c>
      <c r="E140" s="75">
        <v>0</v>
      </c>
      <c r="F140" s="75">
        <f t="shared" si="6"/>
        <v>599.05696499999999</v>
      </c>
      <c r="G140" s="90"/>
      <c r="H140" s="90"/>
      <c r="I140" s="33"/>
      <c r="J140" s="43"/>
      <c r="L140" s="62">
        <f t="shared" si="9"/>
        <v>3055190.5214999998</v>
      </c>
      <c r="N140" s="33"/>
    </row>
    <row r="141" spans="1:16" s="50" customFormat="1" x14ac:dyDescent="0.35">
      <c r="A141" s="90">
        <f t="shared" si="7"/>
        <v>10</v>
      </c>
      <c r="B141" s="90"/>
      <c r="C141" s="75" t="s">
        <v>190</v>
      </c>
      <c r="D141" s="61">
        <f>(3.95*3.1+2.75*2.1+2.75*3.35+1.55*0.9+1.2*1.2+1.4*0.9+2.25*1.25+0.75*2.75+0.75*1.2)*(10.764)</f>
        <v>399.37130999999999</v>
      </c>
      <c r="E141" s="75">
        <v>0</v>
      </c>
      <c r="F141" s="75">
        <f t="shared" si="6"/>
        <v>599.05696499999999</v>
      </c>
      <c r="G141" s="90"/>
      <c r="H141" s="90"/>
      <c r="I141" s="33"/>
      <c r="J141" s="43"/>
      <c r="L141" s="62">
        <f t="shared" si="9"/>
        <v>3055190.5214999998</v>
      </c>
      <c r="N141" s="33"/>
    </row>
    <row r="142" spans="1:16" s="2" customFormat="1" x14ac:dyDescent="0.35">
      <c r="A142" s="150" t="s">
        <v>196</v>
      </c>
      <c r="B142" s="131"/>
      <c r="C142" s="131"/>
      <c r="D142" s="131"/>
      <c r="E142" s="131"/>
      <c r="F142" s="131"/>
      <c r="G142" s="131"/>
      <c r="H142" s="132"/>
      <c r="I142" s="33"/>
    </row>
    <row r="143" spans="1:16" s="2" customFormat="1" ht="15.75" customHeight="1" x14ac:dyDescent="0.35">
      <c r="A143" s="86">
        <v>1</v>
      </c>
      <c r="B143" s="89"/>
      <c r="C143" s="19" t="s">
        <v>222</v>
      </c>
      <c r="D143" s="86" t="s">
        <v>197</v>
      </c>
      <c r="E143" s="87"/>
      <c r="F143" s="89"/>
      <c r="G143" s="99" t="str">
        <f>A142</f>
        <v>8th Floor (Part Refuge Area)</v>
      </c>
      <c r="H143" s="100"/>
      <c r="I143" s="33"/>
      <c r="N143" s="2" t="e">
        <f t="shared" ref="N143:N147" ca="1" si="11">O143&amp;""&amp;" to "&amp;""&amp;P143</f>
        <v>#REF!</v>
      </c>
      <c r="O143" s="2" t="e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</f>
        <v>#REF!</v>
      </c>
      <c r="P143" s="2">
        <f ca="1">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801</v>
      </c>
    </row>
    <row r="144" spans="1:16" s="2" customFormat="1" ht="15.75" customHeight="1" x14ac:dyDescent="0.35">
      <c r="A144" s="86">
        <f>A143+1</f>
        <v>2</v>
      </c>
      <c r="B144" s="89"/>
      <c r="C144" s="19" t="s">
        <v>190</v>
      </c>
      <c r="D144" s="61">
        <f>(3.95*3.1+2.75*2.1+2.75*3.35+1.55*0.9+1.2*1.2+1.4*0.9+2.25*1.25+0.75*2.75+0.75*1.2)*(10.764)</f>
        <v>399.37130999999999</v>
      </c>
      <c r="E144" s="19">
        <v>0</v>
      </c>
      <c r="F144" s="49">
        <f t="shared" ref="F144:F152" si="12">D144*(($F$127)+1)+(IF(E144&lt;101,E144,IF(E144&lt;201,E144/2,IF(E144&lt;=301,E144/3,E144/4))))</f>
        <v>599.05696499999999</v>
      </c>
      <c r="G144" s="101"/>
      <c r="H144" s="102"/>
      <c r="I144" s="33"/>
      <c r="N144" s="2" t="e">
        <f t="shared" ca="1" si="11"/>
        <v>#REF!</v>
      </c>
      <c r="O144" s="2" t="e">
        <f t="shared" ref="O144:P147" ca="1" si="13">O143+1</f>
        <v>#REF!</v>
      </c>
      <c r="P144" s="2">
        <f t="shared" ca="1" si="13"/>
        <v>802</v>
      </c>
    </row>
    <row r="145" spans="1:16" s="2" customFormat="1" ht="15.75" customHeight="1" x14ac:dyDescent="0.35">
      <c r="A145" s="86">
        <f t="shared" ref="A145:A147" si="14">A144+1</f>
        <v>3</v>
      </c>
      <c r="B145" s="89"/>
      <c r="C145" s="49" t="s">
        <v>190</v>
      </c>
      <c r="D145" s="61">
        <f t="shared" ref="D145" si="15">(3.95*3.1+2.75*2.1+2.75*3.35+1.55*0.9+1.2*1.2+1.4*0.9+2.25*1.25+0.75*2.75+0.75*1.2)*(10.764)</f>
        <v>399.37130999999999</v>
      </c>
      <c r="E145" s="19">
        <v>0</v>
      </c>
      <c r="F145" s="49">
        <f t="shared" si="12"/>
        <v>599.05696499999999</v>
      </c>
      <c r="G145" s="101"/>
      <c r="H145" s="102"/>
      <c r="I145" s="33"/>
      <c r="N145" s="2" t="e">
        <f t="shared" ca="1" si="11"/>
        <v>#REF!</v>
      </c>
      <c r="O145" s="2" t="e">
        <f t="shared" ca="1" si="13"/>
        <v>#REF!</v>
      </c>
      <c r="P145" s="2">
        <f t="shared" ca="1" si="13"/>
        <v>803</v>
      </c>
    </row>
    <row r="146" spans="1:16" s="2" customFormat="1" ht="15.75" customHeight="1" x14ac:dyDescent="0.35">
      <c r="A146" s="86">
        <f t="shared" si="14"/>
        <v>4</v>
      </c>
      <c r="B146" s="89"/>
      <c r="C146" s="49" t="s">
        <v>190</v>
      </c>
      <c r="D146" s="61">
        <f>(3.95*3.1+2.75*2.1+2.75*3.35+1.55*0.9+1.2*1.2+1.4*0.9+2.25*1.25+0.75*2.75+0.75*1.2)*(10.764)</f>
        <v>399.37130999999999</v>
      </c>
      <c r="E146" s="19">
        <v>0</v>
      </c>
      <c r="F146" s="49">
        <f t="shared" si="12"/>
        <v>599.05696499999999</v>
      </c>
      <c r="G146" s="101"/>
      <c r="H146" s="102"/>
      <c r="I146" s="41"/>
      <c r="N146" s="2" t="e">
        <f t="shared" ca="1" si="11"/>
        <v>#REF!</v>
      </c>
      <c r="O146" s="2" t="e">
        <f t="shared" ca="1" si="13"/>
        <v>#REF!</v>
      </c>
      <c r="P146" s="2">
        <f t="shared" ca="1" si="13"/>
        <v>804</v>
      </c>
    </row>
    <row r="147" spans="1:16" s="2" customFormat="1" ht="15.75" customHeight="1" x14ac:dyDescent="0.35">
      <c r="A147" s="86">
        <f t="shared" si="14"/>
        <v>5</v>
      </c>
      <c r="B147" s="89"/>
      <c r="C147" s="49" t="s">
        <v>190</v>
      </c>
      <c r="D147" s="61">
        <f>(3.95*3.1+2.75*2.1+2.75*3.35+1.55*0.9+1.2*1.2+1.4*0.9+2.25*1.25+0.75*2.75+0.75*1.2)*(10.764)</f>
        <v>399.37130999999999</v>
      </c>
      <c r="E147" s="19">
        <v>0</v>
      </c>
      <c r="F147" s="49">
        <f t="shared" si="12"/>
        <v>599.05696499999999</v>
      </c>
      <c r="G147" s="101"/>
      <c r="H147" s="102"/>
      <c r="I147" s="33"/>
      <c r="N147" s="2" t="e">
        <f t="shared" ca="1" si="11"/>
        <v>#REF!</v>
      </c>
      <c r="O147" s="2" t="e">
        <f t="shared" ca="1" si="13"/>
        <v>#REF!</v>
      </c>
      <c r="P147" s="2">
        <f t="shared" ca="1" si="13"/>
        <v>805</v>
      </c>
    </row>
    <row r="148" spans="1:16" s="50" customFormat="1" x14ac:dyDescent="0.35">
      <c r="A148" s="86">
        <f t="shared" ref="A148:A152" si="16">A147+1</f>
        <v>6</v>
      </c>
      <c r="B148" s="89"/>
      <c r="C148" s="49" t="s">
        <v>191</v>
      </c>
      <c r="D148" s="61">
        <f>(4.1*3.1+2.75*2.1+2.75*3.35+2.75*3.65+2.1*1.2+1.2*2.1+3*0.9+2.25*1.25+(0.75*(2.75*2.75+1.2)))*(10.764)</f>
        <v>590.50631250000004</v>
      </c>
      <c r="E148" s="49">
        <v>0</v>
      </c>
      <c r="F148" s="49">
        <f t="shared" si="12"/>
        <v>885.75946875</v>
      </c>
      <c r="G148" s="101"/>
      <c r="H148" s="102"/>
      <c r="I148" s="33"/>
      <c r="N148" s="50" t="e">
        <f t="shared" ref="N148:N152" ca="1" si="17">O148&amp;""&amp;" to "&amp;""&amp;P148</f>
        <v>#REF!</v>
      </c>
      <c r="O148" s="50" t="e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10^ROW(INDIRECT("1:"&amp;LEN((LEFT(A147,SUM(LEN(A147)-LEN(SUBSTITUTE(A147,{"0","1","2"},""))))))))/10))*100+1</f>
        <v>#REF!</v>
      </c>
      <c r="P148" s="50">
        <f ca="1">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",LEN(A147))),LEN(A147)))))))/10))*100+1</f>
        <v>501</v>
      </c>
    </row>
    <row r="149" spans="1:16" s="50" customFormat="1" x14ac:dyDescent="0.35">
      <c r="A149" s="86">
        <f t="shared" si="16"/>
        <v>7</v>
      </c>
      <c r="B149" s="89"/>
      <c r="C149" s="49" t="s">
        <v>191</v>
      </c>
      <c r="D149" s="61">
        <f>(4.1*3.1+2.75*2.1+2.75*3.35+2.75*3.65+2.1*1.2+1.2*2.1+3*0.9+2.25*1.25+(0.75*(2.75*2.75+1.2)))*(10.764)</f>
        <v>590.50631250000004</v>
      </c>
      <c r="E149" s="49">
        <v>0</v>
      </c>
      <c r="F149" s="49">
        <f t="shared" si="12"/>
        <v>885.75946875</v>
      </c>
      <c r="G149" s="101"/>
      <c r="H149" s="102"/>
      <c r="I149" s="33"/>
      <c r="N149" s="50" t="e">
        <f t="shared" ca="1" si="17"/>
        <v>#REF!</v>
      </c>
      <c r="O149" s="50" t="e">
        <f t="shared" ref="O149:P149" ca="1" si="18">O148+1</f>
        <v>#REF!</v>
      </c>
      <c r="P149" s="50">
        <f t="shared" ca="1" si="18"/>
        <v>502</v>
      </c>
    </row>
    <row r="150" spans="1:16" s="50" customFormat="1" x14ac:dyDescent="0.35">
      <c r="A150" s="86">
        <f t="shared" si="16"/>
        <v>8</v>
      </c>
      <c r="B150" s="89"/>
      <c r="C150" s="49" t="s">
        <v>190</v>
      </c>
      <c r="D150" s="61">
        <f>(3.95*3.1+2.75*2.1+2.75*3.35+1.55*0.9+1.2*1.2+1.4*0.9+2.25*1.25+0.75*2.75+0.75*1.2)*(10.764)</f>
        <v>399.37130999999999</v>
      </c>
      <c r="E150" s="49">
        <v>0</v>
      </c>
      <c r="F150" s="49">
        <f t="shared" si="12"/>
        <v>599.05696499999999</v>
      </c>
      <c r="G150" s="101"/>
      <c r="H150" s="102"/>
      <c r="I150" s="33"/>
      <c r="N150" s="50" t="e">
        <f t="shared" ca="1" si="17"/>
        <v>#REF!</v>
      </c>
      <c r="O150" s="50" t="e">
        <f t="shared" ref="O150:P150" ca="1" si="19">O149+1</f>
        <v>#REF!</v>
      </c>
      <c r="P150" s="50">
        <f t="shared" ca="1" si="19"/>
        <v>503</v>
      </c>
    </row>
    <row r="151" spans="1:16" s="50" customFormat="1" x14ac:dyDescent="0.35">
      <c r="A151" s="86">
        <f t="shared" si="16"/>
        <v>9</v>
      </c>
      <c r="B151" s="89"/>
      <c r="C151" s="49" t="s">
        <v>190</v>
      </c>
      <c r="D151" s="61">
        <f>(3.95*3.1+2.75*2.1+2.75*3.35+1.55*0.9+1.2*1.2+1.4*0.9+2.25*1.25+0.75*2.75+0.75*1.2)*(10.764)</f>
        <v>399.37130999999999</v>
      </c>
      <c r="E151" s="49">
        <v>0</v>
      </c>
      <c r="F151" s="49">
        <f t="shared" si="12"/>
        <v>599.05696499999999</v>
      </c>
      <c r="G151" s="101"/>
      <c r="H151" s="102"/>
      <c r="I151" s="41"/>
      <c r="N151" s="50" t="e">
        <f t="shared" ca="1" si="17"/>
        <v>#REF!</v>
      </c>
      <c r="O151" s="50" t="e">
        <f t="shared" ref="O151:P151" ca="1" si="20">O150+1</f>
        <v>#REF!</v>
      </c>
      <c r="P151" s="50">
        <f t="shared" ca="1" si="20"/>
        <v>504</v>
      </c>
    </row>
    <row r="152" spans="1:16" s="50" customFormat="1" x14ac:dyDescent="0.35">
      <c r="A152" s="86">
        <f t="shared" si="16"/>
        <v>10</v>
      </c>
      <c r="B152" s="89"/>
      <c r="C152" s="49" t="s">
        <v>190</v>
      </c>
      <c r="D152" s="61">
        <f>(3.95*3.1+2.75*2.1+2.75*3.35+1.55*0.9+1.2*1.2+1.4*0.9+2.25*1.25+0.75*2.75+0.75*1.2)*(10.764)</f>
        <v>399.37130999999999</v>
      </c>
      <c r="E152" s="49">
        <v>0</v>
      </c>
      <c r="F152" s="49">
        <f t="shared" si="12"/>
        <v>599.05696499999999</v>
      </c>
      <c r="G152" s="103"/>
      <c r="H152" s="104"/>
      <c r="I152" s="33"/>
      <c r="N152" s="50" t="e">
        <f t="shared" ca="1" si="17"/>
        <v>#REF!</v>
      </c>
      <c r="O152" s="50" t="e">
        <f t="shared" ref="O152:P152" ca="1" si="21">O151+1</f>
        <v>#REF!</v>
      </c>
      <c r="P152" s="50">
        <f t="shared" ca="1" si="21"/>
        <v>505</v>
      </c>
    </row>
    <row r="153" spans="1:16" s="50" customFormat="1" x14ac:dyDescent="0.35">
      <c r="A153" s="150" t="s">
        <v>223</v>
      </c>
      <c r="B153" s="131"/>
      <c r="C153" s="131"/>
      <c r="D153" s="131"/>
      <c r="E153" s="131"/>
      <c r="F153" s="131"/>
      <c r="G153" s="131"/>
      <c r="H153" s="132"/>
      <c r="I153" s="33"/>
    </row>
    <row r="154" spans="1:16" s="50" customFormat="1" x14ac:dyDescent="0.35">
      <c r="A154" s="150" t="s">
        <v>219</v>
      </c>
      <c r="B154" s="131"/>
      <c r="C154" s="131"/>
      <c r="D154" s="131"/>
      <c r="E154" s="131"/>
      <c r="F154" s="131"/>
      <c r="G154" s="131"/>
      <c r="H154" s="132"/>
      <c r="I154" s="33"/>
    </row>
    <row r="155" spans="1:16" s="50" customFormat="1" x14ac:dyDescent="0.35">
      <c r="A155" s="150" t="s">
        <v>224</v>
      </c>
      <c r="B155" s="131"/>
      <c r="C155" s="131"/>
      <c r="D155" s="131"/>
      <c r="E155" s="131"/>
      <c r="F155" s="131"/>
      <c r="G155" s="131"/>
      <c r="H155" s="132"/>
      <c r="I155" s="33"/>
    </row>
    <row r="156" spans="1:16" s="50" customFormat="1" ht="15.75" customHeight="1" x14ac:dyDescent="0.35">
      <c r="A156" s="86">
        <v>1</v>
      </c>
      <c r="B156" s="89"/>
      <c r="C156" s="49" t="s">
        <v>190</v>
      </c>
      <c r="D156" s="61">
        <f>(3.95*3.1+2.75*2.1+2.75*3.35+1.55*0.9+1.2*1.2+1.4*0.9+2.25*1.25+0.75*2.75+0.75*1.2)*(10.764)</f>
        <v>399.37130999999999</v>
      </c>
      <c r="E156" s="49">
        <v>0</v>
      </c>
      <c r="F156" s="49">
        <f t="shared" ref="F156:F166" si="22">D156*(($F$127)+1)+(IF(E156&lt;101,E156,IF(E156&lt;201,E156/2,IF(E156&lt;=301,E156/3,E156/4))))</f>
        <v>599.05696499999999</v>
      </c>
      <c r="G156" s="99" t="str">
        <f>A155</f>
        <v>1st to 7th &amp; 9th Floor For Residential</v>
      </c>
      <c r="H156" s="100"/>
      <c r="I156" s="33"/>
      <c r="N156" s="50" t="str">
        <f t="shared" ref="N156:N166" ca="1" si="23">O156&amp;""&amp;" to "&amp;""&amp;P156</f>
        <v>101 to 901</v>
      </c>
      <c r="O156" s="50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</f>
        <v>101</v>
      </c>
      <c r="P156" s="50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901</v>
      </c>
    </row>
    <row r="157" spans="1:16" s="50" customFormat="1" ht="15.75" customHeight="1" x14ac:dyDescent="0.35">
      <c r="A157" s="86">
        <f>A156+1</f>
        <v>2</v>
      </c>
      <c r="B157" s="89"/>
      <c r="C157" s="49" t="s">
        <v>190</v>
      </c>
      <c r="D157" s="61">
        <f t="shared" ref="D157:D164" si="24">(3.95*3.1+2.75*2.1+2.75*3.35+1.55*0.9+1.2*1.2+1.4*0.9+2.25*1.25+0.75*2.75+0.75*1.2)*(10.764)</f>
        <v>399.37130999999999</v>
      </c>
      <c r="E157" s="49">
        <v>0</v>
      </c>
      <c r="F157" s="49">
        <f t="shared" si="22"/>
        <v>599.05696499999999</v>
      </c>
      <c r="G157" s="101"/>
      <c r="H157" s="102"/>
      <c r="I157" s="33"/>
      <c r="N157" s="50" t="str">
        <f t="shared" ca="1" si="23"/>
        <v>102 to 902</v>
      </c>
      <c r="O157" s="50">
        <f t="shared" ref="O157:P157" ca="1" si="25">O156+1</f>
        <v>102</v>
      </c>
      <c r="P157" s="50">
        <f t="shared" ca="1" si="25"/>
        <v>902</v>
      </c>
    </row>
    <row r="158" spans="1:16" s="50" customFormat="1" ht="15.75" customHeight="1" x14ac:dyDescent="0.35">
      <c r="A158" s="86">
        <f t="shared" ref="A158:A164" si="26">A157+1</f>
        <v>3</v>
      </c>
      <c r="B158" s="89"/>
      <c r="C158" s="49" t="s">
        <v>190</v>
      </c>
      <c r="D158" s="61">
        <f t="shared" si="24"/>
        <v>399.37130999999999</v>
      </c>
      <c r="E158" s="49">
        <v>0</v>
      </c>
      <c r="F158" s="49">
        <f t="shared" si="22"/>
        <v>599.05696499999999</v>
      </c>
      <c r="G158" s="101"/>
      <c r="H158" s="102"/>
      <c r="I158" s="33"/>
      <c r="N158" s="50" t="str">
        <f t="shared" ca="1" si="23"/>
        <v>103 to 903</v>
      </c>
      <c r="O158" s="50">
        <f t="shared" ref="O158:P158" ca="1" si="27">O157+1</f>
        <v>103</v>
      </c>
      <c r="P158" s="50">
        <f t="shared" ca="1" si="27"/>
        <v>903</v>
      </c>
    </row>
    <row r="159" spans="1:16" s="50" customFormat="1" ht="15.75" customHeight="1" x14ac:dyDescent="0.35">
      <c r="A159" s="86">
        <f t="shared" si="26"/>
        <v>4</v>
      </c>
      <c r="B159" s="89"/>
      <c r="C159" s="49" t="s">
        <v>190</v>
      </c>
      <c r="D159" s="61">
        <f t="shared" si="24"/>
        <v>399.37130999999999</v>
      </c>
      <c r="E159" s="49">
        <v>0</v>
      </c>
      <c r="F159" s="49">
        <f t="shared" si="22"/>
        <v>599.05696499999999</v>
      </c>
      <c r="G159" s="101"/>
      <c r="H159" s="102"/>
      <c r="I159" s="41"/>
      <c r="N159" s="50" t="str">
        <f t="shared" ca="1" si="23"/>
        <v>104 to 904</v>
      </c>
      <c r="O159" s="50">
        <f t="shared" ref="O159:P159" ca="1" si="28">O158+1</f>
        <v>104</v>
      </c>
      <c r="P159" s="50">
        <f t="shared" ca="1" si="28"/>
        <v>904</v>
      </c>
    </row>
    <row r="160" spans="1:16" s="50" customFormat="1" ht="15.75" customHeight="1" x14ac:dyDescent="0.35">
      <c r="A160" s="86">
        <f t="shared" si="26"/>
        <v>5</v>
      </c>
      <c r="B160" s="89"/>
      <c r="C160" s="49" t="s">
        <v>190</v>
      </c>
      <c r="D160" s="61">
        <f t="shared" si="24"/>
        <v>399.37130999999999</v>
      </c>
      <c r="E160" s="49">
        <v>0</v>
      </c>
      <c r="F160" s="49">
        <f t="shared" si="22"/>
        <v>599.05696499999999</v>
      </c>
      <c r="G160" s="101"/>
      <c r="H160" s="102"/>
      <c r="I160" s="33"/>
      <c r="N160" s="50" t="str">
        <f t="shared" ca="1" si="23"/>
        <v>105 to 905</v>
      </c>
      <c r="O160" s="50">
        <f t="shared" ref="O160:P160" ca="1" si="29">O159+1</f>
        <v>105</v>
      </c>
      <c r="P160" s="50">
        <f t="shared" ca="1" si="29"/>
        <v>905</v>
      </c>
    </row>
    <row r="161" spans="1:16" s="50" customFormat="1" x14ac:dyDescent="0.35">
      <c r="A161" s="86">
        <f t="shared" si="26"/>
        <v>6</v>
      </c>
      <c r="B161" s="89"/>
      <c r="C161" s="49" t="s">
        <v>190</v>
      </c>
      <c r="D161" s="61">
        <f t="shared" si="24"/>
        <v>399.37130999999999</v>
      </c>
      <c r="E161" s="49">
        <v>0</v>
      </c>
      <c r="F161" s="49">
        <f t="shared" si="22"/>
        <v>599.05696499999999</v>
      </c>
      <c r="G161" s="101"/>
      <c r="H161" s="102"/>
      <c r="I161" s="33"/>
      <c r="N161" s="50" t="e">
        <f t="shared" ca="1" si="23"/>
        <v>#REF!</v>
      </c>
      <c r="O161" s="50" t="e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10^ROW(INDIRECT("1:"&amp;LEN((LEFT(A160,SUM(LEN(A160)-LEN(SUBSTITUTE(A160,{"0","1","2"},""))))))))/10))*100+1</f>
        <v>#REF!</v>
      </c>
      <c r="P161" s="50">
        <f ca="1">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",LEN(A160))),LEN(A160)))))))/10))*100+1</f>
        <v>501</v>
      </c>
    </row>
    <row r="162" spans="1:16" s="50" customFormat="1" x14ac:dyDescent="0.35">
      <c r="A162" s="86">
        <f t="shared" si="26"/>
        <v>7</v>
      </c>
      <c r="B162" s="89"/>
      <c r="C162" s="49" t="s">
        <v>190</v>
      </c>
      <c r="D162" s="61">
        <f t="shared" si="24"/>
        <v>399.37130999999999</v>
      </c>
      <c r="E162" s="49">
        <v>0</v>
      </c>
      <c r="F162" s="49">
        <f t="shared" si="22"/>
        <v>599.05696499999999</v>
      </c>
      <c r="G162" s="101"/>
      <c r="H162" s="102"/>
      <c r="I162" s="33"/>
      <c r="N162" s="50" t="e">
        <f t="shared" ca="1" si="23"/>
        <v>#REF!</v>
      </c>
      <c r="O162" s="50" t="e">
        <f t="shared" ref="O162:P162" ca="1" si="30">O161+1</f>
        <v>#REF!</v>
      </c>
      <c r="P162" s="50">
        <f t="shared" ca="1" si="30"/>
        <v>502</v>
      </c>
    </row>
    <row r="163" spans="1:16" s="50" customFormat="1" x14ac:dyDescent="0.35">
      <c r="A163" s="86">
        <f t="shared" si="26"/>
        <v>8</v>
      </c>
      <c r="B163" s="89"/>
      <c r="C163" s="49" t="s">
        <v>190</v>
      </c>
      <c r="D163" s="61">
        <f t="shared" si="24"/>
        <v>399.37130999999999</v>
      </c>
      <c r="E163" s="49">
        <v>0</v>
      </c>
      <c r="F163" s="49">
        <f t="shared" si="22"/>
        <v>599.05696499999999</v>
      </c>
      <c r="G163" s="101"/>
      <c r="H163" s="102"/>
      <c r="I163" s="33"/>
      <c r="N163" s="50" t="e">
        <f t="shared" ca="1" si="23"/>
        <v>#REF!</v>
      </c>
      <c r="O163" s="50" t="e">
        <f t="shared" ref="O163:P163" ca="1" si="31">O162+1</f>
        <v>#REF!</v>
      </c>
      <c r="P163" s="50">
        <f t="shared" ca="1" si="31"/>
        <v>503</v>
      </c>
    </row>
    <row r="164" spans="1:16" s="50" customFormat="1" x14ac:dyDescent="0.35">
      <c r="A164" s="86">
        <f t="shared" si="26"/>
        <v>9</v>
      </c>
      <c r="B164" s="89"/>
      <c r="C164" s="49" t="s">
        <v>190</v>
      </c>
      <c r="D164" s="61">
        <f t="shared" si="24"/>
        <v>399.37130999999999</v>
      </c>
      <c r="E164" s="49">
        <v>0</v>
      </c>
      <c r="F164" s="49">
        <f t="shared" si="22"/>
        <v>599.05696499999999</v>
      </c>
      <c r="G164" s="101"/>
      <c r="H164" s="102"/>
      <c r="I164" s="41"/>
      <c r="N164" s="50" t="e">
        <f t="shared" ca="1" si="23"/>
        <v>#REF!</v>
      </c>
      <c r="O164" s="50" t="e">
        <f t="shared" ref="O164:P164" ca="1" si="32">O163+1</f>
        <v>#REF!</v>
      </c>
      <c r="P164" s="50">
        <f t="shared" ca="1" si="32"/>
        <v>504</v>
      </c>
    </row>
    <row r="165" spans="1:16" s="50" customFormat="1" x14ac:dyDescent="0.35">
      <c r="A165" s="86">
        <f t="shared" ref="A165:A166" si="33">A164+1</f>
        <v>10</v>
      </c>
      <c r="B165" s="89"/>
      <c r="C165" s="49" t="s">
        <v>191</v>
      </c>
      <c r="D165" s="61">
        <f>(4.1*3.1+2.75*2.1+2.75*3.35+2.75*3.65+2.1*1.2+1.2*2.1+3*0.9+2.25*1.25+(0.75*(2.75*2.75+1.2)))*(10.764)</f>
        <v>590.50631250000004</v>
      </c>
      <c r="E165" s="49">
        <v>0</v>
      </c>
      <c r="F165" s="49">
        <f t="shared" si="22"/>
        <v>885.75946875</v>
      </c>
      <c r="G165" s="101"/>
      <c r="H165" s="102"/>
      <c r="I165" s="33"/>
      <c r="N165" s="50" t="e">
        <f t="shared" ref="N165" ca="1" si="34">O165&amp;""&amp;" to "&amp;""&amp;P165</f>
        <v>#REF!</v>
      </c>
      <c r="O165" s="50" t="e">
        <f t="shared" ref="O165:P166" ca="1" si="35">O163+1</f>
        <v>#REF!</v>
      </c>
      <c r="P165" s="50">
        <f t="shared" ca="1" si="35"/>
        <v>504</v>
      </c>
    </row>
    <row r="166" spans="1:16" s="50" customFormat="1" x14ac:dyDescent="0.35">
      <c r="A166" s="86">
        <f t="shared" si="33"/>
        <v>11</v>
      </c>
      <c r="B166" s="89"/>
      <c r="C166" s="49" t="s">
        <v>191</v>
      </c>
      <c r="D166" s="61">
        <f>(4.1*3.1+2.75*2.1+2.75*3.35+2.75*3.65+2.1*1.2+1.2*2.1+3*0.9+2.25*1.25+(0.75*(2.75*2.75+1.2)))*(10.764)</f>
        <v>590.50631250000004</v>
      </c>
      <c r="E166" s="49">
        <v>0</v>
      </c>
      <c r="F166" s="49">
        <f t="shared" si="22"/>
        <v>885.75946875</v>
      </c>
      <c r="G166" s="103"/>
      <c r="H166" s="104"/>
      <c r="I166" s="33"/>
      <c r="N166" s="50" t="e">
        <f t="shared" ca="1" si="23"/>
        <v>#REF!</v>
      </c>
      <c r="O166" s="50" t="e">
        <f t="shared" ca="1" si="35"/>
        <v>#REF!</v>
      </c>
      <c r="P166" s="50">
        <f t="shared" ca="1" si="35"/>
        <v>505</v>
      </c>
    </row>
    <row r="167" spans="1:16" s="50" customFormat="1" x14ac:dyDescent="0.35">
      <c r="A167" s="150" t="s">
        <v>196</v>
      </c>
      <c r="B167" s="131"/>
      <c r="C167" s="131"/>
      <c r="D167" s="131"/>
      <c r="E167" s="131"/>
      <c r="F167" s="131"/>
      <c r="G167" s="131"/>
      <c r="H167" s="132"/>
      <c r="I167" s="33"/>
    </row>
    <row r="168" spans="1:16" s="50" customFormat="1" ht="15.75" customHeight="1" x14ac:dyDescent="0.35">
      <c r="A168" s="86">
        <v>1</v>
      </c>
      <c r="B168" s="89"/>
      <c r="C168" s="49" t="s">
        <v>222</v>
      </c>
      <c r="D168" s="86" t="s">
        <v>197</v>
      </c>
      <c r="E168" s="87"/>
      <c r="F168" s="89"/>
      <c r="G168" s="99" t="str">
        <f>A167</f>
        <v>8th Floor (Part Refuge Area)</v>
      </c>
      <c r="H168" s="100"/>
      <c r="I168" s="33"/>
      <c r="N168" s="50" t="e">
        <f t="shared" ref="N168:N178" ca="1" si="36">O168&amp;""&amp;" to "&amp;""&amp;P168</f>
        <v>#REF!</v>
      </c>
      <c r="O168" s="50" t="e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</f>
        <v>#REF!</v>
      </c>
      <c r="P168" s="50">
        <f ca="1">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801</v>
      </c>
    </row>
    <row r="169" spans="1:16" s="50" customFormat="1" ht="15.75" customHeight="1" x14ac:dyDescent="0.35">
      <c r="A169" s="86">
        <f>A168+1</f>
        <v>2</v>
      </c>
      <c r="B169" s="89"/>
      <c r="C169" s="49" t="s">
        <v>190</v>
      </c>
      <c r="D169" s="61">
        <f t="shared" ref="D169:D176" si="37">(3.95*3.1+2.75*2.1+2.75*3.35+1.55*0.9+1.2*1.2+1.4*0.9+2.25*1.25+0.75*2.75+0.75*1.2)*(10.764)</f>
        <v>399.37130999999999</v>
      </c>
      <c r="E169" s="49">
        <v>0</v>
      </c>
      <c r="F169" s="49">
        <f t="shared" ref="F169:F178" si="38">D169*(($F$127)+1)+(IF(E169&lt;101,E169,IF(E169&lt;201,E169/2,IF(E169&lt;=301,E169/3,E169/4))))</f>
        <v>599.05696499999999</v>
      </c>
      <c r="G169" s="101"/>
      <c r="H169" s="102"/>
      <c r="I169" s="33"/>
      <c r="N169" s="50" t="e">
        <f t="shared" ca="1" si="36"/>
        <v>#REF!</v>
      </c>
      <c r="O169" s="50" t="e">
        <f t="shared" ref="O169:P169" ca="1" si="39">O168+1</f>
        <v>#REF!</v>
      </c>
      <c r="P169" s="50">
        <f t="shared" ca="1" si="39"/>
        <v>802</v>
      </c>
    </row>
    <row r="170" spans="1:16" s="50" customFormat="1" ht="15.75" customHeight="1" x14ac:dyDescent="0.35">
      <c r="A170" s="86">
        <f t="shared" ref="A170:A176" si="40">A169+1</f>
        <v>3</v>
      </c>
      <c r="B170" s="89"/>
      <c r="C170" s="49" t="s">
        <v>190</v>
      </c>
      <c r="D170" s="61">
        <f t="shared" si="37"/>
        <v>399.37130999999999</v>
      </c>
      <c r="E170" s="49">
        <v>0</v>
      </c>
      <c r="F170" s="49">
        <f t="shared" si="38"/>
        <v>599.05696499999999</v>
      </c>
      <c r="G170" s="101"/>
      <c r="H170" s="102"/>
      <c r="I170" s="33"/>
      <c r="N170" s="50" t="e">
        <f t="shared" ca="1" si="36"/>
        <v>#REF!</v>
      </c>
      <c r="O170" s="50" t="e">
        <f t="shared" ref="O170:P170" ca="1" si="41">O169+1</f>
        <v>#REF!</v>
      </c>
      <c r="P170" s="50">
        <f t="shared" ca="1" si="41"/>
        <v>803</v>
      </c>
    </row>
    <row r="171" spans="1:16" s="50" customFormat="1" ht="15.75" customHeight="1" x14ac:dyDescent="0.35">
      <c r="A171" s="86">
        <f t="shared" si="40"/>
        <v>4</v>
      </c>
      <c r="B171" s="89"/>
      <c r="C171" s="49" t="s">
        <v>190</v>
      </c>
      <c r="D171" s="61">
        <f t="shared" si="37"/>
        <v>399.37130999999999</v>
      </c>
      <c r="E171" s="49">
        <v>0</v>
      </c>
      <c r="F171" s="49">
        <f t="shared" si="38"/>
        <v>599.05696499999999</v>
      </c>
      <c r="G171" s="101"/>
      <c r="H171" s="102"/>
      <c r="I171" s="41"/>
      <c r="N171" s="50" t="e">
        <f t="shared" ca="1" si="36"/>
        <v>#REF!</v>
      </c>
      <c r="O171" s="50" t="e">
        <f t="shared" ref="O171:P171" ca="1" si="42">O170+1</f>
        <v>#REF!</v>
      </c>
      <c r="P171" s="50">
        <f t="shared" ca="1" si="42"/>
        <v>804</v>
      </c>
    </row>
    <row r="172" spans="1:16" s="50" customFormat="1" ht="15.75" customHeight="1" x14ac:dyDescent="0.35">
      <c r="A172" s="86">
        <f t="shared" si="40"/>
        <v>5</v>
      </c>
      <c r="B172" s="89"/>
      <c r="C172" s="49" t="s">
        <v>190</v>
      </c>
      <c r="D172" s="61">
        <f t="shared" si="37"/>
        <v>399.37130999999999</v>
      </c>
      <c r="E172" s="49">
        <v>0</v>
      </c>
      <c r="F172" s="49">
        <f t="shared" si="38"/>
        <v>599.05696499999999</v>
      </c>
      <c r="G172" s="101"/>
      <c r="H172" s="102"/>
      <c r="I172" s="33"/>
      <c r="N172" s="50" t="e">
        <f t="shared" ca="1" si="36"/>
        <v>#REF!</v>
      </c>
      <c r="O172" s="50" t="e">
        <f t="shared" ref="O172:P172" ca="1" si="43">O171+1</f>
        <v>#REF!</v>
      </c>
      <c r="P172" s="50">
        <f t="shared" ca="1" si="43"/>
        <v>805</v>
      </c>
    </row>
    <row r="173" spans="1:16" s="50" customFormat="1" x14ac:dyDescent="0.35">
      <c r="A173" s="86">
        <f t="shared" si="40"/>
        <v>6</v>
      </c>
      <c r="B173" s="89"/>
      <c r="C173" s="49" t="s">
        <v>190</v>
      </c>
      <c r="D173" s="61">
        <f t="shared" si="37"/>
        <v>399.37130999999999</v>
      </c>
      <c r="E173" s="49">
        <v>0</v>
      </c>
      <c r="F173" s="49">
        <f t="shared" si="38"/>
        <v>599.05696499999999</v>
      </c>
      <c r="G173" s="101"/>
      <c r="H173" s="102"/>
      <c r="I173" s="33"/>
      <c r="N173" s="50" t="e">
        <f t="shared" ca="1" si="36"/>
        <v>#REF!</v>
      </c>
      <c r="O173" s="50" t="e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</f>
        <v>#REF!</v>
      </c>
      <c r="P173" s="50">
        <f ca="1">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501</v>
      </c>
    </row>
    <row r="174" spans="1:16" s="50" customFormat="1" x14ac:dyDescent="0.35">
      <c r="A174" s="86">
        <f t="shared" si="40"/>
        <v>7</v>
      </c>
      <c r="B174" s="89"/>
      <c r="C174" s="49" t="s">
        <v>190</v>
      </c>
      <c r="D174" s="61">
        <f t="shared" si="37"/>
        <v>399.37130999999999</v>
      </c>
      <c r="E174" s="49">
        <v>0</v>
      </c>
      <c r="F174" s="49">
        <f t="shared" si="38"/>
        <v>599.05696499999999</v>
      </c>
      <c r="G174" s="101"/>
      <c r="H174" s="102"/>
      <c r="I174" s="33"/>
      <c r="N174" s="50" t="e">
        <f t="shared" ca="1" si="36"/>
        <v>#REF!</v>
      </c>
      <c r="O174" s="50" t="e">
        <f t="shared" ref="O174:P174" ca="1" si="44">O173+1</f>
        <v>#REF!</v>
      </c>
      <c r="P174" s="50">
        <f t="shared" ca="1" si="44"/>
        <v>502</v>
      </c>
    </row>
    <row r="175" spans="1:16" s="50" customFormat="1" x14ac:dyDescent="0.35">
      <c r="A175" s="86">
        <f t="shared" si="40"/>
        <v>8</v>
      </c>
      <c r="B175" s="89"/>
      <c r="C175" s="49" t="s">
        <v>190</v>
      </c>
      <c r="D175" s="61">
        <f t="shared" si="37"/>
        <v>399.37130999999999</v>
      </c>
      <c r="E175" s="49">
        <v>0</v>
      </c>
      <c r="F175" s="49">
        <f t="shared" si="38"/>
        <v>599.05696499999999</v>
      </c>
      <c r="G175" s="101"/>
      <c r="H175" s="102"/>
      <c r="I175" s="33"/>
      <c r="N175" s="50" t="e">
        <f t="shared" ca="1" si="36"/>
        <v>#REF!</v>
      </c>
      <c r="O175" s="50" t="e">
        <f t="shared" ref="O175:P175" ca="1" si="45">O174+1</f>
        <v>#REF!</v>
      </c>
      <c r="P175" s="50">
        <f t="shared" ca="1" si="45"/>
        <v>503</v>
      </c>
    </row>
    <row r="176" spans="1:16" s="50" customFormat="1" x14ac:dyDescent="0.35">
      <c r="A176" s="86">
        <f t="shared" si="40"/>
        <v>9</v>
      </c>
      <c r="B176" s="89"/>
      <c r="C176" s="49" t="s">
        <v>190</v>
      </c>
      <c r="D176" s="61">
        <f t="shared" si="37"/>
        <v>399.37130999999999</v>
      </c>
      <c r="E176" s="49">
        <v>0</v>
      </c>
      <c r="F176" s="49">
        <f t="shared" si="38"/>
        <v>599.05696499999999</v>
      </c>
      <c r="G176" s="101"/>
      <c r="H176" s="102"/>
      <c r="I176" s="41"/>
      <c r="N176" s="50" t="e">
        <f t="shared" ca="1" si="36"/>
        <v>#REF!</v>
      </c>
      <c r="O176" s="50" t="e">
        <f t="shared" ref="O176:P176" ca="1" si="46">O175+1</f>
        <v>#REF!</v>
      </c>
      <c r="P176" s="50">
        <f t="shared" ca="1" si="46"/>
        <v>504</v>
      </c>
    </row>
    <row r="177" spans="1:16" s="50" customFormat="1" x14ac:dyDescent="0.35">
      <c r="A177" s="86">
        <f t="shared" ref="A177:A178" si="47">A176+1</f>
        <v>10</v>
      </c>
      <c r="B177" s="89"/>
      <c r="C177" s="49" t="s">
        <v>191</v>
      </c>
      <c r="D177" s="61">
        <f>(4.1*3.1+2.75*2.1+2.75*3.35+2.75*3.65+2.1*1.2+1.2*2.1+3*0.9+2.25*1.25+(0.75*(2.75*2.75+1.2)))*(10.764)</f>
        <v>590.50631250000004</v>
      </c>
      <c r="E177" s="49">
        <v>0</v>
      </c>
      <c r="F177" s="49">
        <f t="shared" si="38"/>
        <v>885.75946875</v>
      </c>
      <c r="G177" s="101"/>
      <c r="H177" s="102"/>
      <c r="I177" s="33"/>
      <c r="N177" s="50" t="e">
        <f t="shared" ref="N177" ca="1" si="48">O177&amp;""&amp;" to "&amp;""&amp;P177</f>
        <v>#REF!</v>
      </c>
      <c r="O177" s="50" t="e">
        <f t="shared" ref="O177:P178" ca="1" si="49">O175+1</f>
        <v>#REF!</v>
      </c>
      <c r="P177" s="50">
        <f t="shared" ca="1" si="49"/>
        <v>504</v>
      </c>
    </row>
    <row r="178" spans="1:16" s="50" customFormat="1" x14ac:dyDescent="0.35">
      <c r="A178" s="86">
        <f t="shared" si="47"/>
        <v>11</v>
      </c>
      <c r="B178" s="89"/>
      <c r="C178" s="49" t="s">
        <v>191</v>
      </c>
      <c r="D178" s="61">
        <f>(4.1*3.1+2.75*2.1+2.75*3.35+2.75*3.65+2.1*1.2+1.2*2.1+3*0.9+2.25*1.25+(0.75*(2.75*2.75+1.2)))*(10.764)</f>
        <v>590.50631250000004</v>
      </c>
      <c r="E178" s="49">
        <v>0</v>
      </c>
      <c r="F178" s="49">
        <f t="shared" si="38"/>
        <v>885.75946875</v>
      </c>
      <c r="G178" s="103"/>
      <c r="H178" s="104"/>
      <c r="I178" s="33"/>
      <c r="N178" s="50" t="e">
        <f t="shared" ca="1" si="36"/>
        <v>#REF!</v>
      </c>
      <c r="O178" s="50" t="e">
        <f t="shared" ca="1" si="49"/>
        <v>#REF!</v>
      </c>
      <c r="P178" s="50">
        <f t="shared" ca="1" si="49"/>
        <v>505</v>
      </c>
    </row>
    <row r="179" spans="1:16" s="50" customFormat="1" x14ac:dyDescent="0.35">
      <c r="A179" s="91" t="s">
        <v>227</v>
      </c>
      <c r="B179" s="91"/>
      <c r="C179" s="91"/>
      <c r="D179" s="91"/>
      <c r="E179" s="91"/>
      <c r="F179" s="91"/>
      <c r="G179" s="91"/>
      <c r="H179" s="91"/>
      <c r="I179" s="33"/>
    </row>
    <row r="180" spans="1:16" s="50" customFormat="1" ht="15.75" customHeight="1" x14ac:dyDescent="0.35">
      <c r="A180" s="90">
        <v>1</v>
      </c>
      <c r="B180" s="90"/>
      <c r="C180" s="72" t="s">
        <v>190</v>
      </c>
      <c r="D180" s="61">
        <f t="shared" ref="D180" si="50">(3.95*3.1+2.75*2.1+2.75*3.35+1.55*0.9+1.2*1.2+1.4*0.9+2.25*1.25+0.75*2.75+0.75*1.2)*(10.764)</f>
        <v>399.37130999999999</v>
      </c>
      <c r="E180" s="72">
        <v>0</v>
      </c>
      <c r="F180" s="72">
        <f>D180*(($F$127)+1)+(IF(E180&lt;101,E180,IF(E180&lt;201,E180/2,IF(E180&lt;=301,E180/3,E180/4))))</f>
        <v>599.05696499999999</v>
      </c>
      <c r="G180" s="90" t="str">
        <f>A179</f>
        <v>10th Floor (Part Terrace Area)</v>
      </c>
      <c r="H180" s="90"/>
      <c r="I180" s="33"/>
      <c r="N180" s="50" t="str">
        <f t="shared" ref="N180:N190" ca="1" si="51">O180&amp;""&amp;" to "&amp;""&amp;P180</f>
        <v>1001 to 1001</v>
      </c>
      <c r="O180" s="50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10^ROW(INDIRECT("1:"&amp;LEN((LEFT(A179,SUM(LEN(A179)-LEN(SUBSTITUTE(A179,{"0","1","2"},""))))))))/10))*100+1</f>
        <v>1001</v>
      </c>
      <c r="P180" s="50">
        <f ca="1">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",LEN(A179))),LEN(A179)))))))/10))*100+1</f>
        <v>1001</v>
      </c>
    </row>
    <row r="181" spans="1:16" s="50" customFormat="1" ht="15.75" customHeight="1" x14ac:dyDescent="0.35">
      <c r="A181" s="90">
        <f>A180+1</f>
        <v>2</v>
      </c>
      <c r="B181" s="90"/>
      <c r="C181" s="90" t="s">
        <v>237</v>
      </c>
      <c r="D181" s="90"/>
      <c r="E181" s="90"/>
      <c r="F181" s="90"/>
      <c r="G181" s="90"/>
      <c r="H181" s="90"/>
      <c r="I181" s="33"/>
      <c r="N181" s="50" t="str">
        <f t="shared" ca="1" si="51"/>
        <v>1002 to 1002</v>
      </c>
      <c r="O181" s="50">
        <f t="shared" ref="O181:P181" ca="1" si="52">O180+1</f>
        <v>1002</v>
      </c>
      <c r="P181" s="50">
        <f t="shared" ca="1" si="52"/>
        <v>1002</v>
      </c>
    </row>
    <row r="182" spans="1:16" s="50" customFormat="1" ht="15.75" customHeight="1" x14ac:dyDescent="0.35">
      <c r="A182" s="90">
        <f t="shared" ref="A182:A188" si="53">A181+1</f>
        <v>3</v>
      </c>
      <c r="B182" s="90"/>
      <c r="C182" s="90"/>
      <c r="D182" s="90"/>
      <c r="E182" s="90"/>
      <c r="F182" s="90"/>
      <c r="G182" s="90"/>
      <c r="H182" s="90"/>
      <c r="I182" s="33"/>
      <c r="N182" s="50" t="str">
        <f t="shared" ca="1" si="51"/>
        <v>1003 to 1003</v>
      </c>
      <c r="O182" s="50">
        <f t="shared" ref="O182:P182" ca="1" si="54">O181+1</f>
        <v>1003</v>
      </c>
      <c r="P182" s="50">
        <f t="shared" ca="1" si="54"/>
        <v>1003</v>
      </c>
    </row>
    <row r="183" spans="1:16" s="50" customFormat="1" ht="15.75" customHeight="1" x14ac:dyDescent="0.35">
      <c r="A183" s="90">
        <f t="shared" si="53"/>
        <v>4</v>
      </c>
      <c r="B183" s="90"/>
      <c r="C183" s="90"/>
      <c r="D183" s="90"/>
      <c r="E183" s="90"/>
      <c r="F183" s="90"/>
      <c r="G183" s="90"/>
      <c r="H183" s="90"/>
      <c r="I183" s="41"/>
      <c r="N183" s="50" t="str">
        <f t="shared" ca="1" si="51"/>
        <v>1004 to 1004</v>
      </c>
      <c r="O183" s="50">
        <f t="shared" ref="O183:P183" ca="1" si="55">O182+1</f>
        <v>1004</v>
      </c>
      <c r="P183" s="50">
        <f t="shared" ca="1" si="55"/>
        <v>1004</v>
      </c>
    </row>
    <row r="184" spans="1:16" s="50" customFormat="1" ht="15.75" customHeight="1" x14ac:dyDescent="0.35">
      <c r="A184" s="90">
        <f t="shared" si="53"/>
        <v>5</v>
      </c>
      <c r="B184" s="90"/>
      <c r="C184" s="90"/>
      <c r="D184" s="90"/>
      <c r="E184" s="90"/>
      <c r="F184" s="90"/>
      <c r="G184" s="90"/>
      <c r="H184" s="90"/>
      <c r="I184" s="33"/>
      <c r="N184" s="50" t="str">
        <f t="shared" ca="1" si="51"/>
        <v>1005 to 1005</v>
      </c>
      <c r="O184" s="50">
        <f t="shared" ref="O184:P184" ca="1" si="56">O183+1</f>
        <v>1005</v>
      </c>
      <c r="P184" s="50">
        <f t="shared" ca="1" si="56"/>
        <v>1005</v>
      </c>
    </row>
    <row r="185" spans="1:16" s="50" customFormat="1" x14ac:dyDescent="0.35">
      <c r="A185" s="90">
        <f t="shared" si="53"/>
        <v>6</v>
      </c>
      <c r="B185" s="90"/>
      <c r="C185" s="72" t="s">
        <v>190</v>
      </c>
      <c r="D185" s="61">
        <f t="shared" ref="D185:D188" si="57">(3.95*3.1+2.75*2.1+2.75*3.35+1.55*0.9+1.2*1.2+1.4*0.9+2.25*1.25+0.75*2.75+0.75*1.2)*(10.764)</f>
        <v>399.37130999999999</v>
      </c>
      <c r="E185" s="72">
        <v>0</v>
      </c>
      <c r="F185" s="72">
        <f t="shared" ref="F185:F190" si="58">D185*(($F$127)+1)+(IF(E185&lt;101,E185,IF(E185&lt;201,E185/2,IF(E185&lt;=301,E185/3,E185/4))))</f>
        <v>599.05696499999999</v>
      </c>
      <c r="G185" s="90"/>
      <c r="H185" s="90"/>
      <c r="I185" s="33"/>
      <c r="N185" s="50" t="e">
        <f t="shared" ca="1" si="51"/>
        <v>#REF!</v>
      </c>
      <c r="O185" s="50" t="e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10^ROW(INDIRECT("1:"&amp;LEN((LEFT(A184,SUM(LEN(A184)-LEN(SUBSTITUTE(A184,{"0","1","2"},""))))))))/10))*100+1</f>
        <v>#REF!</v>
      </c>
      <c r="P185" s="50">
        <f ca="1">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501</v>
      </c>
    </row>
    <row r="186" spans="1:16" s="50" customFormat="1" x14ac:dyDescent="0.35">
      <c r="A186" s="90">
        <f t="shared" si="53"/>
        <v>7</v>
      </c>
      <c r="B186" s="90"/>
      <c r="C186" s="72" t="s">
        <v>190</v>
      </c>
      <c r="D186" s="61">
        <f t="shared" si="57"/>
        <v>399.37130999999999</v>
      </c>
      <c r="E186" s="72">
        <v>0</v>
      </c>
      <c r="F186" s="72">
        <f t="shared" si="58"/>
        <v>599.05696499999999</v>
      </c>
      <c r="G186" s="90"/>
      <c r="H186" s="90"/>
      <c r="I186" s="33"/>
      <c r="N186" s="50" t="e">
        <f t="shared" ca="1" si="51"/>
        <v>#REF!</v>
      </c>
      <c r="O186" s="50" t="e">
        <f t="shared" ref="O186:P186" ca="1" si="59">O185+1</f>
        <v>#REF!</v>
      </c>
      <c r="P186" s="50">
        <f t="shared" ca="1" si="59"/>
        <v>502</v>
      </c>
    </row>
    <row r="187" spans="1:16" s="50" customFormat="1" x14ac:dyDescent="0.35">
      <c r="A187" s="90">
        <f t="shared" si="53"/>
        <v>8</v>
      </c>
      <c r="B187" s="90"/>
      <c r="C187" s="72" t="s">
        <v>190</v>
      </c>
      <c r="D187" s="61">
        <f t="shared" si="57"/>
        <v>399.37130999999999</v>
      </c>
      <c r="E187" s="72">
        <v>0</v>
      </c>
      <c r="F187" s="72">
        <f t="shared" si="58"/>
        <v>599.05696499999999</v>
      </c>
      <c r="G187" s="90"/>
      <c r="H187" s="90"/>
      <c r="I187" s="33"/>
      <c r="N187" s="50" t="e">
        <f t="shared" ca="1" si="51"/>
        <v>#REF!</v>
      </c>
      <c r="O187" s="50" t="e">
        <f t="shared" ref="O187:P187" ca="1" si="60">O186+1</f>
        <v>#REF!</v>
      </c>
      <c r="P187" s="50">
        <f t="shared" ca="1" si="60"/>
        <v>503</v>
      </c>
    </row>
    <row r="188" spans="1:16" s="50" customFormat="1" x14ac:dyDescent="0.35">
      <c r="A188" s="90">
        <f t="shared" si="53"/>
        <v>9</v>
      </c>
      <c r="B188" s="90"/>
      <c r="C188" s="72" t="s">
        <v>190</v>
      </c>
      <c r="D188" s="61">
        <f t="shared" si="57"/>
        <v>399.37130999999999</v>
      </c>
      <c r="E188" s="72">
        <v>0</v>
      </c>
      <c r="F188" s="72">
        <f t="shared" si="58"/>
        <v>599.05696499999999</v>
      </c>
      <c r="G188" s="90"/>
      <c r="H188" s="90"/>
      <c r="I188" s="41"/>
      <c r="N188" s="50" t="e">
        <f t="shared" ca="1" si="51"/>
        <v>#REF!</v>
      </c>
      <c r="O188" s="50" t="e">
        <f t="shared" ref="O188:P188" ca="1" si="61">O187+1</f>
        <v>#REF!</v>
      </c>
      <c r="P188" s="50">
        <f t="shared" ca="1" si="61"/>
        <v>504</v>
      </c>
    </row>
    <row r="189" spans="1:16" s="50" customFormat="1" x14ac:dyDescent="0.35">
      <c r="A189" s="90">
        <f t="shared" ref="A189:A190" si="62">A188+1</f>
        <v>10</v>
      </c>
      <c r="B189" s="90"/>
      <c r="C189" s="72" t="s">
        <v>191</v>
      </c>
      <c r="D189" s="61">
        <f>(4.1*3.1+2.75*2.1+2.75*3.35+2.75*3.65+2.1*1.2+1.2*2.1+3*0.9+2.25*1.25+(0.75*(2.75*2.75+1.2)))*(10.764)</f>
        <v>590.50631250000004</v>
      </c>
      <c r="E189" s="72">
        <v>0</v>
      </c>
      <c r="F189" s="72">
        <f t="shared" si="58"/>
        <v>885.75946875</v>
      </c>
      <c r="G189" s="90"/>
      <c r="H189" s="90"/>
      <c r="I189" s="33"/>
      <c r="N189" s="50" t="e">
        <f t="shared" ref="N189" ca="1" si="63">O189&amp;""&amp;" to "&amp;""&amp;P189</f>
        <v>#REF!</v>
      </c>
      <c r="O189" s="50" t="e">
        <f t="shared" ref="O189:P190" ca="1" si="64">O187+1</f>
        <v>#REF!</v>
      </c>
      <c r="P189" s="50">
        <f t="shared" ca="1" si="64"/>
        <v>504</v>
      </c>
    </row>
    <row r="190" spans="1:16" s="50" customFormat="1" x14ac:dyDescent="0.35">
      <c r="A190" s="90">
        <f t="shared" si="62"/>
        <v>11</v>
      </c>
      <c r="B190" s="90"/>
      <c r="C190" s="72" t="s">
        <v>191</v>
      </c>
      <c r="D190" s="61">
        <f>(4.1*3.1+2.75*2.1+2.75*3.35+2.75*3.65+2.1*1.2+1.2*2.1+3*0.9+2.25*1.25+(0.75*(2.75*2.75+1.2)))*(10.764)</f>
        <v>590.50631250000004</v>
      </c>
      <c r="E190" s="72">
        <v>0</v>
      </c>
      <c r="F190" s="72">
        <f t="shared" si="58"/>
        <v>885.75946875</v>
      </c>
      <c r="G190" s="90"/>
      <c r="H190" s="90"/>
      <c r="I190" s="33"/>
      <c r="N190" s="50" t="e">
        <f t="shared" ca="1" si="51"/>
        <v>#REF!</v>
      </c>
      <c r="O190" s="50" t="e">
        <f t="shared" ca="1" si="64"/>
        <v>#REF!</v>
      </c>
      <c r="P190" s="50">
        <f t="shared" ca="1" si="64"/>
        <v>505</v>
      </c>
    </row>
    <row r="191" spans="1:16" s="1" customFormat="1" x14ac:dyDescent="0.35">
      <c r="A191" s="149" t="s">
        <v>75</v>
      </c>
      <c r="B191" s="149"/>
      <c r="C191" s="149"/>
      <c r="D191" s="149"/>
      <c r="E191" s="149"/>
      <c r="F191" s="149"/>
      <c r="G191" s="149"/>
      <c r="H191" s="149"/>
    </row>
    <row r="192" spans="1:16" s="1" customFormat="1" x14ac:dyDescent="0.35">
      <c r="A192" s="37">
        <v>1</v>
      </c>
      <c r="B192" s="127" t="s">
        <v>199</v>
      </c>
      <c r="C192" s="128"/>
      <c r="D192" s="128"/>
      <c r="E192" s="128"/>
      <c r="F192" s="128"/>
      <c r="G192" s="128"/>
      <c r="H192" s="129"/>
    </row>
    <row r="193" spans="1:8" s="1" customFormat="1" x14ac:dyDescent="0.35">
      <c r="A193" s="37">
        <f t="shared" ref="A193:A197" si="65">A192+1</f>
        <v>2</v>
      </c>
      <c r="B193" s="127" t="str">
        <f>(IF(F126="Saleable area Loading :","We have considered Saleable area of Flats as per our Calculation.","We considered Saleable area of Flat as per Builder area Sheet."))</f>
        <v>We have considered Saleable area of Flats as per our Calculation.</v>
      </c>
      <c r="C193" s="128"/>
      <c r="D193" s="128"/>
      <c r="E193" s="128"/>
      <c r="F193" s="128"/>
      <c r="G193" s="128"/>
      <c r="H193" s="129"/>
    </row>
    <row r="194" spans="1:8" s="1" customFormat="1" x14ac:dyDescent="0.35">
      <c r="A194" s="37">
        <f t="shared" si="65"/>
        <v>3</v>
      </c>
      <c r="B194" s="151" t="s">
        <v>160</v>
      </c>
      <c r="C194" s="152"/>
      <c r="D194" s="152"/>
      <c r="E194" s="152"/>
      <c r="F194" s="152"/>
      <c r="G194" s="152"/>
      <c r="H194" s="153"/>
    </row>
    <row r="195" spans="1:8" s="1" customFormat="1" x14ac:dyDescent="0.35">
      <c r="A195" s="37">
        <f t="shared" si="65"/>
        <v>4</v>
      </c>
      <c r="B195" s="151" t="s">
        <v>226</v>
      </c>
      <c r="C195" s="152"/>
      <c r="D195" s="152"/>
      <c r="E195" s="152"/>
      <c r="F195" s="152"/>
      <c r="G195" s="152"/>
      <c r="H195" s="153"/>
    </row>
    <row r="196" spans="1:8" s="1" customFormat="1" x14ac:dyDescent="0.35">
      <c r="A196" s="37">
        <f t="shared" si="65"/>
        <v>5</v>
      </c>
      <c r="B196" s="151" t="s">
        <v>161</v>
      </c>
      <c r="C196" s="152"/>
      <c r="D196" s="152"/>
      <c r="E196" s="152"/>
      <c r="F196" s="152"/>
      <c r="G196" s="152"/>
      <c r="H196" s="153"/>
    </row>
    <row r="197" spans="1:8" s="1" customFormat="1" x14ac:dyDescent="0.35">
      <c r="A197" s="37">
        <f t="shared" si="65"/>
        <v>6</v>
      </c>
      <c r="B197" s="151" t="s">
        <v>162</v>
      </c>
      <c r="C197" s="152"/>
      <c r="D197" s="152"/>
      <c r="E197" s="152"/>
      <c r="F197" s="152"/>
      <c r="G197" s="152"/>
      <c r="H197" s="153"/>
    </row>
    <row r="198" spans="1:8" x14ac:dyDescent="0.35">
      <c r="A198" s="137" t="s">
        <v>68</v>
      </c>
      <c r="B198" s="137"/>
      <c r="C198" s="137"/>
      <c r="D198" s="137"/>
      <c r="E198" s="137"/>
      <c r="F198" s="137"/>
      <c r="G198" s="137"/>
      <c r="H198" s="137"/>
    </row>
    <row r="199" spans="1:8" x14ac:dyDescent="0.35">
      <c r="A199" s="110" t="s">
        <v>69</v>
      </c>
      <c r="B199" s="110"/>
      <c r="C199" s="110"/>
      <c r="D199" s="110"/>
      <c r="E199" s="110"/>
      <c r="F199" s="110"/>
      <c r="G199" s="110"/>
      <c r="H199" s="110"/>
    </row>
    <row r="200" spans="1:8" ht="15.75" customHeight="1" x14ac:dyDescent="0.35">
      <c r="A200" s="123" t="s">
        <v>70</v>
      </c>
      <c r="B200" s="123"/>
      <c r="C200" s="123"/>
      <c r="D200" s="123"/>
      <c r="E200" s="123"/>
      <c r="F200" s="123"/>
      <c r="G200" s="123"/>
      <c r="H200" s="123"/>
    </row>
    <row r="201" spans="1:8" x14ac:dyDescent="0.35">
      <c r="A201" s="110" t="s">
        <v>71</v>
      </c>
      <c r="B201" s="110"/>
      <c r="C201" s="110"/>
      <c r="D201" s="110"/>
      <c r="E201" s="110"/>
      <c r="F201" s="110"/>
      <c r="G201" s="110"/>
      <c r="H201" s="110"/>
    </row>
    <row r="202" spans="1:8" x14ac:dyDescent="0.35">
      <c r="A202" s="110" t="s">
        <v>72</v>
      </c>
      <c r="B202" s="110"/>
      <c r="C202" s="110"/>
      <c r="D202" s="110"/>
      <c r="E202" s="110"/>
      <c r="F202" s="110"/>
      <c r="G202" s="110"/>
      <c r="H202" s="110"/>
    </row>
    <row r="203" spans="1:8" x14ac:dyDescent="0.35">
      <c r="A203" s="110" t="s">
        <v>163</v>
      </c>
      <c r="B203" s="110"/>
      <c r="C203" s="110"/>
      <c r="D203" s="110"/>
      <c r="E203" s="110"/>
      <c r="F203" s="110"/>
      <c r="G203" s="110"/>
      <c r="H203" s="110"/>
    </row>
    <row r="204" spans="1:8" ht="35.25" customHeight="1" x14ac:dyDescent="0.35">
      <c r="A204" s="115" t="s">
        <v>164</v>
      </c>
      <c r="B204" s="115"/>
      <c r="C204" s="115"/>
      <c r="D204" s="115"/>
      <c r="E204" s="115"/>
      <c r="F204" s="115"/>
      <c r="G204" s="115"/>
      <c r="H204" s="115"/>
    </row>
    <row r="205" spans="1:8" x14ac:dyDescent="0.35">
      <c r="A205" s="148" t="s">
        <v>108</v>
      </c>
      <c r="B205" s="148"/>
      <c r="C205" s="148" t="s">
        <v>189</v>
      </c>
      <c r="D205" s="148"/>
      <c r="E205" s="148" t="s">
        <v>142</v>
      </c>
      <c r="F205" s="148"/>
      <c r="G205" s="148" t="s">
        <v>239</v>
      </c>
      <c r="H205" s="148"/>
    </row>
    <row r="206" spans="1:8" x14ac:dyDescent="0.35">
      <c r="A206" s="147" t="s">
        <v>110</v>
      </c>
      <c r="B206" s="147"/>
      <c r="C206" s="147"/>
      <c r="D206" s="147"/>
      <c r="E206" s="147"/>
      <c r="F206" s="147"/>
      <c r="G206" s="147"/>
      <c r="H206" s="147"/>
    </row>
    <row r="207" spans="1:8" x14ac:dyDescent="0.35">
      <c r="A207" s="147"/>
      <c r="B207" s="147"/>
      <c r="C207" s="147"/>
      <c r="D207" s="147"/>
      <c r="E207" s="147"/>
      <c r="F207" s="147"/>
      <c r="G207" s="147"/>
      <c r="H207" s="147"/>
    </row>
    <row r="208" spans="1:8" x14ac:dyDescent="0.35">
      <c r="A208" s="147"/>
      <c r="B208" s="147"/>
      <c r="C208" s="147"/>
      <c r="D208" s="147"/>
      <c r="E208" s="147"/>
      <c r="F208" s="147"/>
      <c r="G208" s="147"/>
      <c r="H208" s="147"/>
    </row>
    <row r="209" spans="1:8" x14ac:dyDescent="0.35">
      <c r="A209" s="147"/>
      <c r="B209" s="147"/>
      <c r="C209" s="147"/>
      <c r="D209" s="147"/>
      <c r="E209" s="147"/>
      <c r="F209" s="147"/>
      <c r="G209" s="147"/>
      <c r="H209" s="147"/>
    </row>
    <row r="210" spans="1:8" x14ac:dyDescent="0.35">
      <c r="A210" s="14" t="s">
        <v>73</v>
      </c>
      <c r="B210" s="15"/>
      <c r="C210" s="15"/>
      <c r="D210" s="14" t="str">
        <f>E8</f>
        <v>Arihant Anant Phase II</v>
      </c>
      <c r="F210" s="15"/>
      <c r="G210" s="15"/>
      <c r="H210" s="15"/>
    </row>
    <row r="211" spans="1:8" x14ac:dyDescent="0.35">
      <c r="A211" s="15"/>
      <c r="B211" s="15"/>
      <c r="C211" s="15"/>
      <c r="D211" s="15"/>
      <c r="E211" s="15"/>
      <c r="F211" s="15"/>
      <c r="G211" s="15"/>
      <c r="H211" s="15"/>
    </row>
    <row r="212" spans="1:8" x14ac:dyDescent="0.35">
      <c r="A212" s="15"/>
      <c r="B212" s="15"/>
      <c r="C212" s="15"/>
      <c r="D212" s="15"/>
      <c r="E212" s="15"/>
      <c r="F212" s="15"/>
      <c r="G212" s="15"/>
      <c r="H212" s="15"/>
    </row>
    <row r="213" spans="1:8" ht="15" customHeight="1" x14ac:dyDescent="0.35"/>
    <row r="253" spans="1:1" x14ac:dyDescent="0.35">
      <c r="A253" s="17" t="s">
        <v>74</v>
      </c>
    </row>
  </sheetData>
  <mergeCells count="353">
    <mergeCell ref="B195:H195"/>
    <mergeCell ref="B196:H196"/>
    <mergeCell ref="A154:H154"/>
    <mergeCell ref="A179:H179"/>
    <mergeCell ref="G180:H190"/>
    <mergeCell ref="A181:B181"/>
    <mergeCell ref="A182:B182"/>
    <mergeCell ref="A183:B183"/>
    <mergeCell ref="A184:B184"/>
    <mergeCell ref="A185:B185"/>
    <mergeCell ref="A186:B186"/>
    <mergeCell ref="A169:B169"/>
    <mergeCell ref="A170:B170"/>
    <mergeCell ref="A171:B171"/>
    <mergeCell ref="A172:B172"/>
    <mergeCell ref="G168:H178"/>
    <mergeCell ref="A157:B157"/>
    <mergeCell ref="A158:B158"/>
    <mergeCell ref="A159:B159"/>
    <mergeCell ref="A160:B160"/>
    <mergeCell ref="A161:B161"/>
    <mergeCell ref="A173:B173"/>
    <mergeCell ref="A174:B174"/>
    <mergeCell ref="A175:B175"/>
    <mergeCell ref="B193:H193"/>
    <mergeCell ref="B194:H194"/>
    <mergeCell ref="A168:B168"/>
    <mergeCell ref="A167:H167"/>
    <mergeCell ref="A149:B149"/>
    <mergeCell ref="A150:B150"/>
    <mergeCell ref="A151:B151"/>
    <mergeCell ref="A152:B152"/>
    <mergeCell ref="A155:H155"/>
    <mergeCell ref="A156:B156"/>
    <mergeCell ref="G156:H166"/>
    <mergeCell ref="A164:B164"/>
    <mergeCell ref="A153:H153"/>
    <mergeCell ref="A162:B162"/>
    <mergeCell ref="A163:B163"/>
    <mergeCell ref="A166:B166"/>
    <mergeCell ref="A165:B165"/>
    <mergeCell ref="A188:B188"/>
    <mergeCell ref="A190:B190"/>
    <mergeCell ref="A189:B189"/>
    <mergeCell ref="D168:F168"/>
    <mergeCell ref="A187:B187"/>
    <mergeCell ref="C181:F184"/>
    <mergeCell ref="L124:M124"/>
    <mergeCell ref="L123:M123"/>
    <mergeCell ref="L122:M122"/>
    <mergeCell ref="L121:M121"/>
    <mergeCell ref="L120:M120"/>
    <mergeCell ref="A120:B120"/>
    <mergeCell ref="G122:H122"/>
    <mergeCell ref="G120:H120"/>
    <mergeCell ref="G121:H121"/>
    <mergeCell ref="A121:B121"/>
    <mergeCell ref="A122:B122"/>
    <mergeCell ref="A123:B123"/>
    <mergeCell ref="A124:B124"/>
    <mergeCell ref="A61:B61"/>
    <mergeCell ref="C61:H61"/>
    <mergeCell ref="A63:B63"/>
    <mergeCell ref="C63:H63"/>
    <mergeCell ref="A64:B64"/>
    <mergeCell ref="D54:H54"/>
    <mergeCell ref="A54:C54"/>
    <mergeCell ref="G47:H47"/>
    <mergeCell ref="A48:B49"/>
    <mergeCell ref="A60:C60"/>
    <mergeCell ref="D60:H60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57:C57"/>
    <mergeCell ref="A58:C58"/>
    <mergeCell ref="D57:H57"/>
    <mergeCell ref="D58:H58"/>
    <mergeCell ref="A51:H51"/>
    <mergeCell ref="A52:C52"/>
    <mergeCell ref="A53:C53"/>
    <mergeCell ref="A55:C56"/>
    <mergeCell ref="A59:C59"/>
    <mergeCell ref="D59:H59"/>
    <mergeCell ref="D53:H53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206:H209"/>
    <mergeCell ref="A205:B205"/>
    <mergeCell ref="E205:F205"/>
    <mergeCell ref="C205:D205"/>
    <mergeCell ref="G205:H205"/>
    <mergeCell ref="A106:H106"/>
    <mergeCell ref="A104:E104"/>
    <mergeCell ref="F104:H104"/>
    <mergeCell ref="A105:E105"/>
    <mergeCell ref="F105:H105"/>
    <mergeCell ref="A131:H131"/>
    <mergeCell ref="A112:B112"/>
    <mergeCell ref="A108:B108"/>
    <mergeCell ref="A201:H201"/>
    <mergeCell ref="A110:H110"/>
    <mergeCell ref="A204:H204"/>
    <mergeCell ref="A202:H202"/>
    <mergeCell ref="A191:H191"/>
    <mergeCell ref="A142:H142"/>
    <mergeCell ref="G123:H123"/>
    <mergeCell ref="G124:H124"/>
    <mergeCell ref="B197:H197"/>
    <mergeCell ref="D143:F143"/>
    <mergeCell ref="C112:D112"/>
    <mergeCell ref="G50:H50"/>
    <mergeCell ref="C49:H49"/>
    <mergeCell ref="A198:H198"/>
    <mergeCell ref="A199:H199"/>
    <mergeCell ref="E111:F111"/>
    <mergeCell ref="E107:F107"/>
    <mergeCell ref="A89:E89"/>
    <mergeCell ref="F89:H89"/>
    <mergeCell ref="A115:H115"/>
    <mergeCell ref="A107:B107"/>
    <mergeCell ref="F100:H100"/>
    <mergeCell ref="C107:D107"/>
    <mergeCell ref="F96:H96"/>
    <mergeCell ref="F103:H103"/>
    <mergeCell ref="F101:H101"/>
    <mergeCell ref="A116:H116"/>
    <mergeCell ref="G107:H107"/>
    <mergeCell ref="A102:E102"/>
    <mergeCell ref="C108:D108"/>
    <mergeCell ref="E108:F108"/>
    <mergeCell ref="D56:H56"/>
    <mergeCell ref="A109:B109"/>
    <mergeCell ref="E112:F112"/>
    <mergeCell ref="A50:B50"/>
    <mergeCell ref="A203:H203"/>
    <mergeCell ref="A137:B137"/>
    <mergeCell ref="A200:H200"/>
    <mergeCell ref="A132:B132"/>
    <mergeCell ref="A111:B111"/>
    <mergeCell ref="F93:H93"/>
    <mergeCell ref="A90:H90"/>
    <mergeCell ref="A91:B91"/>
    <mergeCell ref="A92:H92"/>
    <mergeCell ref="G108:H108"/>
    <mergeCell ref="C91:H91"/>
    <mergeCell ref="F97:H97"/>
    <mergeCell ref="B192:H192"/>
    <mergeCell ref="G112:H112"/>
    <mergeCell ref="F99:H99"/>
    <mergeCell ref="A93:E93"/>
    <mergeCell ref="A119:H119"/>
    <mergeCell ref="G113:H113"/>
    <mergeCell ref="A96:E96"/>
    <mergeCell ref="A99:E99"/>
    <mergeCell ref="A101:E101"/>
    <mergeCell ref="E126:E127"/>
    <mergeCell ref="A103:E103"/>
    <mergeCell ref="A95:E95"/>
    <mergeCell ref="L128:M128"/>
    <mergeCell ref="A1:H1"/>
    <mergeCell ref="A10:D10"/>
    <mergeCell ref="E10:H10"/>
    <mergeCell ref="C36:H36"/>
    <mergeCell ref="A117:A118"/>
    <mergeCell ref="B117:B118"/>
    <mergeCell ref="C117:C118"/>
    <mergeCell ref="D117:D118"/>
    <mergeCell ref="E117:E118"/>
    <mergeCell ref="G117:H118"/>
    <mergeCell ref="E40:H40"/>
    <mergeCell ref="A40:D40"/>
    <mergeCell ref="A46:B46"/>
    <mergeCell ref="C46:E46"/>
    <mergeCell ref="G46:H46"/>
    <mergeCell ref="G48:H48"/>
    <mergeCell ref="D52:H52"/>
    <mergeCell ref="C48:E48"/>
    <mergeCell ref="D55:H55"/>
    <mergeCell ref="C47:E47"/>
    <mergeCell ref="F95:H95"/>
    <mergeCell ref="C50:E50"/>
    <mergeCell ref="A47:B47"/>
    <mergeCell ref="L129:M129"/>
    <mergeCell ref="A130:H130"/>
    <mergeCell ref="L130:M130"/>
    <mergeCell ref="A176:B176"/>
    <mergeCell ref="A178:B178"/>
    <mergeCell ref="A177:B177"/>
    <mergeCell ref="A180:B180"/>
    <mergeCell ref="L131:M131"/>
    <mergeCell ref="A148:B148"/>
    <mergeCell ref="A129:H129"/>
    <mergeCell ref="A100:E100"/>
    <mergeCell ref="F94:H94"/>
    <mergeCell ref="A98:E98"/>
    <mergeCell ref="F98:H98"/>
    <mergeCell ref="A114:B114"/>
    <mergeCell ref="C114:D114"/>
    <mergeCell ref="E114:F114"/>
    <mergeCell ref="G114:H114"/>
    <mergeCell ref="A94:E94"/>
    <mergeCell ref="E113:F113"/>
    <mergeCell ref="A113:B113"/>
    <mergeCell ref="C113:D113"/>
    <mergeCell ref="C111:D111"/>
    <mergeCell ref="G111:H111"/>
    <mergeCell ref="A97:E97"/>
    <mergeCell ref="F102:H102"/>
    <mergeCell ref="C109:D109"/>
    <mergeCell ref="E109:F109"/>
    <mergeCell ref="G109:H109"/>
    <mergeCell ref="A125:H125"/>
    <mergeCell ref="A136:B136"/>
    <mergeCell ref="A133:B133"/>
    <mergeCell ref="A134:B134"/>
    <mergeCell ref="A143:B143"/>
    <mergeCell ref="A145:B145"/>
    <mergeCell ref="A135:B135"/>
    <mergeCell ref="A146:B146"/>
    <mergeCell ref="A147:B147"/>
    <mergeCell ref="G132:H141"/>
    <mergeCell ref="A138:B138"/>
    <mergeCell ref="A139:B139"/>
    <mergeCell ref="A140:B140"/>
    <mergeCell ref="A141:B141"/>
    <mergeCell ref="A128:H128"/>
    <mergeCell ref="A144:B144"/>
    <mergeCell ref="G143:H152"/>
    <mergeCell ref="G126:H127"/>
    <mergeCell ref="L127:M127"/>
    <mergeCell ref="A126:A127"/>
    <mergeCell ref="B126:B127"/>
    <mergeCell ref="C126:C127"/>
    <mergeCell ref="D126:D127"/>
    <mergeCell ref="E64:F64"/>
    <mergeCell ref="G64:H64"/>
    <mergeCell ref="A65:B65"/>
    <mergeCell ref="E65:F74"/>
    <mergeCell ref="G65:H74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C75:H75"/>
    <mergeCell ref="A77:B77"/>
    <mergeCell ref="C77:H77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&amp;P</oddFooter>
  </headerFooter>
  <rowBreaks count="3" manualBreakCount="3">
    <brk id="74" max="16383" man="1"/>
    <brk id="209" max="16383" man="1"/>
    <brk id="25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76</v>
      </c>
      <c r="C2" s="188"/>
      <c r="D2" s="188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77</v>
      </c>
      <c r="B4" s="5" t="s">
        <v>78</v>
      </c>
      <c r="C4" s="189" t="s">
        <v>79</v>
      </c>
      <c r="D4" s="189"/>
      <c r="E4" s="189"/>
      <c r="F4" s="6"/>
      <c r="G4" s="189" t="s">
        <v>80</v>
      </c>
      <c r="H4" s="189"/>
      <c r="I4" s="189"/>
      <c r="J4" s="189" t="s">
        <v>81</v>
      </c>
      <c r="K4" s="189"/>
      <c r="L4" s="189"/>
    </row>
    <row r="5" spans="1:12" x14ac:dyDescent="0.35">
      <c r="A5" s="3">
        <v>202</v>
      </c>
      <c r="B5" s="5"/>
      <c r="C5" s="5" t="s">
        <v>82</v>
      </c>
      <c r="D5" s="5" t="s">
        <v>83</v>
      </c>
      <c r="E5" s="5" t="s">
        <v>60</v>
      </c>
      <c r="F5" s="5"/>
      <c r="G5" s="5" t="s">
        <v>82</v>
      </c>
      <c r="H5" s="5" t="s">
        <v>83</v>
      </c>
      <c r="I5" s="5" t="s">
        <v>60</v>
      </c>
      <c r="J5" s="5" t="s">
        <v>82</v>
      </c>
      <c r="K5" s="5" t="s">
        <v>83</v>
      </c>
      <c r="L5" s="5" t="s">
        <v>60</v>
      </c>
    </row>
    <row r="6" spans="1:12" x14ac:dyDescent="0.35">
      <c r="B6" s="7" t="s">
        <v>84</v>
      </c>
      <c r="C6" s="7"/>
      <c r="D6" s="7"/>
      <c r="E6" s="7">
        <f>C6*D6</f>
        <v>0</v>
      </c>
      <c r="F6" s="7" t="s">
        <v>85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87</v>
      </c>
      <c r="C9" s="7"/>
      <c r="D9" s="7"/>
      <c r="E9" s="7">
        <f t="shared" si="0"/>
        <v>0</v>
      </c>
      <c r="F9" s="7" t="s">
        <v>85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88</v>
      </c>
      <c r="C13" s="7"/>
      <c r="D13" s="7"/>
      <c r="E13" s="7">
        <f t="shared" si="0"/>
        <v>0</v>
      </c>
      <c r="F13" s="7" t="s">
        <v>85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89</v>
      </c>
      <c r="C17" s="7"/>
      <c r="D17" s="7"/>
      <c r="E17" s="7">
        <f t="shared" si="0"/>
        <v>0</v>
      </c>
      <c r="F17" s="7" t="s">
        <v>85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89</v>
      </c>
      <c r="C20" s="7"/>
      <c r="D20" s="7"/>
      <c r="E20" s="7">
        <f t="shared" si="0"/>
        <v>0</v>
      </c>
      <c r="F20" s="7" t="s">
        <v>85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90</v>
      </c>
      <c r="C23" s="7"/>
      <c r="D23" s="7"/>
      <c r="E23" s="7">
        <f t="shared" si="0"/>
        <v>0</v>
      </c>
      <c r="F23" s="7" t="s">
        <v>91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92</v>
      </c>
      <c r="C24" s="7"/>
      <c r="D24" s="7"/>
      <c r="E24" s="7">
        <f t="shared" si="0"/>
        <v>0</v>
      </c>
      <c r="F24" s="7" t="s">
        <v>91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93</v>
      </c>
      <c r="C25" s="7"/>
      <c r="D25" s="7"/>
      <c r="E25" s="7">
        <f t="shared" si="0"/>
        <v>0</v>
      </c>
      <c r="F25" s="7" t="s">
        <v>91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95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61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" zoomScale="85" zoomScaleNormal="85" workbookViewId="0">
      <selection activeCell="G15" sqref="G15"/>
    </sheetView>
  </sheetViews>
  <sheetFormatPr defaultColWidth="8.7265625" defaultRowHeight="14.5" x14ac:dyDescent="0.35"/>
  <cols>
    <col min="1" max="1" width="8.7265625" style="21"/>
    <col min="2" max="2" width="22.1796875" style="21" customWidth="1"/>
    <col min="3" max="3" width="37" style="21" customWidth="1"/>
    <col min="4" max="5" width="11.453125" style="21" customWidth="1"/>
    <col min="6" max="6" width="14" style="21" customWidth="1"/>
    <col min="7" max="7" width="20" style="21" customWidth="1"/>
    <col min="8" max="8" width="16.453125" style="21" customWidth="1"/>
    <col min="9" max="16384" width="8.7265625" style="21"/>
  </cols>
  <sheetData>
    <row r="1" spans="1:9" ht="15" customHeight="1" x14ac:dyDescent="0.35"/>
    <row r="2" spans="1:9" ht="15" customHeight="1" x14ac:dyDescent="0.35">
      <c r="A2" s="22"/>
      <c r="B2" s="22"/>
      <c r="C2" s="22"/>
      <c r="D2" s="22"/>
      <c r="E2" s="22"/>
      <c r="F2" s="22"/>
      <c r="G2" s="22"/>
      <c r="H2" s="22"/>
    </row>
    <row r="3" spans="1:9" ht="15.75" customHeight="1" x14ac:dyDescent="0.35">
      <c r="A3" s="22"/>
      <c r="B3" s="190" t="s">
        <v>143</v>
      </c>
      <c r="C3" s="190"/>
      <c r="D3" s="190"/>
      <c r="E3" s="190"/>
      <c r="F3" s="190"/>
      <c r="G3" s="190"/>
      <c r="H3" s="190"/>
    </row>
    <row r="4" spans="1:9" x14ac:dyDescent="0.35">
      <c r="A4" s="22"/>
      <c r="B4" s="23" t="s">
        <v>144</v>
      </c>
      <c r="C4" s="23" t="s">
        <v>145</v>
      </c>
      <c r="D4" s="23" t="s">
        <v>77</v>
      </c>
      <c r="E4" s="23" t="s">
        <v>146</v>
      </c>
      <c r="F4" s="23" t="s">
        <v>152</v>
      </c>
      <c r="G4" s="23" t="s">
        <v>153</v>
      </c>
      <c r="H4" s="23" t="s">
        <v>147</v>
      </c>
    </row>
    <row r="5" spans="1:9" ht="15" customHeight="1" x14ac:dyDescent="0.35">
      <c r="A5" s="22"/>
      <c r="B5" s="25" t="s">
        <v>148</v>
      </c>
      <c r="C5" s="26"/>
      <c r="D5" s="25" t="s">
        <v>190</v>
      </c>
      <c r="E5" s="25">
        <v>369</v>
      </c>
      <c r="F5" s="27">
        <f>E5*1.6</f>
        <v>590.4</v>
      </c>
      <c r="G5" s="27">
        <v>7000</v>
      </c>
      <c r="H5" s="28">
        <v>3030000</v>
      </c>
    </row>
    <row r="6" spans="1:9" x14ac:dyDescent="0.35">
      <c r="A6" s="22"/>
      <c r="B6" s="25" t="s">
        <v>148</v>
      </c>
      <c r="C6" s="29"/>
      <c r="D6" s="25" t="s">
        <v>191</v>
      </c>
      <c r="E6" s="25">
        <v>547</v>
      </c>
      <c r="F6" s="27">
        <f t="shared" ref="F6:F11" si="0">E6*1.6</f>
        <v>875.2</v>
      </c>
      <c r="G6" s="27">
        <v>7000</v>
      </c>
      <c r="H6" s="28">
        <v>4230000</v>
      </c>
    </row>
    <row r="7" spans="1:9" ht="15" customHeight="1" x14ac:dyDescent="0.35">
      <c r="A7" s="22"/>
      <c r="B7" s="25" t="s">
        <v>148</v>
      </c>
      <c r="C7" s="26"/>
      <c r="D7" s="25"/>
      <c r="E7" s="25"/>
      <c r="F7" s="27">
        <f t="shared" si="0"/>
        <v>0</v>
      </c>
      <c r="G7" s="27" t="e">
        <f t="shared" ref="G7:G11" si="1">H7/F7</f>
        <v>#DIV/0!</v>
      </c>
      <c r="H7" s="28"/>
    </row>
    <row r="8" spans="1:9" x14ac:dyDescent="0.35">
      <c r="A8" s="22"/>
      <c r="B8" s="25" t="s">
        <v>148</v>
      </c>
      <c r="C8" s="29"/>
      <c r="D8" s="25"/>
      <c r="E8" s="25"/>
      <c r="F8" s="27">
        <f t="shared" si="0"/>
        <v>0</v>
      </c>
      <c r="G8" s="27" t="e">
        <f t="shared" si="1"/>
        <v>#DIV/0!</v>
      </c>
      <c r="H8" s="28"/>
    </row>
    <row r="9" spans="1:9" ht="15" customHeight="1" x14ac:dyDescent="0.35">
      <c r="A9" s="22"/>
      <c r="B9" s="25" t="s">
        <v>148</v>
      </c>
      <c r="C9" s="29"/>
      <c r="D9" s="25"/>
      <c r="E9" s="25"/>
      <c r="F9" s="27">
        <f t="shared" si="0"/>
        <v>0</v>
      </c>
      <c r="G9" s="27" t="e">
        <f t="shared" si="1"/>
        <v>#DIV/0!</v>
      </c>
      <c r="H9" s="28"/>
    </row>
    <row r="10" spans="1:9" ht="15" customHeight="1" x14ac:dyDescent="0.35">
      <c r="A10" s="22"/>
      <c r="B10" s="25" t="s">
        <v>149</v>
      </c>
      <c r="C10" s="26"/>
      <c r="D10" s="25"/>
      <c r="E10" s="25"/>
      <c r="F10" s="27">
        <f t="shared" si="0"/>
        <v>0</v>
      </c>
      <c r="G10" s="27" t="e">
        <f t="shared" si="1"/>
        <v>#DIV/0!</v>
      </c>
      <c r="H10" s="28"/>
    </row>
    <row r="11" spans="1:9" ht="15" customHeight="1" x14ac:dyDescent="0.35">
      <c r="A11" s="22"/>
      <c r="B11" s="25" t="s">
        <v>149</v>
      </c>
      <c r="C11" s="26"/>
      <c r="D11" s="25"/>
      <c r="E11" s="25"/>
      <c r="F11" s="27">
        <f t="shared" si="0"/>
        <v>0</v>
      </c>
      <c r="G11" s="27" t="e">
        <f t="shared" si="1"/>
        <v>#DIV/0!</v>
      </c>
      <c r="H11" s="28"/>
    </row>
    <row r="12" spans="1:9" ht="15" customHeight="1" x14ac:dyDescent="0.35">
      <c r="A12" s="22"/>
      <c r="B12" s="30" t="s">
        <v>150</v>
      </c>
      <c r="C12" s="25"/>
      <c r="D12" s="25"/>
      <c r="E12" s="25"/>
      <c r="F12" s="25"/>
      <c r="G12" s="31" t="e">
        <f>AVERAGE(G5:G11)</f>
        <v>#DIV/0!</v>
      </c>
      <c r="H12" s="25"/>
    </row>
    <row r="13" spans="1:9" ht="15" customHeight="1" x14ac:dyDescent="0.35">
      <c r="B13" s="30" t="s">
        <v>151</v>
      </c>
      <c r="C13" s="25"/>
      <c r="D13" s="25"/>
      <c r="E13" s="25"/>
      <c r="F13" s="32"/>
      <c r="G13" s="30"/>
      <c r="H13" s="30"/>
      <c r="I13" s="2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2025-07-16T10:04:09Z</cp:lastPrinted>
  <dcterms:created xsi:type="dcterms:W3CDTF">2019-07-16T09:29:46Z</dcterms:created>
  <dcterms:modified xsi:type="dcterms:W3CDTF">2025-07-16T10:04:21Z</dcterms:modified>
</cp:coreProperties>
</file>