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Edmont Aurelia\"/>
    </mc:Choice>
  </mc:AlternateContent>
  <bookViews>
    <workbookView xWindow="0" yWindow="0" windowWidth="20490" windowHeight="65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0" i="1" l="1"/>
  <c r="J210" i="1"/>
  <c r="J207" i="1"/>
  <c r="J205" i="1"/>
  <c r="J206" i="1"/>
  <c r="I191" i="1"/>
  <c r="I206" i="1"/>
  <c r="J208" i="1"/>
  <c r="C119" i="1"/>
  <c r="E119" i="1"/>
  <c r="C115" i="1"/>
  <c r="J189" i="1" l="1"/>
  <c r="I189" i="1"/>
  <c r="E210" i="1" l="1"/>
  <c r="D210" i="1"/>
  <c r="E198" i="1"/>
  <c r="J198" i="1"/>
  <c r="D198" i="1"/>
  <c r="F198" i="1" s="1"/>
  <c r="H198" i="1" s="1"/>
  <c r="I198" i="1"/>
  <c r="G157" i="1"/>
  <c r="G156" i="1"/>
  <c r="G155" i="1"/>
  <c r="G154" i="1"/>
  <c r="G153" i="1"/>
  <c r="E212" i="1"/>
  <c r="D212" i="1"/>
  <c r="E211" i="1"/>
  <c r="D211" i="1"/>
  <c r="E208" i="1"/>
  <c r="D208" i="1"/>
  <c r="E207" i="1"/>
  <c r="D207" i="1"/>
  <c r="E206" i="1"/>
  <c r="D206" i="1"/>
  <c r="E205" i="1"/>
  <c r="D205" i="1"/>
  <c r="E203" i="1"/>
  <c r="D203" i="1"/>
  <c r="E202" i="1"/>
  <c r="D202" i="1"/>
  <c r="E197" i="1"/>
  <c r="D197" i="1"/>
  <c r="E196" i="1"/>
  <c r="D196" i="1"/>
  <c r="F196" i="1" s="1"/>
  <c r="H196" i="1" s="1"/>
  <c r="D140" i="1"/>
  <c r="F140" i="1" s="1"/>
  <c r="H140" i="1" s="1"/>
  <c r="D139" i="1"/>
  <c r="F139" i="1" s="1"/>
  <c r="H139" i="1" s="1"/>
  <c r="D138" i="1"/>
  <c r="F138" i="1" s="1"/>
  <c r="H138" i="1" s="1"/>
  <c r="D137" i="1"/>
  <c r="F137" i="1" s="1"/>
  <c r="H137" i="1" s="1"/>
  <c r="D136" i="1"/>
  <c r="F136" i="1" s="1"/>
  <c r="H136" i="1" s="1"/>
  <c r="D135" i="1"/>
  <c r="D134" i="1"/>
  <c r="D133" i="1"/>
  <c r="F133" i="1" s="1"/>
  <c r="H133" i="1" s="1"/>
  <c r="D132" i="1"/>
  <c r="F132" i="1" s="1"/>
  <c r="H132" i="1" s="1"/>
  <c r="D131" i="1"/>
  <c r="F131" i="1" s="1"/>
  <c r="H131" i="1" s="1"/>
  <c r="D130" i="1"/>
  <c r="F130" i="1" s="1"/>
  <c r="H130" i="1" s="1"/>
  <c r="D129" i="1"/>
  <c r="F129" i="1" s="1"/>
  <c r="E164" i="1"/>
  <c r="D164" i="1"/>
  <c r="E163" i="1"/>
  <c r="D163" i="1"/>
  <c r="E162" i="1"/>
  <c r="D162" i="1"/>
  <c r="E161" i="1"/>
  <c r="D161" i="1"/>
  <c r="F161" i="1" s="1"/>
  <c r="H161" i="1" s="1"/>
  <c r="E160" i="1"/>
  <c r="D160" i="1"/>
  <c r="E159" i="1"/>
  <c r="D159" i="1"/>
  <c r="F159" i="1" s="1"/>
  <c r="H159" i="1" s="1"/>
  <c r="E157" i="1"/>
  <c r="D157" i="1"/>
  <c r="E156" i="1"/>
  <c r="D156" i="1"/>
  <c r="E155" i="1"/>
  <c r="F155" i="1" s="1"/>
  <c r="D155" i="1"/>
  <c r="E154" i="1"/>
  <c r="D154" i="1"/>
  <c r="E153" i="1"/>
  <c r="D153" i="1"/>
  <c r="E152" i="1"/>
  <c r="D152" i="1"/>
  <c r="F152" i="1" s="1"/>
  <c r="E169" i="1"/>
  <c r="D169" i="1"/>
  <c r="E168" i="1"/>
  <c r="D168" i="1"/>
  <c r="E167" i="1"/>
  <c r="D167" i="1"/>
  <c r="E166" i="1"/>
  <c r="D166" i="1"/>
  <c r="F166" i="1" s="1"/>
  <c r="H166" i="1" s="1"/>
  <c r="E178" i="1"/>
  <c r="D178" i="1"/>
  <c r="E177" i="1"/>
  <c r="D177" i="1"/>
  <c r="F177" i="1" s="1"/>
  <c r="H177" i="1" s="1"/>
  <c r="E176" i="1"/>
  <c r="D176" i="1"/>
  <c r="E175" i="1"/>
  <c r="D175" i="1"/>
  <c r="E174" i="1"/>
  <c r="F174" i="1" s="1"/>
  <c r="H174" i="1" s="1"/>
  <c r="D174" i="1"/>
  <c r="E173" i="1"/>
  <c r="D173" i="1"/>
  <c r="F173" i="1" s="1"/>
  <c r="H173" i="1" s="1"/>
  <c r="E185" i="1"/>
  <c r="D185" i="1"/>
  <c r="F185" i="1" s="1"/>
  <c r="H185" i="1" s="1"/>
  <c r="E184" i="1"/>
  <c r="D184" i="1"/>
  <c r="F184" i="1" s="1"/>
  <c r="H184" i="1" s="1"/>
  <c r="E183" i="1"/>
  <c r="D183" i="1"/>
  <c r="E182" i="1"/>
  <c r="D182" i="1"/>
  <c r="E181" i="1"/>
  <c r="D181" i="1"/>
  <c r="E180" i="1"/>
  <c r="D180" i="1"/>
  <c r="F180" i="1" s="1"/>
  <c r="H180" i="1" s="1"/>
  <c r="E194" i="1"/>
  <c r="D194" i="1"/>
  <c r="E193" i="1"/>
  <c r="D193" i="1"/>
  <c r="E192" i="1"/>
  <c r="D192" i="1"/>
  <c r="F192" i="1" s="1"/>
  <c r="H192" i="1" s="1"/>
  <c r="E191" i="1"/>
  <c r="D191" i="1"/>
  <c r="E190" i="1"/>
  <c r="F190" i="1" s="1"/>
  <c r="H190" i="1" s="1"/>
  <c r="D190" i="1"/>
  <c r="E189" i="1"/>
  <c r="D189" i="1"/>
  <c r="F189" i="1" s="1"/>
  <c r="H189" i="1" s="1"/>
  <c r="E188" i="1"/>
  <c r="D188" i="1"/>
  <c r="F188" i="1" s="1"/>
  <c r="H188" i="1" s="1"/>
  <c r="E187" i="1"/>
  <c r="D187" i="1"/>
  <c r="F187" i="1" s="1"/>
  <c r="H187" i="1" s="1"/>
  <c r="K127" i="1"/>
  <c r="J212" i="1"/>
  <c r="J193" i="1"/>
  <c r="J169" i="1"/>
  <c r="J153" i="1"/>
  <c r="I212" i="1"/>
  <c r="I208" i="1"/>
  <c r="I193" i="1"/>
  <c r="I187" i="1"/>
  <c r="J161" i="1"/>
  <c r="J164" i="1"/>
  <c r="I164" i="1"/>
  <c r="I161" i="1"/>
  <c r="F207" i="1"/>
  <c r="H207" i="1" s="1"/>
  <c r="F202" i="1"/>
  <c r="H202" i="1" s="1"/>
  <c r="I153" i="1"/>
  <c r="I152" i="1"/>
  <c r="I169" i="1"/>
  <c r="J152" i="1"/>
  <c r="F211" i="1"/>
  <c r="H211" i="1" s="1"/>
  <c r="A206" i="1"/>
  <c r="A207" i="1" s="1"/>
  <c r="A208" i="1" s="1"/>
  <c r="A209" i="1" s="1"/>
  <c r="A210" i="1" s="1"/>
  <c r="A211" i="1" s="1"/>
  <c r="A212" i="1" s="1"/>
  <c r="A197" i="1"/>
  <c r="A198" i="1" s="1"/>
  <c r="A199" i="1" s="1"/>
  <c r="A200" i="1" s="1"/>
  <c r="A201" i="1" s="1"/>
  <c r="A202" i="1" s="1"/>
  <c r="A203" i="1" s="1"/>
  <c r="A181" i="1"/>
  <c r="A182" i="1" s="1"/>
  <c r="A183" i="1" s="1"/>
  <c r="A184" i="1" s="1"/>
  <c r="A185" i="1" s="1"/>
  <c r="A174" i="1"/>
  <c r="A175" i="1" s="1"/>
  <c r="A176" i="1" s="1"/>
  <c r="A177" i="1" s="1"/>
  <c r="A178" i="1" s="1"/>
  <c r="A167" i="1"/>
  <c r="A168" i="1" s="1"/>
  <c r="A169" i="1" s="1"/>
  <c r="A170" i="1" s="1"/>
  <c r="A171" i="1" s="1"/>
  <c r="A160" i="1"/>
  <c r="A161" i="1" s="1"/>
  <c r="A162" i="1" s="1"/>
  <c r="A163" i="1" s="1"/>
  <c r="A164" i="1" s="1"/>
  <c r="A188" i="1"/>
  <c r="A189" i="1" s="1"/>
  <c r="A190" i="1" s="1"/>
  <c r="A191" i="1" s="1"/>
  <c r="A192" i="1" s="1"/>
  <c r="A193" i="1" s="1"/>
  <c r="A194" i="1" s="1"/>
  <c r="A153" i="1"/>
  <c r="A154" i="1" s="1"/>
  <c r="A155" i="1" s="1"/>
  <c r="A156" i="1" s="1"/>
  <c r="A157" i="1" s="1"/>
  <c r="I137" i="1"/>
  <c r="I129" i="1"/>
  <c r="I131" i="1"/>
  <c r="F135" i="1"/>
  <c r="H135" i="1" s="1"/>
  <c r="F134" i="1"/>
  <c r="H134" i="1" s="1"/>
  <c r="A130" i="1"/>
  <c r="A131" i="1" s="1"/>
  <c r="A132" i="1" s="1"/>
  <c r="A133" i="1" s="1"/>
  <c r="A134" i="1" s="1"/>
  <c r="A135" i="1" s="1"/>
  <c r="A136" i="1" s="1"/>
  <c r="A137" i="1" s="1"/>
  <c r="A138" i="1" s="1"/>
  <c r="A139" i="1" s="1"/>
  <c r="A140" i="1" s="1"/>
  <c r="F191" i="1" l="1"/>
  <c r="H191" i="1" s="1"/>
  <c r="F206" i="1"/>
  <c r="H206" i="1" s="1"/>
  <c r="C116" i="1"/>
  <c r="F178" i="1"/>
  <c r="H178" i="1" s="1"/>
  <c r="F160" i="1"/>
  <c r="H160" i="1" s="1"/>
  <c r="F197" i="1"/>
  <c r="H197" i="1" s="1"/>
  <c r="F164" i="1"/>
  <c r="H164" i="1" s="1"/>
  <c r="C120" i="1"/>
  <c r="F182" i="1"/>
  <c r="H182" i="1" s="1"/>
  <c r="F175" i="1"/>
  <c r="H175" i="1" s="1"/>
  <c r="F168" i="1"/>
  <c r="H168" i="1" s="1"/>
  <c r="F156" i="1"/>
  <c r="H156" i="1" s="1"/>
  <c r="F163" i="1"/>
  <c r="H163" i="1" s="1"/>
  <c r="F205" i="1"/>
  <c r="H205" i="1" s="1"/>
  <c r="F210" i="1"/>
  <c r="H210" i="1" s="1"/>
  <c r="H129" i="1"/>
  <c r="G115" i="1" s="1"/>
  <c r="G116" i="1" s="1"/>
  <c r="E115" i="1"/>
  <c r="E116" i="1" s="1"/>
  <c r="F194" i="1"/>
  <c r="H194" i="1" s="1"/>
  <c r="F183" i="1"/>
  <c r="H183" i="1" s="1"/>
  <c r="F181" i="1"/>
  <c r="H181" i="1" s="1"/>
  <c r="F176" i="1"/>
  <c r="H176" i="1" s="1"/>
  <c r="F167" i="1"/>
  <c r="H167" i="1" s="1"/>
  <c r="F153" i="1"/>
  <c r="H153" i="1" s="1"/>
  <c r="F157" i="1"/>
  <c r="H157" i="1" s="1"/>
  <c r="F162" i="1"/>
  <c r="H162" i="1" s="1"/>
  <c r="F203" i="1"/>
  <c r="H203" i="1" s="1"/>
  <c r="F208" i="1"/>
  <c r="H208" i="1" s="1"/>
  <c r="F212" i="1"/>
  <c r="H212" i="1" s="1"/>
  <c r="H152" i="1"/>
  <c r="G119" i="1" s="1"/>
  <c r="H155" i="1"/>
  <c r="F193" i="1"/>
  <c r="H193" i="1" s="1"/>
  <c r="F169" i="1"/>
  <c r="H169" i="1" s="1"/>
  <c r="F154" i="1"/>
  <c r="H154" i="1" s="1"/>
  <c r="F143" i="1"/>
  <c r="F214" i="1"/>
  <c r="H214" i="1" s="1"/>
  <c r="G120" i="1" l="1"/>
  <c r="E120"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L42" i="7" s="1"/>
  <c r="K42" i="7" s="1"/>
  <c r="I6" i="7"/>
  <c r="E6" i="7"/>
  <c r="E42" i="7" l="1"/>
  <c r="I42" i="7"/>
  <c r="H42" i="7" s="1"/>
  <c r="D42" i="7"/>
  <c r="D44" i="7" s="1"/>
  <c r="E44" i="7"/>
  <c r="E30" i="1" l="1"/>
  <c r="B244" i="1" l="1"/>
  <c r="F144" i="1" l="1"/>
  <c r="H144" i="1" s="1"/>
  <c r="F145" i="1"/>
  <c r="H145" i="1" s="1"/>
  <c r="F146" i="1"/>
  <c r="H146" i="1" s="1"/>
  <c r="H143" i="1"/>
  <c r="G57" i="1" l="1"/>
  <c r="C57" i="1"/>
  <c r="S32" i="1" l="1"/>
  <c r="F11" i="5" l="1"/>
  <c r="G11" i="5" s="1"/>
  <c r="F10" i="5"/>
  <c r="G10" i="5" s="1"/>
  <c r="F9" i="5"/>
  <c r="G9" i="5" s="1"/>
  <c r="F8" i="5"/>
  <c r="G8" i="5" s="1"/>
  <c r="F7" i="5"/>
  <c r="G7" i="5" s="1"/>
  <c r="F6" i="5"/>
  <c r="G6" i="5" s="1"/>
  <c r="F5" i="5"/>
  <c r="G5" i="5" s="1"/>
  <c r="G12" i="5" s="1"/>
  <c r="D268" i="1"/>
  <c r="B245" i="1"/>
  <c r="F241" i="1"/>
  <c r="H241" i="1" s="1"/>
  <c r="F240" i="1"/>
  <c r="H240" i="1" s="1"/>
  <c r="F239" i="1"/>
  <c r="H239" i="1" s="1"/>
  <c r="F238" i="1"/>
  <c r="H238" i="1" s="1"/>
  <c r="F237" i="1"/>
  <c r="H237" i="1" s="1"/>
  <c r="F235" i="1"/>
  <c r="H235" i="1" s="1"/>
  <c r="F234" i="1"/>
  <c r="H234" i="1" s="1"/>
  <c r="F233" i="1"/>
  <c r="H233" i="1" s="1"/>
  <c r="F232" i="1"/>
  <c r="H232" i="1" s="1"/>
  <c r="F231" i="1"/>
  <c r="H231" i="1" s="1"/>
  <c r="F229" i="1"/>
  <c r="H229" i="1" s="1"/>
  <c r="F228" i="1"/>
  <c r="H228" i="1" s="1"/>
  <c r="F227" i="1"/>
  <c r="H227" i="1" s="1"/>
  <c r="F226" i="1"/>
  <c r="H226" i="1" s="1"/>
  <c r="F225" i="1"/>
  <c r="H225" i="1" s="1"/>
  <c r="F223" i="1"/>
  <c r="H223" i="1" s="1"/>
  <c r="F222" i="1"/>
  <c r="H222" i="1" s="1"/>
  <c r="F221" i="1"/>
  <c r="H221" i="1" s="1"/>
  <c r="F220" i="1"/>
  <c r="H220" i="1" s="1"/>
  <c r="F219" i="1"/>
  <c r="H219" i="1" s="1"/>
  <c r="A219" i="1"/>
  <c r="A220" i="1" s="1"/>
  <c r="A221" i="1" s="1"/>
  <c r="A222" i="1" s="1"/>
  <c r="A223" i="1" s="1"/>
  <c r="F217" i="1"/>
  <c r="H217" i="1" s="1"/>
  <c r="F216" i="1"/>
  <c r="H216" i="1" s="1"/>
  <c r="F215" i="1"/>
  <c r="H215" i="1" s="1"/>
  <c r="A215" i="1"/>
  <c r="A216" i="1" s="1"/>
  <c r="A217" i="1" s="1"/>
  <c r="A144" i="1"/>
  <c r="A145" i="1" s="1"/>
  <c r="A146" i="1" s="1"/>
  <c r="G121" i="1"/>
  <c r="E121" i="1"/>
  <c r="C121" i="1"/>
  <c r="F112" i="1"/>
  <c r="C86" i="1"/>
  <c r="C72" i="1"/>
  <c r="D66" i="1"/>
  <c r="C50" i="1"/>
  <c r="C51" i="1" s="1"/>
  <c r="E43" i="1"/>
  <c r="E44" i="1" s="1"/>
  <c r="E27" i="1"/>
  <c r="E25" i="1"/>
  <c r="C15" i="1"/>
  <c r="I14" i="1"/>
  <c r="Z12" i="1"/>
  <c r="E7" i="1"/>
  <c r="E3" i="1"/>
  <c r="A237" i="1"/>
  <c r="H87" i="1"/>
  <c r="A231" i="1"/>
  <c r="A225" i="1"/>
  <c r="H73" i="1"/>
  <c r="J72" i="1" l="1"/>
  <c r="J74" i="1" s="1"/>
  <c r="J75" i="1"/>
  <c r="J76" i="1"/>
  <c r="J77" i="1"/>
  <c r="C76" i="1" s="1"/>
  <c r="D80" i="1"/>
  <c r="D82" i="1"/>
  <c r="D81" i="1"/>
  <c r="D85" i="1"/>
  <c r="D79" i="1"/>
  <c r="D84" i="1"/>
  <c r="D78" i="1"/>
  <c r="D83" i="1"/>
  <c r="C92" i="1"/>
  <c r="J86" i="1" s="1"/>
  <c r="J88" i="1" s="1"/>
  <c r="D95" i="1"/>
  <c r="D97" i="1"/>
  <c r="J91" i="1"/>
  <c r="C90" i="1" s="1"/>
  <c r="D90" i="1" s="1"/>
  <c r="D96" i="1"/>
  <c r="J90" i="1"/>
  <c r="D94" i="1"/>
  <c r="J89" i="1"/>
  <c r="D93" i="1"/>
  <c r="D99" i="1"/>
  <c r="D98" i="1"/>
  <c r="B87" i="1"/>
  <c r="B73" i="1"/>
  <c r="J78" i="1" s="1"/>
  <c r="C77" i="1" s="1"/>
  <c r="A232" i="1"/>
  <c r="A238" i="1"/>
  <c r="A226" i="1"/>
  <c r="D76" i="1" l="1"/>
  <c r="D92" i="1"/>
  <c r="J97" i="1"/>
  <c r="J94" i="1"/>
  <c r="J96" i="1"/>
  <c r="J95" i="1"/>
  <c r="J92" i="1"/>
  <c r="J93" i="1" s="1"/>
  <c r="J98" i="1" s="1"/>
  <c r="J99" i="1" s="1"/>
  <c r="C91" i="1" s="1"/>
  <c r="E90" i="1" s="1"/>
  <c r="J82" i="1"/>
  <c r="J80" i="1"/>
  <c r="J81" i="1"/>
  <c r="J79" i="1"/>
  <c r="J83" i="1"/>
  <c r="A227" i="1"/>
  <c r="A239" i="1"/>
  <c r="A233" i="1"/>
  <c r="J84" i="1" l="1"/>
  <c r="J85" i="1" s="1"/>
  <c r="J73" i="1"/>
  <c r="D91" i="1"/>
  <c r="I87" i="1" s="1"/>
  <c r="J87" i="1"/>
  <c r="G90" i="1"/>
  <c r="E76" i="1"/>
  <c r="D77" i="1"/>
  <c r="I73" i="1" s="1"/>
  <c r="G76" i="1"/>
  <c r="D70" i="1" s="1"/>
  <c r="A234" i="1"/>
  <c r="A228" i="1"/>
  <c r="A240" i="1"/>
  <c r="F71" i="1" l="1"/>
  <c r="D71" i="1"/>
  <c r="I88" i="1"/>
  <c r="I86" i="1" s="1"/>
  <c r="C88" i="1" s="1"/>
  <c r="I74" i="1"/>
  <c r="I72" i="1" s="1"/>
  <c r="C74" i="1" s="1"/>
  <c r="A229" i="1"/>
  <c r="A235" i="1"/>
  <c r="A241" i="1"/>
</calcChain>
</file>

<file path=xl/comments1.xml><?xml version="1.0" encoding="utf-8"?>
<comments xmlns="http://schemas.openxmlformats.org/spreadsheetml/2006/main">
  <authors>
    <author>Sachin</author>
    <author>SACHIN</author>
  </authors>
  <commentList>
    <comment ref="E11" authorId="0" shapeId="0">
      <text>
        <r>
          <rPr>
            <b/>
            <sz val="9"/>
            <color indexed="81"/>
            <rFont val="Tahoma"/>
            <family val="2"/>
          </rPr>
          <t>Sachin:</t>
        </r>
        <r>
          <rPr>
            <sz val="9"/>
            <color indexed="81"/>
            <rFont val="Tahoma"/>
            <family val="2"/>
          </rPr>
          <t xml:space="preserve">
Building No. 
Tower No.
Wing 
Bunglow No., etc</t>
        </r>
      </text>
    </comment>
    <comment ref="E12" authorId="0" shapeId="0">
      <text>
        <r>
          <rPr>
            <b/>
            <sz val="9"/>
            <color indexed="81"/>
            <rFont val="Tahoma"/>
            <family val="2"/>
          </rPr>
          <t>Sachin:</t>
        </r>
        <r>
          <rPr>
            <sz val="9"/>
            <color indexed="81"/>
            <rFont val="Tahoma"/>
            <family val="2"/>
          </rPr>
          <t xml:space="preserve">
If exisiting Building is provided write it or else
NA</t>
        </r>
      </text>
    </comment>
    <comment ref="C54" authorId="1" shapeId="0">
      <text>
        <r>
          <rPr>
            <b/>
            <sz val="9"/>
            <color indexed="81"/>
            <rFont val="Tahoma"/>
            <family val="2"/>
          </rPr>
          <t>SACHIN:</t>
        </r>
        <r>
          <rPr>
            <sz val="9"/>
            <color indexed="81"/>
            <rFont val="Tahoma"/>
            <family val="2"/>
          </rPr>
          <t xml:space="preserve">
Floor with height</t>
        </r>
      </text>
    </comment>
    <comment ref="C56" authorId="1" shapeId="0">
      <text>
        <r>
          <rPr>
            <b/>
            <sz val="9"/>
            <color indexed="81"/>
            <rFont val="Tahoma"/>
            <family val="2"/>
          </rPr>
          <t>SACHIN:</t>
        </r>
        <r>
          <rPr>
            <sz val="9"/>
            <color indexed="81"/>
            <rFont val="Tahoma"/>
            <family val="2"/>
          </rPr>
          <t xml:space="preserve">
Survey Nos.</t>
        </r>
      </text>
    </comment>
    <comment ref="C58" authorId="1" shapeId="0">
      <text>
        <r>
          <rPr>
            <b/>
            <sz val="9"/>
            <color indexed="81"/>
            <rFont val="Tahoma"/>
            <family val="2"/>
          </rPr>
          <t>SACHIN:</t>
        </r>
        <r>
          <rPr>
            <sz val="9"/>
            <color indexed="81"/>
            <rFont val="Tahoma"/>
            <family val="2"/>
          </rPr>
          <t xml:space="preserve">
Height from AMSL</t>
        </r>
      </text>
    </comment>
    <comment ref="D61"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5"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<sst xmlns="http://schemas.openxmlformats.org/spreadsheetml/2006/main" count="691" uniqueCount="401">
  <si>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</si>
  <si>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</si>
  <si>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</si>
  <si>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</si>
  <si>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</si>
  <si>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</si>
  <si>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</si>
  <si>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</si>
  <si>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</si>
  <si>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</si>
  <si>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</si>
  <si>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</si>
  <si>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</si>
  <si>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</si>
  <si>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</si>
  <si>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</si>
  <si>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</si>
  <si>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</si>
  <si>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</si>
  <si>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</si>
  <si>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</si>
  <si>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</si>
  <si>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</si>
  <si>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</si>
  <si>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</si>
  <si>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</si>
  <si>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</si>
  <si>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</si>
  <si>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</si>
  <si>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</si>
  <si>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</si>
  <si>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</si>
  <si>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</si>
  <si>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</si>
  <si>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</si>
  <si>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</si>
  <si>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</si>
  <si>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</si>
  <si>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</si>
  <si>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</si>
  <si>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</si>
  <si>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</si>
  <si>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</si>
  <si>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</si>
  <si>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</si>
  <si>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</si>
  <si>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</si>
  <si>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</si>
  <si>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</si>
  <si>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</si>
  <si>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</si>
  <si>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</si>
  <si>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</si>
  <si>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</si>
  <si>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</si>
  <si>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</si>
  <si>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</si>
  <si>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</si>
  <si>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</si>
  <si>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</si>
  <si>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</si>
  <si>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</si>
  <si>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</si>
  <si>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</si>
  <si>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</si>
  <si>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</si>
  <si>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</si>
  <si>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</si>
  <si>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</si>
  <si>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</si>
  <si>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</si>
  <si>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</si>
  <si>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</si>
  <si>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</si>
  <si>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</si>
  <si>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</si>
  <si>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</si>
  <si>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</si>
  <si>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</si>
  <si>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</si>
  <si>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</si>
  <si>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</si>
  <si>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</si>
  <si>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</si>
  <si>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</si>
  <si>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</si>
  <si>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</si>
  <si>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</si>
  <si>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</si>
  <si>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</si>
  <si>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</si>
  <si>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</si>
  <si>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</si>
  <si>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</si>
  <si>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</si>
  <si>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</si>
  <si>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</si>
  <si>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</si>
  <si>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</si>
  <si>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</si>
  <si>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</si>
  <si>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</si>
  <si>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</si>
  <si>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</si>
  <si>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</si>
  <si>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</si>
  <si>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</si>
  <si>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</si>
  <si>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</si>
  <si>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</si>
  <si>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</si>
  <si>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</si>
  <si>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</si>
  <si>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</si>
  <si>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</si>
  <si>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</si>
  <si>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</si>
  <si>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</si>
  <si>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</si>
  <si>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</si>
  <si>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</si>
  <si>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</si>
  <si>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</si>
  <si>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</si>
  <si>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</si>
  <si>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</si>
  <si>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</si>
  <si>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</si>
  <si>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</si>
  <si>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</si>
  <si>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</si>
  <si>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</si>
  <si>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</si>
  <si>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</si>
  <si>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</si>
  <si>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</si>
  <si>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</si>
  <si>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</si>
  <si>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</si>
  <si>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</si>
  <si>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</si>
  <si>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</si>
  <si>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</si>
  <si>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</si>
  <si>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</si>
  <si>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</si>
  <si>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</si>
  <si>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</si>
  <si>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</si>
  <si>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</si>
  <si>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</si>
  <si>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</si>
  <si>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</si>
  <si>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</si>
  <si>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</si>
  <si>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</si>
  <si>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</si>
  <si>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</si>
  <si>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</si>
  <si>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</si>
  <si>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</si>
  <si>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</si>
  <si>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</si>
  <si>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</si>
  <si>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</si>
  <si>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</si>
  <si>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</si>
  <si>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</si>
  <si>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</si>
  <si>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</si>
  <si>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</si>
  <si>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</si>
  <si>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</si>
  <si>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</si>
  <si>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</si>
  <si>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</si>
  <si>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</si>
  <si>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</si>
  <si>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</si>
  <si>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</si>
  <si>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</si>
  <si>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</si>
  <si>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</si>
  <si>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</si>
  <si>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</si>
  <si>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</si>
  <si>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</si>
  <si>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</si>
  <si>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</si>
  <si>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</si>
  <si>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</si>
  <si>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</si>
  <si>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</si>
  <si>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</si>
  <si>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</si>
  <si>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</si>
  <si>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</si>
  <si>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</si>
  <si>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</si>
  <si>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</si>
  <si>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</si>
  <si>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</si>
  <si>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</si>
  <si>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</si>
  <si>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</si>
  <si>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</si>
  <si>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</si>
  <si>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</si>
  <si>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</si>
  <si>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</si>
  <si>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</si>
  <si>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</si>
  <si>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</si>
  <si>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</si>
  <si>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</si>
  <si>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</si>
  <si>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</si>
  <si>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</si>
  <si>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</si>
  <si>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</si>
  <si>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</si>
  <si>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</si>
  <si>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</si>
  <si>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</si>
  <si>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</si>
  <si>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</si>
  <si>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</si>
  <si>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</si>
  <si>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</si>
  <si>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</si>
  <si>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</si>
  <si>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</si>
  <si>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</si>
  <si>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</si>
  <si>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</si>
  <si>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</si>
  <si>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</si>
  <si>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</si>
  <si>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</si>
  <si>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</si>
  <si>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</si>
  <si>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</si>
  <si>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</si>
  <si>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</si>
  <si>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</si>
  <si>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</si>
  <si>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</si>
  <si>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</si>
  <si>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</si>
  <si>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</si>
  <si>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</si>
  <si>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</si>
  <si>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</si>
  <si>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</si>
  <si>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</si>
  <si>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</si>
  <si>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</si>
  <si>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</si>
  <si>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</si>
  <si>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</si>
  <si>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</si>
  <si>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</si>
  <si>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</si>
  <si>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</si>
  <si>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</si>
  <si>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</si>
  <si>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</si>
  <si>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</si>
  <si>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</si>
  <si>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</si>
  <si>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</si>
  <si>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</si>
  <si>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</si>
  <si>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</si>
  <si>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</si>
  <si>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</si>
  <si>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</si>
  <si>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</si>
  <si>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</si>
  <si>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</si>
  <si>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</si>
  <si>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</si>
  <si>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</si>
  <si>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</si>
  <si>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</si>
  <si>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</si>
  <si>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</si>
  <si>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</si>
  <si>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</si>
  <si>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</si>
  <si>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</si>
  <si>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</si>
  <si>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</si>
  <si>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</si>
  <si>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</si>
  <si>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</si>
  <si>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</si>
  <si>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</si>
  <si>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</si>
  <si>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</si>
  <si>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</si>
  <si>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</si>
  <si>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</si>
  <si>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</si>
  <si>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</si>
  <si>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</si>
  <si>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</si>
  <si>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</si>
  <si>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</si>
  <si>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</si>
  <si>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</si>
  <si>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</si>
  <si>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</si>
  <si>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</si>
  <si>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</si>
  <si>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</si>
  <si>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</si>
  <si>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</si>
  <si>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</si>
  <si>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</si>
  <si>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</si>
  <si>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</si>
  <si>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</si>
  <si>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</si>
  <si>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</si>
  <si>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</si>
  <si>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</si>
  <si>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</si>
  <si>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</si>
  <si>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</si>
  <si>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</si>
  <si>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</si>
  <si>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</si>
  <si>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</si>
  <si>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Sheth Homes Private Limited</t>
  </si>
  <si>
    <t>Edmont - Aurelia</t>
  </si>
  <si>
    <t>Building No. 4 (Wing A)</t>
  </si>
  <si>
    <t>Shivshakti Nagar CHSL</t>
  </si>
  <si>
    <t>P51800053546</t>
  </si>
  <si>
    <t>Kandivali</t>
  </si>
  <si>
    <t>Tulaskarwadi</t>
  </si>
  <si>
    <t>Kandivali West</t>
  </si>
  <si>
    <t>1.5 KM from Kandivali Railway Station</t>
  </si>
  <si>
    <t>M G Cross Road No.1</t>
  </si>
  <si>
    <t>1110(Pt), Redevelopement of " Shivshakti Nagar CHSL  "</t>
  </si>
  <si>
    <t>Other Plot</t>
  </si>
  <si>
    <t>Heritage Parody 1</t>
  </si>
  <si>
    <t>01 Wing</t>
  </si>
  <si>
    <t>SRA/ENG/3922/RS/ML/AP</t>
  </si>
  <si>
    <t>P-15918/2023/(1110(Pt))/R/S Ward/ KANDIVALI R/S/SRA-CFO/1/New</t>
  </si>
  <si>
    <t>Basement +  Ground floor  +  1st floor with podium floor + 2nd to 8th floors + 9th floor + 10th to 51st upper  floors with total height of 168.00 mtrs.</t>
  </si>
  <si>
    <t>SEIAA-EC-0000001419</t>
  </si>
  <si>
    <t>CTS No.- 1110 (pt)
Built-up Area: 239312.35 Sq.M.</t>
  </si>
  <si>
    <t>As per RERA - 31/08/2029</t>
  </si>
  <si>
    <t>Children's Play Area, Amphitheater, Steam Room, Swimming Pool, Table Tennis, Badminton Court, Aerobics Room, Mini Theatre, Billiards/Snooker Table, Gymnasium, Kid's Pool, Yoga/Meditation Area, Multipurpose Hall, Senior Citizen Siteout, Indoor Games, Library, Business Center, Party Lawn, Jacuzzi, Cafeteria, Club House, etc.</t>
  </si>
  <si>
    <t>Basement For Pump Room &amp; Parking</t>
  </si>
  <si>
    <t>Shop</t>
  </si>
  <si>
    <t>Shop Duplex With 1st Floor</t>
  </si>
  <si>
    <t>2nd Floor For Residential &amp; Parking</t>
  </si>
  <si>
    <t>1.5BHK</t>
  </si>
  <si>
    <t>2.5BHK</t>
  </si>
  <si>
    <t>2BHK</t>
  </si>
  <si>
    <t>3rd to 6th Floor For Residential &amp; Parking</t>
  </si>
  <si>
    <t>7th Floor For Residential &amp; Paking (Part Refuge Area)</t>
  </si>
  <si>
    <t>8th Floor For Residential &amp; Paking</t>
  </si>
  <si>
    <t>9th Floor For Residential &amp; Amenities</t>
  </si>
  <si>
    <t>14th, 21st &amp; 28th Floor (Part Refuge Area)</t>
  </si>
  <si>
    <t>35th Floor (Part Refuge Area)</t>
  </si>
  <si>
    <t>1BHK</t>
  </si>
  <si>
    <t>3BHK</t>
  </si>
  <si>
    <t>Refuge Area</t>
  </si>
  <si>
    <t>Shops</t>
  </si>
  <si>
    <t>Flats</t>
  </si>
  <si>
    <t>Commercial Area Details : Building No. 4 (Wing A)</t>
  </si>
  <si>
    <t>Residential Area Details : Building No. 4 (Wing A)</t>
  </si>
  <si>
    <t>We considered Gross carpet area = Net carpet + Balcony + Dry Balcony</t>
  </si>
  <si>
    <t>Flats - 260, Shops - 12</t>
  </si>
  <si>
    <t>13.40 M W Road</t>
  </si>
  <si>
    <t>18.30 Road</t>
  </si>
  <si>
    <t>Mr. Rahul Salve</t>
  </si>
  <si>
    <r>
      <t xml:space="preserve">Proposed Amenities :                                                                                                                                                                                                                         </t>
    </r>
    <r>
      <rPr>
        <b/>
        <sz val="12"/>
        <rFont val="Times New Roman"/>
        <family val="1"/>
      </rPr>
      <t xml:space="preserve">                                               </t>
    </r>
  </si>
  <si>
    <r>
      <t xml:space="preserve">Shop No.
</t>
    </r>
    <r>
      <rPr>
        <b/>
        <sz val="11"/>
        <rFont val="Times New Roman"/>
        <family val="1"/>
      </rPr>
      <t>(Approved Plan)</t>
    </r>
  </si>
  <si>
    <t>Balcony Area</t>
  </si>
  <si>
    <r>
      <t xml:space="preserve">Flat No.
</t>
    </r>
    <r>
      <rPr>
        <b/>
        <sz val="11"/>
        <rFont val="Times New Roman"/>
        <family val="1"/>
      </rPr>
      <t>(Approved Plan)</t>
    </r>
  </si>
  <si>
    <t>JFL Koparkhairane</t>
  </si>
  <si>
    <t>Gaurav Panchal</t>
  </si>
  <si>
    <t>We have referred EC from PARIVESH site.</t>
  </si>
  <si>
    <t>Mr. Pawan Kulkarni 8082496850</t>
  </si>
  <si>
    <t>Construction work is in process at the time of Visit.</t>
  </si>
  <si>
    <t>Approved area of building (Sq.Mt)
Sale Bldg No. 04(Wing A)</t>
  </si>
  <si>
    <t>Ground Floor For Commercial, Meter Room, Fire Control Room &amp; Parking</t>
  </si>
  <si>
    <t>10th to 13th, 15th to 20th, 22nd to 27th, 29th to 34th, 36th &amp; 37th Floor For Residential</t>
  </si>
  <si>
    <t>1st Floor For Commercial Duplex With Ground Floor</t>
  </si>
  <si>
    <t>We have referred Approved Plan &amp; CC from RERA site on 21/07/2025.</t>
  </si>
  <si>
    <t xml:space="preserve">Building No.4 (A Wing) = 1B + G + 1st to 37th Floor
</t>
  </si>
  <si>
    <t>Building No.4 (A Wing) = 1B + G + 1st to 51st Floor</t>
  </si>
  <si>
    <t>Sale Bldg No. 04 = This CC is granted for work up to Plinth Level.</t>
  </si>
  <si>
    <t>https://maps.app.goo.gl/nRtyTRVSX1etC6gM8</t>
  </si>
  <si>
    <t>19.207007,72.847053</t>
  </si>
  <si>
    <t>Heritage Parody -1</t>
  </si>
  <si>
    <t>RERA Certificate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</si>
</sst>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8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1" fontId="11" fillId="0" borderId="1" xfId="1" applyNumberFormat="1" applyFont="1" applyBorder="1" applyAlignment="1">
      <alignment horizontal="center" vertical="center"/>
    </xf>
    <xf numFmtId="1" fontId="5" fillId="0" borderId="1" xfId="0" applyNumberFormat="1" applyFont="1" applyFill="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11" fillId="0" borderId="1" xfId="1" applyFont="1" applyBorder="1" applyAlignment="1" applyProtection="1">
      <alignment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0" xfId="1" applyNumberFormat="1" applyFont="1" applyAlignment="1">
      <alignment horizontal="center" vertical="center"/>
    </xf>
    <xf numFmtId="0" fontId="11"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6" fillId="0" borderId="1" xfId="1" applyNumberFormat="1" applyFont="1" applyFill="1" applyBorder="1" applyAlignment="1">
      <alignment horizontal="center" vertical="center"/>
    </xf>
    <xf numFmtId="0" fontId="6"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top" wrapText="1"/>
      <protection locked="0"/>
    </xf>
    <xf numFmtId="164" fontId="6" fillId="0" borderId="0" xfId="1" applyNumberFormat="1" applyFont="1" applyAlignment="1">
      <alignment horizontal="center" vertical="center"/>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1" fontId="5" fillId="0" borderId="17" xfId="1" applyNumberFormat="1" applyFont="1" applyFill="1" applyBorder="1" applyAlignment="1" applyProtection="1">
      <alignment horizontal="center" vertical="center" wrapText="1"/>
      <protection locked="0"/>
    </xf>
    <xf numFmtId="1" fontId="5" fillId="0" borderId="24" xfId="1" applyNumberFormat="1" applyFont="1" applyFill="1" applyBorder="1" applyAlignment="1" applyProtection="1">
      <alignment horizontal="center" vertical="center" wrapText="1"/>
      <protection locked="0"/>
    </xf>
    <xf numFmtId="1" fontId="5" fillId="0" borderId="18" xfId="1" applyNumberFormat="1" applyFont="1" applyFill="1" applyBorder="1" applyAlignment="1" applyProtection="1">
      <alignment horizontal="center" vertical="center" wrapText="1"/>
      <protection locked="0"/>
    </xf>
    <xf numFmtId="1" fontId="5" fillId="0" borderId="19" xfId="1" applyNumberFormat="1" applyFont="1" applyFill="1" applyBorder="1" applyAlignment="1" applyProtection="1">
      <alignment horizontal="center" vertical="center" wrapText="1"/>
      <protection locked="0"/>
    </xf>
    <xf numFmtId="1" fontId="5" fillId="0" borderId="2" xfId="1" applyNumberFormat="1" applyFont="1" applyFill="1" applyBorder="1" applyAlignment="1" applyProtection="1">
      <alignment horizontal="center" vertical="center" wrapText="1"/>
      <protection locked="0"/>
    </xf>
    <xf numFmtId="1" fontId="5" fillId="0" borderId="20" xfId="1" applyNumberFormat="1" applyFont="1" applyFill="1" applyBorder="1" applyAlignment="1" applyProtection="1">
      <alignment horizontal="center" vertical="center" wrapText="1"/>
      <protection locked="0"/>
    </xf>
    <xf numFmtId="1" fontId="5" fillId="0" borderId="25" xfId="1" applyNumberFormat="1" applyFont="1" applyFill="1" applyBorder="1" applyAlignment="1" applyProtection="1">
      <alignment horizontal="center" vertical="center" wrapText="1"/>
      <protection locked="0"/>
    </xf>
    <xf numFmtId="1" fontId="5" fillId="0" borderId="0" xfId="1" applyNumberFormat="1" applyFont="1" applyFill="1" applyBorder="1" applyAlignment="1" applyProtection="1">
      <alignment horizontal="center" vertical="center" wrapText="1"/>
      <protection locked="0"/>
    </xf>
    <xf numFmtId="1" fontId="5" fillId="0" borderId="26" xfId="1" applyNumberFormat="1" applyFont="1" applyFill="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8" xfId="1" applyNumberFormat="1" applyFont="1" applyFill="1" applyBorder="1" applyAlignment="1" applyProtection="1">
      <alignment horizontal="center" vertical="center" wrapText="1"/>
      <protection locked="0"/>
    </xf>
    <xf numFmtId="1" fontId="5" fillId="0" borderId="9" xfId="1" applyNumberFormat="1" applyFont="1" applyFill="1" applyBorder="1" applyAlignment="1" applyProtection="1">
      <alignment horizontal="center" vertical="center" wrapText="1"/>
      <protection locked="0"/>
    </xf>
    <xf numFmtId="1" fontId="7" fillId="0" borderId="8" xfId="1" applyNumberFormat="1" applyFont="1" applyFill="1" applyBorder="1" applyAlignment="1" applyProtection="1">
      <alignment horizontal="center" vertical="center" wrapText="1"/>
      <protection locked="0"/>
    </xf>
    <xf numFmtId="1" fontId="7" fillId="0" borderId="21" xfId="1" applyNumberFormat="1" applyFont="1" applyFill="1" applyBorder="1" applyAlignment="1" applyProtection="1">
      <alignment horizontal="center" vertical="center" wrapText="1"/>
      <protection locked="0"/>
    </xf>
    <xf numFmtId="1" fontId="7" fillId="0" borderId="9" xfId="1"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21"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1" fillId="0" borderId="1" xfId="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1" fontId="5" fillId="0" borderId="21" xfId="1"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1" fillId="0" borderId="1" xfId="1" applyFont="1" applyFill="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3.png"/><Relationship Id="rId2" Type="http://schemas.openxmlformats.org/officeDocument/2006/relationships/image" Target="../media/image42.png"/><Relationship Id="rId1" Type="http://schemas.openxmlformats.org/officeDocument/2006/relationships/image" Target="../media/image4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0.png"/><Relationship Id="rId1"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0</xdr:col>
      <xdr:colOff>180617</xdr:colOff>
      <xdr:row>312</xdr:row>
      <xdr:rowOff>104513</xdr:rowOff>
    </xdr:from>
    <xdr:to>
      <xdr:col>3</xdr:col>
      <xdr:colOff>347381</xdr:colOff>
      <xdr:row>328</xdr:row>
      <xdr:rowOff>15322</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5400000">
          <a:off x="-100420" y="59754315"/>
          <a:ext cx="3138103" cy="2576029"/>
        </a:xfrm>
        <a:prstGeom prst="rect">
          <a:avLst/>
        </a:prstGeom>
        <a:ln>
          <a:solidFill>
            <a:schemeClr val="tx1"/>
          </a:solidFill>
        </a:ln>
      </xdr:spPr>
    </xdr:pic>
    <xdr:clientData/>
  </xdr:twoCellAnchor>
  <xdr:twoCellAnchor>
    <xdr:from>
      <xdr:col>3</xdr:col>
      <xdr:colOff>491306</xdr:colOff>
      <xdr:row>312</xdr:row>
      <xdr:rowOff>89901</xdr:rowOff>
    </xdr:from>
    <xdr:to>
      <xdr:col>7</xdr:col>
      <xdr:colOff>560042</xdr:colOff>
      <xdr:row>337</xdr:row>
      <xdr:rowOff>168087</xdr:rowOff>
    </xdr:to>
    <xdr:grpSp>
      <xdr:nvGrpSpPr>
        <xdr:cNvPr id="7" name="Group 6">
          <a:extLst>
            <a:ext uri="{FF2B5EF4-FFF2-40B4-BE49-F238E27FC236}">
              <a16:creationId xmlns:a16="http://schemas.microsoft.com/office/drawing/2014/main" xmlns="" id="{00000000-0008-0000-0000-000007000000}"/>
            </a:ext>
          </a:extLst>
        </xdr:cNvPr>
        <xdr:cNvGrpSpPr/>
      </xdr:nvGrpSpPr>
      <xdr:grpSpPr>
        <a:xfrm>
          <a:off x="2901131" y="55687326"/>
          <a:ext cx="3240561" cy="5078811"/>
          <a:chOff x="2922982" y="59458667"/>
          <a:chExt cx="3240000" cy="5120833"/>
        </a:xfrm>
      </xdr:grpSpPr>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rot="5400000">
            <a:off x="1989146" y="60392503"/>
            <a:ext cx="5107671" cy="3240000"/>
          </a:xfrm>
          <a:prstGeom prst="rect">
            <a:avLst/>
          </a:prstGeom>
          <a:ln>
            <a:solidFill>
              <a:schemeClr val="tx1"/>
            </a:solidFill>
          </a:ln>
        </xdr:spPr>
      </xdr:pic>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3025587" y="64232118"/>
            <a:ext cx="3014383" cy="34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Sale</a:t>
            </a:r>
            <a:r>
              <a:rPr lang="en-IN" sz="1600" b="1" baseline="0">
                <a:solidFill>
                  <a:srgbClr val="FF0000"/>
                </a:solidFill>
              </a:rPr>
              <a:t> </a:t>
            </a:r>
            <a:r>
              <a:rPr lang="en-IN" sz="1600" b="1">
                <a:solidFill>
                  <a:srgbClr val="FF0000"/>
                </a:solidFill>
              </a:rPr>
              <a:t>Building</a:t>
            </a:r>
            <a:r>
              <a:rPr lang="en-IN" sz="1600" b="1" baseline="0">
                <a:solidFill>
                  <a:srgbClr val="FF0000"/>
                </a:solidFill>
              </a:rPr>
              <a:t> No. 4 (Wing A) </a:t>
            </a:r>
            <a:endParaRPr lang="en-IN" sz="1600" b="1">
              <a:solidFill>
                <a:srgbClr val="FF0000"/>
              </a:solidFill>
            </a:endParaRPr>
          </a:p>
        </xdr:txBody>
      </xdr:sp>
    </xdr:grpSp>
    <xdr:clientData/>
  </xdr:twoCellAnchor>
  <xdr:twoCellAnchor>
    <xdr:from>
      <xdr:col>6</xdr:col>
      <xdr:colOff>616324</xdr:colOff>
      <xdr:row>319</xdr:row>
      <xdr:rowOff>25780</xdr:rowOff>
    </xdr:from>
    <xdr:to>
      <xdr:col>7</xdr:col>
      <xdr:colOff>493060</xdr:colOff>
      <xdr:row>322</xdr:row>
      <xdr:rowOff>122599</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3"/>
        <a:stretch>
          <a:fillRect/>
        </a:stretch>
      </xdr:blipFill>
      <xdr:spPr>
        <a:xfrm>
          <a:off x="5468471" y="60167751"/>
          <a:ext cx="605118" cy="701936"/>
        </a:xfrm>
        <a:prstGeom prst="rect">
          <a:avLst/>
        </a:prstGeom>
      </xdr:spPr>
    </xdr:pic>
    <xdr:clientData/>
  </xdr:twoCellAnchor>
  <xdr:twoCellAnchor editAs="oneCell">
    <xdr:from>
      <xdr:col>0</xdr:col>
      <xdr:colOff>528372</xdr:colOff>
      <xdr:row>345</xdr:row>
      <xdr:rowOff>67235</xdr:rowOff>
    </xdr:from>
    <xdr:to>
      <xdr:col>7</xdr:col>
      <xdr:colOff>386470</xdr:colOff>
      <xdr:row>364</xdr:row>
      <xdr:rowOff>194823</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4"/>
        <a:stretch>
          <a:fillRect/>
        </a:stretch>
      </xdr:blipFill>
      <xdr:spPr>
        <a:xfrm>
          <a:off x="528372" y="66092294"/>
          <a:ext cx="5438627" cy="3960000"/>
        </a:xfrm>
        <a:prstGeom prst="rect">
          <a:avLst/>
        </a:prstGeom>
        <a:ln>
          <a:solidFill>
            <a:schemeClr val="tx1"/>
          </a:solidFill>
        </a:ln>
      </xdr:spPr>
    </xdr:pic>
    <xdr:clientData/>
  </xdr:twoCellAnchor>
  <xdr:twoCellAnchor>
    <xdr:from>
      <xdr:col>9</xdr:col>
      <xdr:colOff>152069</xdr:colOff>
      <xdr:row>357</xdr:row>
      <xdr:rowOff>5566</xdr:rowOff>
    </xdr:from>
    <xdr:to>
      <xdr:col>15</xdr:col>
      <xdr:colOff>89483</xdr:colOff>
      <xdr:row>381</xdr:row>
      <xdr:rowOff>198764</xdr:rowOff>
    </xdr:to>
    <xdr:grpSp>
      <xdr:nvGrpSpPr>
        <xdr:cNvPr id="15" name="Group 14">
          <a:extLst>
            <a:ext uri="{FF2B5EF4-FFF2-40B4-BE49-F238E27FC236}">
              <a16:creationId xmlns:a16="http://schemas.microsoft.com/office/drawing/2014/main" xmlns="" id="{00000000-0008-0000-0000-00000F000000}"/>
            </a:ext>
          </a:extLst>
        </xdr:cNvPr>
        <xdr:cNvGrpSpPr/>
      </xdr:nvGrpSpPr>
      <xdr:grpSpPr>
        <a:xfrm>
          <a:off x="7629194" y="64604116"/>
          <a:ext cx="4766589" cy="4993798"/>
          <a:chOff x="557939" y="70246278"/>
          <a:chExt cx="4770854" cy="5036915"/>
        </a:xfrm>
      </xdr:grpSpPr>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5"/>
          <a:stretch>
            <a:fillRect/>
          </a:stretch>
        </xdr:blipFill>
        <xdr:spPr>
          <a:xfrm>
            <a:off x="941293" y="70246278"/>
            <a:ext cx="4387500" cy="4320000"/>
          </a:xfrm>
          <a:prstGeom prst="rect">
            <a:avLst/>
          </a:prstGeom>
          <a:ln>
            <a:solidFill>
              <a:schemeClr val="tx1"/>
            </a:solidFill>
          </a:ln>
        </xdr:spPr>
      </xdr:pic>
      <xdr:sp macro="" textlink="">
        <xdr:nvSpPr>
          <xdr:cNvPr id="13" name="Freeform 12">
            <a:extLst>
              <a:ext uri="{FF2B5EF4-FFF2-40B4-BE49-F238E27FC236}">
                <a16:creationId xmlns:a16="http://schemas.microsoft.com/office/drawing/2014/main" xmlns="" id="{00000000-0008-0000-0000-00000D000000}"/>
              </a:ext>
            </a:extLst>
          </xdr:cNvPr>
          <xdr:cNvSpPr/>
        </xdr:nvSpPr>
        <xdr:spPr>
          <a:xfrm>
            <a:off x="2061882" y="73140793"/>
            <a:ext cx="1232647" cy="560295"/>
          </a:xfrm>
          <a:custGeom>
            <a:avLst/>
            <a:gdLst>
              <a:gd name="connsiteX0" fmla="*/ 100853 w 1243853"/>
              <a:gd name="connsiteY0" fmla="*/ 89647 h 537883"/>
              <a:gd name="connsiteX1" fmla="*/ 818029 w 1243853"/>
              <a:gd name="connsiteY1" fmla="*/ 291353 h 537883"/>
              <a:gd name="connsiteX2" fmla="*/ 1086970 w 1243853"/>
              <a:gd name="connsiteY2" fmla="*/ 0 h 537883"/>
              <a:gd name="connsiteX3" fmla="*/ 1243853 w 1243853"/>
              <a:gd name="connsiteY3" fmla="*/ 268942 h 537883"/>
              <a:gd name="connsiteX4" fmla="*/ 941294 w 1243853"/>
              <a:gd name="connsiteY4" fmla="*/ 537883 h 537883"/>
              <a:gd name="connsiteX5" fmla="*/ 0 w 1243853"/>
              <a:gd name="connsiteY5" fmla="*/ 336177 h 537883"/>
              <a:gd name="connsiteX6" fmla="*/ 100853 w 1243853"/>
              <a:gd name="connsiteY6" fmla="*/ 89647 h 5378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43853" h="537883">
                <a:moveTo>
                  <a:pt x="100853" y="89647"/>
                </a:moveTo>
                <a:lnTo>
                  <a:pt x="818029" y="291353"/>
                </a:lnTo>
                <a:lnTo>
                  <a:pt x="1086970" y="0"/>
                </a:lnTo>
                <a:lnTo>
                  <a:pt x="1243853" y="268942"/>
                </a:lnTo>
                <a:lnTo>
                  <a:pt x="941294" y="537883"/>
                </a:lnTo>
                <a:lnTo>
                  <a:pt x="0" y="336177"/>
                </a:lnTo>
                <a:lnTo>
                  <a:pt x="100853" y="89647"/>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4" name="TextBox 13">
            <a:extLst>
              <a:ext uri="{FF2B5EF4-FFF2-40B4-BE49-F238E27FC236}">
                <a16:creationId xmlns:a16="http://schemas.microsoft.com/office/drawing/2014/main" xmlns="" id="{00000000-0008-0000-0000-00000E000000}"/>
              </a:ext>
            </a:extLst>
          </xdr:cNvPr>
          <xdr:cNvSpPr txBox="1"/>
        </xdr:nvSpPr>
        <xdr:spPr>
          <a:xfrm>
            <a:off x="557939" y="74935811"/>
            <a:ext cx="2375647" cy="34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FF00"/>
                </a:solidFill>
              </a:rPr>
              <a:t>Building</a:t>
            </a:r>
            <a:r>
              <a:rPr lang="en-IN" sz="1400" b="1" baseline="0">
                <a:solidFill>
                  <a:srgbClr val="FFFF00"/>
                </a:solidFill>
              </a:rPr>
              <a:t> No. 4 (Wing A) </a:t>
            </a:r>
            <a:endParaRPr lang="en-IN" sz="1400" b="1">
              <a:solidFill>
                <a:srgbClr val="FFFF00"/>
              </a:solidFill>
            </a:endParaRPr>
          </a:p>
        </xdr:txBody>
      </xdr:sp>
    </xdr:grpSp>
    <xdr:clientData/>
  </xdr:twoCellAnchor>
  <xdr:twoCellAnchor>
    <xdr:from>
      <xdr:col>8</xdr:col>
      <xdr:colOff>728382</xdr:colOff>
      <xdr:row>6</xdr:row>
      <xdr:rowOff>25215</xdr:rowOff>
    </xdr:from>
    <xdr:to>
      <xdr:col>16</xdr:col>
      <xdr:colOff>376276</xdr:colOff>
      <xdr:row>15</xdr:row>
      <xdr:rowOff>97742</xdr:rowOff>
    </xdr:to>
    <xdr:grpSp>
      <xdr:nvGrpSpPr>
        <xdr:cNvPr id="17" name="Group 16">
          <a:extLst>
            <a:ext uri="{FF2B5EF4-FFF2-40B4-BE49-F238E27FC236}">
              <a16:creationId xmlns:a16="http://schemas.microsoft.com/office/drawing/2014/main" xmlns="" id="{00000000-0008-0000-0000-000011000000}"/>
            </a:ext>
          </a:extLst>
        </xdr:cNvPr>
        <xdr:cNvGrpSpPr/>
      </xdr:nvGrpSpPr>
      <xdr:grpSpPr>
        <a:xfrm>
          <a:off x="7043457" y="1625415"/>
          <a:ext cx="6420169" cy="2282327"/>
          <a:chOff x="7348257" y="2159935"/>
          <a:chExt cx="6422970" cy="2505884"/>
        </a:xfrm>
      </xdr:grpSpPr>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6"/>
          <a:stretch>
            <a:fillRect/>
          </a:stretch>
        </xdr:blipFill>
        <xdr:spPr>
          <a:xfrm>
            <a:off x="7348257" y="2159935"/>
            <a:ext cx="6422970" cy="2505884"/>
          </a:xfrm>
          <a:prstGeom prst="rect">
            <a:avLst/>
          </a:prstGeom>
        </xdr:spPr>
      </xdr:pic>
      <xdr:sp macro="" textlink="">
        <xdr:nvSpPr>
          <xdr:cNvPr id="16" name="Rectangle 15">
            <a:extLst>
              <a:ext uri="{FF2B5EF4-FFF2-40B4-BE49-F238E27FC236}">
                <a16:creationId xmlns:a16="http://schemas.microsoft.com/office/drawing/2014/main" xmlns="" id="{00000000-0008-0000-0000-000010000000}"/>
              </a:ext>
            </a:extLst>
          </xdr:cNvPr>
          <xdr:cNvSpPr/>
        </xdr:nvSpPr>
        <xdr:spPr>
          <a:xfrm>
            <a:off x="10152529" y="4471147"/>
            <a:ext cx="2835089" cy="1456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8</xdr:col>
      <xdr:colOff>588869</xdr:colOff>
      <xdr:row>268</xdr:row>
      <xdr:rowOff>73959</xdr:rowOff>
    </xdr:from>
    <xdr:to>
      <xdr:col>15</xdr:col>
      <xdr:colOff>524898</xdr:colOff>
      <xdr:row>302</xdr:row>
      <xdr:rowOff>8133</xdr:rowOff>
    </xdr:to>
    <xdr:grpSp>
      <xdr:nvGrpSpPr>
        <xdr:cNvPr id="5" name="Group 4">
          <a:extLst>
            <a:ext uri="{FF2B5EF4-FFF2-40B4-BE49-F238E27FC236}">
              <a16:creationId xmlns:a16="http://schemas.microsoft.com/office/drawing/2014/main" xmlns="" id="{808223A5-A640-463F-B219-14580A9D1BD2}"/>
            </a:ext>
          </a:extLst>
        </xdr:cNvPr>
        <xdr:cNvGrpSpPr/>
      </xdr:nvGrpSpPr>
      <xdr:grpSpPr>
        <a:xfrm>
          <a:off x="6903944" y="46879809"/>
          <a:ext cx="5927254" cy="6725499"/>
          <a:chOff x="179294" y="46736934"/>
          <a:chExt cx="5927254" cy="6725499"/>
        </a:xfrm>
      </xdr:grpSpPr>
      <xdr:pic>
        <xdr:nvPicPr>
          <xdr:cNvPr id="18" name="Picture 17" descr="https://vsjcllp.vsjadon.com/upload/insp-189810-1525.jpg">
            <a:extLst>
              <a:ext uri="{FF2B5EF4-FFF2-40B4-BE49-F238E27FC236}">
                <a16:creationId xmlns:a16="http://schemas.microsoft.com/office/drawing/2014/main" xmlns="" id="{00000000-0008-0000-0000-000012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3240598" y="51320923"/>
            <a:ext cx="2865948" cy="21415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189810-845.jpg">
            <a:extLst>
              <a:ext uri="{FF2B5EF4-FFF2-40B4-BE49-F238E27FC236}">
                <a16:creationId xmlns:a16="http://schemas.microsoft.com/office/drawing/2014/main" xmlns="" id="{00000000-0008-0000-0000-000013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79294" y="46736934"/>
            <a:ext cx="2865947" cy="214319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189810-849.jpg">
            <a:extLst>
              <a:ext uri="{FF2B5EF4-FFF2-40B4-BE49-F238E27FC236}">
                <a16:creationId xmlns:a16="http://schemas.microsoft.com/office/drawing/2014/main" xmlns="" id="{00000000-0008-0000-0000-000014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240600" y="49028928"/>
            <a:ext cx="2865948" cy="21431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189810-931.jpg">
            <a:extLst>
              <a:ext uri="{FF2B5EF4-FFF2-40B4-BE49-F238E27FC236}">
                <a16:creationId xmlns:a16="http://schemas.microsoft.com/office/drawing/2014/main" xmlns="" id="{00000000-0008-0000-0000-000015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3240599" y="46736934"/>
            <a:ext cx="2865948" cy="214319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189810-925.jpg">
            <a:extLst>
              <a:ext uri="{FF2B5EF4-FFF2-40B4-BE49-F238E27FC236}">
                <a16:creationId xmlns:a16="http://schemas.microsoft.com/office/drawing/2014/main" xmlns="" id="{00000000-0008-0000-0000-000016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79294" y="51320923"/>
            <a:ext cx="2876559" cy="21415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8" name="Group 7">
            <a:extLst>
              <a:ext uri="{FF2B5EF4-FFF2-40B4-BE49-F238E27FC236}">
                <a16:creationId xmlns:a16="http://schemas.microsoft.com/office/drawing/2014/main" xmlns="" id="{00000000-0008-0000-0000-000008000000}"/>
              </a:ext>
            </a:extLst>
          </xdr:cNvPr>
          <xdr:cNvGrpSpPr/>
        </xdr:nvGrpSpPr>
        <xdr:grpSpPr>
          <a:xfrm>
            <a:off x="179294" y="49006125"/>
            <a:ext cx="2992531" cy="2165994"/>
            <a:chOff x="179294" y="52264235"/>
            <a:chExt cx="2991971" cy="2184484"/>
          </a:xfrm>
        </xdr:grpSpPr>
        <xdr:pic>
          <xdr:nvPicPr>
            <xdr:cNvPr id="23" name="Picture 22" descr="https://vsjcllp.vsjadon.com/upload/insp-189810-847.jpg">
              <a:extLst>
                <a:ext uri="{FF2B5EF4-FFF2-40B4-BE49-F238E27FC236}">
                  <a16:creationId xmlns:a16="http://schemas.microsoft.com/office/drawing/2014/main" xmlns="" id="{00000000-0008-0000-0000-000017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79294" y="52288719"/>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4" name="TextBox 23">
              <a:extLst>
                <a:ext uri="{FF2B5EF4-FFF2-40B4-BE49-F238E27FC236}">
                  <a16:creationId xmlns:a16="http://schemas.microsoft.com/office/drawing/2014/main" xmlns="" id="{00000000-0008-0000-0000-000018000000}"/>
                </a:ext>
              </a:extLst>
            </xdr:cNvPr>
            <xdr:cNvSpPr txBox="1"/>
          </xdr:nvSpPr>
          <xdr:spPr>
            <a:xfrm>
              <a:off x="795618" y="52264235"/>
              <a:ext cx="2375647" cy="34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Building</a:t>
              </a:r>
              <a:r>
                <a:rPr lang="en-IN" sz="1600" b="1" baseline="0">
                  <a:solidFill>
                    <a:srgbClr val="FF0000"/>
                  </a:solidFill>
                </a:rPr>
                <a:t> No. 4 (Wing A) </a:t>
              </a:r>
              <a:endParaRPr lang="en-IN" sz="1600" b="1">
                <a:solidFill>
                  <a:srgbClr val="FF0000"/>
                </a:solidFill>
              </a:endParaRPr>
            </a:p>
          </xdr:txBody>
        </xdr:sp>
      </xdr:grpSp>
    </xdr:grpSp>
    <xdr:clientData/>
  </xdr:twoCellAnchor>
  <xdr:twoCellAnchor>
    <xdr:from>
      <xdr:col>4</xdr:col>
      <xdr:colOff>392206</xdr:colOff>
      <xdr:row>316</xdr:row>
      <xdr:rowOff>78442</xdr:rowOff>
    </xdr:from>
    <xdr:to>
      <xdr:col>6</xdr:col>
      <xdr:colOff>336177</xdr:colOff>
      <xdr:row>325</xdr:row>
      <xdr:rowOff>11207</xdr:rowOff>
    </xdr:to>
    <xdr:sp macro="" textlink="">
      <xdr:nvSpPr>
        <xdr:cNvPr id="25" name="TextBox 24">
          <a:extLst>
            <a:ext uri="{FF2B5EF4-FFF2-40B4-BE49-F238E27FC236}">
              <a16:creationId xmlns:a16="http://schemas.microsoft.com/office/drawing/2014/main" xmlns="" id="{00000000-0008-0000-0000-000019000000}"/>
            </a:ext>
          </a:extLst>
        </xdr:cNvPr>
        <xdr:cNvSpPr txBox="1"/>
      </xdr:nvSpPr>
      <xdr:spPr>
        <a:xfrm>
          <a:off x="3720353" y="59615295"/>
          <a:ext cx="1467971" cy="1748118"/>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clientData/>
  </xdr:twoCellAnchor>
  <xdr:oneCellAnchor>
    <xdr:from>
      <xdr:col>5</xdr:col>
      <xdr:colOff>224117</xdr:colOff>
      <xdr:row>332</xdr:row>
      <xdr:rowOff>168088</xdr:rowOff>
    </xdr:from>
    <xdr:ext cx="412998" cy="342786"/>
    <xdr:sp macro="" textlink="">
      <xdr:nvSpPr>
        <xdr:cNvPr id="26" name="TextBox 25">
          <a:extLst>
            <a:ext uri="{FF2B5EF4-FFF2-40B4-BE49-F238E27FC236}">
              <a16:creationId xmlns:a16="http://schemas.microsoft.com/office/drawing/2014/main" xmlns="" id="{00000000-0008-0000-0000-00001A000000}"/>
            </a:ext>
          </a:extLst>
        </xdr:cNvPr>
        <xdr:cNvSpPr txBox="1"/>
      </xdr:nvSpPr>
      <xdr:spPr>
        <a:xfrm>
          <a:off x="4336676" y="62932235"/>
          <a:ext cx="412998" cy="34278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4A</a:t>
          </a:r>
        </a:p>
      </xdr:txBody>
    </xdr:sp>
    <xdr:clientData/>
  </xdr:oneCellAnchor>
  <xdr:oneCellAnchor>
    <xdr:from>
      <xdr:col>4</xdr:col>
      <xdr:colOff>569748</xdr:colOff>
      <xdr:row>327</xdr:row>
      <xdr:rowOff>78694</xdr:rowOff>
    </xdr:from>
    <xdr:ext cx="397288" cy="342786"/>
    <xdr:sp macro="" textlink="">
      <xdr:nvSpPr>
        <xdr:cNvPr id="27" name="TextBox 26">
          <a:extLst>
            <a:ext uri="{FF2B5EF4-FFF2-40B4-BE49-F238E27FC236}">
              <a16:creationId xmlns:a16="http://schemas.microsoft.com/office/drawing/2014/main" xmlns="" id="{00000000-0008-0000-0000-00001B000000}"/>
            </a:ext>
          </a:extLst>
        </xdr:cNvPr>
        <xdr:cNvSpPr txBox="1"/>
      </xdr:nvSpPr>
      <xdr:spPr>
        <a:xfrm>
          <a:off x="3897895" y="61834312"/>
          <a:ext cx="397288" cy="34278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4C</a:t>
          </a:r>
        </a:p>
      </xdr:txBody>
    </xdr:sp>
    <xdr:clientData/>
  </xdr:oneCellAnchor>
  <xdr:oneCellAnchor>
    <xdr:from>
      <xdr:col>4</xdr:col>
      <xdr:colOff>554059</xdr:colOff>
      <xdr:row>330</xdr:row>
      <xdr:rowOff>175065</xdr:rowOff>
    </xdr:from>
    <xdr:ext cx="403700" cy="342786"/>
    <xdr:sp macro="" textlink="">
      <xdr:nvSpPr>
        <xdr:cNvPr id="28" name="TextBox 27">
          <a:extLst>
            <a:ext uri="{FF2B5EF4-FFF2-40B4-BE49-F238E27FC236}">
              <a16:creationId xmlns:a16="http://schemas.microsoft.com/office/drawing/2014/main" xmlns="" id="{00000000-0008-0000-0000-00001C000000}"/>
            </a:ext>
          </a:extLst>
        </xdr:cNvPr>
        <xdr:cNvSpPr txBox="1"/>
      </xdr:nvSpPr>
      <xdr:spPr>
        <a:xfrm>
          <a:off x="3882206" y="62535800"/>
          <a:ext cx="403700" cy="34278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4B</a:t>
          </a:r>
        </a:p>
      </xdr:txBody>
    </xdr:sp>
    <xdr:clientData/>
  </xdr:oneCellAnchor>
  <xdr:oneCellAnchor>
    <xdr:from>
      <xdr:col>4</xdr:col>
      <xdr:colOff>302559</xdr:colOff>
      <xdr:row>313</xdr:row>
      <xdr:rowOff>134471</xdr:rowOff>
    </xdr:from>
    <xdr:ext cx="2667000" cy="1131794"/>
    <xdr:sp macro="" textlink="">
      <xdr:nvSpPr>
        <xdr:cNvPr id="29" name="TextBox 28">
          <a:extLst>
            <a:ext uri="{FF2B5EF4-FFF2-40B4-BE49-F238E27FC236}">
              <a16:creationId xmlns:a16="http://schemas.microsoft.com/office/drawing/2014/main" xmlns="" id="{00000000-0008-0000-0000-00001D000000}"/>
            </a:ext>
          </a:extLst>
        </xdr:cNvPr>
        <xdr:cNvSpPr txBox="1"/>
      </xdr:nvSpPr>
      <xdr:spPr>
        <a:xfrm>
          <a:off x="3630706" y="59066206"/>
          <a:ext cx="2667000" cy="1131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1"/>
            <a:t>Composite Building No. 3 </a:t>
          </a:r>
        </a:p>
        <a:p>
          <a:r>
            <a:rPr lang="en-IN" sz="1200" b="1"/>
            <a:t>Wing</a:t>
          </a:r>
          <a:r>
            <a:rPr lang="en-IN" sz="1200" b="1" baseline="0"/>
            <a:t> A to I</a:t>
          </a:r>
          <a:endParaRPr lang="en-IN" sz="1200" b="1"/>
        </a:p>
      </xdr:txBody>
    </xdr:sp>
    <xdr:clientData/>
  </xdr:oneCellAnchor>
  <xdr:twoCellAnchor editAs="oneCell">
    <xdr:from>
      <xdr:col>9</xdr:col>
      <xdr:colOff>171450</xdr:colOff>
      <xdr:row>59</xdr:row>
      <xdr:rowOff>114300</xdr:rowOff>
    </xdr:from>
    <xdr:to>
      <xdr:col>16</xdr:col>
      <xdr:colOff>477076</xdr:colOff>
      <xdr:row>74</xdr:row>
      <xdr:rowOff>86339</xdr:rowOff>
    </xdr:to>
    <xdr:pic>
      <xdr:nvPicPr>
        <xdr:cNvPr id="10" name="Picture 9">
          <a:extLst>
            <a:ext uri="{FF2B5EF4-FFF2-40B4-BE49-F238E27FC236}">
              <a16:creationId xmlns:a16="http://schemas.microsoft.com/office/drawing/2014/main" xmlns="" id="{D4EAE3D0-DFDF-42E6-9B23-8E755B3E6E12}"/>
            </a:ext>
          </a:extLst>
        </xdr:cNvPr>
        <xdr:cNvPicPr>
          <a:picLocks noChangeAspect="1"/>
        </xdr:cNvPicPr>
      </xdr:nvPicPr>
      <xdr:blipFill>
        <a:blip xmlns:r="http://schemas.openxmlformats.org/officeDocument/2006/relationships" r:embed="rId13"/>
        <a:stretch>
          <a:fillRect/>
        </a:stretch>
      </xdr:blipFill>
      <xdr:spPr>
        <a:xfrm>
          <a:off x="7648575" y="12811125"/>
          <a:ext cx="5915851" cy="4401164"/>
        </a:xfrm>
        <a:prstGeom prst="rect">
          <a:avLst/>
        </a:prstGeom>
      </xdr:spPr>
    </xdr:pic>
    <xdr:clientData/>
  </xdr:twoCellAnchor>
  <xdr:twoCellAnchor editAs="oneCell">
    <xdr:from>
      <xdr:col>8</xdr:col>
      <xdr:colOff>104775</xdr:colOff>
      <xdr:row>28</xdr:row>
      <xdr:rowOff>171450</xdr:rowOff>
    </xdr:from>
    <xdr:to>
      <xdr:col>11</xdr:col>
      <xdr:colOff>355875</xdr:colOff>
      <xdr:row>38</xdr:row>
      <xdr:rowOff>172819</xdr:rowOff>
    </xdr:to>
    <xdr:pic>
      <xdr:nvPicPr>
        <xdr:cNvPr id="30" name="Picture 29">
          <a:extLst>
            <a:ext uri="{FF2B5EF4-FFF2-40B4-BE49-F238E27FC236}">
              <a16:creationId xmlns:a16="http://schemas.microsoft.com/office/drawing/2014/main" xmlns="" id="{9A7B89D8-1273-4022-B07F-A07D5079A849}"/>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6419850" y="7010400"/>
          <a:ext cx="2880000" cy="1992094"/>
        </a:xfrm>
        <a:prstGeom prst="rect">
          <a:avLst/>
        </a:prstGeom>
      </xdr:spPr>
    </xdr:pic>
    <xdr:clientData/>
  </xdr:twoCellAnchor>
  <xdr:twoCellAnchor editAs="oneCell">
    <xdr:from>
      <xdr:col>8</xdr:col>
      <xdr:colOff>190500</xdr:colOff>
      <xdr:row>38</xdr:row>
      <xdr:rowOff>171450</xdr:rowOff>
    </xdr:from>
    <xdr:to>
      <xdr:col>12</xdr:col>
      <xdr:colOff>237675</xdr:colOff>
      <xdr:row>47</xdr:row>
      <xdr:rowOff>146901</xdr:rowOff>
    </xdr:to>
    <xdr:pic>
      <xdr:nvPicPr>
        <xdr:cNvPr id="31" name="Picture 30">
          <a:extLst>
            <a:ext uri="{FF2B5EF4-FFF2-40B4-BE49-F238E27FC236}">
              <a16:creationId xmlns:a16="http://schemas.microsoft.com/office/drawing/2014/main" xmlns="" id="{AA285411-856A-456B-8C88-04CCB77971C7}"/>
            </a:ext>
          </a:extLst>
        </xdr:cNvPr>
        <xdr:cNvPicPr>
          <a:picLocks noChangeAspect="1"/>
        </xdr:cNvPicPr>
      </xdr:nvPicPr>
      <xdr:blipFill>
        <a:blip xmlns:r="http://schemas.openxmlformats.org/officeDocument/2006/relationships" r:embed="rId15"/>
        <a:stretch>
          <a:fillRect/>
        </a:stretch>
      </xdr:blipFill>
      <xdr:spPr>
        <a:xfrm>
          <a:off x="6505575" y="9001125"/>
          <a:ext cx="3600000" cy="1775676"/>
        </a:xfrm>
        <a:prstGeom prst="rect">
          <a:avLst/>
        </a:prstGeom>
      </xdr:spPr>
    </xdr:pic>
    <xdr:clientData/>
  </xdr:twoCellAnchor>
  <xdr:twoCellAnchor editAs="oneCell">
    <xdr:from>
      <xdr:col>8</xdr:col>
      <xdr:colOff>66675</xdr:colOff>
      <xdr:row>47</xdr:row>
      <xdr:rowOff>228600</xdr:rowOff>
    </xdr:from>
    <xdr:to>
      <xdr:col>12</xdr:col>
      <xdr:colOff>113850</xdr:colOff>
      <xdr:row>55</xdr:row>
      <xdr:rowOff>78995</xdr:rowOff>
    </xdr:to>
    <xdr:pic>
      <xdr:nvPicPr>
        <xdr:cNvPr id="32" name="Picture 31">
          <a:extLst>
            <a:ext uri="{FF2B5EF4-FFF2-40B4-BE49-F238E27FC236}">
              <a16:creationId xmlns:a16="http://schemas.microsoft.com/office/drawing/2014/main" xmlns="" id="{14481DE7-42F8-4332-92BE-1D34CC37A4A4}"/>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381750" y="10858500"/>
          <a:ext cx="3600000" cy="1288670"/>
        </a:xfrm>
        <a:prstGeom prst="rect">
          <a:avLst/>
        </a:prstGeom>
      </xdr:spPr>
    </xdr:pic>
    <xdr:clientData/>
  </xdr:twoCellAnchor>
  <xdr:twoCellAnchor>
    <xdr:from>
      <xdr:col>0</xdr:col>
      <xdr:colOff>66675</xdr:colOff>
      <xdr:row>268</xdr:row>
      <xdr:rowOff>142874</xdr:rowOff>
    </xdr:from>
    <xdr:to>
      <xdr:col>7</xdr:col>
      <xdr:colOff>695325</xdr:colOff>
      <xdr:row>300</xdr:row>
      <xdr:rowOff>154272</xdr:rowOff>
    </xdr:to>
    <xdr:grpSp>
      <xdr:nvGrpSpPr>
        <xdr:cNvPr id="33" name="Group 32">
          <a:extLst>
            <a:ext uri="{FF2B5EF4-FFF2-40B4-BE49-F238E27FC236}">
              <a16:creationId xmlns:a16="http://schemas.microsoft.com/office/drawing/2014/main" xmlns="" id="{42EE3BB8-C3FF-4CA8-BE2C-229A292F834E}"/>
            </a:ext>
          </a:extLst>
        </xdr:cNvPr>
        <xdr:cNvGrpSpPr/>
      </xdr:nvGrpSpPr>
      <xdr:grpSpPr>
        <a:xfrm>
          <a:off x="66675" y="46948724"/>
          <a:ext cx="6210300" cy="6402673"/>
          <a:chOff x="291632" y="520513"/>
          <a:chExt cx="6402902" cy="6640798"/>
        </a:xfrm>
      </xdr:grpSpPr>
      <xdr:grpSp>
        <xdr:nvGrpSpPr>
          <xdr:cNvPr id="34" name="Group 33">
            <a:extLst>
              <a:ext uri="{FF2B5EF4-FFF2-40B4-BE49-F238E27FC236}">
                <a16:creationId xmlns:a16="http://schemas.microsoft.com/office/drawing/2014/main" xmlns="" id="{0B2DCC79-237E-462A-883D-37CC53FD95C3}"/>
              </a:ext>
            </a:extLst>
          </xdr:cNvPr>
          <xdr:cNvGrpSpPr/>
        </xdr:nvGrpSpPr>
        <xdr:grpSpPr>
          <a:xfrm>
            <a:off x="291632" y="520513"/>
            <a:ext cx="6402902" cy="6640798"/>
            <a:chOff x="291632" y="520513"/>
            <a:chExt cx="6402902" cy="6640798"/>
          </a:xfrm>
        </xdr:grpSpPr>
        <xdr:pic>
          <xdr:nvPicPr>
            <xdr:cNvPr id="37" name="Picture 36">
              <a:extLst>
                <a:ext uri="{FF2B5EF4-FFF2-40B4-BE49-F238E27FC236}">
                  <a16:creationId xmlns:a16="http://schemas.microsoft.com/office/drawing/2014/main" xmlns="" id="{62DFFC9F-EC15-42A6-9349-6D193E6BF34C}"/>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91632" y="520513"/>
              <a:ext cx="3104170" cy="2340000"/>
            </a:xfrm>
            <a:prstGeom prst="rect">
              <a:avLst/>
            </a:prstGeom>
            <a:ln>
              <a:solidFill>
                <a:schemeClr val="tx1"/>
              </a:solidFill>
            </a:ln>
          </xdr:spPr>
        </xdr:pic>
        <xdr:pic>
          <xdr:nvPicPr>
            <xdr:cNvPr id="38" name="Picture 37">
              <a:extLst>
                <a:ext uri="{FF2B5EF4-FFF2-40B4-BE49-F238E27FC236}">
                  <a16:creationId xmlns:a16="http://schemas.microsoft.com/office/drawing/2014/main" xmlns="" id="{FB6C6D43-E5DE-42F1-920D-924BE71E19C3}"/>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590364" y="520513"/>
              <a:ext cx="3104170" cy="2340000"/>
            </a:xfrm>
            <a:prstGeom prst="rect">
              <a:avLst/>
            </a:prstGeom>
            <a:ln>
              <a:solidFill>
                <a:schemeClr val="tx1"/>
              </a:solidFill>
            </a:ln>
          </xdr:spPr>
        </xdr:pic>
        <xdr:pic>
          <xdr:nvPicPr>
            <xdr:cNvPr id="39" name="Picture 38">
              <a:extLst>
                <a:ext uri="{FF2B5EF4-FFF2-40B4-BE49-F238E27FC236}">
                  <a16:creationId xmlns:a16="http://schemas.microsoft.com/office/drawing/2014/main" xmlns="" id="{29657229-B9E6-43E3-A2C3-A1052E375453}"/>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530415" y="3012702"/>
              <a:ext cx="2865387" cy="2160000"/>
            </a:xfrm>
            <a:prstGeom prst="rect">
              <a:avLst/>
            </a:prstGeom>
            <a:ln>
              <a:solidFill>
                <a:schemeClr val="tx1"/>
              </a:solidFill>
            </a:ln>
          </xdr:spPr>
        </xdr:pic>
        <xdr:pic>
          <xdr:nvPicPr>
            <xdr:cNvPr id="40" name="Picture 39">
              <a:extLst>
                <a:ext uri="{FF2B5EF4-FFF2-40B4-BE49-F238E27FC236}">
                  <a16:creationId xmlns:a16="http://schemas.microsoft.com/office/drawing/2014/main" xmlns="" id="{64C24267-0ACE-45D4-A779-AAC34EBE8FAF}"/>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590364" y="3012702"/>
              <a:ext cx="2865387" cy="2160000"/>
            </a:xfrm>
            <a:prstGeom prst="rect">
              <a:avLst/>
            </a:prstGeom>
            <a:ln>
              <a:solidFill>
                <a:schemeClr val="tx1"/>
              </a:solidFill>
            </a:ln>
          </xdr:spPr>
        </xdr:pic>
        <xdr:pic>
          <xdr:nvPicPr>
            <xdr:cNvPr id="41" name="Picture 40">
              <a:extLst>
                <a:ext uri="{FF2B5EF4-FFF2-40B4-BE49-F238E27FC236}">
                  <a16:creationId xmlns:a16="http://schemas.microsoft.com/office/drawing/2014/main" xmlns="" id="{4A89A1CA-344F-4101-88CC-3312ED3CAACA}"/>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999135" y="5361311"/>
              <a:ext cx="2396667" cy="1800000"/>
            </a:xfrm>
            <a:prstGeom prst="rect">
              <a:avLst/>
            </a:prstGeom>
            <a:ln>
              <a:solidFill>
                <a:schemeClr val="tx1"/>
              </a:solidFill>
            </a:ln>
          </xdr:spPr>
        </xdr:pic>
        <xdr:pic>
          <xdr:nvPicPr>
            <xdr:cNvPr id="42" name="Picture 41">
              <a:extLst>
                <a:ext uri="{FF2B5EF4-FFF2-40B4-BE49-F238E27FC236}">
                  <a16:creationId xmlns:a16="http://schemas.microsoft.com/office/drawing/2014/main" xmlns="" id="{08D56906-1378-4049-A46F-7A02A69F9346}"/>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590364" y="5361311"/>
              <a:ext cx="2387823" cy="1800000"/>
            </a:xfrm>
            <a:prstGeom prst="rect">
              <a:avLst/>
            </a:prstGeom>
            <a:ln>
              <a:solidFill>
                <a:schemeClr val="tx1"/>
              </a:solidFill>
            </a:ln>
          </xdr:spPr>
        </xdr:pic>
      </xdr:grpSp>
      <xdr:sp macro="" textlink="">
        <xdr:nvSpPr>
          <xdr:cNvPr id="35" name="TextBox 16">
            <a:extLst>
              <a:ext uri="{FF2B5EF4-FFF2-40B4-BE49-F238E27FC236}">
                <a16:creationId xmlns:a16="http://schemas.microsoft.com/office/drawing/2014/main" xmlns="" id="{D6D8A8BF-0EBD-420F-803E-0924B2C480B9}"/>
              </a:ext>
            </a:extLst>
          </xdr:cNvPr>
          <xdr:cNvSpPr txBox="1"/>
        </xdr:nvSpPr>
        <xdr:spPr>
          <a:xfrm>
            <a:off x="722031" y="2294231"/>
            <a:ext cx="2054163" cy="38805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4 Wing A</a:t>
            </a:r>
            <a:endParaRPr lang="en-IN" b="1">
              <a:solidFill>
                <a:srgbClr val="FF0000"/>
              </a:solidFill>
            </a:endParaRPr>
          </a:p>
        </xdr:txBody>
      </xdr:sp>
      <xdr:sp macro="" textlink="">
        <xdr:nvSpPr>
          <xdr:cNvPr id="36" name="TextBox 17">
            <a:extLst>
              <a:ext uri="{FF2B5EF4-FFF2-40B4-BE49-F238E27FC236}">
                <a16:creationId xmlns:a16="http://schemas.microsoft.com/office/drawing/2014/main" xmlns="" id="{4D53486D-46C1-4BDC-9901-091B4CE69783}"/>
              </a:ext>
            </a:extLst>
          </xdr:cNvPr>
          <xdr:cNvSpPr txBox="1"/>
        </xdr:nvSpPr>
        <xdr:spPr>
          <a:xfrm>
            <a:off x="4069911" y="2364400"/>
            <a:ext cx="1956835" cy="38805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4 Wing A</a:t>
            </a:r>
            <a:endParaRPr lang="en-IN" b="1">
              <a:solidFill>
                <a:srgbClr val="FF0000"/>
              </a:solidFill>
            </a:endParaRPr>
          </a:p>
        </xdr:txBody>
      </xdr:sp>
    </xdr:grpSp>
    <xdr:clientData/>
  </xdr:twoCellAnchor>
  <xdr:twoCellAnchor editAs="oneCell">
    <xdr:from>
      <xdr:col>8</xdr:col>
      <xdr:colOff>95250</xdr:colOff>
      <xdr:row>55</xdr:row>
      <xdr:rowOff>180975</xdr:rowOff>
    </xdr:from>
    <xdr:to>
      <xdr:col>12</xdr:col>
      <xdr:colOff>210062</xdr:colOff>
      <xdr:row>60</xdr:row>
      <xdr:rowOff>76301</xdr:rowOff>
    </xdr:to>
    <xdr:pic>
      <xdr:nvPicPr>
        <xdr:cNvPr id="43" name="Picture 42">
          <a:extLst>
            <a:ext uri="{FF2B5EF4-FFF2-40B4-BE49-F238E27FC236}">
              <a16:creationId xmlns:a16="http://schemas.microsoft.com/office/drawing/2014/main" xmlns="" id="{9CF28E78-EEA4-4322-93B8-D9191804E024}"/>
            </a:ext>
          </a:extLst>
        </xdr:cNvPr>
        <xdr:cNvPicPr>
          <a:picLocks noChangeAspect="1"/>
        </xdr:cNvPicPr>
      </xdr:nvPicPr>
      <xdr:blipFill>
        <a:blip xmlns:r="http://schemas.openxmlformats.org/officeDocument/2006/relationships" r:embed="rId23"/>
        <a:stretch>
          <a:fillRect/>
        </a:stretch>
      </xdr:blipFill>
      <xdr:spPr>
        <a:xfrm>
          <a:off x="6410325" y="12249150"/>
          <a:ext cx="3667637" cy="724001"/>
        </a:xfrm>
        <a:prstGeom prst="rect">
          <a:avLst/>
        </a:prstGeom>
      </xdr:spPr>
    </xdr:pic>
    <xdr:clientData/>
  </xdr:twoCellAnchor>
  <xdr:twoCellAnchor editAs="oneCell">
    <xdr:from>
      <xdr:col>8</xdr:col>
      <xdr:colOff>38101</xdr:colOff>
      <xdr:row>136</xdr:row>
      <xdr:rowOff>447675</xdr:rowOff>
    </xdr:from>
    <xdr:to>
      <xdr:col>11</xdr:col>
      <xdr:colOff>143816</xdr:colOff>
      <xdr:row>148</xdr:row>
      <xdr:rowOff>7350</xdr:rowOff>
    </xdr:to>
    <xdr:pic>
      <xdr:nvPicPr>
        <xdr:cNvPr id="44" name="Picture 43">
          <a:extLst>
            <a:ext uri="{FF2B5EF4-FFF2-40B4-BE49-F238E27FC236}">
              <a16:creationId xmlns:a16="http://schemas.microsoft.com/office/drawing/2014/main" xmlns="" id="{0CE3BEB7-5FB8-45F9-986C-D929502D6267}"/>
            </a:ext>
          </a:extLst>
        </xdr:cNvPr>
        <xdr:cNvPicPr>
          <a:picLocks noChangeAspect="1"/>
        </xdr:cNvPicPr>
      </xdr:nvPicPr>
      <xdr:blipFill>
        <a:blip xmlns:r="http://schemas.openxmlformats.org/officeDocument/2006/relationships" r:embed="rId24"/>
        <a:stretch>
          <a:fillRect/>
        </a:stretch>
      </xdr:blipFill>
      <xdr:spPr>
        <a:xfrm>
          <a:off x="6353176" y="26603325"/>
          <a:ext cx="2734615" cy="2160000"/>
        </a:xfrm>
        <a:prstGeom prst="rect">
          <a:avLst/>
        </a:prstGeom>
      </xdr:spPr>
    </xdr:pic>
    <xdr:clientData/>
  </xdr:twoCellAnchor>
  <xdr:twoCellAnchor editAs="oneCell">
    <xdr:from>
      <xdr:col>11</xdr:col>
      <xdr:colOff>209550</xdr:colOff>
      <xdr:row>136</xdr:row>
      <xdr:rowOff>419100</xdr:rowOff>
    </xdr:from>
    <xdr:to>
      <xdr:col>18</xdr:col>
      <xdr:colOff>410351</xdr:colOff>
      <xdr:row>148</xdr:row>
      <xdr:rowOff>124147</xdr:rowOff>
    </xdr:to>
    <xdr:pic>
      <xdr:nvPicPr>
        <xdr:cNvPr id="45" name="Picture 44">
          <a:extLst>
            <a:ext uri="{FF2B5EF4-FFF2-40B4-BE49-F238E27FC236}">
              <a16:creationId xmlns:a16="http://schemas.microsoft.com/office/drawing/2014/main" xmlns="" id="{CA7EB4D6-9730-4E6D-8047-17D1D0000135}"/>
            </a:ext>
          </a:extLst>
        </xdr:cNvPr>
        <xdr:cNvPicPr>
          <a:picLocks noChangeAspect="1"/>
        </xdr:cNvPicPr>
      </xdr:nvPicPr>
      <xdr:blipFill>
        <a:blip xmlns:r="http://schemas.openxmlformats.org/officeDocument/2006/relationships" r:embed="rId25"/>
        <a:stretch>
          <a:fillRect/>
        </a:stretch>
      </xdr:blipFill>
      <xdr:spPr>
        <a:xfrm>
          <a:off x="9153525" y="26574750"/>
          <a:ext cx="5563376" cy="2305372"/>
        </a:xfrm>
        <a:prstGeom prst="rect">
          <a:avLst/>
        </a:prstGeom>
      </xdr:spPr>
    </xdr:pic>
    <xdr:clientData/>
  </xdr:twoCellAnchor>
  <xdr:twoCellAnchor editAs="oneCell">
    <xdr:from>
      <xdr:col>9</xdr:col>
      <xdr:colOff>609600</xdr:colOff>
      <xdr:row>148</xdr:row>
      <xdr:rowOff>142875</xdr:rowOff>
    </xdr:from>
    <xdr:to>
      <xdr:col>13</xdr:col>
      <xdr:colOff>346144</xdr:colOff>
      <xdr:row>159</xdr:row>
      <xdr:rowOff>102600</xdr:rowOff>
    </xdr:to>
    <xdr:pic>
      <xdr:nvPicPr>
        <xdr:cNvPr id="46" name="Picture 45">
          <a:extLst>
            <a:ext uri="{FF2B5EF4-FFF2-40B4-BE49-F238E27FC236}">
              <a16:creationId xmlns:a16="http://schemas.microsoft.com/office/drawing/2014/main" xmlns="" id="{4893F452-48C4-4E10-AEB2-D23A92E214AC}"/>
            </a:ext>
          </a:extLst>
        </xdr:cNvPr>
        <xdr:cNvPicPr>
          <a:picLocks noChangeAspect="1"/>
        </xdr:cNvPicPr>
      </xdr:nvPicPr>
      <xdr:blipFill>
        <a:blip xmlns:r="http://schemas.openxmlformats.org/officeDocument/2006/relationships" r:embed="rId26"/>
        <a:stretch>
          <a:fillRect/>
        </a:stretch>
      </xdr:blipFill>
      <xdr:spPr>
        <a:xfrm>
          <a:off x="8086725" y="29089350"/>
          <a:ext cx="2917894" cy="2160000"/>
        </a:xfrm>
        <a:prstGeom prst="rect">
          <a:avLst/>
        </a:prstGeom>
      </xdr:spPr>
    </xdr:pic>
    <xdr:clientData/>
  </xdr:twoCellAnchor>
  <xdr:twoCellAnchor editAs="oneCell">
    <xdr:from>
      <xdr:col>13</xdr:col>
      <xdr:colOff>371475</xdr:colOff>
      <xdr:row>148</xdr:row>
      <xdr:rowOff>133350</xdr:rowOff>
    </xdr:from>
    <xdr:to>
      <xdr:col>17</xdr:col>
      <xdr:colOff>105162</xdr:colOff>
      <xdr:row>159</xdr:row>
      <xdr:rowOff>114604</xdr:rowOff>
    </xdr:to>
    <xdr:pic>
      <xdr:nvPicPr>
        <xdr:cNvPr id="47" name="Picture 46">
          <a:extLst>
            <a:ext uri="{FF2B5EF4-FFF2-40B4-BE49-F238E27FC236}">
              <a16:creationId xmlns:a16="http://schemas.microsoft.com/office/drawing/2014/main" xmlns="" id="{0F32AE03-5681-4612-9918-8D583572872A}"/>
            </a:ext>
          </a:extLst>
        </xdr:cNvPr>
        <xdr:cNvPicPr>
          <a:picLocks noChangeAspect="1"/>
        </xdr:cNvPicPr>
      </xdr:nvPicPr>
      <xdr:blipFill>
        <a:blip xmlns:r="http://schemas.openxmlformats.org/officeDocument/2006/relationships" r:embed="rId27"/>
        <a:stretch>
          <a:fillRect/>
        </a:stretch>
      </xdr:blipFill>
      <xdr:spPr>
        <a:xfrm>
          <a:off x="11029950" y="28889325"/>
          <a:ext cx="2772162" cy="2181529"/>
        </a:xfrm>
        <a:prstGeom prst="rect">
          <a:avLst/>
        </a:prstGeom>
      </xdr:spPr>
    </xdr:pic>
    <xdr:clientData/>
  </xdr:twoCellAnchor>
  <xdr:twoCellAnchor editAs="oneCell">
    <xdr:from>
      <xdr:col>10</xdr:col>
      <xdr:colOff>190500</xdr:colOff>
      <xdr:row>200</xdr:row>
      <xdr:rowOff>133350</xdr:rowOff>
    </xdr:from>
    <xdr:to>
      <xdr:col>13</xdr:col>
      <xdr:colOff>476628</xdr:colOff>
      <xdr:row>211</xdr:row>
      <xdr:rowOff>133657</xdr:rowOff>
    </xdr:to>
    <xdr:pic>
      <xdr:nvPicPr>
        <xdr:cNvPr id="48" name="Picture 47">
          <a:extLst>
            <a:ext uri="{FF2B5EF4-FFF2-40B4-BE49-F238E27FC236}">
              <a16:creationId xmlns:a16="http://schemas.microsoft.com/office/drawing/2014/main" xmlns="" id="{8F8D9878-5E7E-4C4E-8520-7BCF358A921E}"/>
            </a:ext>
          </a:extLst>
        </xdr:cNvPr>
        <xdr:cNvPicPr>
          <a:picLocks noChangeAspect="1"/>
        </xdr:cNvPicPr>
      </xdr:nvPicPr>
      <xdr:blipFill>
        <a:blip xmlns:r="http://schemas.openxmlformats.org/officeDocument/2006/relationships" r:embed="rId28"/>
        <a:stretch>
          <a:fillRect/>
        </a:stretch>
      </xdr:blipFill>
      <xdr:spPr>
        <a:xfrm>
          <a:off x="8429625" y="39290625"/>
          <a:ext cx="2705478" cy="2200582"/>
        </a:xfrm>
        <a:prstGeom prst="rect">
          <a:avLst/>
        </a:prstGeom>
      </xdr:spPr>
    </xdr:pic>
    <xdr:clientData/>
  </xdr:twoCellAnchor>
  <xdr:twoCellAnchor editAs="oneCell">
    <xdr:from>
      <xdr:col>9</xdr:col>
      <xdr:colOff>485775</xdr:colOff>
      <xdr:row>164</xdr:row>
      <xdr:rowOff>123825</xdr:rowOff>
    </xdr:from>
    <xdr:to>
      <xdr:col>17</xdr:col>
      <xdr:colOff>277064</xdr:colOff>
      <xdr:row>177</xdr:row>
      <xdr:rowOff>76556</xdr:rowOff>
    </xdr:to>
    <xdr:pic>
      <xdr:nvPicPr>
        <xdr:cNvPr id="49" name="Picture 48">
          <a:extLst>
            <a:ext uri="{FF2B5EF4-FFF2-40B4-BE49-F238E27FC236}">
              <a16:creationId xmlns:a16="http://schemas.microsoft.com/office/drawing/2014/main" xmlns="" id="{C8329951-136F-46CC-BAE1-599316E2F563}"/>
            </a:ext>
          </a:extLst>
        </xdr:cNvPr>
        <xdr:cNvPicPr>
          <a:picLocks noChangeAspect="1"/>
        </xdr:cNvPicPr>
      </xdr:nvPicPr>
      <xdr:blipFill>
        <a:blip xmlns:r="http://schemas.openxmlformats.org/officeDocument/2006/relationships" r:embed="rId29"/>
        <a:stretch>
          <a:fillRect/>
        </a:stretch>
      </xdr:blipFill>
      <xdr:spPr>
        <a:xfrm>
          <a:off x="7962900" y="32080200"/>
          <a:ext cx="6011114" cy="2553056"/>
        </a:xfrm>
        <a:prstGeom prst="rect">
          <a:avLst/>
        </a:prstGeom>
      </xdr:spPr>
    </xdr:pic>
    <xdr:clientData/>
  </xdr:twoCellAnchor>
  <xdr:twoCellAnchor editAs="oneCell">
    <xdr:from>
      <xdr:col>8</xdr:col>
      <xdr:colOff>666750</xdr:colOff>
      <xdr:row>110</xdr:row>
      <xdr:rowOff>57150</xdr:rowOff>
    </xdr:from>
    <xdr:to>
      <xdr:col>14</xdr:col>
      <xdr:colOff>534105</xdr:colOff>
      <xdr:row>131</xdr:row>
      <xdr:rowOff>10163</xdr:rowOff>
    </xdr:to>
    <xdr:pic>
      <xdr:nvPicPr>
        <xdr:cNvPr id="50" name="Picture 49">
          <a:extLst>
            <a:ext uri="{FF2B5EF4-FFF2-40B4-BE49-F238E27FC236}">
              <a16:creationId xmlns:a16="http://schemas.microsoft.com/office/drawing/2014/main" xmlns="" id="{940AD973-B11B-445A-9118-C1557D6261F2}"/>
            </a:ext>
          </a:extLst>
        </xdr:cNvPr>
        <xdr:cNvPicPr>
          <a:picLocks noChangeAspect="1"/>
        </xdr:cNvPicPr>
      </xdr:nvPicPr>
      <xdr:blipFill>
        <a:blip xmlns:r="http://schemas.openxmlformats.org/officeDocument/2006/relationships" r:embed="rId30"/>
        <a:stretch>
          <a:fillRect/>
        </a:stretch>
      </xdr:blipFill>
      <xdr:spPr>
        <a:xfrm>
          <a:off x="6981825" y="19792950"/>
          <a:ext cx="5048955" cy="4572638"/>
        </a:xfrm>
        <a:prstGeom prst="rect">
          <a:avLst/>
        </a:prstGeom>
      </xdr:spPr>
    </xdr:pic>
    <xdr:clientData/>
  </xdr:twoCellAnchor>
  <xdr:twoCellAnchor editAs="oneCell">
    <xdr:from>
      <xdr:col>14</xdr:col>
      <xdr:colOff>476250</xdr:colOff>
      <xdr:row>120</xdr:row>
      <xdr:rowOff>142875</xdr:rowOff>
    </xdr:from>
    <xdr:to>
      <xdr:col>17</xdr:col>
      <xdr:colOff>266978</xdr:colOff>
      <xdr:row>136</xdr:row>
      <xdr:rowOff>200649</xdr:rowOff>
    </xdr:to>
    <xdr:pic>
      <xdr:nvPicPr>
        <xdr:cNvPr id="51" name="Picture 50">
          <a:extLst>
            <a:ext uri="{FF2B5EF4-FFF2-40B4-BE49-F238E27FC236}">
              <a16:creationId xmlns:a16="http://schemas.microsoft.com/office/drawing/2014/main" xmlns="" id="{705435E6-AC0F-4DDD-A524-84DBFCCD375A}"/>
            </a:ext>
          </a:extLst>
        </xdr:cNvPr>
        <xdr:cNvPicPr>
          <a:picLocks noChangeAspect="1"/>
        </xdr:cNvPicPr>
      </xdr:nvPicPr>
      <xdr:blipFill>
        <a:blip xmlns:r="http://schemas.openxmlformats.org/officeDocument/2006/relationships" r:embed="rId31"/>
        <a:stretch>
          <a:fillRect/>
        </a:stretch>
      </xdr:blipFill>
      <xdr:spPr>
        <a:xfrm>
          <a:off x="11972925" y="21888450"/>
          <a:ext cx="1991003" cy="4467849"/>
        </a:xfrm>
        <a:prstGeom prst="rect">
          <a:avLst/>
        </a:prstGeom>
      </xdr:spPr>
    </xdr:pic>
    <xdr:clientData/>
  </xdr:twoCellAnchor>
  <xdr:twoCellAnchor editAs="oneCell">
    <xdr:from>
      <xdr:col>9</xdr:col>
      <xdr:colOff>628650</xdr:colOff>
      <xdr:row>131</xdr:row>
      <xdr:rowOff>38100</xdr:rowOff>
    </xdr:from>
    <xdr:to>
      <xdr:col>12</xdr:col>
      <xdr:colOff>343194</xdr:colOff>
      <xdr:row>136</xdr:row>
      <xdr:rowOff>400352</xdr:rowOff>
    </xdr:to>
    <xdr:pic>
      <xdr:nvPicPr>
        <xdr:cNvPr id="52" name="Picture 51">
          <a:extLst>
            <a:ext uri="{FF2B5EF4-FFF2-40B4-BE49-F238E27FC236}">
              <a16:creationId xmlns:a16="http://schemas.microsoft.com/office/drawing/2014/main" xmlns="" id="{C3AAE9B0-4448-4D5E-AFD1-B2CF64455543}"/>
            </a:ext>
          </a:extLst>
        </xdr:cNvPr>
        <xdr:cNvPicPr>
          <a:picLocks noChangeAspect="1"/>
        </xdr:cNvPicPr>
      </xdr:nvPicPr>
      <xdr:blipFill>
        <a:blip xmlns:r="http://schemas.openxmlformats.org/officeDocument/2006/relationships" r:embed="rId32"/>
        <a:stretch>
          <a:fillRect/>
        </a:stretch>
      </xdr:blipFill>
      <xdr:spPr>
        <a:xfrm>
          <a:off x="8105775" y="24393525"/>
          <a:ext cx="2105319" cy="2162477"/>
        </a:xfrm>
        <a:prstGeom prst="rect">
          <a:avLst/>
        </a:prstGeom>
      </xdr:spPr>
    </xdr:pic>
    <xdr:clientData/>
  </xdr:twoCellAnchor>
  <xdr:twoCellAnchor editAs="oneCell">
    <xdr:from>
      <xdr:col>9</xdr:col>
      <xdr:colOff>495300</xdr:colOff>
      <xdr:row>177</xdr:row>
      <xdr:rowOff>133350</xdr:rowOff>
    </xdr:from>
    <xdr:to>
      <xdr:col>13</xdr:col>
      <xdr:colOff>524323</xdr:colOff>
      <xdr:row>200</xdr:row>
      <xdr:rowOff>86360</xdr:rowOff>
    </xdr:to>
    <xdr:pic>
      <xdr:nvPicPr>
        <xdr:cNvPr id="53" name="Picture 52">
          <a:extLst>
            <a:ext uri="{FF2B5EF4-FFF2-40B4-BE49-F238E27FC236}">
              <a16:creationId xmlns:a16="http://schemas.microsoft.com/office/drawing/2014/main" xmlns="" id="{F2BAEF40-2D5B-4FAB-818A-3E7F103A433E}"/>
            </a:ext>
          </a:extLst>
        </xdr:cNvPr>
        <xdr:cNvPicPr>
          <a:picLocks noChangeAspect="1"/>
        </xdr:cNvPicPr>
      </xdr:nvPicPr>
      <xdr:blipFill>
        <a:blip xmlns:r="http://schemas.openxmlformats.org/officeDocument/2006/relationships" r:embed="rId33"/>
        <a:stretch>
          <a:fillRect/>
        </a:stretch>
      </xdr:blipFill>
      <xdr:spPr>
        <a:xfrm>
          <a:off x="7972425" y="34690050"/>
          <a:ext cx="3210373" cy="4553585"/>
        </a:xfrm>
        <a:prstGeom prst="rect">
          <a:avLst/>
        </a:prstGeom>
      </xdr:spPr>
    </xdr:pic>
    <xdr:clientData/>
  </xdr:twoCellAnchor>
  <xdr:twoCellAnchor editAs="oneCell">
    <xdr:from>
      <xdr:col>13</xdr:col>
      <xdr:colOff>419100</xdr:colOff>
      <xdr:row>177</xdr:row>
      <xdr:rowOff>152400</xdr:rowOff>
    </xdr:from>
    <xdr:to>
      <xdr:col>17</xdr:col>
      <xdr:colOff>343313</xdr:colOff>
      <xdr:row>200</xdr:row>
      <xdr:rowOff>76831</xdr:rowOff>
    </xdr:to>
    <xdr:pic>
      <xdr:nvPicPr>
        <xdr:cNvPr id="54" name="Picture 53">
          <a:extLst>
            <a:ext uri="{FF2B5EF4-FFF2-40B4-BE49-F238E27FC236}">
              <a16:creationId xmlns:a16="http://schemas.microsoft.com/office/drawing/2014/main" xmlns="" id="{C4CA324D-379F-4A3B-83D2-D09FFB4C3717}"/>
            </a:ext>
          </a:extLst>
        </xdr:cNvPr>
        <xdr:cNvPicPr>
          <a:picLocks noChangeAspect="1"/>
        </xdr:cNvPicPr>
      </xdr:nvPicPr>
      <xdr:blipFill>
        <a:blip xmlns:r="http://schemas.openxmlformats.org/officeDocument/2006/relationships" r:embed="rId34"/>
        <a:stretch>
          <a:fillRect/>
        </a:stretch>
      </xdr:blipFill>
      <xdr:spPr>
        <a:xfrm>
          <a:off x="11077575" y="34709100"/>
          <a:ext cx="2962688" cy="4525006"/>
        </a:xfrm>
        <a:prstGeom prst="rect">
          <a:avLst/>
        </a:prstGeom>
      </xdr:spPr>
    </xdr:pic>
    <xdr:clientData/>
  </xdr:twoCellAnchor>
  <xdr:twoCellAnchor editAs="oneCell">
    <xdr:from>
      <xdr:col>17</xdr:col>
      <xdr:colOff>285750</xdr:colOff>
      <xdr:row>177</xdr:row>
      <xdr:rowOff>190500</xdr:rowOff>
    </xdr:from>
    <xdr:to>
      <xdr:col>21</xdr:col>
      <xdr:colOff>590963</xdr:colOff>
      <xdr:row>189</xdr:row>
      <xdr:rowOff>28887</xdr:rowOff>
    </xdr:to>
    <xdr:pic>
      <xdr:nvPicPr>
        <xdr:cNvPr id="55" name="Picture 54">
          <a:extLst>
            <a:ext uri="{FF2B5EF4-FFF2-40B4-BE49-F238E27FC236}">
              <a16:creationId xmlns:a16="http://schemas.microsoft.com/office/drawing/2014/main" xmlns="" id="{34364F37-9188-4DB6-AF77-26B9DE7EAA94}"/>
            </a:ext>
          </a:extLst>
        </xdr:cNvPr>
        <xdr:cNvPicPr>
          <a:picLocks noChangeAspect="1"/>
        </xdr:cNvPicPr>
      </xdr:nvPicPr>
      <xdr:blipFill>
        <a:blip xmlns:r="http://schemas.openxmlformats.org/officeDocument/2006/relationships" r:embed="rId35"/>
        <a:stretch>
          <a:fillRect/>
        </a:stretch>
      </xdr:blipFill>
      <xdr:spPr>
        <a:xfrm>
          <a:off x="13982700" y="34747200"/>
          <a:ext cx="2962688" cy="2238687"/>
        </a:xfrm>
        <a:prstGeom prst="rect">
          <a:avLst/>
        </a:prstGeom>
      </xdr:spPr>
    </xdr:pic>
    <xdr:clientData/>
  </xdr:twoCellAnchor>
  <xdr:twoCellAnchor editAs="oneCell">
    <xdr:from>
      <xdr:col>17</xdr:col>
      <xdr:colOff>361950</xdr:colOff>
      <xdr:row>189</xdr:row>
      <xdr:rowOff>57150</xdr:rowOff>
    </xdr:from>
    <xdr:to>
      <xdr:col>22</xdr:col>
      <xdr:colOff>133774</xdr:colOff>
      <xdr:row>211</xdr:row>
      <xdr:rowOff>48238</xdr:rowOff>
    </xdr:to>
    <xdr:pic>
      <xdr:nvPicPr>
        <xdr:cNvPr id="56" name="Picture 55">
          <a:extLst>
            <a:ext uri="{FF2B5EF4-FFF2-40B4-BE49-F238E27FC236}">
              <a16:creationId xmlns:a16="http://schemas.microsoft.com/office/drawing/2014/main" xmlns="" id="{A61BAC0D-9D84-43DC-B259-3BD83DE42FA1}"/>
            </a:ext>
          </a:extLst>
        </xdr:cNvPr>
        <xdr:cNvPicPr>
          <a:picLocks noChangeAspect="1"/>
        </xdr:cNvPicPr>
      </xdr:nvPicPr>
      <xdr:blipFill>
        <a:blip xmlns:r="http://schemas.openxmlformats.org/officeDocument/2006/relationships" r:embed="rId36"/>
        <a:stretch>
          <a:fillRect/>
        </a:stretch>
      </xdr:blipFill>
      <xdr:spPr>
        <a:xfrm>
          <a:off x="14058900" y="37014150"/>
          <a:ext cx="3038899" cy="4391638"/>
        </a:xfrm>
        <a:prstGeom prst="rect">
          <a:avLst/>
        </a:prstGeom>
      </xdr:spPr>
    </xdr:pic>
    <xdr:clientData/>
  </xdr:twoCellAnchor>
  <xdr:twoCellAnchor editAs="oneCell">
    <xdr:from>
      <xdr:col>17</xdr:col>
      <xdr:colOff>304800</xdr:colOff>
      <xdr:row>211</xdr:row>
      <xdr:rowOff>95250</xdr:rowOff>
    </xdr:from>
    <xdr:to>
      <xdr:col>22</xdr:col>
      <xdr:colOff>114729</xdr:colOff>
      <xdr:row>251</xdr:row>
      <xdr:rowOff>95590</xdr:rowOff>
    </xdr:to>
    <xdr:pic>
      <xdr:nvPicPr>
        <xdr:cNvPr id="57" name="Picture 56">
          <a:extLst>
            <a:ext uri="{FF2B5EF4-FFF2-40B4-BE49-F238E27FC236}">
              <a16:creationId xmlns:a16="http://schemas.microsoft.com/office/drawing/2014/main" xmlns="" id="{9D2969A1-43F5-4B83-B55C-FE44524B345B}"/>
            </a:ext>
          </a:extLst>
        </xdr:cNvPr>
        <xdr:cNvPicPr>
          <a:picLocks noChangeAspect="1"/>
        </xdr:cNvPicPr>
      </xdr:nvPicPr>
      <xdr:blipFill>
        <a:blip xmlns:r="http://schemas.openxmlformats.org/officeDocument/2006/relationships" r:embed="rId37"/>
        <a:stretch>
          <a:fillRect/>
        </a:stretch>
      </xdr:blipFill>
      <xdr:spPr>
        <a:xfrm>
          <a:off x="14001750" y="41452800"/>
          <a:ext cx="3077004" cy="2438740"/>
        </a:xfrm>
        <a:prstGeom prst="rect">
          <a:avLst/>
        </a:prstGeom>
      </xdr:spPr>
    </xdr:pic>
    <xdr:clientData/>
  </xdr:twoCellAnchor>
  <xdr:twoCellAnchor editAs="oneCell">
    <xdr:from>
      <xdr:col>0</xdr:col>
      <xdr:colOff>609600</xdr:colOff>
      <xdr:row>365</xdr:row>
      <xdr:rowOff>66675</xdr:rowOff>
    </xdr:from>
    <xdr:to>
      <xdr:col>7</xdr:col>
      <xdr:colOff>247951</xdr:colOff>
      <xdr:row>385</xdr:row>
      <xdr:rowOff>26175</xdr:rowOff>
    </xdr:to>
    <xdr:pic>
      <xdr:nvPicPr>
        <xdr:cNvPr id="58" name="Picture 57"/>
        <xdr:cNvPicPr>
          <a:picLocks noChangeAspect="1"/>
        </xdr:cNvPicPr>
      </xdr:nvPicPr>
      <xdr:blipFill rotWithShape="1">
        <a:blip xmlns:r="http://schemas.openxmlformats.org/officeDocument/2006/relationships" r:embed="rId38"/>
        <a:srcRect l="37569" t="29245" r="27823" b="24057"/>
        <a:stretch/>
      </xdr:blipFill>
      <xdr:spPr>
        <a:xfrm>
          <a:off x="609600" y="66474975"/>
          <a:ext cx="5220001" cy="3960000"/>
        </a:xfrm>
        <a:prstGeom prst="rect">
          <a:avLst/>
        </a:prstGeom>
        <a:ln>
          <a:solidFill>
            <a:sysClr val="windowText" lastClr="000000"/>
          </a:solidFill>
        </a:ln>
      </xdr:spPr>
    </xdr:pic>
    <xdr:clientData/>
  </xdr:twoCellAnchor>
  <xdr:twoCellAnchor>
    <xdr:from>
      <xdr:col>3</xdr:col>
      <xdr:colOff>190170</xdr:colOff>
      <xdr:row>377</xdr:row>
      <xdr:rowOff>167491</xdr:rowOff>
    </xdr:from>
    <xdr:to>
      <xdr:col>6</xdr:col>
      <xdr:colOff>125293</xdr:colOff>
      <xdr:row>379</xdr:row>
      <xdr:rowOff>111849</xdr:rowOff>
    </xdr:to>
    <xdr:sp macro="" textlink="">
      <xdr:nvSpPr>
        <xdr:cNvPr id="59" name="TextBox 58">
          <a:extLst>
            <a:ext uri="{FF2B5EF4-FFF2-40B4-BE49-F238E27FC236}">
              <a16:creationId xmlns:a16="http://schemas.microsoft.com/office/drawing/2014/main" xmlns="" id="{00000000-0008-0000-0000-00000E000000}"/>
            </a:ext>
          </a:extLst>
        </xdr:cNvPr>
        <xdr:cNvSpPr txBox="1"/>
      </xdr:nvSpPr>
      <xdr:spPr>
        <a:xfrm rot="891386">
          <a:off x="2599995" y="68976091"/>
          <a:ext cx="2373523" cy="344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FF00"/>
              </a:solidFill>
            </a:rPr>
            <a:t>Building</a:t>
          </a:r>
          <a:r>
            <a:rPr lang="en-IN" sz="1400" b="1" baseline="0">
              <a:solidFill>
                <a:srgbClr val="FFFF00"/>
              </a:solidFill>
            </a:rPr>
            <a:t> No. 4 (Wing A) </a:t>
          </a:r>
          <a:endParaRPr lang="en-IN" sz="1400" b="1">
            <a:solidFill>
              <a:srgbClr val="FFFF00"/>
            </a:solidFill>
          </a:endParaRPr>
        </a:p>
      </xdr:txBody>
    </xdr:sp>
    <xdr:clientData/>
  </xdr:twoCellAnchor>
  <xdr:twoCellAnchor>
    <xdr:from>
      <xdr:col>3</xdr:col>
      <xdr:colOff>169440</xdr:colOff>
      <xdr:row>378</xdr:row>
      <xdr:rowOff>176116</xdr:rowOff>
    </xdr:from>
    <xdr:to>
      <xdr:col>5</xdr:col>
      <xdr:colOff>68244</xdr:colOff>
      <xdr:row>382</xdr:row>
      <xdr:rowOff>152514</xdr:rowOff>
    </xdr:to>
    <xdr:sp macro="" textlink="">
      <xdr:nvSpPr>
        <xdr:cNvPr id="60" name="Rectangle 59"/>
        <xdr:cNvSpPr/>
      </xdr:nvSpPr>
      <xdr:spPr>
        <a:xfrm rot="1043139">
          <a:off x="2579265" y="69184741"/>
          <a:ext cx="1594254" cy="776498"/>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0</xdr:col>
      <xdr:colOff>1</xdr:colOff>
      <xdr:row>2</xdr:row>
      <xdr:rowOff>0</xdr:rowOff>
    </xdr:from>
    <xdr:to>
      <xdr:col>5</xdr:col>
      <xdr:colOff>351950</xdr:colOff>
      <xdr:row>20</xdr:row>
      <xdr:rowOff>159794</xdr:rowOff>
    </xdr:to>
    <xdr:pic>
      <xdr:nvPicPr>
        <xdr:cNvPr id="3" name="Picture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 y="381000"/>
          <a:ext cx="6403125" cy="3600000"/>
        </a:xfrm>
        <a:prstGeom prst="rect">
          <a:avLst/>
        </a:prstGeom>
        <a:ln>
          <a:solidFill>
            <a:schemeClr val="tx1"/>
          </a:solidFill>
        </a:ln>
      </xdr:spPr>
    </xdr:pic>
    <xdr:clientData/>
  </xdr:twoCellAnchor>
  <xdr:twoCellAnchor editAs="oneCell">
    <xdr:from>
      <xdr:col>2</xdr:col>
      <xdr:colOff>1692090</xdr:colOff>
      <xdr:row>8</xdr:row>
      <xdr:rowOff>44823</xdr:rowOff>
    </xdr:from>
    <xdr:to>
      <xdr:col>9</xdr:col>
      <xdr:colOff>161450</xdr:colOff>
      <xdr:row>27</xdr:row>
      <xdr:rowOff>25323</xdr:rowOff>
    </xdr:to>
    <xdr:pic>
      <xdr:nvPicPr>
        <xdr:cNvPr id="4" name="Picture 3"/>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753972" y="1580029"/>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RtyTRVSX1etC6gM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45"/>
  <sheetViews>
    <sheetView tabSelected="1" view="pageBreakPreview" zoomScaleNormal="100" zoomScaleSheetLayoutView="100" zoomScalePageLayoutView="85" workbookViewId="0">
      <selection activeCell="I1" sqref="I1"/>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24" t="s">
        <v>162</v>
      </c>
      <c r="B1" s="224"/>
      <c r="C1" s="224"/>
      <c r="D1" s="224"/>
      <c r="E1" s="224"/>
      <c r="F1" s="224"/>
      <c r="G1" s="224"/>
      <c r="H1" s="224"/>
    </row>
    <row r="2" spans="1:26" ht="16.5" customHeight="1" x14ac:dyDescent="0.25">
      <c r="A2" s="225" t="s">
        <v>0</v>
      </c>
      <c r="B2" s="225"/>
      <c r="C2" s="225"/>
      <c r="D2" s="225"/>
      <c r="E2" s="225"/>
      <c r="F2" s="225"/>
      <c r="G2" s="225"/>
      <c r="H2" s="225"/>
    </row>
    <row r="3" spans="1:26" x14ac:dyDescent="0.25">
      <c r="A3" s="176" t="s">
        <v>1</v>
      </c>
      <c r="B3" s="176"/>
      <c r="C3" s="176"/>
      <c r="D3" s="176"/>
      <c r="E3" s="176" t="str">
        <f ca="1">TEXT(TODAY(),"DD/MM/YYYY")</f>
        <v>21/07/2025</v>
      </c>
      <c r="F3" s="176"/>
      <c r="G3" s="176"/>
      <c r="H3" s="176"/>
      <c r="K3" s="59" t="s">
        <v>235</v>
      </c>
      <c r="L3" s="56" t="s">
        <v>233</v>
      </c>
      <c r="M3" s="56" t="s">
        <v>238</v>
      </c>
      <c r="N3" s="56" t="s">
        <v>384</v>
      </c>
      <c r="O3" s="56" t="s">
        <v>237</v>
      </c>
      <c r="P3" s="56" t="s">
        <v>239</v>
      </c>
    </row>
    <row r="4" spans="1:26" ht="15" customHeight="1" x14ac:dyDescent="0.25">
      <c r="A4" s="176" t="s">
        <v>2</v>
      </c>
      <c r="B4" s="176"/>
      <c r="C4" s="176"/>
      <c r="D4" s="176"/>
      <c r="E4" s="176" t="s">
        <v>384</v>
      </c>
      <c r="F4" s="176"/>
      <c r="G4" s="176"/>
      <c r="H4" s="176"/>
      <c r="K4" s="55" t="s">
        <v>234</v>
      </c>
      <c r="L4" s="56" t="s">
        <v>168</v>
      </c>
      <c r="M4" s="56" t="s">
        <v>243</v>
      </c>
      <c r="N4" s="56" t="s">
        <v>245</v>
      </c>
      <c r="O4" s="56" t="s">
        <v>247</v>
      </c>
      <c r="P4" s="56"/>
    </row>
    <row r="5" spans="1:26" x14ac:dyDescent="0.25">
      <c r="A5" s="222" t="s">
        <v>3</v>
      </c>
      <c r="B5" s="222"/>
      <c r="C5" s="222"/>
      <c r="D5" s="222"/>
      <c r="E5" s="226">
        <v>45857</v>
      </c>
      <c r="F5" s="223"/>
      <c r="G5" s="223"/>
      <c r="H5" s="223"/>
      <c r="K5" s="55"/>
      <c r="L5" s="56" t="s">
        <v>241</v>
      </c>
      <c r="M5" s="56"/>
      <c r="N5" s="56"/>
      <c r="O5" s="56" t="s">
        <v>249</v>
      </c>
      <c r="P5" s="56"/>
    </row>
    <row r="6" spans="1:26" ht="16.5" customHeight="1" x14ac:dyDescent="0.25">
      <c r="A6" s="176" t="s">
        <v>4</v>
      </c>
      <c r="B6" s="176"/>
      <c r="C6" s="176"/>
      <c r="D6" s="176"/>
      <c r="E6" s="176" t="s">
        <v>334</v>
      </c>
      <c r="F6" s="176"/>
      <c r="G6" s="176"/>
      <c r="H6" s="176"/>
      <c r="K6" s="55"/>
      <c r="L6" s="56" t="s">
        <v>242</v>
      </c>
      <c r="M6" s="56"/>
      <c r="N6" s="56"/>
      <c r="O6" s="56" t="s">
        <v>249</v>
      </c>
      <c r="P6" s="56"/>
    </row>
    <row r="7" spans="1:26" ht="15" customHeight="1" x14ac:dyDescent="0.25">
      <c r="A7" s="176" t="s">
        <v>5</v>
      </c>
      <c r="B7" s="176"/>
      <c r="C7" s="176"/>
      <c r="D7" s="176"/>
      <c r="E7" s="176" t="str">
        <f>E6</f>
        <v>Sheth Homes Private Limited</v>
      </c>
      <c r="F7" s="176"/>
      <c r="G7" s="176"/>
      <c r="H7" s="176"/>
      <c r="K7" s="55"/>
      <c r="L7" s="56"/>
      <c r="M7" s="56"/>
      <c r="N7" s="56"/>
      <c r="O7" s="56" t="s">
        <v>250</v>
      </c>
      <c r="P7" s="56"/>
    </row>
    <row r="8" spans="1:26" x14ac:dyDescent="0.25">
      <c r="A8" s="176" t="s">
        <v>6</v>
      </c>
      <c r="B8" s="176"/>
      <c r="C8" s="176"/>
      <c r="D8" s="176"/>
      <c r="E8" s="174" t="s">
        <v>335</v>
      </c>
      <c r="F8" s="159"/>
      <c r="G8" s="159"/>
      <c r="H8" s="159"/>
      <c r="K8" s="55"/>
      <c r="L8" s="56"/>
      <c r="M8" s="56"/>
      <c r="N8" s="56"/>
      <c r="O8" s="56" t="s">
        <v>251</v>
      </c>
      <c r="P8" s="56"/>
    </row>
    <row r="9" spans="1:26" x14ac:dyDescent="0.25">
      <c r="A9" s="176" t="s">
        <v>165</v>
      </c>
      <c r="B9" s="176"/>
      <c r="C9" s="176"/>
      <c r="D9" s="176"/>
      <c r="E9" s="223" t="s">
        <v>28</v>
      </c>
      <c r="F9" s="223"/>
      <c r="G9" s="223"/>
      <c r="H9" s="223"/>
      <c r="K9" s="55"/>
      <c r="L9" s="56"/>
      <c r="M9" s="56"/>
      <c r="N9" s="56"/>
      <c r="O9" s="56"/>
      <c r="P9" s="56"/>
    </row>
    <row r="10" spans="1:26" x14ac:dyDescent="0.25">
      <c r="A10" s="222" t="s">
        <v>166</v>
      </c>
      <c r="B10" s="222"/>
      <c r="C10" s="222"/>
      <c r="D10" s="222"/>
      <c r="E10" s="223" t="s">
        <v>387</v>
      </c>
      <c r="F10" s="223"/>
      <c r="G10" s="223"/>
      <c r="H10" s="223"/>
    </row>
    <row r="11" spans="1:26" x14ac:dyDescent="0.25">
      <c r="A11" s="176" t="s">
        <v>7</v>
      </c>
      <c r="B11" s="176"/>
      <c r="C11" s="176"/>
      <c r="D11" s="176"/>
      <c r="E11" s="176" t="s">
        <v>336</v>
      </c>
      <c r="F11" s="176"/>
      <c r="G11" s="176"/>
      <c r="H11" s="176"/>
    </row>
    <row r="12" spans="1:26" x14ac:dyDescent="0.25">
      <c r="A12" s="176" t="s">
        <v>169</v>
      </c>
      <c r="B12" s="176"/>
      <c r="C12" s="176"/>
      <c r="D12" s="176"/>
      <c r="E12" s="176" t="s">
        <v>337</v>
      </c>
      <c r="F12" s="176"/>
      <c r="G12" s="176"/>
      <c r="H12" s="176"/>
      <c r="S12" s="56" t="s">
        <v>179</v>
      </c>
      <c r="T12" s="56" t="s">
        <v>188</v>
      </c>
      <c r="U12" s="56" t="s">
        <v>170</v>
      </c>
      <c r="V12" s="56" t="s">
        <v>193</v>
      </c>
      <c r="W12" s="56" t="s">
        <v>211</v>
      </c>
      <c r="X12"/>
      <c r="Y12" t="s">
        <v>193</v>
      </c>
      <c r="Z12" t="e">
        <f ca="1">OFFSET($S$12,1,MATCH($G19,$S$12:$W$12,0)-1,15,1)</f>
        <v>#VALUE!</v>
      </c>
    </row>
    <row r="13" spans="1:26" x14ac:dyDescent="0.25">
      <c r="A13" s="222" t="s">
        <v>278</v>
      </c>
      <c r="B13" s="222"/>
      <c r="C13" s="222"/>
      <c r="D13" s="222"/>
      <c r="E13" s="165" t="s">
        <v>400</v>
      </c>
      <c r="F13" s="165"/>
      <c r="G13" s="165"/>
      <c r="H13" s="165"/>
      <c r="S13" s="56" t="s">
        <v>179</v>
      </c>
      <c r="T13" s="56" t="s">
        <v>186</v>
      </c>
      <c r="U13" s="56" t="s">
        <v>208</v>
      </c>
      <c r="V13" s="56" t="s">
        <v>194</v>
      </c>
      <c r="W13" s="56" t="s">
        <v>212</v>
      </c>
      <c r="X13"/>
      <c r="Y13"/>
      <c r="Z13"/>
    </row>
    <row r="14" spans="1:26" x14ac:dyDescent="0.25">
      <c r="A14" s="176" t="s">
        <v>8</v>
      </c>
      <c r="B14" s="176"/>
      <c r="C14" s="176"/>
      <c r="D14" s="176"/>
      <c r="E14" s="165" t="s">
        <v>338</v>
      </c>
      <c r="F14" s="176"/>
      <c r="G14" s="176"/>
      <c r="H14" s="176"/>
      <c r="I14" s="261" t="e">
        <f ca="1">OFFSET(#REF!,1,MATCH($J12,#REF!,0)-1,15,1)</f>
        <v>#REF!</v>
      </c>
      <c r="J14" s="262"/>
      <c r="K14" s="262"/>
      <c r="L14" s="262"/>
      <c r="M14" s="262"/>
      <c r="N14" s="262"/>
      <c r="O14" s="262"/>
      <c r="P14" s="262"/>
      <c r="S14" s="56" t="s">
        <v>180</v>
      </c>
      <c r="T14" s="56" t="s">
        <v>187</v>
      </c>
      <c r="U14" s="56" t="s">
        <v>209</v>
      </c>
      <c r="V14" s="56" t="s">
        <v>195</v>
      </c>
      <c r="W14" s="56" t="s">
        <v>225</v>
      </c>
      <c r="X14"/>
      <c r="Y14"/>
      <c r="Z14"/>
    </row>
    <row r="15" spans="1:26" ht="48.75" customHeight="1" x14ac:dyDescent="0.25">
      <c r="A15" s="173" t="s">
        <v>9</v>
      </c>
      <c r="B15" s="173"/>
      <c r="C15" s="173" t="str">
        <f>CONCATENATE((IF(OR(E8="",E8="NA"),"",E8)),", ",(IF(OR(A16="",A16="NA"),"",A16)),".",(IF(OR(C16="",C16="NA"),"",C16)),", near ",(IF(OR(C21="",C21="NA"),"",C21)),", ",(IF(OR(C18="",C18="NA"),"",C18)),", ",(IF(OR(C17="",C17="NA"),"",C17)),", ",(IF(OR(G18="",G18="NA"),"",G18)),", ",(IF(OR(C19="",C19="NA"),"",C19)),", ",(IF(OR(C20="",C20="NA"),"",C20)),", ",(IF(OR(G19="",G19="NA"),"",G19))," - ",(IF(OR(G20="",G20="NA"),"",G20)),".")</f>
        <v>Edmont - Aurelia, CTS No.1110(Pt), Redevelopement of " Shivshakti Nagar CHSL  ", near Heritage Parody -1, M G Cross Road No.1, Tulaskarwadi, Kandivali, Kandivali West, Borivali, Mumbai - 400067.</v>
      </c>
      <c r="D15" s="173"/>
      <c r="E15" s="173"/>
      <c r="F15" s="173"/>
      <c r="G15" s="173"/>
      <c r="H15" s="173"/>
      <c r="S15" s="56" t="s">
        <v>181</v>
      </c>
      <c r="T15" s="56" t="s">
        <v>189</v>
      </c>
      <c r="U15" s="56" t="s">
        <v>210</v>
      </c>
      <c r="V15" s="56" t="s">
        <v>196</v>
      </c>
      <c r="W15" s="56" t="s">
        <v>213</v>
      </c>
      <c r="X15"/>
      <c r="Y15"/>
      <c r="Z15"/>
    </row>
    <row r="16" spans="1:26" x14ac:dyDescent="0.25">
      <c r="A16" s="165" t="s">
        <v>174</v>
      </c>
      <c r="B16" s="165"/>
      <c r="C16" s="165" t="s">
        <v>344</v>
      </c>
      <c r="D16" s="165"/>
      <c r="E16" s="165"/>
      <c r="F16" s="165"/>
      <c r="G16" s="165"/>
      <c r="H16" s="165"/>
      <c r="S16" s="56" t="s">
        <v>182</v>
      </c>
      <c r="T16" s="56" t="s">
        <v>190</v>
      </c>
      <c r="U16" s="56" t="s">
        <v>170</v>
      </c>
      <c r="V16" s="56" t="s">
        <v>197</v>
      </c>
      <c r="W16" s="56" t="s">
        <v>214</v>
      </c>
      <c r="X16"/>
      <c r="Y16"/>
      <c r="Z16"/>
    </row>
    <row r="17" spans="1:26" ht="15.75" customHeight="1" x14ac:dyDescent="0.25">
      <c r="A17" s="165" t="s">
        <v>160</v>
      </c>
      <c r="B17" s="165"/>
      <c r="C17" s="165" t="s">
        <v>340</v>
      </c>
      <c r="D17" s="165"/>
      <c r="E17" s="165"/>
      <c r="F17" s="165"/>
      <c r="G17" s="165"/>
      <c r="H17" s="165"/>
      <c r="S17" s="56" t="s">
        <v>183</v>
      </c>
      <c r="T17" s="56" t="s">
        <v>188</v>
      </c>
      <c r="U17" s="56"/>
      <c r="V17" s="56" t="s">
        <v>198</v>
      </c>
      <c r="W17" s="56" t="s">
        <v>215</v>
      </c>
      <c r="X17"/>
      <c r="Y17"/>
      <c r="Z17"/>
    </row>
    <row r="18" spans="1:26" ht="15.75" customHeight="1" x14ac:dyDescent="0.25">
      <c r="A18" s="165" t="s">
        <v>10</v>
      </c>
      <c r="B18" s="165"/>
      <c r="C18" s="176" t="s">
        <v>343</v>
      </c>
      <c r="D18" s="176"/>
      <c r="E18" s="165" t="s">
        <v>69</v>
      </c>
      <c r="F18" s="165"/>
      <c r="G18" s="165" t="s">
        <v>339</v>
      </c>
      <c r="H18" s="165"/>
      <c r="S18" s="56" t="s">
        <v>184</v>
      </c>
      <c r="T18" s="56" t="s">
        <v>191</v>
      </c>
      <c r="U18" s="56"/>
      <c r="V18" s="56" t="s">
        <v>199</v>
      </c>
      <c r="W18" s="56" t="s">
        <v>216</v>
      </c>
      <c r="X18"/>
      <c r="Y18"/>
      <c r="Z18"/>
    </row>
    <row r="19" spans="1:26" x14ac:dyDescent="0.25">
      <c r="A19" s="176" t="s">
        <v>12</v>
      </c>
      <c r="B19" s="176"/>
      <c r="C19" s="165" t="s">
        <v>341</v>
      </c>
      <c r="D19" s="165"/>
      <c r="E19" s="165" t="s">
        <v>11</v>
      </c>
      <c r="F19" s="165"/>
      <c r="G19" s="221" t="s">
        <v>170</v>
      </c>
      <c r="H19" s="221"/>
      <c r="S19" s="56" t="s">
        <v>185</v>
      </c>
      <c r="T19" s="56" t="s">
        <v>192</v>
      </c>
      <c r="U19" s="56"/>
      <c r="V19" s="56" t="s">
        <v>200</v>
      </c>
      <c r="W19" s="56" t="s">
        <v>217</v>
      </c>
      <c r="X19"/>
      <c r="Y19"/>
      <c r="Z19"/>
    </row>
    <row r="20" spans="1:26" x14ac:dyDescent="0.25">
      <c r="A20" s="176" t="s">
        <v>70</v>
      </c>
      <c r="B20" s="176"/>
      <c r="C20" s="165" t="s">
        <v>209</v>
      </c>
      <c r="D20" s="165"/>
      <c r="E20" s="165" t="s">
        <v>13</v>
      </c>
      <c r="F20" s="165"/>
      <c r="G20" s="165">
        <v>400067</v>
      </c>
      <c r="H20" s="165"/>
      <c r="S20" s="56"/>
      <c r="T20" s="56"/>
      <c r="U20" s="56"/>
      <c r="V20" s="56" t="s">
        <v>201</v>
      </c>
      <c r="W20" s="56" t="s">
        <v>218</v>
      </c>
      <c r="X20"/>
      <c r="Y20"/>
      <c r="Z20"/>
    </row>
    <row r="21" spans="1:26" ht="32.25" customHeight="1" x14ac:dyDescent="0.25">
      <c r="A21" s="176" t="s">
        <v>116</v>
      </c>
      <c r="B21" s="176"/>
      <c r="C21" s="165" t="s">
        <v>399</v>
      </c>
      <c r="D21" s="165"/>
      <c r="E21" s="165" t="s">
        <v>14</v>
      </c>
      <c r="F21" s="165"/>
      <c r="G21" s="165" t="s">
        <v>342</v>
      </c>
      <c r="H21" s="165"/>
      <c r="S21" s="56"/>
      <c r="T21" s="56"/>
      <c r="U21" s="56"/>
      <c r="V21" s="56" t="s">
        <v>202</v>
      </c>
      <c r="W21" s="56" t="s">
        <v>219</v>
      </c>
      <c r="X21"/>
      <c r="Y21"/>
      <c r="Z21"/>
    </row>
    <row r="22" spans="1:26" ht="15" customHeight="1" x14ac:dyDescent="0.25">
      <c r="A22" s="173" t="s">
        <v>71</v>
      </c>
      <c r="B22" s="173"/>
      <c r="C22" s="173"/>
      <c r="D22" s="173"/>
      <c r="E22" s="176" t="s">
        <v>15</v>
      </c>
      <c r="F22" s="176"/>
      <c r="G22" s="176"/>
      <c r="H22" s="176"/>
      <c r="S22" s="56"/>
      <c r="T22" s="56"/>
      <c r="U22" s="56"/>
      <c r="V22" s="56" t="s">
        <v>203</v>
      </c>
      <c r="W22" s="56" t="s">
        <v>220</v>
      </c>
      <c r="X22"/>
      <c r="Y22"/>
      <c r="Z22"/>
    </row>
    <row r="23" spans="1:26" ht="18.75" customHeight="1" x14ac:dyDescent="0.25">
      <c r="A23" s="173"/>
      <c r="B23" s="173"/>
      <c r="C23" s="173"/>
      <c r="D23" s="173"/>
      <c r="E23" s="176"/>
      <c r="F23" s="176"/>
      <c r="G23" s="176"/>
      <c r="H23" s="176"/>
      <c r="S23" s="56"/>
      <c r="T23" s="56"/>
      <c r="U23" s="56"/>
      <c r="V23" s="56" t="s">
        <v>204</v>
      </c>
      <c r="W23" s="56" t="s">
        <v>221</v>
      </c>
      <c r="X23"/>
      <c r="Y23"/>
      <c r="Z23"/>
    </row>
    <row r="24" spans="1:26" ht="15" customHeight="1" x14ac:dyDescent="0.25">
      <c r="A24" s="173" t="s">
        <v>16</v>
      </c>
      <c r="B24" s="173"/>
      <c r="C24" s="173"/>
      <c r="D24" s="173"/>
      <c r="E24" s="165" t="s">
        <v>17</v>
      </c>
      <c r="F24" s="165"/>
      <c r="G24" s="165"/>
      <c r="H24" s="165"/>
      <c r="S24" s="56"/>
      <c r="T24" s="56"/>
      <c r="U24" s="56"/>
      <c r="V24" s="56" t="s">
        <v>205</v>
      </c>
      <c r="W24" s="56" t="s">
        <v>222</v>
      </c>
      <c r="X24"/>
      <c r="Y24"/>
      <c r="Z24"/>
    </row>
    <row r="25" spans="1:26" ht="15" customHeight="1" x14ac:dyDescent="0.25">
      <c r="A25" s="129" t="s">
        <v>18</v>
      </c>
      <c r="B25" s="129"/>
      <c r="C25" s="129"/>
      <c r="D25" s="129"/>
      <c r="E25" s="165" t="str">
        <f>IF(AND(G19="Mumbai"),"Upper Class","Middle Class")</f>
        <v>Upper Class</v>
      </c>
      <c r="F25" s="165"/>
      <c r="G25" s="165"/>
      <c r="H25" s="165"/>
      <c r="S25" s="56"/>
      <c r="T25" s="56"/>
      <c r="U25" s="56"/>
      <c r="V25" s="56" t="s">
        <v>206</v>
      </c>
      <c r="W25" s="56" t="s">
        <v>223</v>
      </c>
      <c r="X25"/>
      <c r="Y25"/>
      <c r="Z25"/>
    </row>
    <row r="26" spans="1:26" x14ac:dyDescent="0.25">
      <c r="A26" s="129" t="s">
        <v>19</v>
      </c>
      <c r="B26" s="129"/>
      <c r="C26" s="129"/>
      <c r="D26" s="129"/>
      <c r="E26" s="165" t="s">
        <v>20</v>
      </c>
      <c r="F26" s="165"/>
      <c r="G26" s="165"/>
      <c r="H26" s="165"/>
      <c r="S26" s="56"/>
      <c r="T26" s="56"/>
      <c r="U26" s="56"/>
      <c r="V26" s="56" t="s">
        <v>207</v>
      </c>
      <c r="W26" s="56" t="s">
        <v>224</v>
      </c>
      <c r="X26"/>
      <c r="Y26"/>
      <c r="Z26"/>
    </row>
    <row r="27" spans="1:26" ht="15.75" customHeight="1" x14ac:dyDescent="0.25">
      <c r="A27" s="129" t="s">
        <v>21</v>
      </c>
      <c r="B27" s="129"/>
      <c r="C27" s="129"/>
      <c r="D27" s="129"/>
      <c r="E27" s="165" t="str">
        <f>IF(AND(G19="Mumbai"),"Developed","Developing")</f>
        <v>Developed</v>
      </c>
      <c r="F27" s="165"/>
      <c r="G27" s="165"/>
      <c r="H27" s="165"/>
    </row>
    <row r="28" spans="1:26" x14ac:dyDescent="0.25">
      <c r="A28" s="129" t="s">
        <v>22</v>
      </c>
      <c r="B28" s="129"/>
      <c r="C28" s="129"/>
      <c r="D28" s="129"/>
      <c r="E28" s="165" t="s">
        <v>23</v>
      </c>
      <c r="F28" s="165"/>
      <c r="G28" s="165"/>
      <c r="H28" s="165"/>
    </row>
    <row r="29" spans="1:26" ht="15.75" customHeight="1" x14ac:dyDescent="0.25">
      <c r="A29" s="129" t="s">
        <v>76</v>
      </c>
      <c r="B29" s="129"/>
      <c r="C29" s="129"/>
      <c r="D29" s="129"/>
      <c r="E29" s="165" t="s">
        <v>77</v>
      </c>
      <c r="F29" s="165"/>
      <c r="G29" s="165"/>
      <c r="H29" s="165"/>
    </row>
    <row r="30" spans="1:26" ht="15" customHeight="1" x14ac:dyDescent="0.25">
      <c r="A30" s="129" t="s">
        <v>30</v>
      </c>
      <c r="B30" s="129"/>
      <c r="C30" s="129"/>
      <c r="D30" s="129"/>
      <c r="E30" s="165" t="str">
        <f>IF(AND(ISNUMBER(SEARCH("Flat",D62)),ISNUMBER(SEARCH("Shop",D62)),ISNUMBER(SEARCH("Office",D62))),"Residential + Commercial",IF(AND(ISNUMBER(SEARCH("Flat",D62)),ISNUMBER(SEARCH("Shop",D62))),"Residential + Commercial",IF(AND(ISNUMBER(SEARCH("Flat",D62)),ISNUMBER(SEARCH("Office",D62))),"Residential + Commercial",IF(AND(ISNUMBER(SEARCH("Shop",D62)),ISNUMBER(SEARCH("Office",D62))),"Commercial",IF(ISNUMBER(SEARCH("Shop",D62)),"Commercial",IF(ISNUMBER(SEARCH("Office",D62)),"Commercial",IF(ISNUMBER(SEARCH("Flat",D62)),"Residential")))))))</f>
        <v>Residential + Commercial</v>
      </c>
      <c r="F30" s="165"/>
      <c r="G30" s="165"/>
      <c r="H30" s="165"/>
    </row>
    <row r="31" spans="1:26" ht="15.75" customHeight="1" x14ac:dyDescent="0.25">
      <c r="A31" s="129" t="s">
        <v>87</v>
      </c>
      <c r="B31" s="129"/>
      <c r="C31" s="129"/>
      <c r="D31" s="129"/>
      <c r="E31" s="165" t="s">
        <v>31</v>
      </c>
      <c r="F31" s="165"/>
      <c r="G31" s="165"/>
      <c r="H31" s="165"/>
    </row>
    <row r="32" spans="1:26" s="22" customFormat="1" x14ac:dyDescent="0.25">
      <c r="A32" s="220" t="s">
        <v>88</v>
      </c>
      <c r="B32" s="220"/>
      <c r="C32" s="217" t="s">
        <v>171</v>
      </c>
      <c r="D32" s="218"/>
      <c r="E32" s="219"/>
      <c r="F32" s="217" t="s">
        <v>29</v>
      </c>
      <c r="G32" s="218"/>
      <c r="H32" s="219"/>
      <c r="S32" s="22" t="e">
        <f ca="1">OFFSET($S$12,1,MATCH($G19,$S$12:$W$12,0)-1,15,1)</f>
        <v>#VALUE!</v>
      </c>
    </row>
    <row r="33" spans="1:22" s="22" customFormat="1" x14ac:dyDescent="0.25">
      <c r="A33" s="190" t="s">
        <v>24</v>
      </c>
      <c r="B33" s="190" t="s">
        <v>28</v>
      </c>
      <c r="C33" s="191" t="s">
        <v>345</v>
      </c>
      <c r="D33" s="192"/>
      <c r="E33" s="193"/>
      <c r="F33" s="191" t="s">
        <v>346</v>
      </c>
      <c r="G33" s="192"/>
      <c r="H33" s="193"/>
    </row>
    <row r="34" spans="1:22" x14ac:dyDescent="0.25">
      <c r="A34" s="190" t="s">
        <v>25</v>
      </c>
      <c r="B34" s="190" t="s">
        <v>28</v>
      </c>
      <c r="C34" s="191" t="s">
        <v>378</v>
      </c>
      <c r="D34" s="192"/>
      <c r="E34" s="193"/>
      <c r="F34" s="191" t="s">
        <v>10</v>
      </c>
      <c r="G34" s="192"/>
      <c r="H34" s="193"/>
    </row>
    <row r="35" spans="1:22" s="22" customFormat="1" x14ac:dyDescent="0.25">
      <c r="A35" s="190" t="s">
        <v>27</v>
      </c>
      <c r="B35" s="190" t="s">
        <v>28</v>
      </c>
      <c r="C35" s="191" t="s">
        <v>377</v>
      </c>
      <c r="D35" s="192"/>
      <c r="E35" s="193"/>
      <c r="F35" s="191" t="s">
        <v>10</v>
      </c>
      <c r="G35" s="192"/>
      <c r="H35" s="193"/>
    </row>
    <row r="36" spans="1:22" x14ac:dyDescent="0.25">
      <c r="A36" s="190" t="s">
        <v>26</v>
      </c>
      <c r="B36" s="190" t="s">
        <v>28</v>
      </c>
      <c r="C36" s="191" t="s">
        <v>377</v>
      </c>
      <c r="D36" s="192"/>
      <c r="E36" s="193"/>
      <c r="F36" s="191" t="s">
        <v>10</v>
      </c>
      <c r="G36" s="192"/>
      <c r="H36" s="193"/>
    </row>
    <row r="37" spans="1:22" x14ac:dyDescent="0.25">
      <c r="A37" s="129" t="s">
        <v>279</v>
      </c>
      <c r="B37" s="129"/>
      <c r="C37" s="129"/>
      <c r="D37" s="129"/>
      <c r="E37" s="129"/>
      <c r="F37" s="129"/>
      <c r="G37" s="129"/>
      <c r="H37" s="129"/>
    </row>
    <row r="38" spans="1:22" ht="15.75" customHeight="1" x14ac:dyDescent="0.25">
      <c r="A38" s="129" t="s">
        <v>163</v>
      </c>
      <c r="B38" s="129"/>
      <c r="C38" s="179" t="s">
        <v>398</v>
      </c>
      <c r="D38" s="179"/>
      <c r="E38" s="179"/>
      <c r="F38" s="179"/>
      <c r="G38" s="179"/>
      <c r="H38" s="179"/>
    </row>
    <row r="39" spans="1:22" x14ac:dyDescent="0.25">
      <c r="A39" s="129" t="s">
        <v>159</v>
      </c>
      <c r="B39" s="129"/>
      <c r="C39" s="164" t="s">
        <v>397</v>
      </c>
      <c r="D39" s="165"/>
      <c r="E39" s="165"/>
      <c r="F39" s="165"/>
      <c r="G39" s="165"/>
      <c r="H39" s="165"/>
    </row>
    <row r="40" spans="1:22" x14ac:dyDescent="0.25">
      <c r="A40" s="179" t="s">
        <v>32</v>
      </c>
      <c r="B40" s="179"/>
      <c r="C40" s="179"/>
      <c r="D40" s="179"/>
      <c r="E40" s="179"/>
      <c r="F40" s="179"/>
      <c r="G40" s="179"/>
      <c r="H40" s="179"/>
    </row>
    <row r="41" spans="1:22" x14ac:dyDescent="0.25">
      <c r="A41" s="129" t="s">
        <v>33</v>
      </c>
      <c r="B41" s="129"/>
      <c r="C41" s="129"/>
      <c r="D41" s="129"/>
      <c r="E41" s="197">
        <v>19933.919999999998</v>
      </c>
      <c r="F41" s="197"/>
      <c r="G41" s="197"/>
      <c r="H41" s="197"/>
    </row>
    <row r="42" spans="1:22" x14ac:dyDescent="0.25">
      <c r="A42" s="129" t="s">
        <v>34</v>
      </c>
      <c r="B42" s="129"/>
      <c r="C42" s="129"/>
      <c r="D42" s="129"/>
      <c r="E42" s="211">
        <v>4</v>
      </c>
      <c r="F42" s="211"/>
      <c r="G42" s="211"/>
      <c r="H42" s="211"/>
    </row>
    <row r="43" spans="1:22" x14ac:dyDescent="0.25">
      <c r="A43" s="129" t="s">
        <v>35</v>
      </c>
      <c r="B43" s="129"/>
      <c r="C43" s="129"/>
      <c r="D43" s="129"/>
      <c r="E43" s="211">
        <f>E45/E41-E42</f>
        <v>2.1771773941101404</v>
      </c>
      <c r="F43" s="211"/>
      <c r="G43" s="211"/>
      <c r="H43" s="211"/>
    </row>
    <row r="44" spans="1:22" x14ac:dyDescent="0.25">
      <c r="A44" s="129" t="s">
        <v>36</v>
      </c>
      <c r="B44" s="129"/>
      <c r="C44" s="129"/>
      <c r="D44" s="129"/>
      <c r="E44" s="211">
        <f>E42+E43</f>
        <v>6.1771773941101404</v>
      </c>
      <c r="F44" s="211"/>
      <c r="G44" s="211"/>
      <c r="H44" s="211"/>
    </row>
    <row r="45" spans="1:22" x14ac:dyDescent="0.25">
      <c r="A45" s="129" t="s">
        <v>86</v>
      </c>
      <c r="B45" s="129"/>
      <c r="C45" s="129"/>
      <c r="D45" s="129"/>
      <c r="E45" s="212">
        <v>123135.36</v>
      </c>
      <c r="F45" s="212"/>
      <c r="G45" s="212"/>
      <c r="H45" s="212"/>
    </row>
    <row r="46" spans="1:22" x14ac:dyDescent="0.25">
      <c r="A46" s="176" t="s">
        <v>37</v>
      </c>
      <c r="B46" s="176"/>
      <c r="C46" s="176"/>
      <c r="D46" s="176"/>
      <c r="E46" s="176" t="s">
        <v>347</v>
      </c>
      <c r="F46" s="176"/>
      <c r="G46" s="176"/>
      <c r="H46" s="176"/>
    </row>
    <row r="47" spans="1:22" x14ac:dyDescent="0.25">
      <c r="A47" s="159" t="s">
        <v>38</v>
      </c>
      <c r="B47" s="159"/>
      <c r="C47" s="159"/>
      <c r="D47" s="159"/>
      <c r="E47" s="159"/>
      <c r="F47" s="159"/>
      <c r="G47" s="159"/>
      <c r="H47" s="159"/>
    </row>
    <row r="48" spans="1:22" ht="33.75" customHeight="1" x14ac:dyDescent="0.25">
      <c r="A48" s="148" t="s">
        <v>148</v>
      </c>
      <c r="B48" s="149"/>
      <c r="C48" s="150" t="s">
        <v>253</v>
      </c>
      <c r="D48" s="151"/>
      <c r="E48" s="151"/>
      <c r="F48" s="151"/>
      <c r="G48" s="151"/>
      <c r="H48" s="152"/>
      <c r="R48" t="s">
        <v>252</v>
      </c>
      <c r="S48" t="s">
        <v>170</v>
      </c>
      <c r="T48" t="s">
        <v>178</v>
      </c>
      <c r="U48" t="s">
        <v>193</v>
      </c>
      <c r="V48" t="s">
        <v>188</v>
      </c>
    </row>
    <row r="49" spans="1:24" ht="15.75" customHeight="1" x14ac:dyDescent="0.25">
      <c r="A49" s="214" t="s">
        <v>39</v>
      </c>
      <c r="B49" s="216"/>
      <c r="C49" s="214" t="s">
        <v>348</v>
      </c>
      <c r="D49" s="215"/>
      <c r="E49" s="216"/>
      <c r="F49" s="18" t="s">
        <v>40</v>
      </c>
      <c r="G49" s="256">
        <v>45071</v>
      </c>
      <c r="H49" s="216"/>
      <c r="R49"/>
      <c r="S49" t="s">
        <v>253</v>
      </c>
      <c r="T49" t="s">
        <v>258</v>
      </c>
      <c r="U49" t="s">
        <v>269</v>
      </c>
      <c r="V49" t="s">
        <v>274</v>
      </c>
    </row>
    <row r="50" spans="1:24" x14ac:dyDescent="0.25">
      <c r="A50" s="214" t="s">
        <v>41</v>
      </c>
      <c r="B50" s="216"/>
      <c r="C50" s="214" t="str">
        <f>C49</f>
        <v>SRA/ENG/3922/RS/ML/AP</v>
      </c>
      <c r="D50" s="215"/>
      <c r="E50" s="216"/>
      <c r="F50" s="18" t="s">
        <v>40</v>
      </c>
      <c r="G50" s="256">
        <v>45071</v>
      </c>
      <c r="H50" s="216"/>
      <c r="R50"/>
      <c r="S50" t="s">
        <v>254</v>
      </c>
      <c r="T50" t="s">
        <v>259</v>
      </c>
      <c r="U50" t="s">
        <v>267</v>
      </c>
      <c r="V50" t="s">
        <v>275</v>
      </c>
    </row>
    <row r="51" spans="1:24" s="23" customFormat="1" ht="15.75" customHeight="1" x14ac:dyDescent="0.25">
      <c r="A51" s="257" t="s">
        <v>152</v>
      </c>
      <c r="B51" s="258"/>
      <c r="C51" s="214" t="str">
        <f>C50</f>
        <v>SRA/ENG/3922/RS/ML/AP</v>
      </c>
      <c r="D51" s="215"/>
      <c r="E51" s="216"/>
      <c r="F51" s="18" t="s">
        <v>40</v>
      </c>
      <c r="G51" s="256">
        <v>45086</v>
      </c>
      <c r="H51" s="216"/>
      <c r="R51"/>
      <c r="S51" t="s">
        <v>255</v>
      </c>
      <c r="T51" t="s">
        <v>260</v>
      </c>
      <c r="U51" t="s">
        <v>257</v>
      </c>
      <c r="V51" t="s">
        <v>276</v>
      </c>
    </row>
    <row r="52" spans="1:24" s="23" customFormat="1" ht="16.5" customHeight="1" x14ac:dyDescent="0.25">
      <c r="A52" s="259"/>
      <c r="B52" s="260"/>
      <c r="C52" s="214" t="s">
        <v>396</v>
      </c>
      <c r="D52" s="215"/>
      <c r="E52" s="215"/>
      <c r="F52" s="215"/>
      <c r="G52" s="215"/>
      <c r="H52" s="216"/>
      <c r="R52"/>
      <c r="S52" t="s">
        <v>256</v>
      </c>
      <c r="T52" t="s">
        <v>263</v>
      </c>
      <c r="U52" t="s">
        <v>270</v>
      </c>
    </row>
    <row r="53" spans="1:24" s="23" customFormat="1" ht="33" hidden="1" customHeight="1" x14ac:dyDescent="0.25">
      <c r="A53" s="263" t="s">
        <v>280</v>
      </c>
      <c r="B53" s="264"/>
      <c r="C53" s="214" t="s">
        <v>349</v>
      </c>
      <c r="D53" s="215"/>
      <c r="E53" s="216"/>
      <c r="F53" s="18" t="s">
        <v>40</v>
      </c>
      <c r="G53" s="256">
        <v>45017</v>
      </c>
      <c r="H53" s="216"/>
      <c r="R53"/>
      <c r="S53" t="s">
        <v>255</v>
      </c>
      <c r="T53" t="s">
        <v>260</v>
      </c>
      <c r="U53" t="s">
        <v>257</v>
      </c>
      <c r="V53" t="s">
        <v>276</v>
      </c>
    </row>
    <row r="54" spans="1:24" s="23" customFormat="1" ht="32.25" hidden="1" customHeight="1" x14ac:dyDescent="0.25">
      <c r="A54" s="265"/>
      <c r="B54" s="266"/>
      <c r="C54" s="170" t="s">
        <v>350</v>
      </c>
      <c r="D54" s="171"/>
      <c r="E54" s="171"/>
      <c r="F54" s="171"/>
      <c r="G54" s="171"/>
      <c r="H54" s="172"/>
      <c r="R54"/>
      <c r="S54" t="s">
        <v>257</v>
      </c>
      <c r="T54" t="s">
        <v>261</v>
      </c>
      <c r="U54" t="s">
        <v>271</v>
      </c>
      <c r="V54" s="21"/>
      <c r="W54" s="21"/>
      <c r="X54" s="21"/>
    </row>
    <row r="55" spans="1:24" s="23" customFormat="1" ht="15.75" customHeight="1" x14ac:dyDescent="0.25">
      <c r="A55" s="185" t="s">
        <v>281</v>
      </c>
      <c r="B55" s="187"/>
      <c r="C55" s="148" t="s">
        <v>351</v>
      </c>
      <c r="D55" s="213"/>
      <c r="E55" s="149"/>
      <c r="F55" s="89" t="s">
        <v>40</v>
      </c>
      <c r="G55" s="269">
        <v>43550</v>
      </c>
      <c r="H55" s="149"/>
      <c r="R55"/>
      <c r="S55" s="21"/>
      <c r="T55" t="s">
        <v>262</v>
      </c>
      <c r="U55" t="s">
        <v>272</v>
      </c>
      <c r="V55" s="21"/>
      <c r="W55" s="21"/>
      <c r="X55" s="21"/>
    </row>
    <row r="56" spans="1:24" s="23" customFormat="1" ht="33.75" customHeight="1" x14ac:dyDescent="0.25">
      <c r="A56" s="267"/>
      <c r="B56" s="268"/>
      <c r="C56" s="148" t="s">
        <v>352</v>
      </c>
      <c r="D56" s="213"/>
      <c r="E56" s="213"/>
      <c r="F56" s="213"/>
      <c r="G56" s="213"/>
      <c r="H56" s="149"/>
      <c r="R56"/>
      <c r="S56" s="21"/>
      <c r="T56" t="s">
        <v>264</v>
      </c>
      <c r="U56" t="s">
        <v>273</v>
      </c>
      <c r="V56" s="21"/>
      <c r="W56" s="21"/>
      <c r="X56" s="21"/>
    </row>
    <row r="57" spans="1:24" s="23" customFormat="1" ht="15.75" hidden="1" customHeight="1" x14ac:dyDescent="0.25">
      <c r="A57" s="263" t="s">
        <v>282</v>
      </c>
      <c r="B57" s="264"/>
      <c r="C57" s="214" t="str">
        <f>C56</f>
        <v>CTS No.- 1110 (pt)
Built-up Area: 239312.35 Sq.M.</v>
      </c>
      <c r="D57" s="215"/>
      <c r="E57" s="216"/>
      <c r="F57" s="18" t="s">
        <v>40</v>
      </c>
      <c r="G57" s="214">
        <f>G56</f>
        <v>0</v>
      </c>
      <c r="H57" s="216"/>
      <c r="R57"/>
      <c r="S57" s="21"/>
      <c r="T57" t="s">
        <v>265</v>
      </c>
      <c r="U57" s="21" t="s">
        <v>296</v>
      </c>
      <c r="V57" s="21"/>
      <c r="W57" s="21"/>
      <c r="X57" s="21"/>
    </row>
    <row r="58" spans="1:24" s="23" customFormat="1" ht="33.75" hidden="1" customHeight="1" x14ac:dyDescent="0.25">
      <c r="A58" s="265"/>
      <c r="B58" s="266"/>
      <c r="C58" s="214"/>
      <c r="D58" s="215"/>
      <c r="E58" s="215"/>
      <c r="F58" s="215"/>
      <c r="G58" s="215"/>
      <c r="H58" s="216"/>
      <c r="R58"/>
      <c r="S58" s="21"/>
      <c r="T58" t="s">
        <v>266</v>
      </c>
      <c r="U58" s="21"/>
      <c r="V58" s="21"/>
      <c r="W58" s="21"/>
      <c r="X58" s="21"/>
    </row>
    <row r="59" spans="1:24" x14ac:dyDescent="0.25">
      <c r="A59" s="249" t="s">
        <v>42</v>
      </c>
      <c r="B59" s="250"/>
      <c r="C59" s="249" t="s">
        <v>100</v>
      </c>
      <c r="D59" s="251"/>
      <c r="E59" s="250"/>
      <c r="F59" s="45" t="s">
        <v>40</v>
      </c>
      <c r="G59" s="254" t="s">
        <v>28</v>
      </c>
      <c r="H59" s="255"/>
      <c r="R59"/>
      <c r="T59" t="s">
        <v>268</v>
      </c>
    </row>
    <row r="60" spans="1:24" x14ac:dyDescent="0.25">
      <c r="A60" s="231" t="s">
        <v>44</v>
      </c>
      <c r="B60" s="231"/>
      <c r="C60" s="231"/>
      <c r="D60" s="231"/>
      <c r="E60" s="231"/>
      <c r="F60" s="231"/>
      <c r="G60" s="231"/>
      <c r="H60" s="231"/>
      <c r="T60" t="s">
        <v>277</v>
      </c>
    </row>
    <row r="61" spans="1:24" ht="30.75" customHeight="1" x14ac:dyDescent="0.25">
      <c r="A61" s="173" t="s">
        <v>389</v>
      </c>
      <c r="B61" s="173"/>
      <c r="C61" s="173"/>
      <c r="D61" s="129">
        <v>25698.18</v>
      </c>
      <c r="E61" s="129"/>
      <c r="F61" s="129"/>
      <c r="G61" s="129"/>
      <c r="H61" s="129"/>
      <c r="R61"/>
    </row>
    <row r="62" spans="1:24" x14ac:dyDescent="0.25">
      <c r="A62" s="253" t="s">
        <v>45</v>
      </c>
      <c r="B62" s="222"/>
      <c r="C62" s="222"/>
      <c r="D62" s="223" t="s">
        <v>376</v>
      </c>
      <c r="E62" s="223"/>
      <c r="F62" s="223"/>
      <c r="G62" s="223"/>
      <c r="H62" s="223"/>
      <c r="I62" s="24"/>
      <c r="R62"/>
    </row>
    <row r="63" spans="1:24" x14ac:dyDescent="0.25">
      <c r="A63" s="185" t="s">
        <v>46</v>
      </c>
      <c r="B63" s="186"/>
      <c r="C63" s="187"/>
      <c r="D63" s="278" t="s">
        <v>394</v>
      </c>
      <c r="E63" s="279"/>
      <c r="F63" s="279"/>
      <c r="G63" s="279"/>
      <c r="H63" s="279"/>
      <c r="R63"/>
    </row>
    <row r="64" spans="1:24" ht="15.75" customHeight="1" x14ac:dyDescent="0.25">
      <c r="A64" s="185" t="s">
        <v>84</v>
      </c>
      <c r="B64" s="186"/>
      <c r="C64" s="186"/>
      <c r="D64" s="280" t="s">
        <v>395</v>
      </c>
      <c r="E64" s="281"/>
      <c r="F64" s="281"/>
      <c r="G64" s="281"/>
      <c r="H64" s="282"/>
      <c r="R64"/>
    </row>
    <row r="65" spans="1:19" ht="15.75" customHeight="1" x14ac:dyDescent="0.25">
      <c r="A65" s="129" t="s">
        <v>43</v>
      </c>
      <c r="B65" s="129"/>
      <c r="C65" s="129"/>
      <c r="D65" s="198" t="s">
        <v>353</v>
      </c>
      <c r="E65" s="198"/>
      <c r="F65" s="198"/>
      <c r="G65" s="198"/>
      <c r="H65" s="198"/>
      <c r="J65" s="25"/>
      <c r="K65" s="24"/>
      <c r="N65" s="24"/>
      <c r="S65"/>
    </row>
    <row r="66" spans="1:19" ht="15.75" customHeight="1" x14ac:dyDescent="0.25">
      <c r="A66" s="129" t="s">
        <v>82</v>
      </c>
      <c r="B66" s="129"/>
      <c r="C66" s="129"/>
      <c r="D66" s="210" t="str">
        <f>(IF(G59="NA","60 Years After Completion",IF(G59&lt;&gt;"NA",""&amp;60-ROUNDDOWN((E3-G59)/360,0)&amp;" Years"," ")))</f>
        <v>60 Years After Completion</v>
      </c>
      <c r="E66" s="210"/>
      <c r="F66" s="210"/>
      <c r="G66" s="210"/>
      <c r="H66" s="210"/>
      <c r="N66" s="24"/>
      <c r="S66"/>
    </row>
    <row r="67" spans="1:19" ht="15.75" customHeight="1" x14ac:dyDescent="0.25">
      <c r="A67" s="129" t="s">
        <v>83</v>
      </c>
      <c r="B67" s="129"/>
      <c r="C67" s="129"/>
      <c r="D67" s="173" t="s">
        <v>23</v>
      </c>
      <c r="E67" s="173"/>
      <c r="F67" s="173"/>
      <c r="G67" s="173"/>
      <c r="H67" s="173"/>
      <c r="J67" s="26"/>
      <c r="K67" s="26"/>
      <c r="S67"/>
    </row>
    <row r="68" spans="1:19" ht="95.25" customHeight="1" x14ac:dyDescent="0.25">
      <c r="A68" s="176" t="s">
        <v>380</v>
      </c>
      <c r="B68" s="176"/>
      <c r="C68" s="176"/>
      <c r="D68" s="165" t="s">
        <v>354</v>
      </c>
      <c r="E68" s="173"/>
      <c r="F68" s="173"/>
      <c r="G68" s="173"/>
      <c r="H68" s="173"/>
      <c r="S68"/>
    </row>
    <row r="69" spans="1:19" x14ac:dyDescent="0.25">
      <c r="A69" s="173" t="s">
        <v>144</v>
      </c>
      <c r="B69" s="173"/>
      <c r="C69" s="173"/>
      <c r="D69" s="173" t="s">
        <v>28</v>
      </c>
      <c r="E69" s="173"/>
      <c r="F69" s="173"/>
      <c r="G69" s="173"/>
      <c r="H69" s="173"/>
      <c r="I69" s="27"/>
      <c r="J69" s="27"/>
      <c r="K69" s="27"/>
      <c r="L69" s="27"/>
      <c r="M69" s="27"/>
      <c r="N69" s="27"/>
    </row>
    <row r="70" spans="1:19" ht="15.75" customHeight="1" x14ac:dyDescent="0.25">
      <c r="A70" s="252" t="s">
        <v>81</v>
      </c>
      <c r="B70" s="252"/>
      <c r="C70" s="252"/>
      <c r="D70" s="178" t="str">
        <f ca="1">(IF(G76&gt;95%,"Nothing",IF(G76&gt;0%,"Cement, Aggregate, Steel, etc",IF(G76=0%,"Work not yet Started"))))</f>
        <v>Cement, Aggregate, Steel, etc</v>
      </c>
      <c r="E70" s="178"/>
      <c r="F70" s="178"/>
      <c r="G70" s="178"/>
      <c r="H70" s="178"/>
      <c r="J70" s="26"/>
      <c r="S70"/>
    </row>
    <row r="71" spans="1:19" ht="33.75" customHeight="1" thickBot="1" x14ac:dyDescent="0.3">
      <c r="A71" s="177" t="s">
        <v>113</v>
      </c>
      <c r="B71" s="177"/>
      <c r="C71" s="177"/>
      <c r="D71" s="178" t="str">
        <f ca="1">(IF(D70="Nothing","Yes",IF(D70="Cement, Aggregate, Steel, etc","Under Construction",IF(D70="Work not yet Started","Work not yet Started"))))</f>
        <v>Under Construction</v>
      </c>
      <c r="E71" s="178"/>
      <c r="F71" s="178" t="str">
        <f ca="1">(IF(D70="Nothing","Yes",IF(D70="Cement, Aggregate, Steel, etc","Under Construction",IF(D70="Work not yet Started","Work not yet Started"))))</f>
        <v>Under Construction</v>
      </c>
      <c r="G71" s="178"/>
      <c r="H71" s="178"/>
      <c r="S71"/>
    </row>
    <row r="72" spans="1:19" ht="15.75" customHeight="1" x14ac:dyDescent="0.25">
      <c r="A72" s="188" t="s">
        <v>134</v>
      </c>
      <c r="B72" s="189"/>
      <c r="C72" s="275" t="str">
        <f>D64</f>
        <v>Building No.4 (A Wing) = 1B + G + 1st to 51st Floor</v>
      </c>
      <c r="D72" s="276"/>
      <c r="E72" s="276"/>
      <c r="F72" s="276"/>
      <c r="G72" s="276"/>
      <c r="H72" s="277"/>
      <c r="I72" s="49" t="str">
        <f ca="1">IF(D85=100%,"All work Completed. Possession granted to the Building.",IF(D84=100%,"All work Completed, Waiting for OC",I73&amp;""&amp;I74&amp;""&amp;J73&amp;""&amp;J72&amp;" "&amp;J74))</f>
        <v xml:space="preserve">Excavation Completed, Footing work is process </v>
      </c>
      <c r="J72" s="50" t="str">
        <f ca="1">(IF(C78=(D73+F73+H73),"",IF(C78&gt;0,", RCC upto "&amp;C78&amp;" Slab","")))&amp;(IF(C79=H73,"",IF(C79&gt;0,", Brickwork upto "&amp;C79&amp;" Floor","")))&amp;(IF(C80=H73,"",IF(C80&gt;0,", Internal Plaster upto "&amp;C80&amp;" Floor","")))&amp;(IF(C81=H73,"",IF(C81&gt;0,", External Plaster upto "&amp;C81&amp;" Floor","")))&amp;(IF(C82=H73,"",IF(C82&gt;0,", Flooring upto "&amp;C82&amp;" Floor","")))&amp;(IF(C83=H73,"",IF(C83&gt;0,", Painting upto "&amp;C83&amp;" Floor","")))&amp;(IF(C84=H73,"",IF(C84&gt;0,", Finishing upto "&amp;C84&amp;" Floor","")))&amp;(IF(C85=H73,"",IF(C85&gt;0,", Possession upto "&amp;C85&amp;" Floor","")))</f>
        <v/>
      </c>
      <c r="S72"/>
    </row>
    <row r="73" spans="1:19" x14ac:dyDescent="0.25">
      <c r="A73" s="16" t="s">
        <v>136</v>
      </c>
      <c r="B73" s="53">
        <f>IF(AND(ISNUMBER(SEARCH("1B",C72))),1,IF(AND(ISNUMBER(SEARCH("2B",C72))),2,IF(AND(ISNUMBER(SEARCH("3B",C72))),3,IF(AND(ISNUMBER(SEARCH("4B",C72))),4,IF(ISNUMBER(SEARCH("5B",C72)),5,0)))))</f>
        <v>1</v>
      </c>
      <c r="C73" s="53" t="s">
        <v>68</v>
      </c>
      <c r="D73" s="53">
        <v>1</v>
      </c>
      <c r="E73" s="53" t="s">
        <v>67</v>
      </c>
      <c r="F73" s="53">
        <v>0</v>
      </c>
      <c r="G73" s="53" t="s">
        <v>75</v>
      </c>
      <c r="H73" s="17">
        <f ca="1">--TRIM(RIGHT(SUBSTITUTE(LEFT(C72,_xlfn.AGGREGATE(16,6,FIND({0,1,2,3,4,5,6,7,8,9},C72,ROW(INDIRECT("1:"&amp;LEN(C72)))),1))," ",REPT(" ",LEN(C72))),LEN(C72)))</f>
        <v>51</v>
      </c>
      <c r="I73" s="51" t="str">
        <f ca="1">IF(D76=100%,"Excavation","")&amp;IF(D77=100%,", Plinth","")&amp;IF(D78=100%,", RCC Slab","")&amp;IF(D79=100%,", Brickwork","")&amp;IF(D80=100%,", Internal Plaster","")&amp;IF(D81=100%,", External Plaster","")&amp;IF(D82=100%,", Flooring","")&amp;IF(D83=100%,", Painting","")&amp;IF(D84=100%,", Building common Amenities","")</f>
        <v>Excavation</v>
      </c>
      <c r="J73" s="52" t="str">
        <f ca="1">(IF(C76=0,"Work not yet Started.",IF(D76=25%,"Piling work in process",IF(D76=50%,"Excavation work in process",IF(D76=100%,"","0")))))&amp;(IF(C77=0%,"",IF(C77=J78,", Footing work is process",IF(C77=J79,", Footing work Completed",IF(C77=J80,", 1st Basement Completed",IF(C77=J81,", 1st &amp; 2nd Basement Completed",IF(C77=J82,", 1st to 3rd Basement Completed",IF(C77=J83,", 1st to 4th Basement Completed",IF(C77=J84,", Plinth work is process",IF(C77=J85,"","0"))))))))))</f>
        <v>, Footing work is process</v>
      </c>
      <c r="S73"/>
    </row>
    <row r="74" spans="1:19" x14ac:dyDescent="0.25">
      <c r="A74" s="158" t="s">
        <v>85</v>
      </c>
      <c r="B74" s="159"/>
      <c r="C74" s="174" t="str">
        <f ca="1">I72</f>
        <v xml:space="preserve">Excavation Completed, Footing work is process </v>
      </c>
      <c r="D74" s="174"/>
      <c r="E74" s="174"/>
      <c r="F74" s="174"/>
      <c r="G74" s="174"/>
      <c r="H74" s="175"/>
      <c r="I74" s="51" t="str">
        <f ca="1">IF(I73&lt;&gt;""," Completed","")</f>
        <v xml:space="preserve"> Completed</v>
      </c>
      <c r="J74" s="52" t="str">
        <f ca="1">IF(J72&lt;&gt;"","Completed","")</f>
        <v/>
      </c>
      <c r="S74"/>
    </row>
    <row r="75" spans="1:19" ht="15.75" customHeight="1" x14ac:dyDescent="0.25">
      <c r="A75" s="162" t="s">
        <v>47</v>
      </c>
      <c r="B75" s="163"/>
      <c r="C75" s="85" t="s">
        <v>133</v>
      </c>
      <c r="D75" s="85" t="s">
        <v>78</v>
      </c>
      <c r="E75" s="163" t="s">
        <v>80</v>
      </c>
      <c r="F75" s="163"/>
      <c r="G75" s="163" t="s">
        <v>79</v>
      </c>
      <c r="H75" s="239"/>
      <c r="I75" s="13" t="s">
        <v>135</v>
      </c>
      <c r="J75" s="28">
        <f ca="1">H73*25%</f>
        <v>12.75</v>
      </c>
      <c r="S75"/>
    </row>
    <row r="76" spans="1:19" x14ac:dyDescent="0.25">
      <c r="A76" s="162" t="s">
        <v>122</v>
      </c>
      <c r="B76" s="163"/>
      <c r="C76" s="96">
        <f ca="1">J77</f>
        <v>51</v>
      </c>
      <c r="D76" s="86">
        <f ca="1">((100/H73)*C76)/100</f>
        <v>1</v>
      </c>
      <c r="E76" s="199">
        <f ca="1">(((C77/H73*10)+(40/(D73+F73+H73)*C78)+(7.5/(H73)*C79)+(7.5/(H73)*C80)+(10/H73*C81)+(10/H73*C82)+(5/H73*C83)+(5/H73*C84)+(5/H73*C85))/100)</f>
        <v>2.5000000000000001E-2</v>
      </c>
      <c r="F76" s="200"/>
      <c r="G76" s="199">
        <f ca="1">((((C76/H73)*20)+((C77/H73)*25)+(30/(H73+F73+D73)*C78)+(5/H73*C79)+(5/H73*C80)+(5/H73*C81)+(5/H73*C82)+(0/H73*C83)+(0/H73*C84)+(5/H73*C85))/100)</f>
        <v>0.26250000000000001</v>
      </c>
      <c r="H76" s="205"/>
      <c r="I76" s="13" t="s">
        <v>95</v>
      </c>
      <c r="J76" s="29">
        <f ca="1">H73*50%</f>
        <v>25.5</v>
      </c>
    </row>
    <row r="77" spans="1:19" x14ac:dyDescent="0.25">
      <c r="A77" s="162" t="s">
        <v>48</v>
      </c>
      <c r="B77" s="163"/>
      <c r="C77" s="97">
        <f ca="1">J78</f>
        <v>12.75</v>
      </c>
      <c r="D77" s="86">
        <f ca="1">((100/H73)*C77)/100</f>
        <v>0.25</v>
      </c>
      <c r="E77" s="201"/>
      <c r="F77" s="202"/>
      <c r="G77" s="201"/>
      <c r="H77" s="206"/>
      <c r="I77" s="13" t="s">
        <v>96</v>
      </c>
      <c r="J77" s="29">
        <f ca="1">H73</f>
        <v>51</v>
      </c>
      <c r="S77"/>
    </row>
    <row r="78" spans="1:19" ht="15.75" customHeight="1" x14ac:dyDescent="0.25">
      <c r="A78" s="162" t="s">
        <v>123</v>
      </c>
      <c r="B78" s="163"/>
      <c r="C78" s="85">
        <v>0</v>
      </c>
      <c r="D78" s="86">
        <f ca="1">((100/(D73+F73+H73))*C78)/100</f>
        <v>0</v>
      </c>
      <c r="E78" s="201"/>
      <c r="F78" s="202"/>
      <c r="G78" s="201"/>
      <c r="H78" s="206"/>
      <c r="I78" s="13" t="s">
        <v>97</v>
      </c>
      <c r="J78" s="30">
        <f ca="1">(IF(B73&gt;1,(H73/(B73+2)),H73/4))</f>
        <v>12.75</v>
      </c>
      <c r="S78"/>
    </row>
    <row r="79" spans="1:19" ht="15.75" customHeight="1" x14ac:dyDescent="0.25">
      <c r="A79" s="162" t="s">
        <v>130</v>
      </c>
      <c r="B79" s="163" t="s">
        <v>124</v>
      </c>
      <c r="C79" s="85">
        <v>0</v>
      </c>
      <c r="D79" s="86">
        <f ca="1">((100/H73)*C79)/100</f>
        <v>0</v>
      </c>
      <c r="E79" s="201"/>
      <c r="F79" s="202"/>
      <c r="G79" s="201"/>
      <c r="H79" s="206"/>
      <c r="I79" s="13" t="s">
        <v>98</v>
      </c>
      <c r="J79" s="30">
        <f ca="1">(IF(B73&gt;1,(H73/(B73+2)+J78),H73/4+J78))</f>
        <v>25.5</v>
      </c>
    </row>
    <row r="80" spans="1:19" ht="15.75" customHeight="1" x14ac:dyDescent="0.25">
      <c r="A80" s="162" t="s">
        <v>131</v>
      </c>
      <c r="B80" s="163" t="s">
        <v>124</v>
      </c>
      <c r="C80" s="85">
        <v>0</v>
      </c>
      <c r="D80" s="86">
        <f ca="1">((100/H73)*C80)/100</f>
        <v>0</v>
      </c>
      <c r="E80" s="201"/>
      <c r="F80" s="202"/>
      <c r="G80" s="201"/>
      <c r="H80" s="206"/>
      <c r="I80" s="13" t="s">
        <v>142</v>
      </c>
      <c r="J80" s="30">
        <f>(IF(B73&gt;1,(H73/(B73+2)+J79),0))</f>
        <v>0</v>
      </c>
    </row>
    <row r="81" spans="1:10" ht="15" customHeight="1" x14ac:dyDescent="0.25">
      <c r="A81" s="162" t="s">
        <v>129</v>
      </c>
      <c r="B81" s="163" t="s">
        <v>126</v>
      </c>
      <c r="C81" s="85">
        <v>0</v>
      </c>
      <c r="D81" s="86">
        <f ca="1">((100/(H73))*C81)/100</f>
        <v>0</v>
      </c>
      <c r="E81" s="201"/>
      <c r="F81" s="202"/>
      <c r="G81" s="201"/>
      <c r="H81" s="206"/>
      <c r="I81" s="13" t="s">
        <v>137</v>
      </c>
      <c r="J81" s="30">
        <f>(IF(B73&gt;2,(H73/(B73+2)+J80),0))</f>
        <v>0</v>
      </c>
    </row>
    <row r="82" spans="1:10" ht="15.75" customHeight="1" x14ac:dyDescent="0.25">
      <c r="A82" s="162" t="s">
        <v>125</v>
      </c>
      <c r="B82" s="163" t="s">
        <v>125</v>
      </c>
      <c r="C82" s="85">
        <v>0</v>
      </c>
      <c r="D82" s="86">
        <f ca="1">((100/H73)*C82)/100</f>
        <v>0</v>
      </c>
      <c r="E82" s="201"/>
      <c r="F82" s="202"/>
      <c r="G82" s="201"/>
      <c r="H82" s="206"/>
      <c r="I82" s="13" t="s">
        <v>138</v>
      </c>
      <c r="J82" s="31">
        <f>(IF(B73&gt;3,(H73/(B73+2)+J81),0))</f>
        <v>0</v>
      </c>
    </row>
    <row r="83" spans="1:10" ht="15.75" customHeight="1" x14ac:dyDescent="0.25">
      <c r="A83" s="162" t="s">
        <v>132</v>
      </c>
      <c r="B83" s="163"/>
      <c r="C83" s="85">
        <v>0</v>
      </c>
      <c r="D83" s="86">
        <f ca="1">((100/H73)*C83)/100</f>
        <v>0</v>
      </c>
      <c r="E83" s="201"/>
      <c r="F83" s="202"/>
      <c r="G83" s="201"/>
      <c r="H83" s="206"/>
      <c r="I83" s="13" t="s">
        <v>139</v>
      </c>
      <c r="J83" s="30">
        <f>(IF(B73&gt;4,(H73/(B73+2)+J82),0))</f>
        <v>0</v>
      </c>
    </row>
    <row r="84" spans="1:10" ht="15.75" customHeight="1" x14ac:dyDescent="0.25">
      <c r="A84" s="162" t="s">
        <v>127</v>
      </c>
      <c r="B84" s="163" t="s">
        <v>127</v>
      </c>
      <c r="C84" s="85">
        <v>0</v>
      </c>
      <c r="D84" s="86">
        <f ca="1">((100/(H73))*C84)/100</f>
        <v>0</v>
      </c>
      <c r="E84" s="201"/>
      <c r="F84" s="202"/>
      <c r="G84" s="201"/>
      <c r="H84" s="206"/>
      <c r="I84" s="13" t="s">
        <v>143</v>
      </c>
      <c r="J84" s="30">
        <f ca="1">(IF(B73=1,(H73/(B73+3)+J79),IF(B73=0,(H73/4+J79),IF(B73&gt;1,0))))</f>
        <v>38.25</v>
      </c>
    </row>
    <row r="85" spans="1:10" ht="16.5" thickBot="1" x14ac:dyDescent="0.3">
      <c r="A85" s="208" t="s">
        <v>128</v>
      </c>
      <c r="B85" s="209"/>
      <c r="C85" s="87">
        <v>0</v>
      </c>
      <c r="D85" s="88">
        <f ca="1">((100/(H73))*C85)/100</f>
        <v>0</v>
      </c>
      <c r="E85" s="203"/>
      <c r="F85" s="204"/>
      <c r="G85" s="203"/>
      <c r="H85" s="207"/>
      <c r="I85" s="15" t="s">
        <v>99</v>
      </c>
      <c r="J85" s="32">
        <f ca="1">(IF(B73&gt;1.5,(H73/(B73+2)+J79+MAX(0,J80-J79)+MAX(0,J81-J80)+MAX(0,J82-J81)+MAX(0,J83-J82)+MAX(0,J84-J83)),IF(B73=1,(H73/(B73+3)+J84),IF(B73=0,H73/4+J84))))</f>
        <v>51</v>
      </c>
    </row>
    <row r="86" spans="1:10" ht="15.75" hidden="1" customHeight="1" x14ac:dyDescent="0.25">
      <c r="A86" s="180" t="s">
        <v>134</v>
      </c>
      <c r="B86" s="181"/>
      <c r="C86" s="182" t="e">
        <f>#REF!</f>
        <v>#REF!</v>
      </c>
      <c r="D86" s="183"/>
      <c r="E86" s="183"/>
      <c r="F86" s="183"/>
      <c r="G86" s="183"/>
      <c r="H86" s="184"/>
      <c r="I86" s="49" t="e">
        <f ca="1">IF(D99=100%,"All work Completed. Possession granted to the Building.",IF(D98=100%,"All work Completed, Waiting for OC",I87&amp;""&amp;I88&amp;""&amp;J87&amp;""&amp;J86&amp;" "&amp;J88))</f>
        <v>#REF!</v>
      </c>
      <c r="J86" s="50" t="e">
        <f ca="1">(IF(C92=(D87+F87+H87),"",IF(C92&gt;0,", RCC upto "&amp;C92&amp;" Slab","")))&amp;(IF(C93=H87,"",IF(C93&gt;0,", Brickwork upto "&amp;C93&amp;" Floor","")))&amp;(IF(C94=H87,"",IF(C94&gt;0,", Internal Plaster upto "&amp;C94&amp;" Floor","")))&amp;(IF(C95=H87,"",IF(C95&gt;0,", External Plaster upto "&amp;C95&amp;" Floor","")))&amp;(IF(C96=H87,"",IF(C96&gt;0,", Flooring upto "&amp;C96&amp;" Floor","")))&amp;(IF(C97=H87,"",IF(C97&gt;0,", Painting upto "&amp;C97&amp;" Floor","")))&amp;(IF(C98=H87,"",IF(C98&gt;0,", Finishing upto "&amp;C98&amp;" Floor","")))&amp;(IF(C99=H87,"",IF(C99&gt;0,", Possession upto "&amp;C99&amp;" Floor","")))</f>
        <v>#REF!</v>
      </c>
    </row>
    <row r="87" spans="1:10" hidden="1" x14ac:dyDescent="0.25">
      <c r="A87" s="16" t="s">
        <v>136</v>
      </c>
      <c r="B87" s="53">
        <f>IF(AND(ISNUMBER(SEARCH("1B",C86))),1,IF(AND(ISNUMBER(SEARCH("2B",C86))),2,IF(AND(ISNUMBER(SEARCH("3B",C86))),3,IF(AND(ISNUMBER(SEARCH("4B",C86))),4,IF(ISNUMBER(SEARCH("5B",C86)),5,0)))))</f>
        <v>0</v>
      </c>
      <c r="C87" s="47" t="s">
        <v>68</v>
      </c>
      <c r="D87" s="47">
        <v>1</v>
      </c>
      <c r="E87" s="47" t="s">
        <v>67</v>
      </c>
      <c r="F87" s="14">
        <v>0</v>
      </c>
      <c r="G87" s="48" t="s">
        <v>75</v>
      </c>
      <c r="H87" s="17" t="e">
        <f ca="1">--TRIM(RIGHT(SUBSTITUTE(LEFT(C86,_xlfn.AGGREGATE(16,6,FIND({0,1,2,3,4,5,6,7,8,9},C86,ROW(INDIRECT("1:"&amp;LEN(C86)))),1))," ",REPT(" ",LEN(C86))),LEN(C86)))</f>
        <v>#REF!</v>
      </c>
      <c r="I87" s="51" t="e">
        <f ca="1">IF(D90=100%,"Excavation","")&amp;IF(D91=100%,", Plinth","")&amp;IF(D92=100%,", RCC Slab","")&amp;IF(D93=100%,", Brickwork","")&amp;IF(D94=100%,", Internal Plaster","")&amp;IF(D95=100%,", External Plaster","")&amp;IF(D96=100%,", Flooring","")&amp;IF(D97=100%,", Painting","")&amp;IF(D98=100%,", Building common Amenities","")</f>
        <v>#REF!</v>
      </c>
      <c r="J87" s="52" t="e">
        <f ca="1">(IF(C90=0,"Work not yet Started.",IF(D90=25%,"Piling work in process",IF(D90=50%,"Excavation work in process",IF(D90=100%,"","0")))))&amp;(IF(C91=0%,"",IF(C91=J92,", Footing work is process",IF(C91=J93,", Footing work Completed",IF(C91=J94,", 1st Basement Completed",IF(C91=J95,", 1st &amp; 2nd Basement Completed",IF(C91=J96,", 1st to 3rd Basement Completed",IF(C91=J97,", 1st to 4th Basement Completed",IF(C91=J98,", Plinth work is process",IF(C91=J99,"","0"))))))))))</f>
        <v>#REF!</v>
      </c>
    </row>
    <row r="88" spans="1:10" hidden="1" x14ac:dyDescent="0.25">
      <c r="A88" s="158" t="s">
        <v>85</v>
      </c>
      <c r="B88" s="159"/>
      <c r="C88" s="174" t="e">
        <f ca="1">(IF($G$59="NA",I86,"All work Completed. OC Received."))</f>
        <v>#REF!</v>
      </c>
      <c r="D88" s="174"/>
      <c r="E88" s="174"/>
      <c r="F88" s="174"/>
      <c r="G88" s="174"/>
      <c r="H88" s="175"/>
      <c r="I88" s="51" t="e">
        <f ca="1">IF(I87&lt;&gt;""," Completed","")</f>
        <v>#REF!</v>
      </c>
      <c r="J88" s="52" t="e">
        <f ca="1">IF(J86&lt;&gt;"","Completed","")</f>
        <v>#REF!</v>
      </c>
    </row>
    <row r="89" spans="1:10" ht="15.75" hidden="1" customHeight="1" x14ac:dyDescent="0.25">
      <c r="A89" s="130" t="s">
        <v>47</v>
      </c>
      <c r="B89" s="131"/>
      <c r="C89" s="43" t="s">
        <v>133</v>
      </c>
      <c r="D89" s="43" t="s">
        <v>78</v>
      </c>
      <c r="E89" s="131" t="s">
        <v>80</v>
      </c>
      <c r="F89" s="131"/>
      <c r="G89" s="131" t="s">
        <v>79</v>
      </c>
      <c r="H89" s="157"/>
      <c r="I89" s="13" t="s">
        <v>135</v>
      </c>
      <c r="J89" s="28" t="e">
        <f ca="1">H87*25%</f>
        <v>#REF!</v>
      </c>
    </row>
    <row r="90" spans="1:10" hidden="1" x14ac:dyDescent="0.25">
      <c r="A90" s="130" t="s">
        <v>122</v>
      </c>
      <c r="B90" s="131"/>
      <c r="C90" s="43" t="e">
        <f ca="1">J91</f>
        <v>#REF!</v>
      </c>
      <c r="D90" s="19" t="e">
        <f ca="1">((100/H87)*C90)/100</f>
        <v>#REF!</v>
      </c>
      <c r="E90" s="142" t="e">
        <f ca="1">(((C91/H87*10)+(40/(D87+F87+H87)*C92)+(7.5/(H87)*C93)+(7.5/(H87)*C94)+(10/H87*C95)+(10/H87*C96)+(5/H87*C97)+(5/H87*C98)+(5/H87*C99))/100)</f>
        <v>#REF!</v>
      </c>
      <c r="F90" s="143"/>
      <c r="G90" s="142" t="e">
        <f ca="1">((((C90/H87)*20)+((C91/H87)*25)+(30/(H87+F87+D87)*C92)+(5/H87*C93)+(5/H87*C94)+(5/H87*C95)+(5/H87*C96)+(0/H87*C97)+(0/H87*C98)+(5/H87*C99))/100)</f>
        <v>#REF!</v>
      </c>
      <c r="H90" s="194"/>
      <c r="I90" s="13" t="s">
        <v>95</v>
      </c>
      <c r="J90" s="29" t="e">
        <f ca="1">H87*50%</f>
        <v>#REF!</v>
      </c>
    </row>
    <row r="91" spans="1:10" hidden="1" x14ac:dyDescent="0.25">
      <c r="A91" s="130" t="s">
        <v>48</v>
      </c>
      <c r="B91" s="131"/>
      <c r="C91" s="43" t="e">
        <f ca="1">J99</f>
        <v>#REF!</v>
      </c>
      <c r="D91" s="19" t="e">
        <f ca="1">((100/H87)*C91)/100</f>
        <v>#REF!</v>
      </c>
      <c r="E91" s="144"/>
      <c r="F91" s="145"/>
      <c r="G91" s="144"/>
      <c r="H91" s="195"/>
      <c r="I91" s="13" t="s">
        <v>96</v>
      </c>
      <c r="J91" s="29" t="e">
        <f ca="1">H87</f>
        <v>#REF!</v>
      </c>
    </row>
    <row r="92" spans="1:10" ht="15.75" hidden="1" customHeight="1" x14ac:dyDescent="0.25">
      <c r="A92" s="130" t="s">
        <v>123</v>
      </c>
      <c r="B92" s="131"/>
      <c r="C92" s="43" t="e">
        <f ca="1">D87+H87</f>
        <v>#REF!</v>
      </c>
      <c r="D92" s="19" t="e">
        <f ca="1">((100/(D87+F87+H87))*C92)/100</f>
        <v>#REF!</v>
      </c>
      <c r="E92" s="144"/>
      <c r="F92" s="145"/>
      <c r="G92" s="144"/>
      <c r="H92" s="195"/>
      <c r="I92" s="13" t="s">
        <v>97</v>
      </c>
      <c r="J92" s="30" t="e">
        <f ca="1">(IF(B87&gt;1,(H87/(B87+2)),H87/4))</f>
        <v>#REF!</v>
      </c>
    </row>
    <row r="93" spans="1:10" ht="15.75" hidden="1" customHeight="1" x14ac:dyDescent="0.25">
      <c r="A93" s="130" t="s">
        <v>130</v>
      </c>
      <c r="B93" s="131" t="s">
        <v>124</v>
      </c>
      <c r="C93" s="43">
        <v>0</v>
      </c>
      <c r="D93" s="19" t="e">
        <f ca="1">((100/H87)*C93)/100</f>
        <v>#REF!</v>
      </c>
      <c r="E93" s="144"/>
      <c r="F93" s="145"/>
      <c r="G93" s="144"/>
      <c r="H93" s="195"/>
      <c r="I93" s="13" t="s">
        <v>98</v>
      </c>
      <c r="J93" s="30" t="e">
        <f ca="1">(IF(B87&gt;1,(H87/(B87+2)+J92),H87/4+J92))</f>
        <v>#REF!</v>
      </c>
    </row>
    <row r="94" spans="1:10" ht="15.75" hidden="1" customHeight="1" x14ac:dyDescent="0.25">
      <c r="A94" s="130" t="s">
        <v>131</v>
      </c>
      <c r="B94" s="131" t="s">
        <v>124</v>
      </c>
      <c r="C94" s="43">
        <v>0</v>
      </c>
      <c r="D94" s="19" t="e">
        <f ca="1">((100/H87)*C94)/100</f>
        <v>#REF!</v>
      </c>
      <c r="E94" s="144"/>
      <c r="F94" s="145"/>
      <c r="G94" s="144"/>
      <c r="H94" s="195"/>
      <c r="I94" s="13" t="s">
        <v>142</v>
      </c>
      <c r="J94" s="30">
        <f>(IF(B87&gt;1,(H87/(B87+2)+J93),0))</f>
        <v>0</v>
      </c>
    </row>
    <row r="95" spans="1:10" ht="15" hidden="1" customHeight="1" x14ac:dyDescent="0.25">
      <c r="A95" s="130" t="s">
        <v>129</v>
      </c>
      <c r="B95" s="131" t="s">
        <v>126</v>
      </c>
      <c r="C95" s="43">
        <v>0</v>
      </c>
      <c r="D95" s="19" t="e">
        <f ca="1">((100/(H87))*C95)/100</f>
        <v>#REF!</v>
      </c>
      <c r="E95" s="144"/>
      <c r="F95" s="145"/>
      <c r="G95" s="144"/>
      <c r="H95" s="195"/>
      <c r="I95" s="13" t="s">
        <v>137</v>
      </c>
      <c r="J95" s="30">
        <f>(IF(B87&gt;2,(H87/(B87+2)+J94),0))</f>
        <v>0</v>
      </c>
    </row>
    <row r="96" spans="1:10" ht="15.75" hidden="1" customHeight="1" x14ac:dyDescent="0.25">
      <c r="A96" s="130" t="s">
        <v>125</v>
      </c>
      <c r="B96" s="131" t="s">
        <v>125</v>
      </c>
      <c r="C96" s="43">
        <v>0</v>
      </c>
      <c r="D96" s="19" t="e">
        <f ca="1">((100/H87)*C96)/100</f>
        <v>#REF!</v>
      </c>
      <c r="E96" s="144"/>
      <c r="F96" s="145"/>
      <c r="G96" s="144"/>
      <c r="H96" s="195"/>
      <c r="I96" s="13" t="s">
        <v>138</v>
      </c>
      <c r="J96" s="31">
        <f>(IF(B87&gt;3,(H87/(B87+2)+J95),0))</f>
        <v>0</v>
      </c>
    </row>
    <row r="97" spans="1:22" ht="15.75" hidden="1" customHeight="1" x14ac:dyDescent="0.25">
      <c r="A97" s="130" t="s">
        <v>132</v>
      </c>
      <c r="B97" s="131"/>
      <c r="C97" s="43">
        <v>0</v>
      </c>
      <c r="D97" s="19" t="e">
        <f ca="1">((100/H87)*C97)/100</f>
        <v>#REF!</v>
      </c>
      <c r="E97" s="144"/>
      <c r="F97" s="145"/>
      <c r="G97" s="144"/>
      <c r="H97" s="195"/>
      <c r="I97" s="13" t="s">
        <v>139</v>
      </c>
      <c r="J97" s="30">
        <f>(IF(B87&gt;4,(H87/(B87+2)+J96),0))</f>
        <v>0</v>
      </c>
    </row>
    <row r="98" spans="1:22" ht="15.75" hidden="1" customHeight="1" x14ac:dyDescent="0.25">
      <c r="A98" s="130" t="s">
        <v>127</v>
      </c>
      <c r="B98" s="131" t="s">
        <v>127</v>
      </c>
      <c r="C98" s="43">
        <v>0</v>
      </c>
      <c r="D98" s="19" t="e">
        <f ca="1">((100/(H87))*C98)/100</f>
        <v>#REF!</v>
      </c>
      <c r="E98" s="144"/>
      <c r="F98" s="145"/>
      <c r="G98" s="144"/>
      <c r="H98" s="195"/>
      <c r="I98" s="13" t="s">
        <v>143</v>
      </c>
      <c r="J98" s="30" t="e">
        <f ca="1">(IF(B87=1,(H87/(B87+3)+J93),IF(B87=0,(H87/4+J93),IF(B87&gt;1,0))))</f>
        <v>#REF!</v>
      </c>
    </row>
    <row r="99" spans="1:22" ht="16.5" hidden="1" thickBot="1" x14ac:dyDescent="0.3">
      <c r="A99" s="246" t="s">
        <v>128</v>
      </c>
      <c r="B99" s="247"/>
      <c r="C99" s="44">
        <v>0</v>
      </c>
      <c r="D99" s="20" t="e">
        <f ca="1">((100/(H87))*C99)/100</f>
        <v>#REF!</v>
      </c>
      <c r="E99" s="146"/>
      <c r="F99" s="147"/>
      <c r="G99" s="146"/>
      <c r="H99" s="196"/>
      <c r="I99" s="15" t="s">
        <v>99</v>
      </c>
      <c r="J99" s="32" t="e">
        <f ca="1">(IF(B87&gt;1.5,(H87/(B87+2)+J93+MAX(0,J94-J93)+MAX(0,J95-J94)+MAX(0,J96-J95)+MAX(0,J97-J96)+MAX(0,J98-J97)),IF(B87=1,(H87/(B87+3)+J98),IF(B87=0,H87/4+J98))))</f>
        <v>#REF!</v>
      </c>
    </row>
    <row r="100" spans="1:22" x14ac:dyDescent="0.25">
      <c r="A100" s="156" t="s">
        <v>154</v>
      </c>
      <c r="B100" s="156"/>
      <c r="C100" s="156"/>
      <c r="D100" s="156"/>
      <c r="E100" s="156"/>
      <c r="F100" s="242" t="s">
        <v>158</v>
      </c>
      <c r="G100" s="242"/>
      <c r="H100" s="242"/>
      <c r="R100" t="s">
        <v>252</v>
      </c>
      <c r="S100" t="s">
        <v>170</v>
      </c>
      <c r="T100" t="s">
        <v>178</v>
      </c>
      <c r="U100" t="s">
        <v>193</v>
      </c>
      <c r="V100" t="s">
        <v>188</v>
      </c>
    </row>
    <row r="101" spans="1:22" x14ac:dyDescent="0.25">
      <c r="A101" s="129" t="s">
        <v>156</v>
      </c>
      <c r="B101" s="129"/>
      <c r="C101" s="129"/>
      <c r="D101" s="129"/>
      <c r="E101" s="129"/>
      <c r="F101" s="153">
        <v>19000</v>
      </c>
      <c r="G101" s="153"/>
      <c r="H101" s="153"/>
      <c r="R101"/>
      <c r="S101">
        <v>800000</v>
      </c>
      <c r="T101">
        <v>150000</v>
      </c>
      <c r="U101">
        <v>100000</v>
      </c>
      <c r="V101">
        <v>100000</v>
      </c>
    </row>
    <row r="102" spans="1:22" hidden="1" x14ac:dyDescent="0.25">
      <c r="A102" s="129" t="s">
        <v>155</v>
      </c>
      <c r="B102" s="129"/>
      <c r="C102" s="129"/>
      <c r="D102" s="129"/>
      <c r="E102" s="129"/>
      <c r="F102" s="153">
        <v>28000</v>
      </c>
      <c r="G102" s="153"/>
      <c r="H102" s="153"/>
      <c r="R102"/>
      <c r="S102">
        <v>900000</v>
      </c>
      <c r="T102">
        <v>200000</v>
      </c>
      <c r="U102">
        <v>150000</v>
      </c>
      <c r="V102">
        <v>150000</v>
      </c>
    </row>
    <row r="103" spans="1:22" hidden="1" x14ac:dyDescent="0.25">
      <c r="A103" s="129" t="s">
        <v>157</v>
      </c>
      <c r="B103" s="129"/>
      <c r="C103" s="129"/>
      <c r="D103" s="129"/>
      <c r="E103" s="129"/>
      <c r="F103" s="153"/>
      <c r="G103" s="153"/>
      <c r="H103" s="153"/>
      <c r="R103"/>
      <c r="S103">
        <v>1000000</v>
      </c>
      <c r="T103">
        <v>250000</v>
      </c>
      <c r="U103">
        <v>200000</v>
      </c>
      <c r="V103">
        <v>200000</v>
      </c>
    </row>
    <row r="104" spans="1:22" s="33" customFormat="1" hidden="1" x14ac:dyDescent="0.25">
      <c r="A104" s="129" t="s">
        <v>173</v>
      </c>
      <c r="B104" s="129"/>
      <c r="C104" s="129"/>
      <c r="D104" s="129"/>
      <c r="E104" s="129"/>
      <c r="F104" s="153"/>
      <c r="G104" s="153"/>
      <c r="H104" s="153"/>
      <c r="R104"/>
      <c r="S104">
        <v>1100000</v>
      </c>
      <c r="T104">
        <v>300000</v>
      </c>
      <c r="U104">
        <v>250000</v>
      </c>
      <c r="V104" s="23">
        <v>250000</v>
      </c>
    </row>
    <row r="105" spans="1:22" s="33" customFormat="1" hidden="1" x14ac:dyDescent="0.25">
      <c r="A105" s="129" t="s">
        <v>89</v>
      </c>
      <c r="B105" s="129"/>
      <c r="C105" s="129"/>
      <c r="D105" s="129"/>
      <c r="E105" s="129"/>
      <c r="F105" s="153"/>
      <c r="G105" s="153"/>
      <c r="H105" s="153"/>
      <c r="R105"/>
      <c r="S105">
        <v>1200000</v>
      </c>
      <c r="T105">
        <v>350000</v>
      </c>
      <c r="U105">
        <v>300000</v>
      </c>
      <c r="V105">
        <v>300000</v>
      </c>
    </row>
    <row r="106" spans="1:22" s="33" customFormat="1" hidden="1" x14ac:dyDescent="0.25">
      <c r="A106" s="129" t="s">
        <v>90</v>
      </c>
      <c r="B106" s="129"/>
      <c r="C106" s="129"/>
      <c r="D106" s="129"/>
      <c r="E106" s="129"/>
      <c r="F106" s="153"/>
      <c r="G106" s="153"/>
      <c r="H106" s="153"/>
      <c r="R106"/>
      <c r="S106">
        <v>1300000</v>
      </c>
      <c r="T106">
        <v>400000</v>
      </c>
      <c r="U106">
        <v>350000</v>
      </c>
      <c r="V106" s="23">
        <v>400000</v>
      </c>
    </row>
    <row r="107" spans="1:22" s="33" customFormat="1" hidden="1" x14ac:dyDescent="0.25">
      <c r="A107" s="129" t="s">
        <v>91</v>
      </c>
      <c r="B107" s="129"/>
      <c r="C107" s="129"/>
      <c r="D107" s="129"/>
      <c r="E107" s="129"/>
      <c r="F107" s="153"/>
      <c r="G107" s="153"/>
      <c r="H107" s="153"/>
      <c r="R107"/>
      <c r="S107">
        <v>1400000</v>
      </c>
      <c r="T107">
        <v>500000</v>
      </c>
      <c r="U107">
        <v>400000</v>
      </c>
      <c r="V107"/>
    </row>
    <row r="108" spans="1:22" s="33" customFormat="1" hidden="1" x14ac:dyDescent="0.25">
      <c r="A108" s="129" t="s">
        <v>92</v>
      </c>
      <c r="B108" s="129"/>
      <c r="C108" s="129"/>
      <c r="D108" s="129"/>
      <c r="E108" s="129"/>
      <c r="F108" s="153"/>
      <c r="G108" s="153"/>
      <c r="H108" s="153"/>
      <c r="R108"/>
      <c r="S108">
        <v>1500000</v>
      </c>
      <c r="T108">
        <v>600000</v>
      </c>
      <c r="U108">
        <v>500000</v>
      </c>
      <c r="V108" s="23"/>
    </row>
    <row r="109" spans="1:22" s="33" customFormat="1" hidden="1" x14ac:dyDescent="0.25">
      <c r="A109" s="129" t="s">
        <v>93</v>
      </c>
      <c r="B109" s="129"/>
      <c r="C109" s="129"/>
      <c r="D109" s="129"/>
      <c r="E109" s="129"/>
      <c r="F109" s="153"/>
      <c r="G109" s="153"/>
      <c r="H109" s="153"/>
      <c r="R109"/>
      <c r="S109">
        <v>1600000</v>
      </c>
      <c r="T109">
        <v>700000</v>
      </c>
      <c r="U109">
        <v>600000</v>
      </c>
      <c r="V109"/>
    </row>
    <row r="110" spans="1:22" s="33" customFormat="1" hidden="1" x14ac:dyDescent="0.25">
      <c r="A110" s="129" t="s">
        <v>94</v>
      </c>
      <c r="B110" s="129"/>
      <c r="C110" s="129"/>
      <c r="D110" s="129"/>
      <c r="E110" s="129"/>
      <c r="F110" s="153"/>
      <c r="G110" s="153"/>
      <c r="H110" s="153"/>
      <c r="R110"/>
      <c r="S110">
        <v>1700000</v>
      </c>
      <c r="T110">
        <v>800000</v>
      </c>
      <c r="U110"/>
      <c r="V110" s="23"/>
    </row>
    <row r="111" spans="1:22" x14ac:dyDescent="0.25">
      <c r="A111" s="129" t="s">
        <v>49</v>
      </c>
      <c r="B111" s="129"/>
      <c r="C111" s="129"/>
      <c r="D111" s="129"/>
      <c r="E111" s="129"/>
      <c r="F111" s="153">
        <v>1000000</v>
      </c>
      <c r="G111" s="153"/>
      <c r="H111" s="153"/>
      <c r="R111"/>
      <c r="S111">
        <v>1800000</v>
      </c>
      <c r="T111">
        <v>900000</v>
      </c>
      <c r="U111"/>
    </row>
    <row r="112" spans="1:22" s="34" customFormat="1" x14ac:dyDescent="0.25">
      <c r="A112" s="179" t="s">
        <v>50</v>
      </c>
      <c r="B112" s="179"/>
      <c r="C112" s="179"/>
      <c r="D112" s="179"/>
      <c r="E112" s="179"/>
      <c r="F112" s="153">
        <f>F101*0.8</f>
        <v>15200</v>
      </c>
      <c r="G112" s="153"/>
      <c r="H112" s="153"/>
      <c r="R112" s="21"/>
      <c r="S112" s="21"/>
      <c r="T112">
        <v>1000000</v>
      </c>
      <c r="U112"/>
      <c r="V112" s="21"/>
    </row>
    <row r="113" spans="1:22" s="35" customFormat="1" ht="15.75" customHeight="1" x14ac:dyDescent="0.25">
      <c r="A113" s="229" t="s">
        <v>373</v>
      </c>
      <c r="B113" s="229"/>
      <c r="C113" s="229"/>
      <c r="D113" s="229"/>
      <c r="E113" s="229"/>
      <c r="F113" s="229"/>
      <c r="G113" s="229"/>
      <c r="H113" s="229"/>
      <c r="R113"/>
      <c r="S113" s="21"/>
      <c r="T113"/>
      <c r="U113"/>
      <c r="V113" s="21"/>
    </row>
    <row r="114" spans="1:22" s="35" customFormat="1" ht="15.75" customHeight="1" x14ac:dyDescent="0.25">
      <c r="A114" s="232" t="s">
        <v>51</v>
      </c>
      <c r="B114" s="232"/>
      <c r="C114" s="234" t="s">
        <v>73</v>
      </c>
      <c r="D114" s="234"/>
      <c r="E114" s="241" t="s">
        <v>52</v>
      </c>
      <c r="F114" s="241"/>
      <c r="G114" s="232" t="s">
        <v>53</v>
      </c>
      <c r="H114" s="232"/>
      <c r="R114"/>
      <c r="S114" s="21"/>
      <c r="T114"/>
      <c r="U114" s="21"/>
      <c r="V114" s="21"/>
    </row>
    <row r="115" spans="1:22" s="35" customFormat="1" x14ac:dyDescent="0.25">
      <c r="A115" s="230" t="s">
        <v>371</v>
      </c>
      <c r="B115" s="230"/>
      <c r="C115" s="166">
        <f>COUNT(D129:D140)</f>
        <v>12</v>
      </c>
      <c r="D115" s="167"/>
      <c r="E115" s="166">
        <f t="shared" ref="E115" si="0">SUM(F129:F140)</f>
        <v>8552.1131748000007</v>
      </c>
      <c r="F115" s="167"/>
      <c r="G115" s="166">
        <f t="shared" ref="G115" si="1">SUM(H129:H140)</f>
        <v>13255.775420940001</v>
      </c>
      <c r="H115" s="167"/>
      <c r="R115"/>
      <c r="S115" s="21"/>
      <c r="T115"/>
      <c r="U115" s="21"/>
      <c r="V115" s="21"/>
    </row>
    <row r="116" spans="1:22" s="35" customFormat="1" x14ac:dyDescent="0.25">
      <c r="A116" s="229" t="s">
        <v>147</v>
      </c>
      <c r="B116" s="229"/>
      <c r="C116" s="233">
        <f>SUM(C115)</f>
        <v>12</v>
      </c>
      <c r="D116" s="234"/>
      <c r="E116" s="233">
        <f t="shared" ref="E116" si="2">SUM(E115)</f>
        <v>8552.1131748000007</v>
      </c>
      <c r="F116" s="234"/>
      <c r="G116" s="233">
        <f t="shared" ref="G116" si="3">SUM(G115)</f>
        <v>13255.775420940001</v>
      </c>
      <c r="H116" s="234"/>
      <c r="R116"/>
      <c r="S116" s="21"/>
      <c r="T116"/>
      <c r="U116" s="21"/>
      <c r="V116" s="21"/>
    </row>
    <row r="117" spans="1:22" s="35" customFormat="1" x14ac:dyDescent="0.25">
      <c r="A117" s="229" t="s">
        <v>374</v>
      </c>
      <c r="B117" s="229"/>
      <c r="C117" s="229"/>
      <c r="D117" s="229"/>
      <c r="E117" s="229"/>
      <c r="F117" s="229"/>
      <c r="G117" s="229"/>
      <c r="H117" s="229"/>
      <c r="T117"/>
    </row>
    <row r="118" spans="1:22" s="35" customFormat="1" ht="15.75" customHeight="1" x14ac:dyDescent="0.25">
      <c r="A118" s="232" t="s">
        <v>51</v>
      </c>
      <c r="B118" s="232"/>
      <c r="C118" s="234" t="s">
        <v>73</v>
      </c>
      <c r="D118" s="234"/>
      <c r="E118" s="241" t="s">
        <v>52</v>
      </c>
      <c r="F118" s="241"/>
      <c r="G118" s="232" t="s">
        <v>53</v>
      </c>
      <c r="H118" s="232"/>
      <c r="T118"/>
    </row>
    <row r="119" spans="1:22" s="35" customFormat="1" x14ac:dyDescent="0.25">
      <c r="A119" s="230" t="s">
        <v>372</v>
      </c>
      <c r="B119" s="230"/>
      <c r="C119" s="166">
        <f>COUNT(F152:F157)+COUNT(F159:F164)*4+COUNT(F166:F169)+COUNT(F173:F178)+COUNT(F180:F185)+COUNT(F187:F194)*24+COUNT(F196:F198,F202:F203)*3+COUNT(F205:F208,F210:F212)</f>
        <v>260</v>
      </c>
      <c r="D119" s="166"/>
      <c r="E119" s="166">
        <f>SUM(F152:F157)+SUM(F159:F164)*4+SUM(F166:F169)+SUM(F173:F178)+SUM(F180:F185)+SUM(F187:F194)*24+SUM(F196:F198,F202:F203)*3+SUM(F205:F208,F210:F212)</f>
        <v>242324.94826799992</v>
      </c>
      <c r="F119" s="166"/>
      <c r="G119" s="166">
        <f>SUM(H152:H157)+SUM(H159:H164)*4+SUM(H166:H169)+SUM(H173:H178)+SUM(H180:H185)+SUM(H187:H194)*24+SUM(H196:H198,H202:H203)*3+SUM(H205:H208,H210:H212)</f>
        <v>363672.83230199997</v>
      </c>
      <c r="H119" s="166"/>
      <c r="T119"/>
    </row>
    <row r="120" spans="1:22" s="35" customFormat="1" ht="16.5" thickBot="1" x14ac:dyDescent="0.3">
      <c r="A120" s="132" t="s">
        <v>147</v>
      </c>
      <c r="B120" s="132"/>
      <c r="C120" s="133">
        <f>SUM(C119)</f>
        <v>260</v>
      </c>
      <c r="D120" s="134"/>
      <c r="E120" s="133">
        <f t="shared" ref="E120" si="4">SUM(E119)</f>
        <v>242324.94826799992</v>
      </c>
      <c r="F120" s="134"/>
      <c r="G120" s="133">
        <f t="shared" ref="G120" si="5">SUM(G119)</f>
        <v>363672.83230199997</v>
      </c>
      <c r="H120" s="134"/>
      <c r="T120"/>
    </row>
    <row r="121" spans="1:22" s="35" customFormat="1" ht="16.5" thickBot="1" x14ac:dyDescent="0.3">
      <c r="A121" s="235" t="s">
        <v>164</v>
      </c>
      <c r="B121" s="236"/>
      <c r="C121" s="237">
        <f>C116+C120</f>
        <v>272</v>
      </c>
      <c r="D121" s="237"/>
      <c r="E121" s="238">
        <f>E116+E120</f>
        <v>250877.06144279992</v>
      </c>
      <c r="F121" s="238"/>
      <c r="G121" s="168">
        <f>G116+G120</f>
        <v>376928.60772293998</v>
      </c>
      <c r="H121" s="169"/>
      <c r="T121"/>
    </row>
    <row r="122" spans="1:22" s="34" customFormat="1" x14ac:dyDescent="0.25">
      <c r="A122" s="242" t="s">
        <v>54</v>
      </c>
      <c r="B122" s="242"/>
      <c r="C122" s="242"/>
      <c r="D122" s="242"/>
      <c r="E122" s="242"/>
      <c r="F122" s="242"/>
      <c r="G122" s="242"/>
      <c r="H122" s="242"/>
      <c r="T122" s="35"/>
    </row>
    <row r="123" spans="1:22" x14ac:dyDescent="0.25">
      <c r="A123" s="248" t="s">
        <v>172</v>
      </c>
      <c r="B123" s="248"/>
      <c r="C123" s="248"/>
      <c r="D123" s="248"/>
      <c r="E123" s="248"/>
      <c r="F123" s="248"/>
      <c r="G123" s="248"/>
      <c r="H123" s="248"/>
      <c r="T123" s="35"/>
    </row>
    <row r="124" spans="1:22" ht="47.25" customHeight="1" x14ac:dyDescent="0.25">
      <c r="A124" s="154" t="s">
        <v>381</v>
      </c>
      <c r="B124" s="154" t="s">
        <v>175</v>
      </c>
      <c r="C124" s="154" t="s">
        <v>55</v>
      </c>
      <c r="D124" s="154" t="s">
        <v>231</v>
      </c>
      <c r="E124" s="160" t="s">
        <v>153</v>
      </c>
      <c r="F124" s="154" t="s">
        <v>56</v>
      </c>
      <c r="G124" s="160" t="s">
        <v>57</v>
      </c>
      <c r="H124" s="90" t="s">
        <v>145</v>
      </c>
      <c r="T124" s="35"/>
    </row>
    <row r="125" spans="1:22" s="37" customFormat="1" x14ac:dyDescent="0.25">
      <c r="A125" s="155"/>
      <c r="B125" s="155"/>
      <c r="C125" s="155"/>
      <c r="D125" s="155"/>
      <c r="E125" s="161"/>
      <c r="F125" s="155"/>
      <c r="G125" s="161"/>
      <c r="H125" s="91">
        <v>0.55000000000000004</v>
      </c>
      <c r="T125" s="35"/>
    </row>
    <row r="126" spans="1:22" s="81" customFormat="1" x14ac:dyDescent="0.25">
      <c r="A126" s="116" t="s">
        <v>336</v>
      </c>
      <c r="B126" s="117"/>
      <c r="C126" s="117"/>
      <c r="D126" s="117"/>
      <c r="E126" s="117"/>
      <c r="F126" s="117"/>
      <c r="G126" s="117"/>
      <c r="H126" s="118"/>
      <c r="J126" s="36"/>
      <c r="T126" s="35"/>
    </row>
    <row r="127" spans="1:22" s="81" customFormat="1" x14ac:dyDescent="0.25">
      <c r="A127" s="116" t="s">
        <v>355</v>
      </c>
      <c r="B127" s="117"/>
      <c r="C127" s="117"/>
      <c r="D127" s="117"/>
      <c r="E127" s="117"/>
      <c r="F127" s="117"/>
      <c r="G127" s="117"/>
      <c r="H127" s="118"/>
      <c r="J127" s="36"/>
      <c r="K127" s="82">
        <f>10.764</f>
        <v>10.763999999999999</v>
      </c>
      <c r="T127" s="35"/>
    </row>
    <row r="128" spans="1:22" s="81" customFormat="1" x14ac:dyDescent="0.25">
      <c r="A128" s="116" t="s">
        <v>390</v>
      </c>
      <c r="B128" s="117"/>
      <c r="C128" s="117"/>
      <c r="D128" s="117"/>
      <c r="E128" s="117"/>
      <c r="F128" s="117"/>
      <c r="G128" s="117"/>
      <c r="H128" s="118"/>
      <c r="J128" s="36"/>
      <c r="T128" s="35"/>
    </row>
    <row r="129" spans="1:20" s="81" customFormat="1" ht="15.75" customHeight="1" x14ac:dyDescent="0.25">
      <c r="A129" s="113">
        <v>19</v>
      </c>
      <c r="B129" s="114"/>
      <c r="C129" s="80" t="s">
        <v>356</v>
      </c>
      <c r="D129" s="82">
        <f>(19.39)*(10.764)</f>
        <v>208.71395999999999</v>
      </c>
      <c r="E129" s="80">
        <v>0</v>
      </c>
      <c r="F129" s="80">
        <f>D129+(IF(E129&lt;201,E129,IF(E129&lt;301,E129/2,E129/3)))</f>
        <v>208.71395999999999</v>
      </c>
      <c r="G129" s="65">
        <v>0</v>
      </c>
      <c r="H129" s="80">
        <f>(F129+(IF(G129&lt;101,G129,IF(G129&lt;201,G129/2,IF(G129&lt;=301,G129/3,G129/4)))))*(($H$125)+1)</f>
        <v>323.50663800000001</v>
      </c>
      <c r="I129" s="36">
        <f>2.95*5.22+1.18*1.83+1.13*1.58</f>
        <v>19.343799999999998</v>
      </c>
      <c r="L129" s="119"/>
      <c r="M129" s="119"/>
      <c r="N129" s="36"/>
      <c r="T129" s="35"/>
    </row>
    <row r="130" spans="1:20" s="81" customFormat="1" ht="15.75" customHeight="1" x14ac:dyDescent="0.25">
      <c r="A130" s="113">
        <f t="shared" ref="A130:A140" si="6">A129+1</f>
        <v>20</v>
      </c>
      <c r="B130" s="114"/>
      <c r="C130" s="80" t="s">
        <v>356</v>
      </c>
      <c r="D130" s="82">
        <f>(15.07)*(10.764)</f>
        <v>162.21348</v>
      </c>
      <c r="E130" s="80">
        <v>0</v>
      </c>
      <c r="F130" s="80">
        <f t="shared" ref="F130:F132" si="7">D130+(IF(E130&lt;201,E130,IF(E130&lt;301,E130/2,E130/3)))</f>
        <v>162.21348</v>
      </c>
      <c r="G130" s="80">
        <v>0</v>
      </c>
      <c r="H130" s="80">
        <f t="shared" ref="H130:H132" si="8">(F130+(IF(G130&lt;101,G130,IF(G130&lt;201,G130/2,IF(G130&lt;=301,G130/3,G130/4)))))*(($H$125)+1)</f>
        <v>251.43089400000002</v>
      </c>
      <c r="I130" s="36"/>
      <c r="L130" s="119"/>
      <c r="M130" s="119"/>
      <c r="N130" s="36"/>
      <c r="T130" s="34"/>
    </row>
    <row r="131" spans="1:20" s="81" customFormat="1" ht="15.75" customHeight="1" x14ac:dyDescent="0.25">
      <c r="A131" s="113">
        <f t="shared" si="6"/>
        <v>21</v>
      </c>
      <c r="B131" s="114"/>
      <c r="C131" s="80" t="s">
        <v>356</v>
      </c>
      <c r="D131" s="82">
        <f>(17.53)*(10.764)</f>
        <v>188.69291999999999</v>
      </c>
      <c r="E131" s="80">
        <v>0</v>
      </c>
      <c r="F131" s="80">
        <f t="shared" si="7"/>
        <v>188.69291999999999</v>
      </c>
      <c r="G131" s="80">
        <v>0</v>
      </c>
      <c r="H131" s="80">
        <f t="shared" si="8"/>
        <v>292.47402599999998</v>
      </c>
      <c r="I131" s="36">
        <f>2.55*4.2+1.58*(1.18+1.13)+1.9*1.05</f>
        <v>16.354799999999997</v>
      </c>
      <c r="L131" s="119"/>
      <c r="M131" s="119"/>
      <c r="N131" s="36"/>
      <c r="T131" s="21"/>
    </row>
    <row r="132" spans="1:20" s="81" customFormat="1" ht="47.25" x14ac:dyDescent="0.25">
      <c r="A132" s="113">
        <f t="shared" si="6"/>
        <v>22</v>
      </c>
      <c r="B132" s="114"/>
      <c r="C132" s="80" t="s">
        <v>357</v>
      </c>
      <c r="D132" s="82">
        <f>(43.39+96.36)*(10.764)</f>
        <v>1504.269</v>
      </c>
      <c r="E132" s="80">
        <v>0</v>
      </c>
      <c r="F132" s="80">
        <f t="shared" si="7"/>
        <v>1504.269</v>
      </c>
      <c r="G132" s="80">
        <v>0</v>
      </c>
      <c r="H132" s="80">
        <f t="shared" si="8"/>
        <v>2331.6169500000001</v>
      </c>
      <c r="I132" s="36"/>
      <c r="L132" s="119"/>
      <c r="M132" s="119"/>
      <c r="N132" s="36"/>
      <c r="T132" s="21"/>
    </row>
    <row r="133" spans="1:20" s="81" customFormat="1" ht="15.75" customHeight="1" x14ac:dyDescent="0.25">
      <c r="A133" s="113">
        <f t="shared" si="6"/>
        <v>23</v>
      </c>
      <c r="B133" s="114"/>
      <c r="C133" s="80" t="s">
        <v>356</v>
      </c>
      <c r="D133" s="82">
        <f>(17.83)*(10.764)</f>
        <v>191.92211999999998</v>
      </c>
      <c r="E133" s="80">
        <v>0</v>
      </c>
      <c r="F133" s="80">
        <f t="shared" ref="F133:F135" si="9">D133+(IF(E133&lt;201,E133,IF(E133&lt;301,E133/2,E133/3)))</f>
        <v>191.92211999999998</v>
      </c>
      <c r="G133" s="80">
        <v>0</v>
      </c>
      <c r="H133" s="80">
        <f t="shared" ref="H133:H135" si="10">(F133+(IF(G133&lt;101,G133,IF(G133&lt;201,G133/2,IF(G133&lt;=301,G133/3,G133/4)))))*(($H$125)+1)</f>
        <v>297.479286</v>
      </c>
      <c r="I133" s="36"/>
      <c r="L133" s="119"/>
      <c r="M133" s="119"/>
      <c r="N133" s="36"/>
      <c r="T133" s="34"/>
    </row>
    <row r="134" spans="1:20" s="81" customFormat="1" ht="15.75" customHeight="1" x14ac:dyDescent="0.25">
      <c r="A134" s="113">
        <f t="shared" si="6"/>
        <v>24</v>
      </c>
      <c r="B134" s="114"/>
      <c r="C134" s="80" t="s">
        <v>356</v>
      </c>
      <c r="D134" s="82">
        <f>(21.12)*(10.764)</f>
        <v>227.33568</v>
      </c>
      <c r="E134" s="80">
        <v>0</v>
      </c>
      <c r="F134" s="80">
        <f t="shared" si="9"/>
        <v>227.33568</v>
      </c>
      <c r="G134" s="80">
        <v>0</v>
      </c>
      <c r="H134" s="80">
        <f t="shared" si="10"/>
        <v>352.37030400000003</v>
      </c>
      <c r="I134" s="36"/>
      <c r="L134" s="119"/>
      <c r="M134" s="119"/>
      <c r="N134" s="36"/>
      <c r="T134" s="21"/>
    </row>
    <row r="135" spans="1:20" s="81" customFormat="1" ht="15.75" customHeight="1" x14ac:dyDescent="0.25">
      <c r="A135" s="113">
        <f t="shared" si="6"/>
        <v>25</v>
      </c>
      <c r="B135" s="114"/>
      <c r="C135" s="80" t="s">
        <v>356</v>
      </c>
      <c r="D135" s="82">
        <f>(6.35*3.75+5.2*1.48+2.06*1.37)*(10.764)</f>
        <v>369.53565479999997</v>
      </c>
      <c r="E135" s="80">
        <v>0</v>
      </c>
      <c r="F135" s="80">
        <f t="shared" si="9"/>
        <v>369.53565479999997</v>
      </c>
      <c r="G135" s="80">
        <v>0</v>
      </c>
      <c r="H135" s="80">
        <f t="shared" si="10"/>
        <v>572.78026493999994</v>
      </c>
      <c r="I135" s="36"/>
      <c r="L135" s="119"/>
      <c r="M135" s="119"/>
      <c r="N135" s="36"/>
      <c r="T135" s="21"/>
    </row>
    <row r="136" spans="1:20" s="81" customFormat="1" ht="47.25" x14ac:dyDescent="0.25">
      <c r="A136" s="113">
        <f t="shared" si="6"/>
        <v>26</v>
      </c>
      <c r="B136" s="114"/>
      <c r="C136" s="80" t="s">
        <v>357</v>
      </c>
      <c r="D136" s="82">
        <f>(37.8+109.43)*(10.764)</f>
        <v>1584.7837200000001</v>
      </c>
      <c r="E136" s="80">
        <v>0</v>
      </c>
      <c r="F136" s="80">
        <f t="shared" ref="F136:F138" si="11">D136+(IF(E136&lt;201,E136,IF(E136&lt;301,E136/2,E136/3)))</f>
        <v>1584.7837200000001</v>
      </c>
      <c r="G136" s="80">
        <v>0</v>
      </c>
      <c r="H136" s="80">
        <f t="shared" ref="H136:H138" si="12">(F136+(IF(G136&lt;101,G136,IF(G136&lt;201,G136/2,IF(G136&lt;=301,G136/3,G136/4)))))*(($H$125)+1)</f>
        <v>2456.4147660000003</v>
      </c>
      <c r="I136" s="36"/>
      <c r="L136" s="119"/>
      <c r="M136" s="119"/>
      <c r="N136" s="36"/>
      <c r="T136" s="34"/>
    </row>
    <row r="137" spans="1:20" s="81" customFormat="1" ht="47.25" x14ac:dyDescent="0.25">
      <c r="A137" s="113">
        <f t="shared" si="6"/>
        <v>27</v>
      </c>
      <c r="B137" s="114"/>
      <c r="C137" s="80" t="s">
        <v>357</v>
      </c>
      <c r="D137" s="82">
        <f>(43.44+97.67)*(10.764)</f>
        <v>1518.90804</v>
      </c>
      <c r="E137" s="80">
        <v>0</v>
      </c>
      <c r="F137" s="80">
        <f t="shared" si="11"/>
        <v>1518.90804</v>
      </c>
      <c r="G137" s="80">
        <v>0</v>
      </c>
      <c r="H137" s="80">
        <f t="shared" si="12"/>
        <v>2354.3074620000002</v>
      </c>
      <c r="I137" s="36">
        <f>4.55*5.725+1.9*5.23+1*1.3+2.9*4.2+1.2*1.58+1.15*1.58+1.95*1.025+3.05*4.75+0.9*2.3+3.15*5.225+1.3*1.88+1.05*1.38</f>
        <v>92.086749999999981</v>
      </c>
      <c r="L137" s="119"/>
      <c r="M137" s="119"/>
      <c r="N137" s="36"/>
      <c r="T137" s="21"/>
    </row>
    <row r="138" spans="1:20" s="81" customFormat="1" ht="15.75" customHeight="1" x14ac:dyDescent="0.25">
      <c r="A138" s="113">
        <f t="shared" si="6"/>
        <v>28</v>
      </c>
      <c r="B138" s="114"/>
      <c r="C138" s="80" t="s">
        <v>356</v>
      </c>
      <c r="D138" s="82">
        <f>(35.11)*(10.764)</f>
        <v>377.92403999999999</v>
      </c>
      <c r="E138" s="80">
        <v>0</v>
      </c>
      <c r="F138" s="80">
        <f t="shared" si="11"/>
        <v>377.92403999999999</v>
      </c>
      <c r="G138" s="80">
        <v>0</v>
      </c>
      <c r="H138" s="80">
        <f t="shared" si="12"/>
        <v>585.78226199999995</v>
      </c>
      <c r="I138" s="36"/>
      <c r="L138" s="119"/>
      <c r="M138" s="119"/>
      <c r="N138" s="36"/>
      <c r="T138" s="21"/>
    </row>
    <row r="139" spans="1:20" s="81" customFormat="1" ht="15.75" customHeight="1" x14ac:dyDescent="0.25">
      <c r="A139" s="113">
        <f t="shared" si="6"/>
        <v>29</v>
      </c>
      <c r="B139" s="114"/>
      <c r="C139" s="80" t="s">
        <v>356</v>
      </c>
      <c r="D139" s="82">
        <f>(19.1)*(10.764)</f>
        <v>205.5924</v>
      </c>
      <c r="E139" s="80">
        <v>0</v>
      </c>
      <c r="F139" s="80">
        <f t="shared" ref="F139" si="13">D139+(IF(E139&lt;201,E139,IF(E139&lt;301,E139/2,E139/3)))</f>
        <v>205.5924</v>
      </c>
      <c r="G139" s="80">
        <v>0</v>
      </c>
      <c r="H139" s="80">
        <f t="shared" ref="H139" si="14">(F139+(IF(G139&lt;101,G139,IF(G139&lt;201,G139/2,IF(G139&lt;=301,G139/3,G139/4)))))*(($H$125)+1)</f>
        <v>318.66822000000002</v>
      </c>
      <c r="I139" s="36"/>
      <c r="L139" s="119"/>
      <c r="M139" s="119"/>
      <c r="N139" s="36"/>
      <c r="T139" s="21"/>
    </row>
    <row r="140" spans="1:20" s="81" customFormat="1" ht="47.25" x14ac:dyDescent="0.25">
      <c r="A140" s="113">
        <f t="shared" si="6"/>
        <v>30</v>
      </c>
      <c r="B140" s="114"/>
      <c r="C140" s="80" t="s">
        <v>357</v>
      </c>
      <c r="D140" s="82">
        <f>(27.61+159.33)*(10.764)</f>
        <v>2012.2221599999998</v>
      </c>
      <c r="E140" s="80">
        <v>0</v>
      </c>
      <c r="F140" s="80">
        <f t="shared" ref="F140" si="15">D140+(IF(E140&lt;201,E140,IF(E140&lt;301,E140/2,E140/3)))</f>
        <v>2012.2221599999998</v>
      </c>
      <c r="G140" s="80">
        <v>0</v>
      </c>
      <c r="H140" s="80">
        <f t="shared" ref="H140" si="16">(F140+(IF(G140&lt;101,G140,IF(G140&lt;201,G140/2,IF(G140&lt;=301,G140/3,G140/4)))))*(($H$125)+1)</f>
        <v>3118.944348</v>
      </c>
      <c r="I140" s="36"/>
      <c r="L140" s="119"/>
      <c r="M140" s="119"/>
      <c r="N140" s="36"/>
      <c r="T140" s="21"/>
    </row>
    <row r="141" spans="1:20" s="81" customFormat="1" x14ac:dyDescent="0.25">
      <c r="A141" s="116" t="s">
        <v>392</v>
      </c>
      <c r="B141" s="117"/>
      <c r="C141" s="117"/>
      <c r="D141" s="117"/>
      <c r="E141" s="117"/>
      <c r="F141" s="117"/>
      <c r="G141" s="117"/>
      <c r="H141" s="118"/>
      <c r="J141" s="36"/>
      <c r="T141" s="35"/>
    </row>
    <row r="142" spans="1:20" s="37" customFormat="1" hidden="1" x14ac:dyDescent="0.25">
      <c r="A142" s="116" t="s">
        <v>114</v>
      </c>
      <c r="B142" s="117"/>
      <c r="C142" s="117"/>
      <c r="D142" s="117"/>
      <c r="E142" s="117"/>
      <c r="F142" s="117"/>
      <c r="G142" s="117"/>
      <c r="H142" s="118"/>
      <c r="J142" s="36"/>
      <c r="T142" s="35"/>
    </row>
    <row r="143" spans="1:20" s="37" customFormat="1" ht="15.75" hidden="1" customHeight="1" x14ac:dyDescent="0.25">
      <c r="A143" s="113">
        <v>1</v>
      </c>
      <c r="B143" s="114"/>
      <c r="C143" s="42"/>
      <c r="D143" s="42">
        <v>0</v>
      </c>
      <c r="E143" s="42">
        <v>0</v>
      </c>
      <c r="F143" s="64">
        <f>D143+(IF(E143&lt;201,E143,IF(E143&lt;301,E143/2,E143/3)))</f>
        <v>0</v>
      </c>
      <c r="G143" s="65">
        <v>0</v>
      </c>
      <c r="H143" s="64">
        <f>(F143+(IF(G143&lt;101,G143,IF(G143&lt;201,G143/2,IF(G143&lt;=301,G143/3,G143/4)))))*(($H$125)+1)</f>
        <v>0</v>
      </c>
      <c r="I143" s="36"/>
      <c r="L143" s="119"/>
      <c r="M143" s="119"/>
      <c r="N143" s="36"/>
      <c r="T143" s="35"/>
    </row>
    <row r="144" spans="1:20" s="37" customFormat="1" ht="15.75" hidden="1" customHeight="1" x14ac:dyDescent="0.25">
      <c r="A144" s="113">
        <f>A143+1</f>
        <v>2</v>
      </c>
      <c r="B144" s="114"/>
      <c r="C144" s="42"/>
      <c r="D144" s="42"/>
      <c r="E144" s="42">
        <v>0</v>
      </c>
      <c r="F144" s="64">
        <f t="shared" ref="F144:F146" si="17">D144+(IF(E144&lt;201,E144,IF(E144&lt;301,E144/2,E144/3)))</f>
        <v>0</v>
      </c>
      <c r="G144" s="57">
        <v>0</v>
      </c>
      <c r="H144" s="64">
        <f t="shared" ref="H144:H146" si="18">(F144+(IF(G144&lt;101,G144,IF(G144&lt;201,G144/2,IF(G144&lt;=301,G144/3,G144/4)))))*(($H$125)+1)</f>
        <v>0</v>
      </c>
      <c r="I144" s="36"/>
      <c r="L144" s="119"/>
      <c r="M144" s="119"/>
      <c r="N144" s="36"/>
      <c r="T144" s="34"/>
    </row>
    <row r="145" spans="1:20" s="37" customFormat="1" ht="15.75" hidden="1" customHeight="1" x14ac:dyDescent="0.25">
      <c r="A145" s="113">
        <f>A144+1</f>
        <v>3</v>
      </c>
      <c r="B145" s="114"/>
      <c r="C145" s="42"/>
      <c r="D145" s="42"/>
      <c r="E145" s="42">
        <v>0</v>
      </c>
      <c r="F145" s="64">
        <f t="shared" si="17"/>
        <v>0</v>
      </c>
      <c r="G145" s="57">
        <v>0</v>
      </c>
      <c r="H145" s="64">
        <f t="shared" si="18"/>
        <v>0</v>
      </c>
      <c r="I145" s="36"/>
      <c r="L145" s="119"/>
      <c r="M145" s="119"/>
      <c r="N145" s="36"/>
      <c r="T145" s="21"/>
    </row>
    <row r="146" spans="1:20" s="37" customFormat="1" ht="15.75" hidden="1" customHeight="1" x14ac:dyDescent="0.25">
      <c r="A146" s="113">
        <f>A145+1</f>
        <v>4</v>
      </c>
      <c r="B146" s="114"/>
      <c r="C146" s="42"/>
      <c r="D146" s="42"/>
      <c r="E146" s="42">
        <v>0</v>
      </c>
      <c r="F146" s="64">
        <f t="shared" si="17"/>
        <v>0</v>
      </c>
      <c r="G146" s="57">
        <v>0</v>
      </c>
      <c r="H146" s="64">
        <f t="shared" si="18"/>
        <v>0</v>
      </c>
      <c r="I146" s="36"/>
      <c r="L146" s="119"/>
      <c r="M146" s="119"/>
      <c r="N146" s="36"/>
      <c r="T146" s="21"/>
    </row>
    <row r="147" spans="1:20" s="37" customFormat="1" x14ac:dyDescent="0.25">
      <c r="A147" s="113"/>
      <c r="B147" s="240"/>
      <c r="C147" s="240"/>
      <c r="D147" s="240"/>
      <c r="E147" s="240"/>
      <c r="F147" s="240"/>
      <c r="G147" s="240"/>
      <c r="H147" s="114"/>
      <c r="I147" s="36"/>
      <c r="N147" s="36"/>
    </row>
    <row r="148" spans="1:20" s="23" customFormat="1" ht="47.25" customHeight="1" x14ac:dyDescent="0.25">
      <c r="A148" s="243" t="s">
        <v>383</v>
      </c>
      <c r="B148" s="154" t="s">
        <v>176</v>
      </c>
      <c r="C148" s="154" t="s">
        <v>55</v>
      </c>
      <c r="D148" s="154" t="s">
        <v>231</v>
      </c>
      <c r="E148" s="154" t="s">
        <v>382</v>
      </c>
      <c r="F148" s="154" t="s">
        <v>56</v>
      </c>
      <c r="G148" s="160" t="s">
        <v>57</v>
      </c>
      <c r="H148" s="90" t="s">
        <v>145</v>
      </c>
      <c r="I148" s="92"/>
      <c r="T148" s="93"/>
    </row>
    <row r="149" spans="1:20" s="93" customFormat="1" x14ac:dyDescent="0.25">
      <c r="A149" s="244"/>
      <c r="B149" s="155"/>
      <c r="C149" s="155"/>
      <c r="D149" s="155"/>
      <c r="E149" s="155"/>
      <c r="F149" s="155"/>
      <c r="G149" s="161"/>
      <c r="H149" s="91">
        <v>0.5</v>
      </c>
      <c r="I149" s="92"/>
    </row>
    <row r="150" spans="1:20" s="81" customFormat="1" x14ac:dyDescent="0.25">
      <c r="A150" s="116" t="s">
        <v>336</v>
      </c>
      <c r="B150" s="117"/>
      <c r="C150" s="117"/>
      <c r="D150" s="117"/>
      <c r="E150" s="117"/>
      <c r="F150" s="117"/>
      <c r="G150" s="117"/>
      <c r="H150" s="118"/>
      <c r="J150" s="36"/>
      <c r="T150" s="35"/>
    </row>
    <row r="151" spans="1:20" s="81" customFormat="1" x14ac:dyDescent="0.25">
      <c r="A151" s="125" t="s">
        <v>358</v>
      </c>
      <c r="B151" s="125"/>
      <c r="C151" s="125"/>
      <c r="D151" s="125"/>
      <c r="E151" s="125"/>
      <c r="F151" s="125"/>
      <c r="G151" s="125"/>
      <c r="H151" s="125"/>
      <c r="I151" s="36"/>
      <c r="L151" s="119"/>
      <c r="M151" s="119"/>
    </row>
    <row r="152" spans="1:20" s="81" customFormat="1" x14ac:dyDescent="0.25">
      <c r="A152" s="103">
        <v>1</v>
      </c>
      <c r="B152" s="103"/>
      <c r="C152" s="65" t="s">
        <v>359</v>
      </c>
      <c r="D152" s="95">
        <f>(69.91)*(10.764)</f>
        <v>752.51123999999993</v>
      </c>
      <c r="E152" s="82">
        <f>(6.51)*(10.764)</f>
        <v>70.073639999999997</v>
      </c>
      <c r="F152" s="80">
        <f t="shared" ref="F152:F157" si="19">D152+E152</f>
        <v>822.58487999999988</v>
      </c>
      <c r="G152" s="82">
        <v>0</v>
      </c>
      <c r="H152" s="80">
        <f t="shared" ref="H152:H157" si="20">F152*(($H$149)+1)+(IF(G152&lt;101,G152,IF(G152&lt;201,G152/2,IF(G152&lt;=301,G152/3,G152/4))))</f>
        <v>1233.8773199999998</v>
      </c>
      <c r="I152" s="36">
        <f>3.35*5.475+2.45*3.05+2.27*3.05+3.95*3.55+6.36*1+1.685*1+1.52*2.45+2.45*1.525+1.1*1.665</f>
        <v>64.096500000000006</v>
      </c>
      <c r="J152" s="36">
        <f>3.35*1.3+2.15*1</f>
        <v>6.5050000000000008</v>
      </c>
      <c r="N152" s="36"/>
    </row>
    <row r="153" spans="1:20" s="81" customFormat="1" x14ac:dyDescent="0.25">
      <c r="A153" s="102">
        <f>A152+1</f>
        <v>2</v>
      </c>
      <c r="B153" s="102"/>
      <c r="C153" s="80" t="s">
        <v>360</v>
      </c>
      <c r="D153" s="82">
        <f>(87.07)*(10.764)</f>
        <v>937.22147999999981</v>
      </c>
      <c r="E153" s="82">
        <f>(6.505)*(10.764)</f>
        <v>70.019819999999996</v>
      </c>
      <c r="F153" s="80">
        <f t="shared" si="19"/>
        <v>1007.2412999999998</v>
      </c>
      <c r="G153" s="82">
        <f>0*(10.764)</f>
        <v>0</v>
      </c>
      <c r="H153" s="80">
        <f t="shared" si="20"/>
        <v>1510.8619499999998</v>
      </c>
      <c r="I153" s="36">
        <f>(3.35*5.475+2.45*3.05+2.275*3.05+3.95*3.55+3.65*3.05+1.68*1+1.05*1+1.525*2.45+2.45*1.525*2+6.35*1+1.1*1.66)</f>
        <v>80.022249999999985</v>
      </c>
      <c r="J153" s="36">
        <f>3.35*1.3+2.15*1</f>
        <v>6.5050000000000008</v>
      </c>
      <c r="N153" s="36"/>
    </row>
    <row r="154" spans="1:20" s="81" customFormat="1" x14ac:dyDescent="0.25">
      <c r="A154" s="103">
        <f>A153+1</f>
        <v>3</v>
      </c>
      <c r="B154" s="103"/>
      <c r="C154" s="65" t="s">
        <v>361</v>
      </c>
      <c r="D154" s="82">
        <f>(66.28)*(10.764)</f>
        <v>713.43791999999996</v>
      </c>
      <c r="E154" s="82">
        <f>(5.693)*(10.764)</f>
        <v>61.279451999999992</v>
      </c>
      <c r="F154" s="80">
        <f t="shared" si="19"/>
        <v>774.71737199999995</v>
      </c>
      <c r="G154" s="95">
        <f>(2.5*1.4)*(10.764)</f>
        <v>37.673999999999999</v>
      </c>
      <c r="H154" s="80">
        <f t="shared" si="20"/>
        <v>1199.7500579999999</v>
      </c>
      <c r="I154" s="36"/>
      <c r="N154" s="36"/>
    </row>
    <row r="155" spans="1:20" s="81" customFormat="1" x14ac:dyDescent="0.25">
      <c r="A155" s="103">
        <f>A154+1</f>
        <v>4</v>
      </c>
      <c r="B155" s="103"/>
      <c r="C155" s="65" t="s">
        <v>361</v>
      </c>
      <c r="D155" s="82">
        <f>(67.14)*(10.764)</f>
        <v>722.69495999999992</v>
      </c>
      <c r="E155" s="82">
        <f>(5.693)*(10.764)</f>
        <v>61.279451999999992</v>
      </c>
      <c r="F155" s="80">
        <f t="shared" si="19"/>
        <v>783.97441199999992</v>
      </c>
      <c r="G155" s="95">
        <f>(3.05*1.5)*(10.764)</f>
        <v>49.245299999999986</v>
      </c>
      <c r="H155" s="80">
        <f t="shared" si="20"/>
        <v>1225.2069179999999</v>
      </c>
      <c r="I155" s="36"/>
      <c r="N155" s="36"/>
    </row>
    <row r="156" spans="1:20" s="81" customFormat="1" x14ac:dyDescent="0.25">
      <c r="A156" s="103">
        <f>A155+1</f>
        <v>5</v>
      </c>
      <c r="B156" s="103"/>
      <c r="C156" s="65" t="s">
        <v>361</v>
      </c>
      <c r="D156" s="82">
        <f>(66.78)*(10.764)</f>
        <v>718.81992000000002</v>
      </c>
      <c r="E156" s="82">
        <f>(5.65)*(10.764)</f>
        <v>60.816600000000001</v>
      </c>
      <c r="F156" s="80">
        <f t="shared" si="19"/>
        <v>779.63652000000002</v>
      </c>
      <c r="G156" s="95">
        <f>(3.05*1.5)*(10.764)</f>
        <v>49.245299999999986</v>
      </c>
      <c r="H156" s="80">
        <f t="shared" si="20"/>
        <v>1218.7000800000001</v>
      </c>
      <c r="I156" s="36"/>
      <c r="N156" s="36"/>
    </row>
    <row r="157" spans="1:20" s="81" customFormat="1" x14ac:dyDescent="0.25">
      <c r="A157" s="103">
        <f>A156+1</f>
        <v>6</v>
      </c>
      <c r="B157" s="103"/>
      <c r="C157" s="65" t="s">
        <v>361</v>
      </c>
      <c r="D157" s="82">
        <f>(65.76)*(10.764)</f>
        <v>707.84064000000001</v>
      </c>
      <c r="E157" s="82">
        <f>(5.646)*(10.764)</f>
        <v>60.773543999999994</v>
      </c>
      <c r="F157" s="80">
        <f t="shared" si="19"/>
        <v>768.61418400000002</v>
      </c>
      <c r="G157" s="95">
        <f>(3.05*1.5)*(10.764)</f>
        <v>49.245299999999986</v>
      </c>
      <c r="H157" s="80">
        <f t="shared" si="20"/>
        <v>1202.1665760000001</v>
      </c>
      <c r="I157" s="36"/>
      <c r="N157" s="36"/>
    </row>
    <row r="158" spans="1:20" s="81" customFormat="1" x14ac:dyDescent="0.25">
      <c r="A158" s="122" t="s">
        <v>362</v>
      </c>
      <c r="B158" s="123"/>
      <c r="C158" s="123"/>
      <c r="D158" s="123"/>
      <c r="E158" s="123"/>
      <c r="F158" s="123"/>
      <c r="G158" s="123"/>
      <c r="H158" s="124"/>
      <c r="I158" s="36"/>
    </row>
    <row r="159" spans="1:20" s="81" customFormat="1" ht="15.75" customHeight="1" x14ac:dyDescent="0.25">
      <c r="A159" s="120">
        <v>1</v>
      </c>
      <c r="B159" s="121"/>
      <c r="C159" s="65" t="s">
        <v>359</v>
      </c>
      <c r="D159" s="82">
        <f>(69.91)*(10.764)</f>
        <v>752.51123999999993</v>
      </c>
      <c r="E159" s="82">
        <f>(6.51)*(10.764)</f>
        <v>70.073639999999997</v>
      </c>
      <c r="F159" s="65">
        <f t="shared" ref="F159:F164" si="21">D159+E159</f>
        <v>822.58487999999988</v>
      </c>
      <c r="G159" s="65">
        <v>0</v>
      </c>
      <c r="H159" s="65">
        <f t="shared" ref="H159:H164" si="22">F159*(($H$149)+1)+(IF(G159&lt;101,G159,IF(G159&lt;201,G159/2,IF(G159&lt;=301,G159/3,G159/4))))</f>
        <v>1233.8773199999998</v>
      </c>
      <c r="I159" s="36"/>
    </row>
    <row r="160" spans="1:20" s="81" customFormat="1" ht="15.75" customHeight="1" x14ac:dyDescent="0.25">
      <c r="A160" s="113">
        <f>A159+1</f>
        <v>2</v>
      </c>
      <c r="B160" s="114"/>
      <c r="C160" s="80" t="s">
        <v>360</v>
      </c>
      <c r="D160" s="82">
        <f>(87.07)*(10.764)</f>
        <v>937.22147999999981</v>
      </c>
      <c r="E160" s="82">
        <f>(6.505)*(10.764)</f>
        <v>70.019819999999996</v>
      </c>
      <c r="F160" s="80">
        <f t="shared" si="21"/>
        <v>1007.2412999999998</v>
      </c>
      <c r="G160" s="80">
        <v>0</v>
      </c>
      <c r="H160" s="80">
        <f t="shared" si="22"/>
        <v>1510.8619499999998</v>
      </c>
      <c r="I160" s="36"/>
    </row>
    <row r="161" spans="1:14" s="81" customFormat="1" ht="15.75" customHeight="1" x14ac:dyDescent="0.25">
      <c r="A161" s="113">
        <f t="shared" ref="A161:A163" si="23">A160+1</f>
        <v>3</v>
      </c>
      <c r="B161" s="114"/>
      <c r="C161" s="65" t="s">
        <v>361</v>
      </c>
      <c r="D161" s="82">
        <f>(65.48)*(10.764)</f>
        <v>704.82672000000002</v>
      </c>
      <c r="E161" s="82">
        <f>(5.693)*(10.764)</f>
        <v>61.279451999999992</v>
      </c>
      <c r="F161" s="80">
        <f t="shared" si="21"/>
        <v>766.10617200000002</v>
      </c>
      <c r="G161" s="80">
        <v>0</v>
      </c>
      <c r="H161" s="80">
        <f t="shared" si="22"/>
        <v>1149.1592580000001</v>
      </c>
      <c r="I161" s="36">
        <f>(3.05*5.47+2.45*3.05+3.05*3.65+3.05*3.65+2.45*1.72+1.2*1+4.75*1+2.45*1.52)</f>
        <v>60.308999999999997</v>
      </c>
      <c r="J161" s="36">
        <f>3.05*1.27+1.95*0.92</f>
        <v>5.6675000000000004</v>
      </c>
    </row>
    <row r="162" spans="1:14" s="81" customFormat="1" ht="15.75" customHeight="1" x14ac:dyDescent="0.25">
      <c r="A162" s="113">
        <f t="shared" si="23"/>
        <v>4</v>
      </c>
      <c r="B162" s="114"/>
      <c r="C162" s="65" t="s">
        <v>361</v>
      </c>
      <c r="D162" s="82">
        <f>(66.4)*(10.764)</f>
        <v>714.7296</v>
      </c>
      <c r="E162" s="82">
        <f>(5.693)*(10.764)</f>
        <v>61.279451999999992</v>
      </c>
      <c r="F162" s="80">
        <f t="shared" si="21"/>
        <v>776.009052</v>
      </c>
      <c r="G162" s="80">
        <v>0</v>
      </c>
      <c r="H162" s="80">
        <f t="shared" si="22"/>
        <v>1164.0135780000001</v>
      </c>
      <c r="I162" s="36"/>
    </row>
    <row r="163" spans="1:14" s="81" customFormat="1" ht="15.75" customHeight="1" x14ac:dyDescent="0.25">
      <c r="A163" s="113">
        <f t="shared" si="23"/>
        <v>5</v>
      </c>
      <c r="B163" s="114"/>
      <c r="C163" s="65" t="s">
        <v>361</v>
      </c>
      <c r="D163" s="82">
        <f>(66.05)*(10.764)</f>
        <v>710.96219999999994</v>
      </c>
      <c r="E163" s="82">
        <f>(5.65)*(10.764)</f>
        <v>60.816600000000001</v>
      </c>
      <c r="F163" s="80">
        <f t="shared" si="21"/>
        <v>771.77879999999993</v>
      </c>
      <c r="G163" s="80">
        <v>0</v>
      </c>
      <c r="H163" s="80">
        <f t="shared" si="22"/>
        <v>1157.6681999999998</v>
      </c>
      <c r="I163" s="36"/>
    </row>
    <row r="164" spans="1:14" s="81" customFormat="1" ht="15.75" customHeight="1" x14ac:dyDescent="0.25">
      <c r="A164" s="113">
        <f t="shared" ref="A164" si="24">A163+1</f>
        <v>6</v>
      </c>
      <c r="B164" s="114"/>
      <c r="C164" s="65" t="s">
        <v>361</v>
      </c>
      <c r="D164" s="82">
        <f>(65)*(10.764)</f>
        <v>699.66</v>
      </c>
      <c r="E164" s="82">
        <f>(5.646)*(10.764)</f>
        <v>60.773543999999994</v>
      </c>
      <c r="F164" s="80">
        <f t="shared" si="21"/>
        <v>760.43354399999998</v>
      </c>
      <c r="G164" s="80">
        <v>0</v>
      </c>
      <c r="H164" s="80">
        <f t="shared" si="22"/>
        <v>1140.650316</v>
      </c>
      <c r="I164" s="36">
        <f>(3.05*5.47+2.45*3.05+3.05*3.65*2+1.85*1+2.45*1.525+2.45*1.675+4.1*1)</f>
        <v>60.210999999999991</v>
      </c>
      <c r="J164" s="36">
        <f>3.05*1.27+1.9*0.92</f>
        <v>5.6215000000000002</v>
      </c>
    </row>
    <row r="165" spans="1:14" s="81" customFormat="1" x14ac:dyDescent="0.25">
      <c r="A165" s="115" t="s">
        <v>363</v>
      </c>
      <c r="B165" s="115"/>
      <c r="C165" s="115"/>
      <c r="D165" s="115"/>
      <c r="E165" s="115"/>
      <c r="F165" s="115"/>
      <c r="G165" s="115"/>
      <c r="H165" s="115"/>
      <c r="I165" s="36"/>
      <c r="L165" s="119"/>
      <c r="M165" s="119"/>
    </row>
    <row r="166" spans="1:14" s="81" customFormat="1" x14ac:dyDescent="0.25">
      <c r="A166" s="103">
        <v>1</v>
      </c>
      <c r="B166" s="103"/>
      <c r="C166" s="65" t="s">
        <v>359</v>
      </c>
      <c r="D166" s="82">
        <f>(69.91)*(10.764)</f>
        <v>752.51123999999993</v>
      </c>
      <c r="E166" s="82">
        <f>(6.51)*(10.764)</f>
        <v>70.073639999999997</v>
      </c>
      <c r="F166" s="80">
        <f>D166+E166</f>
        <v>822.58487999999988</v>
      </c>
      <c r="G166" s="80">
        <v>0</v>
      </c>
      <c r="H166" s="80">
        <f>F166*(($H$149)+1)+(IF(G166&lt;101,G166,IF(G166&lt;201,G166/2,IF(G166&lt;=301,G166/3,G166/4))))</f>
        <v>1233.8773199999998</v>
      </c>
      <c r="I166" s="36"/>
      <c r="N166" s="36"/>
    </row>
    <row r="167" spans="1:14" s="81" customFormat="1" x14ac:dyDescent="0.25">
      <c r="A167" s="102">
        <f>A166+1</f>
        <v>2</v>
      </c>
      <c r="B167" s="102"/>
      <c r="C167" s="80" t="s">
        <v>360</v>
      </c>
      <c r="D167" s="82">
        <f>(87.07)*(10.764)</f>
        <v>937.22147999999981</v>
      </c>
      <c r="E167" s="82">
        <f>(6.505)*(10.764)</f>
        <v>70.019819999999996</v>
      </c>
      <c r="F167" s="80">
        <f>D167+E167</f>
        <v>1007.2412999999998</v>
      </c>
      <c r="G167" s="80">
        <v>0</v>
      </c>
      <c r="H167" s="80">
        <f>F167*(($H$149)+1)+(IF(G167&lt;101,G167,IF(G167&lt;201,G167/2,IF(G167&lt;=301,G167/3,G167/4))))</f>
        <v>1510.8619499999998</v>
      </c>
      <c r="I167" s="36"/>
      <c r="N167" s="36"/>
    </row>
    <row r="168" spans="1:14" s="81" customFormat="1" x14ac:dyDescent="0.25">
      <c r="A168" s="102">
        <f>A167+1</f>
        <v>3</v>
      </c>
      <c r="B168" s="102"/>
      <c r="C168" s="65" t="s">
        <v>361</v>
      </c>
      <c r="D168" s="82">
        <f>(65.48)*(10.764)</f>
        <v>704.82672000000002</v>
      </c>
      <c r="E168" s="82">
        <f>(5.693)*(10.764)</f>
        <v>61.279451999999992</v>
      </c>
      <c r="F168" s="80">
        <f>D168+E168</f>
        <v>766.10617200000002</v>
      </c>
      <c r="G168" s="80">
        <v>0</v>
      </c>
      <c r="H168" s="80">
        <f>F168*(($H$149)+1)+(IF(G168&lt;101,G168,IF(G168&lt;201,G168/2,IF(G168&lt;=301,G168/3,G168/4))))</f>
        <v>1149.1592580000001</v>
      </c>
      <c r="I168" s="36"/>
      <c r="N168" s="36"/>
    </row>
    <row r="169" spans="1:14" s="81" customFormat="1" x14ac:dyDescent="0.25">
      <c r="A169" s="103">
        <f>A168+1</f>
        <v>4</v>
      </c>
      <c r="B169" s="103"/>
      <c r="C169" s="65" t="s">
        <v>368</v>
      </c>
      <c r="D169" s="82">
        <f>(54.34)*(10.764)</f>
        <v>584.91575999999998</v>
      </c>
      <c r="E169" s="82">
        <f>(5.693)*(10.764)</f>
        <v>61.279451999999992</v>
      </c>
      <c r="F169" s="80">
        <f>D169+E169</f>
        <v>646.19521199999997</v>
      </c>
      <c r="G169" s="80">
        <v>0</v>
      </c>
      <c r="H169" s="80">
        <f>F169*(($H$149)+1)+(IF(G169&lt;101,G169,IF(G169&lt;201,G169/2,IF(G169&lt;=301,G169/3,G169/4))))</f>
        <v>969.2928179999999</v>
      </c>
      <c r="I169" s="36">
        <f>(3.05*5.475+2.45*3.05+3.05*4.75+2.45*1.575+2.45*1.725+0.73*1+4.15*1)</f>
        <v>51.623749999999994</v>
      </c>
      <c r="J169" s="36">
        <f>3.05*1.27+1.95*0.92</f>
        <v>5.6675000000000004</v>
      </c>
      <c r="N169" s="36"/>
    </row>
    <row r="170" spans="1:14" s="81" customFormat="1" x14ac:dyDescent="0.25">
      <c r="A170" s="102">
        <f>A169+1</f>
        <v>5</v>
      </c>
      <c r="B170" s="102"/>
      <c r="C170" s="104" t="s">
        <v>370</v>
      </c>
      <c r="D170" s="105"/>
      <c r="E170" s="105"/>
      <c r="F170" s="105"/>
      <c r="G170" s="105"/>
      <c r="H170" s="106"/>
      <c r="I170" s="36"/>
      <c r="N170" s="36"/>
    </row>
    <row r="171" spans="1:14" s="81" customFormat="1" x14ac:dyDescent="0.25">
      <c r="A171" s="102">
        <f>A170+1</f>
        <v>6</v>
      </c>
      <c r="B171" s="102"/>
      <c r="C171" s="107"/>
      <c r="D171" s="108"/>
      <c r="E171" s="108"/>
      <c r="F171" s="108"/>
      <c r="G171" s="108"/>
      <c r="H171" s="109"/>
      <c r="I171" s="36"/>
      <c r="N171" s="36"/>
    </row>
    <row r="172" spans="1:14" s="81" customFormat="1" x14ac:dyDescent="0.25">
      <c r="A172" s="115" t="s">
        <v>364</v>
      </c>
      <c r="B172" s="115"/>
      <c r="C172" s="115"/>
      <c r="D172" s="115"/>
      <c r="E172" s="115"/>
      <c r="F172" s="115"/>
      <c r="G172" s="115"/>
      <c r="H172" s="115"/>
      <c r="I172" s="36"/>
      <c r="L172" s="119"/>
      <c r="M172" s="119"/>
    </row>
    <row r="173" spans="1:14" s="81" customFormat="1" x14ac:dyDescent="0.25">
      <c r="A173" s="103">
        <v>1</v>
      </c>
      <c r="B173" s="103"/>
      <c r="C173" s="65" t="s">
        <v>359</v>
      </c>
      <c r="D173" s="82">
        <f>(69.91)*(10.764)</f>
        <v>752.51123999999993</v>
      </c>
      <c r="E173" s="82">
        <f>(6.51)*(10.764)</f>
        <v>70.073639999999997</v>
      </c>
      <c r="F173" s="80">
        <f t="shared" ref="F173:F178" si="25">D173+E173</f>
        <v>822.58487999999988</v>
      </c>
      <c r="G173" s="80">
        <v>0</v>
      </c>
      <c r="H173" s="80">
        <f t="shared" ref="H173:H178" si="26">F173*(($H$149)+1)+(IF(G173&lt;101,G173,IF(G173&lt;201,G173/2,IF(G173&lt;=301,G173/3,G173/4))))</f>
        <v>1233.8773199999998</v>
      </c>
      <c r="I173" s="36"/>
      <c r="N173" s="36"/>
    </row>
    <row r="174" spans="1:14" s="81" customFormat="1" x14ac:dyDescent="0.25">
      <c r="A174" s="102">
        <f>A173+1</f>
        <v>2</v>
      </c>
      <c r="B174" s="102"/>
      <c r="C174" s="80" t="s">
        <v>360</v>
      </c>
      <c r="D174" s="82">
        <f>(87.07)*(10.764)</f>
        <v>937.22147999999981</v>
      </c>
      <c r="E174" s="82">
        <f>(6.505)*(10.764)</f>
        <v>70.019819999999996</v>
      </c>
      <c r="F174" s="80">
        <f t="shared" si="25"/>
        <v>1007.2412999999998</v>
      </c>
      <c r="G174" s="80">
        <v>0</v>
      </c>
      <c r="H174" s="80">
        <f t="shared" si="26"/>
        <v>1510.8619499999998</v>
      </c>
      <c r="I174" s="36"/>
      <c r="N174" s="36"/>
    </row>
    <row r="175" spans="1:14" s="81" customFormat="1" x14ac:dyDescent="0.25">
      <c r="A175" s="102">
        <f>A174+1</f>
        <v>3</v>
      </c>
      <c r="B175" s="102"/>
      <c r="C175" s="65" t="s">
        <v>361</v>
      </c>
      <c r="D175" s="82">
        <f>(65.48)*(10.764)</f>
        <v>704.82672000000002</v>
      </c>
      <c r="E175" s="82">
        <f>(5.693)*(10.764)</f>
        <v>61.279451999999992</v>
      </c>
      <c r="F175" s="80">
        <f t="shared" si="25"/>
        <v>766.10617200000002</v>
      </c>
      <c r="G175" s="80">
        <v>0</v>
      </c>
      <c r="H175" s="80">
        <f t="shared" si="26"/>
        <v>1149.1592580000001</v>
      </c>
      <c r="I175" s="36"/>
      <c r="N175" s="36"/>
    </row>
    <row r="176" spans="1:14" s="81" customFormat="1" x14ac:dyDescent="0.25">
      <c r="A176" s="102">
        <f>A175+1</f>
        <v>4</v>
      </c>
      <c r="B176" s="102"/>
      <c r="C176" s="65" t="s">
        <v>361</v>
      </c>
      <c r="D176" s="82">
        <f>(66.4)*(10.764)</f>
        <v>714.7296</v>
      </c>
      <c r="E176" s="82">
        <f>(5.693)*(10.764)</f>
        <v>61.279451999999992</v>
      </c>
      <c r="F176" s="80">
        <f t="shared" si="25"/>
        <v>776.009052</v>
      </c>
      <c r="G176" s="80">
        <v>0</v>
      </c>
      <c r="H176" s="80">
        <f t="shared" si="26"/>
        <v>1164.0135780000001</v>
      </c>
      <c r="I176" s="36"/>
      <c r="N176" s="36"/>
    </row>
    <row r="177" spans="1:14" s="81" customFormat="1" x14ac:dyDescent="0.25">
      <c r="A177" s="102">
        <f>A176+1</f>
        <v>5</v>
      </c>
      <c r="B177" s="102"/>
      <c r="C177" s="65" t="s">
        <v>361</v>
      </c>
      <c r="D177" s="82">
        <f>(66.05)*(10.764)</f>
        <v>710.96219999999994</v>
      </c>
      <c r="E177" s="82">
        <f>(5.65)*(10.764)</f>
        <v>60.816600000000001</v>
      </c>
      <c r="F177" s="80">
        <f t="shared" si="25"/>
        <v>771.77879999999993</v>
      </c>
      <c r="G177" s="80">
        <v>0</v>
      </c>
      <c r="H177" s="80">
        <f t="shared" si="26"/>
        <v>1157.6681999999998</v>
      </c>
      <c r="I177" s="36"/>
      <c r="N177" s="36"/>
    </row>
    <row r="178" spans="1:14" s="81" customFormat="1" x14ac:dyDescent="0.25">
      <c r="A178" s="102">
        <f>A177+1</f>
        <v>6</v>
      </c>
      <c r="B178" s="102"/>
      <c r="C178" s="65" t="s">
        <v>361</v>
      </c>
      <c r="D178" s="82">
        <f>(65)*(10.764)</f>
        <v>699.66</v>
      </c>
      <c r="E178" s="82">
        <f>(5.646)*(10.764)</f>
        <v>60.773543999999994</v>
      </c>
      <c r="F178" s="80">
        <f t="shared" si="25"/>
        <v>760.43354399999998</v>
      </c>
      <c r="G178" s="80">
        <v>0</v>
      </c>
      <c r="H178" s="80">
        <f t="shared" si="26"/>
        <v>1140.650316</v>
      </c>
      <c r="I178" s="36"/>
      <c r="N178" s="36"/>
    </row>
    <row r="179" spans="1:14" s="81" customFormat="1" x14ac:dyDescent="0.25">
      <c r="A179" s="115" t="s">
        <v>365</v>
      </c>
      <c r="B179" s="115"/>
      <c r="C179" s="115"/>
      <c r="D179" s="115"/>
      <c r="E179" s="115"/>
      <c r="F179" s="115"/>
      <c r="G179" s="115"/>
      <c r="H179" s="115"/>
      <c r="I179" s="36"/>
      <c r="L179" s="119"/>
      <c r="M179" s="119"/>
    </row>
    <row r="180" spans="1:14" s="81" customFormat="1" x14ac:dyDescent="0.25">
      <c r="A180" s="103">
        <v>1</v>
      </c>
      <c r="B180" s="103"/>
      <c r="C180" s="65" t="s">
        <v>359</v>
      </c>
      <c r="D180" s="82">
        <f>(69.91)*(10.764)</f>
        <v>752.51123999999993</v>
      </c>
      <c r="E180" s="82">
        <f>(6.51)*(10.764)</f>
        <v>70.073639999999997</v>
      </c>
      <c r="F180" s="80">
        <f t="shared" ref="F180:F185" si="27">D180+E180</f>
        <v>822.58487999999988</v>
      </c>
      <c r="G180" s="80">
        <v>0</v>
      </c>
      <c r="H180" s="80">
        <f t="shared" ref="H180:H185" si="28">F180*(($H$149)+1)+(IF(G180&lt;101,G180,IF(G180&lt;201,G180/2,IF(G180&lt;=301,G180/3,G180/4))))</f>
        <v>1233.8773199999998</v>
      </c>
      <c r="I180" s="36"/>
      <c r="N180" s="36"/>
    </row>
    <row r="181" spans="1:14" s="81" customFormat="1" x14ac:dyDescent="0.25">
      <c r="A181" s="102">
        <f>A180+1</f>
        <v>2</v>
      </c>
      <c r="B181" s="102"/>
      <c r="C181" s="80" t="s">
        <v>360</v>
      </c>
      <c r="D181" s="82">
        <f>(87.07)*(10.764)</f>
        <v>937.22147999999981</v>
      </c>
      <c r="E181" s="82">
        <f>(6.505)*(10.764)</f>
        <v>70.019819999999996</v>
      </c>
      <c r="F181" s="80">
        <f t="shared" si="27"/>
        <v>1007.2412999999998</v>
      </c>
      <c r="G181" s="80">
        <v>0</v>
      </c>
      <c r="H181" s="80">
        <f t="shared" si="28"/>
        <v>1510.8619499999998</v>
      </c>
      <c r="I181" s="36"/>
      <c r="N181" s="36"/>
    </row>
    <row r="182" spans="1:14" s="81" customFormat="1" x14ac:dyDescent="0.25">
      <c r="A182" s="102">
        <f>A181+1</f>
        <v>3</v>
      </c>
      <c r="B182" s="102"/>
      <c r="C182" s="65" t="s">
        <v>361</v>
      </c>
      <c r="D182" s="82">
        <f>(65.48)*(10.764)</f>
        <v>704.82672000000002</v>
      </c>
      <c r="E182" s="82">
        <f>(5.693)*(10.764)</f>
        <v>61.279451999999992</v>
      </c>
      <c r="F182" s="80">
        <f t="shared" si="27"/>
        <v>766.10617200000002</v>
      </c>
      <c r="G182" s="80">
        <v>0</v>
      </c>
      <c r="H182" s="80">
        <f t="shared" si="28"/>
        <v>1149.1592580000001</v>
      </c>
      <c r="I182" s="36"/>
      <c r="N182" s="36"/>
    </row>
    <row r="183" spans="1:14" s="81" customFormat="1" x14ac:dyDescent="0.25">
      <c r="A183" s="102">
        <f>A182+1</f>
        <v>4</v>
      </c>
      <c r="B183" s="102"/>
      <c r="C183" s="65" t="s">
        <v>361</v>
      </c>
      <c r="D183" s="82">
        <f>(66.4)*(10.764)</f>
        <v>714.7296</v>
      </c>
      <c r="E183" s="82">
        <f>(5.693)*(10.764)</f>
        <v>61.279451999999992</v>
      </c>
      <c r="F183" s="80">
        <f t="shared" si="27"/>
        <v>776.009052</v>
      </c>
      <c r="G183" s="80">
        <v>0</v>
      </c>
      <c r="H183" s="80">
        <f t="shared" si="28"/>
        <v>1164.0135780000001</v>
      </c>
      <c r="I183" s="36"/>
      <c r="N183" s="36"/>
    </row>
    <row r="184" spans="1:14" s="81" customFormat="1" x14ac:dyDescent="0.25">
      <c r="A184" s="102">
        <f>A183+1</f>
        <v>5</v>
      </c>
      <c r="B184" s="102"/>
      <c r="C184" s="65" t="s">
        <v>361</v>
      </c>
      <c r="D184" s="82">
        <f>(66.05)*(10.764)</f>
        <v>710.96219999999994</v>
      </c>
      <c r="E184" s="82">
        <f>(5.65)*(10.764)</f>
        <v>60.816600000000001</v>
      </c>
      <c r="F184" s="80">
        <f t="shared" si="27"/>
        <v>771.77879999999993</v>
      </c>
      <c r="G184" s="80">
        <v>0</v>
      </c>
      <c r="H184" s="80">
        <f t="shared" si="28"/>
        <v>1157.6681999999998</v>
      </c>
      <c r="I184" s="36"/>
      <c r="N184" s="36"/>
    </row>
    <row r="185" spans="1:14" s="81" customFormat="1" x14ac:dyDescent="0.25">
      <c r="A185" s="102">
        <f>A184+1</f>
        <v>6</v>
      </c>
      <c r="B185" s="102"/>
      <c r="C185" s="65" t="s">
        <v>361</v>
      </c>
      <c r="D185" s="82">
        <f>(65)*(10.764)</f>
        <v>699.66</v>
      </c>
      <c r="E185" s="82">
        <f>(5.646)*(10.764)</f>
        <v>60.773543999999994</v>
      </c>
      <c r="F185" s="80">
        <f t="shared" si="27"/>
        <v>760.43354399999998</v>
      </c>
      <c r="G185" s="80">
        <v>0</v>
      </c>
      <c r="H185" s="80">
        <f t="shared" si="28"/>
        <v>1140.650316</v>
      </c>
      <c r="I185" s="36"/>
      <c r="N185" s="36"/>
    </row>
    <row r="186" spans="1:14" s="81" customFormat="1" ht="15.75" customHeight="1" x14ac:dyDescent="0.25">
      <c r="A186" s="116" t="s">
        <v>391</v>
      </c>
      <c r="B186" s="117"/>
      <c r="C186" s="117"/>
      <c r="D186" s="117"/>
      <c r="E186" s="117"/>
      <c r="F186" s="117"/>
      <c r="G186" s="117"/>
      <c r="H186" s="118"/>
      <c r="I186" s="36"/>
    </row>
    <row r="187" spans="1:14" s="81" customFormat="1" ht="15.75" customHeight="1" x14ac:dyDescent="0.25">
      <c r="A187" s="113">
        <v>1</v>
      </c>
      <c r="B187" s="114"/>
      <c r="C187" s="80" t="s">
        <v>360</v>
      </c>
      <c r="D187" s="82">
        <f>(87.22)*(10.764)</f>
        <v>938.83607999999992</v>
      </c>
      <c r="E187" s="82">
        <f>(6.505)*(10.764)</f>
        <v>70.019819999999996</v>
      </c>
      <c r="F187" s="80">
        <f t="shared" ref="F187:F194" si="29">D187+E187</f>
        <v>1008.8558999999999</v>
      </c>
      <c r="G187" s="80">
        <v>0</v>
      </c>
      <c r="H187" s="80">
        <f t="shared" ref="H187:H194" si="30">F187*(($H$149)+1)+(IF(G187&lt;101,G187,IF(G187&lt;201,G187/2,IF(G187&lt;=301,G187/3,G187/4))))</f>
        <v>1513.2838499999998</v>
      </c>
      <c r="I187" s="36">
        <f>(3.35*5.475+2.45*3.05+2.275*3.05+3.95*3.55+3.65*3.05+1.05*1+1.675*1+1.525*2.45+2.45*1.525+6.35*1+2.45*1.525+1.1*1.665)</f>
        <v>80.022749999999988</v>
      </c>
    </row>
    <row r="188" spans="1:14" s="81" customFormat="1" ht="15.75" customHeight="1" x14ac:dyDescent="0.25">
      <c r="A188" s="113">
        <f>A187+1</f>
        <v>2</v>
      </c>
      <c r="B188" s="114"/>
      <c r="C188" s="80" t="s">
        <v>360</v>
      </c>
      <c r="D188" s="82">
        <f>(87.07)*(10.764)</f>
        <v>937.22147999999981</v>
      </c>
      <c r="E188" s="82">
        <f>(6.505)*(10.764)</f>
        <v>70.019819999999996</v>
      </c>
      <c r="F188" s="80">
        <f t="shared" si="29"/>
        <v>1007.2412999999998</v>
      </c>
      <c r="G188" s="80">
        <v>0</v>
      </c>
      <c r="H188" s="80">
        <f t="shared" si="30"/>
        <v>1510.8619499999998</v>
      </c>
      <c r="I188" s="36"/>
    </row>
    <row r="189" spans="1:14" s="81" customFormat="1" ht="15.75" customHeight="1" x14ac:dyDescent="0.25">
      <c r="A189" s="113">
        <f t="shared" ref="A189:A194" si="31">A188+1</f>
        <v>3</v>
      </c>
      <c r="B189" s="114"/>
      <c r="C189" s="65" t="s">
        <v>361</v>
      </c>
      <c r="D189" s="82">
        <f>(65.48)*(10.764)</f>
        <v>704.82672000000002</v>
      </c>
      <c r="E189" s="82">
        <f>(5.693)*(10.764)</f>
        <v>61.279451999999992</v>
      </c>
      <c r="F189" s="80">
        <f t="shared" si="29"/>
        <v>766.10617200000002</v>
      </c>
      <c r="G189" s="80">
        <v>0</v>
      </c>
      <c r="H189" s="80">
        <f t="shared" si="30"/>
        <v>1149.1592580000001</v>
      </c>
      <c r="I189" s="36">
        <f>3.05*5.475+2.45*3.05+3.05*(3.65+3.65)+2.45*(1.525+1.725)+4.75+1.2+1.95*0.925</f>
        <v>62.152499999999996</v>
      </c>
      <c r="J189" s="98">
        <f>3.05*1.275</f>
        <v>3.8887499999999995</v>
      </c>
    </row>
    <row r="190" spans="1:14" s="81" customFormat="1" ht="15.75" customHeight="1" x14ac:dyDescent="0.25">
      <c r="A190" s="113">
        <f t="shared" si="31"/>
        <v>4</v>
      </c>
      <c r="B190" s="114"/>
      <c r="C190" s="65" t="s">
        <v>361</v>
      </c>
      <c r="D190" s="82">
        <f>(66.4)*(10.764)</f>
        <v>714.7296</v>
      </c>
      <c r="E190" s="82">
        <f>(5.693)*(10.764)</f>
        <v>61.279451999999992</v>
      </c>
      <c r="F190" s="80">
        <f t="shared" si="29"/>
        <v>776.009052</v>
      </c>
      <c r="G190" s="80">
        <v>0</v>
      </c>
      <c r="H190" s="80">
        <f t="shared" si="30"/>
        <v>1164.0135780000001</v>
      </c>
      <c r="I190" s="36"/>
    </row>
    <row r="191" spans="1:14" s="81" customFormat="1" ht="15.75" customHeight="1" x14ac:dyDescent="0.25">
      <c r="A191" s="113">
        <f t="shared" si="31"/>
        <v>5</v>
      </c>
      <c r="B191" s="114"/>
      <c r="C191" s="65" t="s">
        <v>361</v>
      </c>
      <c r="D191" s="82">
        <f>(66.05)*(10.764)</f>
        <v>710.96219999999994</v>
      </c>
      <c r="E191" s="82">
        <f>(5.65)*(10.764)</f>
        <v>60.816600000000001</v>
      </c>
      <c r="F191" s="80">
        <f t="shared" si="29"/>
        <v>771.77879999999993</v>
      </c>
      <c r="G191" s="80">
        <v>0</v>
      </c>
      <c r="H191" s="80">
        <f t="shared" si="30"/>
        <v>1157.6681999999998</v>
      </c>
      <c r="I191" s="36">
        <f>19400000/H191</f>
        <v>16757.824046648257</v>
      </c>
    </row>
    <row r="192" spans="1:14" s="81" customFormat="1" ht="15.75" customHeight="1" x14ac:dyDescent="0.25">
      <c r="A192" s="113">
        <f t="shared" si="31"/>
        <v>6</v>
      </c>
      <c r="B192" s="114"/>
      <c r="C192" s="65" t="s">
        <v>361</v>
      </c>
      <c r="D192" s="82">
        <f>(65)*(10.764)</f>
        <v>699.66</v>
      </c>
      <c r="E192" s="82">
        <f>(5.646)*(10.764)</f>
        <v>60.773543999999994</v>
      </c>
      <c r="F192" s="80">
        <f t="shared" si="29"/>
        <v>760.43354399999998</v>
      </c>
      <c r="G192" s="80">
        <v>0</v>
      </c>
      <c r="H192" s="80">
        <f t="shared" si="30"/>
        <v>1140.650316</v>
      </c>
      <c r="I192" s="36"/>
    </row>
    <row r="193" spans="1:14" s="81" customFormat="1" ht="15.75" customHeight="1" x14ac:dyDescent="0.25">
      <c r="A193" s="113">
        <f t="shared" si="31"/>
        <v>7</v>
      </c>
      <c r="B193" s="114"/>
      <c r="C193" s="65" t="s">
        <v>369</v>
      </c>
      <c r="D193" s="82">
        <f>(105.8)*(10.764)</f>
        <v>1138.8311999999999</v>
      </c>
      <c r="E193" s="82">
        <f>(7.864)*(10.764)</f>
        <v>84.648095999999995</v>
      </c>
      <c r="F193" s="80">
        <f t="shared" si="29"/>
        <v>1223.4792959999997</v>
      </c>
      <c r="G193" s="80">
        <v>0</v>
      </c>
      <c r="H193" s="80">
        <f t="shared" si="30"/>
        <v>1835.2189439999997</v>
      </c>
      <c r="I193" s="36">
        <f>(3.35*3.25+4.275*3.7+2.45*3.1+3.2*3.65+3.25*3.8+3.2*3.95+2.45*1.525+1.525*2.6+1.525*2.45+2.275*1.525+2.45*1.625+1.625+1.625*1+3.45*1+1.53*1.375)</f>
        <v>98.661875000000009</v>
      </c>
      <c r="J193" s="36">
        <f>3.55*1.525+2*1.225</f>
        <v>7.8637499999999996</v>
      </c>
    </row>
    <row r="194" spans="1:14" s="81" customFormat="1" ht="15.75" customHeight="1" x14ac:dyDescent="0.25">
      <c r="A194" s="113">
        <f t="shared" si="31"/>
        <v>8</v>
      </c>
      <c r="B194" s="114"/>
      <c r="C194" s="65" t="s">
        <v>369</v>
      </c>
      <c r="D194" s="82">
        <f>(109.13)*(10.764)</f>
        <v>1174.6753199999998</v>
      </c>
      <c r="E194" s="82">
        <f>(7.864)*(10.764)</f>
        <v>84.648095999999995</v>
      </c>
      <c r="F194" s="80">
        <f t="shared" si="29"/>
        <v>1259.3234159999997</v>
      </c>
      <c r="G194" s="80">
        <v>0</v>
      </c>
      <c r="H194" s="80">
        <f t="shared" si="30"/>
        <v>1888.9851239999996</v>
      </c>
      <c r="I194" s="36"/>
    </row>
    <row r="195" spans="1:14" s="81" customFormat="1" ht="15.75" customHeight="1" x14ac:dyDescent="0.25">
      <c r="A195" s="116" t="s">
        <v>366</v>
      </c>
      <c r="B195" s="117"/>
      <c r="C195" s="117"/>
      <c r="D195" s="117"/>
      <c r="E195" s="117"/>
      <c r="F195" s="117"/>
      <c r="G195" s="117"/>
      <c r="H195" s="118"/>
      <c r="I195" s="36"/>
    </row>
    <row r="196" spans="1:14" s="81" customFormat="1" ht="15.75" customHeight="1" x14ac:dyDescent="0.25">
      <c r="A196" s="113">
        <v>1</v>
      </c>
      <c r="B196" s="114"/>
      <c r="C196" s="80" t="s">
        <v>360</v>
      </c>
      <c r="D196" s="82">
        <f>(87.22)*(10.764)</f>
        <v>938.83607999999992</v>
      </c>
      <c r="E196" s="82">
        <f>(6.505)*(10.764)</f>
        <v>70.019819999999996</v>
      </c>
      <c r="F196" s="80">
        <f>D196+E196</f>
        <v>1008.8558999999999</v>
      </c>
      <c r="G196" s="80">
        <v>0</v>
      </c>
      <c r="H196" s="80">
        <f>F196*(($H$149)+1)+(IF(G196&lt;101,G196,IF(G196&lt;201,G196/2,IF(G196&lt;=301,G196/3,G196/4))))</f>
        <v>1513.2838499999998</v>
      </c>
      <c r="I196" s="36"/>
    </row>
    <row r="197" spans="1:14" s="81" customFormat="1" ht="15.75" customHeight="1" x14ac:dyDescent="0.25">
      <c r="A197" s="113">
        <f>A196+1</f>
        <v>2</v>
      </c>
      <c r="B197" s="114"/>
      <c r="C197" s="80" t="s">
        <v>360</v>
      </c>
      <c r="D197" s="82">
        <f>(87.07)*(10.764)</f>
        <v>937.22147999999981</v>
      </c>
      <c r="E197" s="82">
        <f>(6.505)*(10.764)</f>
        <v>70.019819999999996</v>
      </c>
      <c r="F197" s="80">
        <f>D197+E197</f>
        <v>1007.2412999999998</v>
      </c>
      <c r="G197" s="80">
        <v>0</v>
      </c>
      <c r="H197" s="80">
        <f>F197*(($H$149)+1)+(IF(G197&lt;101,G197,IF(G197&lt;201,G197/2,IF(G197&lt;=301,G197/3,G197/4))))</f>
        <v>1510.8619499999998</v>
      </c>
      <c r="I197" s="36"/>
    </row>
    <row r="198" spans="1:14" s="81" customFormat="1" ht="15.75" customHeight="1" x14ac:dyDescent="0.25">
      <c r="A198" s="120">
        <f t="shared" ref="A198:A203" si="32">A197+1</f>
        <v>3</v>
      </c>
      <c r="B198" s="121"/>
      <c r="C198" s="80" t="s">
        <v>360</v>
      </c>
      <c r="D198" s="83">
        <f>(76.89)*(10.764)</f>
        <v>827.64395999999999</v>
      </c>
      <c r="E198" s="82">
        <f>(9.581)*(10.764)</f>
        <v>103.12988399999999</v>
      </c>
      <c r="F198" s="80">
        <f>D198+E198</f>
        <v>930.77384399999994</v>
      </c>
      <c r="G198" s="80">
        <v>0</v>
      </c>
      <c r="H198" s="80">
        <f>F198*(($H$149)+1)+(IF(G198&lt;101,G198,IF(G198&lt;201,G198/2,IF(G198&lt;=301,G198/3,G198/4))))</f>
        <v>1396.160766</v>
      </c>
      <c r="I198" s="36">
        <f>(3.05*5.475+2.45*3.05+3.05*3.65*2+3.05*2.45+2.45*1.725+1.2*1+4.75*1+2.45*1.525+1.7*1.675)</f>
        <v>70.668750000000003</v>
      </c>
      <c r="J198" s="36">
        <f>3.05*1.275*2+1.95*0.925</f>
        <v>9.5812499999999989</v>
      </c>
    </row>
    <row r="199" spans="1:14" s="81" customFormat="1" ht="15.75" customHeight="1" x14ac:dyDescent="0.25">
      <c r="A199" s="113">
        <f t="shared" si="32"/>
        <v>4</v>
      </c>
      <c r="B199" s="114"/>
      <c r="C199" s="104" t="s">
        <v>370</v>
      </c>
      <c r="D199" s="105"/>
      <c r="E199" s="105"/>
      <c r="F199" s="105"/>
      <c r="G199" s="105"/>
      <c r="H199" s="106"/>
      <c r="I199" s="36"/>
    </row>
    <row r="200" spans="1:14" s="81" customFormat="1" ht="15.75" customHeight="1" x14ac:dyDescent="0.25">
      <c r="A200" s="113">
        <f t="shared" si="32"/>
        <v>5</v>
      </c>
      <c r="B200" s="114"/>
      <c r="C200" s="110"/>
      <c r="D200" s="111"/>
      <c r="E200" s="111"/>
      <c r="F200" s="111"/>
      <c r="G200" s="111"/>
      <c r="H200" s="112"/>
      <c r="I200" s="36"/>
    </row>
    <row r="201" spans="1:14" s="81" customFormat="1" ht="15.75" customHeight="1" x14ac:dyDescent="0.25">
      <c r="A201" s="113">
        <f t="shared" si="32"/>
        <v>6</v>
      </c>
      <c r="B201" s="114"/>
      <c r="C201" s="107"/>
      <c r="D201" s="108"/>
      <c r="E201" s="108"/>
      <c r="F201" s="108"/>
      <c r="G201" s="108"/>
      <c r="H201" s="109"/>
      <c r="I201" s="36"/>
    </row>
    <row r="202" spans="1:14" s="81" customFormat="1" ht="15.75" customHeight="1" x14ac:dyDescent="0.25">
      <c r="A202" s="113">
        <f t="shared" si="32"/>
        <v>7</v>
      </c>
      <c r="B202" s="114"/>
      <c r="C202" s="65" t="s">
        <v>369</v>
      </c>
      <c r="D202" s="82">
        <f>(105.8)*(10.764)</f>
        <v>1138.8311999999999</v>
      </c>
      <c r="E202" s="82">
        <f>(7.864)*(10.764)</f>
        <v>84.648095999999995</v>
      </c>
      <c r="F202" s="80">
        <f>D202+E202</f>
        <v>1223.4792959999997</v>
      </c>
      <c r="G202" s="80">
        <v>0</v>
      </c>
      <c r="H202" s="80">
        <f>F202*(($H$149)+1)+(IF(G202&lt;101,G202,IF(G202&lt;201,G202/2,IF(G202&lt;=301,G202/3,G202/4))))</f>
        <v>1835.2189439999997</v>
      </c>
      <c r="I202" s="36"/>
    </row>
    <row r="203" spans="1:14" s="81" customFormat="1" ht="15.75" customHeight="1" x14ac:dyDescent="0.25">
      <c r="A203" s="113">
        <f t="shared" si="32"/>
        <v>8</v>
      </c>
      <c r="B203" s="114"/>
      <c r="C203" s="65" t="s">
        <v>369</v>
      </c>
      <c r="D203" s="82">
        <f>(109.13)*(10.764)</f>
        <v>1174.6753199999998</v>
      </c>
      <c r="E203" s="82">
        <f>(7.864)*(10.764)</f>
        <v>84.648095999999995</v>
      </c>
      <c r="F203" s="80">
        <f>D203+E203</f>
        <v>1259.3234159999997</v>
      </c>
      <c r="G203" s="80">
        <v>0</v>
      </c>
      <c r="H203" s="80">
        <f>F203*(($H$149)+1)+(IF(G203&lt;101,G203,IF(G203&lt;201,G203/2,IF(G203&lt;=301,G203/3,G203/4))))</f>
        <v>1888.9851239999996</v>
      </c>
      <c r="I203" s="36"/>
    </row>
    <row r="204" spans="1:14" s="81" customFormat="1" x14ac:dyDescent="0.25">
      <c r="A204" s="115" t="s">
        <v>367</v>
      </c>
      <c r="B204" s="115"/>
      <c r="C204" s="115"/>
      <c r="D204" s="115"/>
      <c r="E204" s="115"/>
      <c r="F204" s="115"/>
      <c r="G204" s="115"/>
      <c r="H204" s="115"/>
      <c r="I204" s="36"/>
      <c r="L204" s="119"/>
      <c r="M204" s="119"/>
    </row>
    <row r="205" spans="1:14" s="81" customFormat="1" x14ac:dyDescent="0.25">
      <c r="A205" s="102">
        <v>1</v>
      </c>
      <c r="B205" s="102"/>
      <c r="C205" s="80" t="s">
        <v>360</v>
      </c>
      <c r="D205" s="82">
        <f>(87.22)*(10.764)</f>
        <v>938.83607999999992</v>
      </c>
      <c r="E205" s="82">
        <f>(6.505)*(10.764)</f>
        <v>70.019819999999996</v>
      </c>
      <c r="F205" s="80">
        <f>D205+E205</f>
        <v>1008.8558999999999</v>
      </c>
      <c r="G205" s="80">
        <v>0</v>
      </c>
      <c r="H205" s="80">
        <f>F205*(($H$149)+1)+(IF(G205&lt;101,G205,IF(G205&lt;201,G205/2,IF(G205&lt;=301,G205/3,G205/4))))</f>
        <v>1513.2838499999998</v>
      </c>
      <c r="I205" s="36"/>
      <c r="J205" s="81">
        <f>29600000/H205</f>
        <v>19560.110946799574</v>
      </c>
      <c r="N205" s="36"/>
    </row>
    <row r="206" spans="1:14" s="81" customFormat="1" x14ac:dyDescent="0.25">
      <c r="A206" s="102">
        <f t="shared" ref="A206:A212" si="33">A205+1</f>
        <v>2</v>
      </c>
      <c r="B206" s="102"/>
      <c r="C206" s="80" t="s">
        <v>360</v>
      </c>
      <c r="D206" s="82">
        <f>(87.07)*(10.764)</f>
        <v>937.22147999999981</v>
      </c>
      <c r="E206" s="82">
        <f>(6.505)*(10.764)</f>
        <v>70.019819999999996</v>
      </c>
      <c r="F206" s="80">
        <f>D206+E206</f>
        <v>1007.2412999999998</v>
      </c>
      <c r="G206" s="80">
        <v>0</v>
      </c>
      <c r="H206" s="80">
        <f>F206*(($H$149)+1)+(IF(G206&lt;101,G206,IF(G206&lt;201,G206/2,IF(G206&lt;=301,G206/3,G206/4))))</f>
        <v>1510.8619499999998</v>
      </c>
      <c r="I206" s="36">
        <f>18600000/H206</f>
        <v>12310.853417150391</v>
      </c>
      <c r="J206" s="81">
        <f>29600000/H206</f>
        <v>19591.465653099545</v>
      </c>
      <c r="N206" s="36"/>
    </row>
    <row r="207" spans="1:14" s="81" customFormat="1" x14ac:dyDescent="0.25">
      <c r="A207" s="102">
        <f t="shared" si="33"/>
        <v>3</v>
      </c>
      <c r="B207" s="102"/>
      <c r="C207" s="65" t="s">
        <v>361</v>
      </c>
      <c r="D207" s="82">
        <f>(65.48)*(10.764)</f>
        <v>704.82672000000002</v>
      </c>
      <c r="E207" s="82">
        <f>(5.693)*(10.764)</f>
        <v>61.279451999999992</v>
      </c>
      <c r="F207" s="80">
        <f>D207+E207</f>
        <v>766.10617200000002</v>
      </c>
      <c r="G207" s="80">
        <v>0</v>
      </c>
      <c r="H207" s="80">
        <f>F207*(($H$149)+1)+(IF(G207&lt;101,G207,IF(G207&lt;201,G207/2,IF(G207&lt;=301,G207/3,G207/4))))</f>
        <v>1149.1592580000001</v>
      </c>
      <c r="I207" s="36"/>
      <c r="J207" s="81">
        <f>21800000/H207</f>
        <v>18970.390612299274</v>
      </c>
      <c r="N207" s="36"/>
    </row>
    <row r="208" spans="1:14" s="81" customFormat="1" x14ac:dyDescent="0.25">
      <c r="A208" s="103">
        <f t="shared" si="33"/>
        <v>4</v>
      </c>
      <c r="B208" s="103"/>
      <c r="C208" s="65" t="s">
        <v>368</v>
      </c>
      <c r="D208" s="82">
        <f>(54.62)*(10.764)</f>
        <v>587.92967999999996</v>
      </c>
      <c r="E208" s="82">
        <f>(5.693)*(10.764)</f>
        <v>61.279451999999992</v>
      </c>
      <c r="F208" s="80">
        <f>D208+E208</f>
        <v>649.20913199999995</v>
      </c>
      <c r="G208" s="80">
        <v>0</v>
      </c>
      <c r="H208" s="80">
        <f>F208*(($H$149)+1)+(IF(G208&lt;101,G208,IF(G208&lt;201,G208/2,IF(G208&lt;=301,G208/3,G208/4))))</f>
        <v>973.81369799999993</v>
      </c>
      <c r="I208" s="36">
        <f>(3.05*5.475+2.65*3.05+3.05*4.75+2.45*1.575+2.45*1.725+3*1)</f>
        <v>50.353749999999998</v>
      </c>
      <c r="J208" s="81">
        <f>22500000/H208</f>
        <v>23105.035435638329</v>
      </c>
      <c r="N208" s="36"/>
    </row>
    <row r="209" spans="1:20" s="81" customFormat="1" x14ac:dyDescent="0.25">
      <c r="A209" s="102">
        <f t="shared" si="33"/>
        <v>5</v>
      </c>
      <c r="B209" s="102"/>
      <c r="C209" s="104" t="s">
        <v>370</v>
      </c>
      <c r="D209" s="105"/>
      <c r="E209" s="105"/>
      <c r="F209" s="105"/>
      <c r="G209" s="105"/>
      <c r="H209" s="106"/>
      <c r="I209" s="36"/>
      <c r="N209" s="36"/>
    </row>
    <row r="210" spans="1:20" s="81" customFormat="1" x14ac:dyDescent="0.25">
      <c r="A210" s="102">
        <f t="shared" si="33"/>
        <v>6</v>
      </c>
      <c r="B210" s="102"/>
      <c r="C210" s="65" t="s">
        <v>361</v>
      </c>
      <c r="D210" s="82">
        <f>(65)*(10.764)</f>
        <v>699.66</v>
      </c>
      <c r="E210" s="82">
        <f>(5.646)*(10.764)</f>
        <v>60.773543999999994</v>
      </c>
      <c r="F210" s="80">
        <f>D210+E210</f>
        <v>760.43354399999998</v>
      </c>
      <c r="G210" s="80">
        <v>0</v>
      </c>
      <c r="H210" s="80">
        <f>F210*(($H$149)+1)+(IF(G210&lt;101,G210,IF(G210&lt;201,G210/2,IF(G210&lt;=301,G210/3,G210/4))))</f>
        <v>1140.650316</v>
      </c>
      <c r="I210" s="36">
        <f>26200000/H210</f>
        <v>22969.353212365218</v>
      </c>
      <c r="J210" s="81">
        <f>21800000/H210</f>
        <v>19111.904581280982</v>
      </c>
      <c r="N210" s="36"/>
    </row>
    <row r="211" spans="1:20" s="81" customFormat="1" x14ac:dyDescent="0.25">
      <c r="A211" s="102">
        <f t="shared" si="33"/>
        <v>7</v>
      </c>
      <c r="B211" s="102"/>
      <c r="C211" s="65" t="s">
        <v>369</v>
      </c>
      <c r="D211" s="82">
        <f>(105.8)*(10.764)</f>
        <v>1138.8311999999999</v>
      </c>
      <c r="E211" s="82">
        <f>(7.864)*(10.764)</f>
        <v>84.648095999999995</v>
      </c>
      <c r="F211" s="80">
        <f>D211+E211</f>
        <v>1223.4792959999997</v>
      </c>
      <c r="G211" s="80">
        <v>0</v>
      </c>
      <c r="H211" s="80">
        <f>F211*(($H$149)+1)+(IF(G211&lt;101,G211,IF(G211&lt;201,G211/2,IF(G211&lt;=301,G211/3,G211/4))))</f>
        <v>1835.2189439999997</v>
      </c>
      <c r="I211" s="36"/>
      <c r="N211" s="36"/>
    </row>
    <row r="212" spans="1:20" s="81" customFormat="1" x14ac:dyDescent="0.25">
      <c r="A212" s="102">
        <f t="shared" si="33"/>
        <v>8</v>
      </c>
      <c r="B212" s="102"/>
      <c r="C212" s="65" t="s">
        <v>369</v>
      </c>
      <c r="D212" s="82">
        <f>(109.13)*(10.764)</f>
        <v>1174.6753199999998</v>
      </c>
      <c r="E212" s="82">
        <f>(7.864)*(10.764)</f>
        <v>84.648095999999995</v>
      </c>
      <c r="F212" s="80">
        <f>D212+E212</f>
        <v>1259.3234159999997</v>
      </c>
      <c r="G212" s="80">
        <v>0</v>
      </c>
      <c r="H212" s="80">
        <f>F212*(($H$149)+1)+(IF(G212&lt;101,G212,IF(G212&lt;201,G212/2,IF(G212&lt;=301,G212/3,G212/4))))</f>
        <v>1888.9851239999996</v>
      </c>
      <c r="I212" s="36">
        <f>3.35*3.25+4.275*3.85+2.45*3.1+3.2*3.65+3.2*3.95+3.2*4.8+2.45*1.525+2.425*1.525+1.775*1+1.525*2.45+1.525*2.55+3.45*1+1.53*1.425+2.45*1.525+1.53*1.425</f>
        <v>103.00237500000001</v>
      </c>
      <c r="J212" s="36">
        <f>3.55*1.525+2*1.225</f>
        <v>7.8637499999999996</v>
      </c>
      <c r="N212" s="36"/>
    </row>
    <row r="213" spans="1:20" s="37" customFormat="1" hidden="1" x14ac:dyDescent="0.25">
      <c r="A213" s="116" t="s">
        <v>114</v>
      </c>
      <c r="B213" s="117"/>
      <c r="C213" s="117"/>
      <c r="D213" s="117"/>
      <c r="E213" s="117"/>
      <c r="F213" s="117"/>
      <c r="G213" s="117"/>
      <c r="H213" s="118"/>
      <c r="J213" s="36"/>
    </row>
    <row r="214" spans="1:20" s="37" customFormat="1" ht="15.75" hidden="1" customHeight="1" x14ac:dyDescent="0.25">
      <c r="A214" s="113">
        <v>1</v>
      </c>
      <c r="B214" s="114"/>
      <c r="C214" s="42"/>
      <c r="D214" s="42"/>
      <c r="E214" s="42">
        <v>0</v>
      </c>
      <c r="F214" s="42">
        <f>D214+E214</f>
        <v>0</v>
      </c>
      <c r="G214" s="57">
        <v>0</v>
      </c>
      <c r="H214" s="57">
        <f>F214*(($H$149)+1)+(IF(G214&lt;101,G214,IF(G214&lt;201,G214/2,IF(G214&lt;=301,G214/3,G214/4))))</f>
        <v>0</v>
      </c>
      <c r="I214" s="36"/>
      <c r="L214" s="119"/>
      <c r="M214" s="119"/>
      <c r="N214" s="36"/>
    </row>
    <row r="215" spans="1:20" s="37" customFormat="1" ht="15.75" hidden="1" customHeight="1" x14ac:dyDescent="0.25">
      <c r="A215" s="113">
        <f>A214+1</f>
        <v>2</v>
      </c>
      <c r="B215" s="114"/>
      <c r="C215" s="42"/>
      <c r="D215" s="42"/>
      <c r="E215" s="42">
        <v>0</v>
      </c>
      <c r="F215" s="57">
        <f>D215+E215</f>
        <v>0</v>
      </c>
      <c r="G215" s="57">
        <v>0</v>
      </c>
      <c r="H215" s="57">
        <f>F215*(($H$149)+1)+(IF(G215&lt;101,G215,IF(G215&lt;201,G215/2,IF(G215&lt;=301,G215/3,G215/4))))</f>
        <v>0</v>
      </c>
      <c r="I215" s="36"/>
      <c r="L215" s="119"/>
      <c r="M215" s="119"/>
      <c r="N215" s="36"/>
    </row>
    <row r="216" spans="1:20" s="37" customFormat="1" ht="15.75" hidden="1" customHeight="1" x14ac:dyDescent="0.25">
      <c r="A216" s="113">
        <f>A215+1</f>
        <v>3</v>
      </c>
      <c r="B216" s="114"/>
      <c r="C216" s="42"/>
      <c r="D216" s="42"/>
      <c r="E216" s="42">
        <v>0</v>
      </c>
      <c r="F216" s="57">
        <f>D216+E216</f>
        <v>0</v>
      </c>
      <c r="G216" s="57">
        <v>0</v>
      </c>
      <c r="H216" s="57">
        <f>F216*(($H$149)+1)+(IF(G216&lt;101,G216,IF(G216&lt;201,G216/2,IF(G216&lt;=301,G216/3,G216/4))))</f>
        <v>0</v>
      </c>
      <c r="I216" s="36"/>
      <c r="L216" s="119"/>
      <c r="M216" s="119"/>
      <c r="N216" s="36"/>
    </row>
    <row r="217" spans="1:20" s="37" customFormat="1" ht="15.75" hidden="1" customHeight="1" x14ac:dyDescent="0.25">
      <c r="A217" s="113">
        <f>A216+1</f>
        <v>4</v>
      </c>
      <c r="B217" s="114"/>
      <c r="C217" s="42"/>
      <c r="D217" s="42"/>
      <c r="E217" s="42">
        <v>0</v>
      </c>
      <c r="F217" s="57">
        <f>D217+E217</f>
        <v>0</v>
      </c>
      <c r="G217" s="57">
        <v>0</v>
      </c>
      <c r="H217" s="57">
        <f>F217*(($H$149)+1)+(IF(G217&lt;101,G217,IF(G217&lt;201,G217/2,IF(G217&lt;=301,G217/3,G217/4))))</f>
        <v>0</v>
      </c>
      <c r="I217" s="36"/>
      <c r="L217" s="119"/>
      <c r="M217" s="119"/>
      <c r="N217" s="36"/>
      <c r="T217" s="21"/>
    </row>
    <row r="218" spans="1:20" s="37" customFormat="1" hidden="1" x14ac:dyDescent="0.25">
      <c r="A218" s="115" t="s">
        <v>115</v>
      </c>
      <c r="B218" s="115"/>
      <c r="C218" s="115"/>
      <c r="D218" s="115"/>
      <c r="E218" s="115"/>
      <c r="F218" s="115"/>
      <c r="G218" s="115"/>
      <c r="H218" s="115"/>
      <c r="I218" s="36"/>
      <c r="L218" s="119"/>
      <c r="M218" s="119"/>
    </row>
    <row r="219" spans="1:20" s="37" customFormat="1" hidden="1" x14ac:dyDescent="0.25">
      <c r="A219" s="102">
        <f>LEFT(A218,SUM(LEN(A218)-LEN(SUBSTITUTE(A218,{"0","1","2","3","4","5","6","7","8","9"},""))))*100+1</f>
        <v>201</v>
      </c>
      <c r="B219" s="102"/>
      <c r="C219" s="42"/>
      <c r="D219" s="42"/>
      <c r="E219" s="57">
        <v>0</v>
      </c>
      <c r="F219" s="57">
        <f>D219+E219</f>
        <v>0</v>
      </c>
      <c r="G219" s="57">
        <v>0</v>
      </c>
      <c r="H219" s="57">
        <f>F219*(($H$149)+1)+(IF(G219&lt;101,G219,IF(G219&lt;201,G219/2,IF(G219&lt;=301,G219/3,G219/4))))</f>
        <v>0</v>
      </c>
      <c r="I219" s="36"/>
      <c r="N219" s="36"/>
    </row>
    <row r="220" spans="1:20" s="37" customFormat="1" hidden="1" x14ac:dyDescent="0.25">
      <c r="A220" s="102">
        <f>A219+1</f>
        <v>202</v>
      </c>
      <c r="B220" s="102"/>
      <c r="C220" s="42"/>
      <c r="D220" s="42"/>
      <c r="E220" s="57">
        <v>0</v>
      </c>
      <c r="F220" s="57">
        <f>D220+E220</f>
        <v>0</v>
      </c>
      <c r="G220" s="57">
        <v>0</v>
      </c>
      <c r="H220" s="57">
        <f>F220*(($H$149)+1)+(IF(G220&lt;101,G220,IF(G220&lt;201,G220/2,IF(G220&lt;=301,G220/3,G220/4))))</f>
        <v>0</v>
      </c>
      <c r="I220" s="36"/>
      <c r="N220" s="36"/>
    </row>
    <row r="221" spans="1:20" s="37" customFormat="1" hidden="1" x14ac:dyDescent="0.25">
      <c r="A221" s="102">
        <f>A220+1</f>
        <v>203</v>
      </c>
      <c r="B221" s="102"/>
      <c r="C221" s="42"/>
      <c r="D221" s="42"/>
      <c r="E221" s="57">
        <v>0</v>
      </c>
      <c r="F221" s="57">
        <f>D221+E221</f>
        <v>0</v>
      </c>
      <c r="G221" s="57">
        <v>0</v>
      </c>
      <c r="H221" s="57">
        <f>F221*(($H$149)+1)+(IF(G221&lt;101,G221,IF(G221&lt;201,G221/2,IF(G221&lt;=301,G221/3,G221/4))))</f>
        <v>0</v>
      </c>
      <c r="I221" s="36"/>
      <c r="N221" s="36"/>
    </row>
    <row r="222" spans="1:20" s="37" customFormat="1" hidden="1" x14ac:dyDescent="0.25">
      <c r="A222" s="102">
        <f>A221+1</f>
        <v>204</v>
      </c>
      <c r="B222" s="102"/>
      <c r="C222" s="42"/>
      <c r="D222" s="42"/>
      <c r="E222" s="57">
        <v>0</v>
      </c>
      <c r="F222" s="57">
        <f>D222+E222</f>
        <v>0</v>
      </c>
      <c r="G222" s="57">
        <v>0</v>
      </c>
      <c r="H222" s="57">
        <f>F222*(($H$149)+1)+(IF(G222&lt;101,G222,IF(G222&lt;201,G222/2,IF(G222&lt;=301,G222/3,G222/4))))</f>
        <v>0</v>
      </c>
      <c r="I222" s="36"/>
      <c r="N222" s="36"/>
    </row>
    <row r="223" spans="1:20" s="37" customFormat="1" hidden="1" x14ac:dyDescent="0.25">
      <c r="A223" s="102">
        <f>A222+1</f>
        <v>205</v>
      </c>
      <c r="B223" s="102"/>
      <c r="C223" s="42"/>
      <c r="D223" s="42"/>
      <c r="E223" s="57">
        <v>0</v>
      </c>
      <c r="F223" s="57">
        <f>D223+E223</f>
        <v>0</v>
      </c>
      <c r="G223" s="57">
        <v>0</v>
      </c>
      <c r="H223" s="57">
        <f>F223*(($H$149)+1)+(IF(G223&lt;101,G223,IF(G223&lt;201,G223/2,IF(G223&lt;=301,G223/3,G223/4))))</f>
        <v>0</v>
      </c>
      <c r="I223" s="36"/>
      <c r="N223" s="36"/>
    </row>
    <row r="224" spans="1:20" s="37" customFormat="1" ht="15.75" hidden="1" customHeight="1" x14ac:dyDescent="0.25">
      <c r="A224" s="116" t="s">
        <v>146</v>
      </c>
      <c r="B224" s="117"/>
      <c r="C224" s="117"/>
      <c r="D224" s="117"/>
      <c r="E224" s="117"/>
      <c r="F224" s="117"/>
      <c r="G224" s="117"/>
      <c r="H224" s="118"/>
      <c r="I224" s="36"/>
    </row>
    <row r="225" spans="1:9" s="37" customFormat="1" ht="15.75" hidden="1" customHeight="1" x14ac:dyDescent="0.25">
      <c r="A225" s="113" t="str">
        <f ca="1">(SUMPRODUCT(MID(0&amp;(LEFT(A224,SUM(LEN(A224)-LEN(SUBSTITUTE(A224,{"0","1","2"},""))))), LARGE(INDEX(ISNUMBER(--MID((LEFT(A224,SUM(LEN(A224)-LEN(SUBSTITUTE(A224,{"0","1","2"},""))))), ROW(INDIRECT("1:"&amp;LEN((LEFT(A224,SUM(LEN(A224)-LEN(SUBSTITUTE(A224,{"0","1","2"},"")))))))), 1)) * ROW(INDIRECT("1:"&amp;LEN((LEFT(A224,SUM(LEN(A224)-LEN(SUBSTITUTE(A224,{"0","1","2"},"")))))))), 0), ROW(INDIRECT("1:"&amp;LEN((LEFT(A224,SUM(LEN(A224)-LEN(SUBSTITUTE(A224,{"0","1","2"},"")))))))))+1, 1) * 10^ROW(INDIRECT("1:"&amp;LEN((LEFT(A224,SUM(LEN(A224)-LEN(SUBSTITUTE(A224,{"0","1","2"},""))))))))/10))*100+1&amp;""&amp;" ,.., "&amp;""&amp;(SUMPRODUCT(MID(0&amp;(--TRIM(RIGHT(SUBSTITUTE(LEFT(A224,_xlfn.AGGREGATE(16,6,FIND({0,1,2,3,4,5,6,7,8,9},A224,ROW(INDIRECT("1:"&amp;LEN(A224)))),1))," ",REPT(" ",LEN(A224))),LEN(A224)))), LARGE(INDEX(ISNUMBER(--MID((--TRIM(RIGHT(SUBSTITUTE(LEFT(A224,_xlfn.AGGREGATE(16,6,FIND({0,1,2,3,4,5,6,7,8,9},A224,ROW(INDIRECT("1:"&amp;LEN(A224)))),1))," ",REPT(" ",LEN(A224))),LEN(A224)))), ROW(INDIRECT("1:"&amp;LEN((--TRIM(RIGHT(SUBSTITUTE(LEFT(A224,_xlfn.AGGREGATE(16,6,FIND({0,1,2,3,4,5,6,7,8,9},A224,ROW(INDIRECT("1:"&amp;LEN(A224)))),1))," ",REPT(" ",LEN(A224))),LEN(A224))))))), 1)) * ROW(INDIRECT("1:"&amp;LEN((--TRIM(RIGHT(SUBSTITUTE(LEFT(A224,_xlfn.AGGREGATE(16,6,FIND({0,1,2,3,4,5,6,7,8,9},A224,ROW(INDIRECT("1:"&amp;LEN(A224)))),1))," ",REPT(" ",LEN(A224))),LEN(A224))))))), 0), ROW(INDIRECT("1:"&amp;LEN((--TRIM(RIGHT(SUBSTITUTE(LEFT(A224,_xlfn.AGGREGATE(16,6,FIND({0,1,2,3,4,5,6,7,8,9},A224,ROW(INDIRECT("1:"&amp;LEN(A224)))),1))," ",REPT(" ",LEN(A224))),LEN(A224))))))))+1, 1) * 10^ROW(INDIRECT("1:"&amp;LEN((--TRIM(RIGHT(SUBSTITUTE(LEFT(A224,_xlfn.AGGREGATE(16,6,FIND({0,1,2,3,4,5,6,7,8,9},A224,ROW(INDIRECT("1:"&amp;LEN(A224)))),1))," ",REPT(" ",LEN(A224))),LEN(A224)))))))/10))*100+1</f>
        <v>301 ,.., 1501</v>
      </c>
      <c r="B225" s="114"/>
      <c r="C225" s="42"/>
      <c r="D225" s="42"/>
      <c r="E225" s="57">
        <v>0</v>
      </c>
      <c r="F225" s="57">
        <f>D225+E225</f>
        <v>0</v>
      </c>
      <c r="G225" s="57">
        <v>0</v>
      </c>
      <c r="H225" s="57">
        <f>F225*(($H$149)+1)+(IF(G225&lt;101,G225,IF(G225&lt;201,G225/2,IF(G225&lt;=301,G225/3,G225/4))))</f>
        <v>0</v>
      </c>
      <c r="I225" s="36"/>
    </row>
    <row r="226" spans="1:9" s="37" customFormat="1" ht="15.75" hidden="1" customHeight="1" x14ac:dyDescent="0.25">
      <c r="A226" s="113" t="str">
        <f ca="1">(SUMPRODUCT(MID(0&amp;(LEFT(A225,SUM(LEN(A225)-LEN(SUBSTITUTE(A225,{"0","1","2"},""))))), LARGE(INDEX(ISNUMBER(--MID((LEFT(A225,SUM(LEN(A225)-LEN(SUBSTITUTE(A225,{"0","1","2"},""))))), ROW(INDIRECT("1:"&amp;LEN((LEFT(A225,SUM(LEN(A225)-LEN(SUBSTITUTE(A225,{"0","1","2"},"")))))))), 1)) * ROW(INDIRECT("1:"&amp;LEN((LEFT(A225,SUM(LEN(A225)-LEN(SUBSTITUTE(A225,{"0","1","2"},"")))))))), 0), ROW(INDIRECT("1:"&amp;LEN((LEFT(A225,SUM(LEN(A225)-LEN(SUBSTITUTE(A225,{"0","1","2"},"")))))))))+1, 1) * 10^ROW(INDIRECT("1:"&amp;LEN((LEFT(A225,SUM(LEN(A225)-LEN(SUBSTITUTE(A225,{"0","1","2"},""))))))))/10))*1+1&amp;""&amp;" ,.., "&amp;""&amp;(SUMPRODUCT(MID(0&amp;(--TRIM(RIGHT(SUBSTITUTE(LEFT(A225,_xlfn.AGGREGATE(16,6,FIND({0,1,2,3,4,5,6,7,8,9},A225,ROW(INDIRECT("1:"&amp;LEN(A225)))),1))," ",REPT(" ",LEN(A225))),LEN(A225)))), LARGE(INDEX(ISNUMBER(--MID((--TRIM(RIGHT(SUBSTITUTE(LEFT(A225,_xlfn.AGGREGATE(16,6,FIND({0,1,2,3,4,5,6,7,8,9},A225,ROW(INDIRECT("1:"&amp;LEN(A225)))),1))," ",REPT(" ",LEN(A225))),LEN(A225)))), ROW(INDIRECT("1:"&amp;LEN((--TRIM(RIGHT(SUBSTITUTE(LEFT(A225,_xlfn.AGGREGATE(16,6,FIND({0,1,2,3,4,5,6,7,8,9},A225,ROW(INDIRECT("1:"&amp;LEN(A225)))),1))," ",REPT(" ",LEN(A225))),LEN(A225))))))), 1)) * ROW(INDIRECT("1:"&amp;LEN((--TRIM(RIGHT(SUBSTITUTE(LEFT(A225,_xlfn.AGGREGATE(16,6,FIND({0,1,2,3,4,5,6,7,8,9},A225,ROW(INDIRECT("1:"&amp;LEN(A225)))),1))," ",REPT(" ",LEN(A225))),LEN(A225))))))), 0), ROW(INDIRECT("1:"&amp;LEN((--TRIM(RIGHT(SUBSTITUTE(LEFT(A225,_xlfn.AGGREGATE(16,6,FIND({0,1,2,3,4,5,6,7,8,9},A225,ROW(INDIRECT("1:"&amp;LEN(A225)))),1))," ",REPT(" ",LEN(A225))),LEN(A225))))))))+1, 1) * 10^ROW(INDIRECT("1:"&amp;LEN((--TRIM(RIGHT(SUBSTITUTE(LEFT(A225,_xlfn.AGGREGATE(16,6,FIND({0,1,2,3,4,5,6,7,8,9},A225,ROW(INDIRECT("1:"&amp;LEN(A225)))),1))," ",REPT(" ",LEN(A225))),LEN(A225)))))))/10))*1+1</f>
        <v>302 ,.., 1502</v>
      </c>
      <c r="B226" s="114"/>
      <c r="C226" s="42"/>
      <c r="D226" s="42"/>
      <c r="E226" s="57">
        <v>0</v>
      </c>
      <c r="F226" s="57">
        <f>D226+E226</f>
        <v>0</v>
      </c>
      <c r="G226" s="57">
        <v>0</v>
      </c>
      <c r="H226" s="57">
        <f>F226*(($H$149)+1)+(IF(G226&lt;101,G226,IF(G226&lt;201,G226/2,IF(G226&lt;=301,G226/3,G226/4))))</f>
        <v>0</v>
      </c>
      <c r="I226" s="36"/>
    </row>
    <row r="227" spans="1:9" s="37" customFormat="1" ht="15.75" hidden="1" customHeight="1" x14ac:dyDescent="0.25">
      <c r="A227" s="113"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10^ROW(INDIRECT("1:"&amp;LEN((LEFT(A226,SUM(LEN(A226)-LEN(SUBSTITUTE(A226,{"0","1","2"},""))))))))/10))*1+1&amp;""&amp;" ,..,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",LEN(A226))),LEN(A226)))))))/10))*1+1</f>
        <v>303 ,.., 1503</v>
      </c>
      <c r="B227" s="114"/>
      <c r="C227" s="42"/>
      <c r="D227" s="42"/>
      <c r="E227" s="57">
        <v>0</v>
      </c>
      <c r="F227" s="57">
        <f>D227+E227</f>
        <v>0</v>
      </c>
      <c r="G227" s="57">
        <v>0</v>
      </c>
      <c r="H227" s="57">
        <f>F227*(($H$149)+1)+(IF(G227&lt;101,G227,IF(G227&lt;201,G227/2,IF(G227&lt;=301,G227/3,G227/4))))</f>
        <v>0</v>
      </c>
      <c r="I227" s="36"/>
    </row>
    <row r="228" spans="1:9" s="37" customFormat="1" ht="15.75" hidden="1" customHeight="1" x14ac:dyDescent="0.25">
      <c r="A228" s="113"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10^ROW(INDIRECT("1:"&amp;LEN((LEFT(A227,SUM(LEN(A227)-LEN(SUBSTITUTE(A227,{"0","1","2"},""))))))))/10))*1+1&amp;""&amp;" ,..,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",LEN(A227))),LEN(A227)))))))/10))*1+1</f>
        <v>304 ,.., 1504</v>
      </c>
      <c r="B228" s="114"/>
      <c r="C228" s="42"/>
      <c r="D228" s="42"/>
      <c r="E228" s="57">
        <v>0</v>
      </c>
      <c r="F228" s="57">
        <f>D228+E228</f>
        <v>0</v>
      </c>
      <c r="G228" s="57">
        <v>0</v>
      </c>
      <c r="H228" s="57">
        <f>F228*(($H$149)+1)+(IF(G228&lt;101,G228,IF(G228&lt;201,G228/2,IF(G228&lt;=301,G228/3,G228/4))))</f>
        <v>0</v>
      </c>
      <c r="I228" s="36"/>
    </row>
    <row r="229" spans="1:9" s="37" customFormat="1" ht="15.75" hidden="1" customHeight="1" x14ac:dyDescent="0.25">
      <c r="A229" s="113"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10^ROW(INDIRECT("1:"&amp;LEN((LEFT(A228,SUM(LEN(A228)-LEN(SUBSTITUTE(A228,{"0","1","2"},""))))))))/10))*1+1&amp;""&amp;" ,..,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",LEN(A228))),LEN(A228)))))))/10))*1+1</f>
        <v>305 ,.., 1505</v>
      </c>
      <c r="B229" s="114"/>
      <c r="C229" s="42"/>
      <c r="D229" s="42"/>
      <c r="E229" s="57">
        <v>0</v>
      </c>
      <c r="F229" s="57">
        <f>D229+E229</f>
        <v>0</v>
      </c>
      <c r="G229" s="57">
        <v>0</v>
      </c>
      <c r="H229" s="57">
        <f>F229*(($H$149)+1)+(IF(G229&lt;101,G229,IF(G229&lt;201,G229/2,IF(G229&lt;=301,G229/3,G229/4))))</f>
        <v>0</v>
      </c>
      <c r="I229" s="36"/>
    </row>
    <row r="230" spans="1:9" s="37" customFormat="1" hidden="1" x14ac:dyDescent="0.25">
      <c r="A230" s="116" t="s">
        <v>140</v>
      </c>
      <c r="B230" s="117"/>
      <c r="C230" s="117"/>
      <c r="D230" s="117"/>
      <c r="E230" s="117"/>
      <c r="F230" s="117"/>
      <c r="G230" s="117"/>
      <c r="H230" s="118"/>
      <c r="I230" s="36"/>
    </row>
    <row r="231" spans="1:9" s="37" customFormat="1" ht="15.75" hidden="1" customHeight="1" x14ac:dyDescent="0.25">
      <c r="A231" s="113"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10^ROW(INDIRECT("1:"&amp;LEN((LEFT(A230,SUM(LEN(A230)-LEN(SUBSTITUTE(A230,{"0","1","2"},""))))))))/10))*100+1&amp;""&amp;" to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",LEN(A230))),LEN(A230)))))))/10))*100+1</f>
        <v>201 to 501</v>
      </c>
      <c r="B231" s="114"/>
      <c r="C231" s="42"/>
      <c r="D231" s="42"/>
      <c r="E231" s="57">
        <v>0</v>
      </c>
      <c r="F231" s="57">
        <f>D231+E231</f>
        <v>0</v>
      </c>
      <c r="G231" s="57">
        <v>0</v>
      </c>
      <c r="H231" s="57">
        <f>F231*(($H$149)+1)+(IF(G231&lt;101,G231,IF(G231&lt;201,G231/2,IF(G231&lt;=301,G231/3,G231/4))))</f>
        <v>0</v>
      </c>
      <c r="I231" s="36"/>
    </row>
    <row r="232" spans="1:9" s="37" customFormat="1" ht="15.75" hidden="1" customHeight="1" x14ac:dyDescent="0.25">
      <c r="A232" s="113" t="str">
        <f ca="1">(SUMPRODUCT(MID(0&amp;(LEFT(A231,SUM(LEN(A231)-LEN(SUBSTITUTE(A231,{"0","1","2"},""))))), LARGE(INDEX(ISNUMBER(--MID((LEFT(A231,SUM(LEN(A231)-LEN(SUBSTITUTE(A231,{"0","1","2"},""))))), ROW(INDIRECT("1:"&amp;LEN((LEFT(A231,SUM(LEN(A231)-LEN(SUBSTITUTE(A231,{"0","1","2"},"")))))))), 1)) * ROW(INDIRECT("1:"&amp;LEN((LEFT(A231,SUM(LEN(A231)-LEN(SUBSTITUTE(A231,{"0","1","2"},"")))))))), 0), ROW(INDIRECT("1:"&amp;LEN((LEFT(A231,SUM(LEN(A231)-LEN(SUBSTITUTE(A231,{"0","1","2"},"")))))))))+1, 1) * 10^ROW(INDIRECT("1:"&amp;LEN((LEFT(A231,SUM(LEN(A231)-LEN(SUBSTITUTE(A231,{"0","1","2"},""))))))))/10))*1+1&amp;""&amp;" to "&amp;""&amp;(SUMPRODUCT(MID(0&amp;(--TRIM(RIGHT(SUBSTITUTE(LEFT(A231,_xlfn.AGGREGATE(16,6,FIND({0,1,2,3,4,5,6,7,8,9},A231,ROW(INDIRECT("1:"&amp;LEN(A231)))),1))," ",REPT(" ",LEN(A231))),LEN(A231)))), LARGE(INDEX(ISNUMBER(--MID((--TRIM(RIGHT(SUBSTITUTE(LEFT(A231,_xlfn.AGGREGATE(16,6,FIND({0,1,2,3,4,5,6,7,8,9},A231,ROW(INDIRECT("1:"&amp;LEN(A231)))),1))," ",REPT(" ",LEN(A231))),LEN(A231)))), ROW(INDIRECT("1:"&amp;LEN((--TRIM(RIGHT(SUBSTITUTE(LEFT(A231,_xlfn.AGGREGATE(16,6,FIND({0,1,2,3,4,5,6,7,8,9},A231,ROW(INDIRECT("1:"&amp;LEN(A231)))),1))," ",REPT(" ",LEN(A231))),LEN(A231))))))), 1)) * ROW(INDIRECT("1:"&amp;LEN((--TRIM(RIGHT(SUBSTITUTE(LEFT(A231,_xlfn.AGGREGATE(16,6,FIND({0,1,2,3,4,5,6,7,8,9},A231,ROW(INDIRECT("1:"&amp;LEN(A231)))),1))," ",REPT(" ",LEN(A231))),LEN(A231))))))), 0), ROW(INDIRECT("1:"&amp;LEN((--TRIM(RIGHT(SUBSTITUTE(LEFT(A231,_xlfn.AGGREGATE(16,6,FIND({0,1,2,3,4,5,6,7,8,9},A231,ROW(INDIRECT("1:"&amp;LEN(A231)))),1))," ",REPT(" ",LEN(A231))),LEN(A231))))))))+1, 1) * 10^ROW(INDIRECT("1:"&amp;LEN((--TRIM(RIGHT(SUBSTITUTE(LEFT(A231,_xlfn.AGGREGATE(16,6,FIND({0,1,2,3,4,5,6,7,8,9},A231,ROW(INDIRECT("1:"&amp;LEN(A231)))),1))," ",REPT(" ",LEN(A231))),LEN(A231)))))))/10))*1+1</f>
        <v>202 to 502</v>
      </c>
      <c r="B232" s="114"/>
      <c r="C232" s="42"/>
      <c r="D232" s="42"/>
      <c r="E232" s="57">
        <v>0</v>
      </c>
      <c r="F232" s="57">
        <f>D232+E232</f>
        <v>0</v>
      </c>
      <c r="G232" s="57">
        <v>0</v>
      </c>
      <c r="H232" s="57">
        <f>F232*(($H$149)+1)+(IF(G232&lt;101,G232,IF(G232&lt;201,G232/2,IF(G232&lt;=301,G232/3,G232/4))))</f>
        <v>0</v>
      </c>
      <c r="I232" s="36"/>
    </row>
    <row r="233" spans="1:9" s="37" customFormat="1" ht="15.75" hidden="1" customHeight="1" x14ac:dyDescent="0.25">
      <c r="A233" s="113"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10^ROW(INDIRECT("1:"&amp;LEN((LEFT(A232,SUM(LEN(A232)-LEN(SUBSTITUTE(A232,{"0","1","2"},""))))))))/10))*1+1&amp;""&amp;" to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",LEN(A232))),LEN(A232)))))))/10))*1+1</f>
        <v>203 to 503</v>
      </c>
      <c r="B233" s="114"/>
      <c r="C233" s="42"/>
      <c r="D233" s="42"/>
      <c r="E233" s="57">
        <v>0</v>
      </c>
      <c r="F233" s="57">
        <f>D233+E233</f>
        <v>0</v>
      </c>
      <c r="G233" s="57">
        <v>0</v>
      </c>
      <c r="H233" s="57">
        <f>F233*(($H$149)+1)+(IF(G233&lt;101,G233,IF(G233&lt;201,G233/2,IF(G233&lt;=301,G233/3,G233/4))))</f>
        <v>0</v>
      </c>
      <c r="I233" s="36"/>
    </row>
    <row r="234" spans="1:9" s="37" customFormat="1" ht="15.75" hidden="1" customHeight="1" x14ac:dyDescent="0.25">
      <c r="A234" s="113"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to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204 to 504</v>
      </c>
      <c r="B234" s="114"/>
      <c r="C234" s="42"/>
      <c r="D234" s="42"/>
      <c r="E234" s="57">
        <v>0</v>
      </c>
      <c r="F234" s="57">
        <f>D234+E234</f>
        <v>0</v>
      </c>
      <c r="G234" s="57">
        <v>0</v>
      </c>
      <c r="H234" s="57">
        <f>F234*(($H$149)+1)+(IF(G234&lt;101,G234,IF(G234&lt;201,G234/2,IF(G234&lt;=301,G234/3,G234/4))))</f>
        <v>0</v>
      </c>
      <c r="I234" s="36"/>
    </row>
    <row r="235" spans="1:9" s="37" customFormat="1" ht="15.75" hidden="1" customHeight="1" x14ac:dyDescent="0.25">
      <c r="A235" s="113"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to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205 to 505</v>
      </c>
      <c r="B235" s="114"/>
      <c r="C235" s="42"/>
      <c r="D235" s="42"/>
      <c r="E235" s="57">
        <v>0</v>
      </c>
      <c r="F235" s="57">
        <f>D235+E235</f>
        <v>0</v>
      </c>
      <c r="G235" s="57">
        <v>0</v>
      </c>
      <c r="H235" s="57">
        <f>F235*(($H$149)+1)+(IF(G235&lt;101,G235,IF(G235&lt;201,G235/2,IF(G235&lt;=301,G235/3,G235/4))))</f>
        <v>0</v>
      </c>
      <c r="I235" s="36"/>
    </row>
    <row r="236" spans="1:9" s="37" customFormat="1" hidden="1" x14ac:dyDescent="0.25">
      <c r="A236" s="116" t="s">
        <v>141</v>
      </c>
      <c r="B236" s="117"/>
      <c r="C236" s="117"/>
      <c r="D236" s="117"/>
      <c r="E236" s="117"/>
      <c r="F236" s="117"/>
      <c r="G236" s="117"/>
      <c r="H236" s="118"/>
      <c r="I236" s="36"/>
    </row>
    <row r="237" spans="1:9" s="37" customFormat="1" ht="15.75" hidden="1" customHeight="1" x14ac:dyDescent="0.25">
      <c r="A237" s="113"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10^ROW(INDIRECT("1:"&amp;LEN((LEFT(A236,SUM(LEN(A236)-LEN(SUBSTITUTE(A236,{"0","1","2"},""))))))))/10))*100+1&amp;""&amp;" &amp;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",LEN(A236))),LEN(A236)))))))/10))*100+1</f>
        <v>201 &amp; 501</v>
      </c>
      <c r="B237" s="114"/>
      <c r="C237" s="42"/>
      <c r="D237" s="42"/>
      <c r="E237" s="57">
        <v>0</v>
      </c>
      <c r="F237" s="57">
        <f>D237+E237</f>
        <v>0</v>
      </c>
      <c r="G237" s="57">
        <v>0</v>
      </c>
      <c r="H237" s="57">
        <f>F237*(($H$149)+1)+(IF(G237&lt;101,G237,IF(G237&lt;201,G237/2,IF(G237&lt;=301,G237/3,G237/4))))</f>
        <v>0</v>
      </c>
      <c r="I237" s="36"/>
    </row>
    <row r="238" spans="1:9" s="37" customFormat="1" ht="15.75" hidden="1" customHeight="1" x14ac:dyDescent="0.25">
      <c r="A238" s="113"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10^ROW(INDIRECT("1:"&amp;LEN((LEFT(A237,SUM(LEN(A237)-LEN(SUBSTITUTE(A237,{"0","1","2"},""))))))))/10))*1+1&amp;""&amp;" &amp;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",LEN(A237))),LEN(A237)))))))/10))*1+1</f>
        <v>202 &amp; 502</v>
      </c>
      <c r="B238" s="114"/>
      <c r="C238" s="42"/>
      <c r="D238" s="42"/>
      <c r="E238" s="57">
        <v>0</v>
      </c>
      <c r="F238" s="57">
        <f>D238+E238</f>
        <v>0</v>
      </c>
      <c r="G238" s="57">
        <v>0</v>
      </c>
      <c r="H238" s="57">
        <f>F238*(($H$149)+1)+(IF(G238&lt;101,G238,IF(G238&lt;201,G238/2,IF(G238&lt;=301,G238/3,G238/4))))</f>
        <v>0</v>
      </c>
      <c r="I238" s="36"/>
    </row>
    <row r="239" spans="1:9" s="37" customFormat="1" ht="15.75" hidden="1" customHeight="1" x14ac:dyDescent="0.25">
      <c r="A239" s="113"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10^ROW(INDIRECT("1:"&amp;LEN((LEFT(A238,SUM(LEN(A238)-LEN(SUBSTITUTE(A238,{"0","1","2"},""))))))))/10))*1+1&amp;""&amp;" &amp;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",LEN(A238))),LEN(A238)))))))/10))*1+1</f>
        <v>203 &amp; 503</v>
      </c>
      <c r="B239" s="114"/>
      <c r="C239" s="42"/>
      <c r="D239" s="42"/>
      <c r="E239" s="57">
        <v>0</v>
      </c>
      <c r="F239" s="57">
        <f>D239+E239</f>
        <v>0</v>
      </c>
      <c r="G239" s="57">
        <v>0</v>
      </c>
      <c r="H239" s="57">
        <f>F239*(($H$149)+1)+(IF(G239&lt;101,G239,IF(G239&lt;201,G239/2,IF(G239&lt;=301,G239/3,G239/4))))</f>
        <v>0</v>
      </c>
      <c r="I239" s="36"/>
    </row>
    <row r="240" spans="1:9" s="37" customFormat="1" ht="15.75" hidden="1" customHeight="1" x14ac:dyDescent="0.25">
      <c r="A240" s="113"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10^ROW(INDIRECT("1:"&amp;LEN((LEFT(A239,SUM(LEN(A239)-LEN(SUBSTITUTE(A239,{"0","1","2"},""))))))))/10))*1+1&amp;""&amp;" &amp;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",LEN(A239))),LEN(A239)))))))/10))*1+1</f>
        <v>204 &amp; 504</v>
      </c>
      <c r="B240" s="114"/>
      <c r="C240" s="42"/>
      <c r="D240" s="42"/>
      <c r="E240" s="57">
        <v>0</v>
      </c>
      <c r="F240" s="57">
        <f>D240+E240</f>
        <v>0</v>
      </c>
      <c r="G240" s="57">
        <v>0</v>
      </c>
      <c r="H240" s="57">
        <f>F240*(($H$149)+1)+(IF(G240&lt;101,G240,IF(G240&lt;201,G240/2,IF(G240&lt;=301,G240/3,G240/4))))</f>
        <v>0</v>
      </c>
      <c r="I240" s="36"/>
    </row>
    <row r="241" spans="1:20" s="37" customFormat="1" ht="15.75" hidden="1" customHeight="1" x14ac:dyDescent="0.25">
      <c r="A241" s="113"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&amp;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205 &amp; 505</v>
      </c>
      <c r="B241" s="114"/>
      <c r="C241" s="42"/>
      <c r="D241" s="42"/>
      <c r="E241" s="57">
        <v>0</v>
      </c>
      <c r="F241" s="57">
        <f>D241+E241</f>
        <v>0</v>
      </c>
      <c r="G241" s="57">
        <v>0</v>
      </c>
      <c r="H241" s="57">
        <f>F241*(($H$149)+1)+(IF(G241&lt;101,G241,IF(G241&lt;201,G241/2,IF(G241&lt;=301,G241/3,G241/4))))</f>
        <v>0</v>
      </c>
      <c r="I241" s="36"/>
    </row>
    <row r="242" spans="1:20" s="35" customFormat="1" x14ac:dyDescent="0.25">
      <c r="A242" s="141" t="s">
        <v>65</v>
      </c>
      <c r="B242" s="141"/>
      <c r="C242" s="141"/>
      <c r="D242" s="141"/>
      <c r="E242" s="141"/>
      <c r="F242" s="141"/>
      <c r="G242" s="141"/>
      <c r="H242" s="141"/>
      <c r="T242" s="37"/>
    </row>
    <row r="243" spans="1:20" s="35" customFormat="1" x14ac:dyDescent="0.25">
      <c r="A243" s="84" t="s">
        <v>150</v>
      </c>
      <c r="B243" s="135" t="s">
        <v>388</v>
      </c>
      <c r="C243" s="136"/>
      <c r="D243" s="136"/>
      <c r="E243" s="136"/>
      <c r="F243" s="136"/>
      <c r="G243" s="136"/>
      <c r="H243" s="137"/>
      <c r="T243" s="37"/>
    </row>
    <row r="244" spans="1:20" s="35" customFormat="1" x14ac:dyDescent="0.25">
      <c r="A244" s="46" t="s">
        <v>150</v>
      </c>
      <c r="B244" s="138" t="str">
        <f>(IF(H148="Saleable area Loading :","We have considered Saleable area of Flats as per our Calculation.","We considered Saleable area of Flat as per Builder area Sheet."))</f>
        <v>We have considered Saleable area of Flats as per our Calculation.</v>
      </c>
      <c r="C244" s="139"/>
      <c r="D244" s="139"/>
      <c r="E244" s="139"/>
      <c r="F244" s="139"/>
      <c r="G244" s="139"/>
      <c r="H244" s="140"/>
      <c r="T244" s="37"/>
    </row>
    <row r="245" spans="1:20" s="35" customFormat="1" x14ac:dyDescent="0.25">
      <c r="A245" s="46" t="s">
        <v>150</v>
      </c>
      <c r="B245" s="138" t="str">
        <f>(IF(H124="Saleable area Loading :","We have considered Saleable area of Commercial as per our Calculation.","We considered Saleable area of Commercial as per Builder area Sheet."))</f>
        <v>We have considered Saleable area of Commercial as per our Calculation.</v>
      </c>
      <c r="C245" s="139"/>
      <c r="D245" s="139"/>
      <c r="E245" s="139"/>
      <c r="F245" s="139"/>
      <c r="G245" s="139"/>
      <c r="H245" s="140"/>
      <c r="T245" s="37"/>
    </row>
    <row r="246" spans="1:20" s="35" customFormat="1" x14ac:dyDescent="0.25">
      <c r="A246" s="46" t="s">
        <v>150</v>
      </c>
      <c r="B246" s="99" t="s">
        <v>117</v>
      </c>
      <c r="C246" s="100"/>
      <c r="D246" s="100"/>
      <c r="E246" s="100"/>
      <c r="F246" s="100"/>
      <c r="G246" s="100"/>
      <c r="H246" s="101"/>
      <c r="T246" s="37"/>
    </row>
    <row r="247" spans="1:20" s="35" customFormat="1" x14ac:dyDescent="0.25">
      <c r="A247" s="46" t="s">
        <v>150</v>
      </c>
      <c r="B247" s="99" t="s">
        <v>375</v>
      </c>
      <c r="C247" s="100"/>
      <c r="D247" s="100"/>
      <c r="E247" s="100"/>
      <c r="F247" s="100"/>
      <c r="G247" s="100"/>
      <c r="H247" s="101"/>
      <c r="T247" s="37"/>
    </row>
    <row r="248" spans="1:20" s="35" customFormat="1" x14ac:dyDescent="0.25">
      <c r="A248" s="46" t="s">
        <v>150</v>
      </c>
      <c r="B248" s="99" t="s">
        <v>149</v>
      </c>
      <c r="C248" s="100"/>
      <c r="D248" s="100"/>
      <c r="E248" s="100"/>
      <c r="F248" s="100"/>
      <c r="G248" s="100"/>
      <c r="H248" s="101"/>
    </row>
    <row r="249" spans="1:20" s="35" customFormat="1" x14ac:dyDescent="0.25">
      <c r="A249" s="46" t="s">
        <v>150</v>
      </c>
      <c r="B249" s="99" t="s">
        <v>118</v>
      </c>
      <c r="C249" s="100"/>
      <c r="D249" s="100"/>
      <c r="E249" s="100"/>
      <c r="F249" s="100"/>
      <c r="G249" s="100"/>
      <c r="H249" s="101"/>
    </row>
    <row r="250" spans="1:20" s="35" customFormat="1" ht="34.5" customHeight="1" x14ac:dyDescent="0.25">
      <c r="A250" s="46" t="s">
        <v>150</v>
      </c>
      <c r="B250" s="99" t="s">
        <v>151</v>
      </c>
      <c r="C250" s="100"/>
      <c r="D250" s="100"/>
      <c r="E250" s="100"/>
      <c r="F250" s="100"/>
      <c r="G250" s="100"/>
      <c r="H250" s="101"/>
    </row>
    <row r="251" spans="1:20" s="35" customFormat="1" x14ac:dyDescent="0.25">
      <c r="A251" s="94" t="s">
        <v>150</v>
      </c>
      <c r="B251" s="99" t="s">
        <v>119</v>
      </c>
      <c r="C251" s="100"/>
      <c r="D251" s="100"/>
      <c r="E251" s="100"/>
      <c r="F251" s="100"/>
      <c r="G251" s="100"/>
      <c r="H251" s="101"/>
    </row>
    <row r="252" spans="1:20" s="35" customFormat="1" x14ac:dyDescent="0.25">
      <c r="A252" s="94" t="s">
        <v>150</v>
      </c>
      <c r="B252" s="99" t="s">
        <v>393</v>
      </c>
      <c r="C252" s="100"/>
      <c r="D252" s="100"/>
      <c r="E252" s="100"/>
      <c r="F252" s="100"/>
      <c r="G252" s="100"/>
      <c r="H252" s="101"/>
    </row>
    <row r="253" spans="1:20" s="35" customFormat="1" x14ac:dyDescent="0.25">
      <c r="A253" s="46" t="s">
        <v>150</v>
      </c>
      <c r="B253" s="99" t="s">
        <v>386</v>
      </c>
      <c r="C253" s="100"/>
      <c r="D253" s="100"/>
      <c r="E253" s="100"/>
      <c r="F253" s="100"/>
      <c r="G253" s="100"/>
      <c r="H253" s="101"/>
    </row>
    <row r="254" spans="1:20" s="35" customFormat="1" ht="32.25" hidden="1" customHeight="1" x14ac:dyDescent="0.25">
      <c r="A254" s="54" t="s">
        <v>150</v>
      </c>
      <c r="B254" s="126" t="s">
        <v>177</v>
      </c>
      <c r="C254" s="127"/>
      <c r="D254" s="127"/>
      <c r="E254" s="127"/>
      <c r="F254" s="127"/>
      <c r="G254" s="127"/>
      <c r="H254" s="128"/>
    </row>
    <row r="255" spans="1:20" s="35" customFormat="1" hidden="1" x14ac:dyDescent="0.25">
      <c r="A255" s="58" t="s">
        <v>150</v>
      </c>
      <c r="B255" s="126" t="s">
        <v>232</v>
      </c>
      <c r="C255" s="127"/>
      <c r="D255" s="127"/>
      <c r="E255" s="127"/>
      <c r="F255" s="127"/>
      <c r="G255" s="127"/>
      <c r="H255" s="128"/>
    </row>
    <row r="256" spans="1:20" x14ac:dyDescent="0.25">
      <c r="A256" s="231" t="s">
        <v>58</v>
      </c>
      <c r="B256" s="231"/>
      <c r="C256" s="231"/>
      <c r="D256" s="231"/>
      <c r="E256" s="231"/>
      <c r="F256" s="231"/>
      <c r="G256" s="231"/>
      <c r="H256" s="231"/>
      <c r="T256" s="35"/>
    </row>
    <row r="257" spans="1:20" x14ac:dyDescent="0.25">
      <c r="A257" s="129" t="s">
        <v>59</v>
      </c>
      <c r="B257" s="129"/>
      <c r="C257" s="129"/>
      <c r="D257" s="129"/>
      <c r="E257" s="129"/>
      <c r="F257" s="129"/>
      <c r="G257" s="129"/>
      <c r="H257" s="129"/>
      <c r="T257" s="35"/>
    </row>
    <row r="258" spans="1:20" ht="15.75" customHeight="1" x14ac:dyDescent="0.25">
      <c r="A258" s="245" t="s">
        <v>60</v>
      </c>
      <c r="B258" s="245"/>
      <c r="C258" s="245"/>
      <c r="D258" s="245"/>
      <c r="E258" s="245"/>
      <c r="F258" s="245"/>
      <c r="G258" s="245"/>
      <c r="H258" s="245"/>
      <c r="T258" s="35"/>
    </row>
    <row r="259" spans="1:20" x14ac:dyDescent="0.25">
      <c r="A259" s="129" t="s">
        <v>61</v>
      </c>
      <c r="B259" s="129"/>
      <c r="C259" s="129"/>
      <c r="D259" s="129"/>
      <c r="E259" s="129"/>
      <c r="F259" s="129"/>
      <c r="G259" s="129"/>
      <c r="H259" s="129"/>
      <c r="T259" s="35"/>
    </row>
    <row r="260" spans="1:20" x14ac:dyDescent="0.25">
      <c r="A260" s="129" t="s">
        <v>62</v>
      </c>
      <c r="B260" s="129"/>
      <c r="C260" s="129"/>
      <c r="D260" s="129"/>
      <c r="E260" s="129"/>
      <c r="F260" s="129"/>
      <c r="G260" s="129"/>
      <c r="H260" s="129"/>
      <c r="T260" s="35"/>
    </row>
    <row r="261" spans="1:20" x14ac:dyDescent="0.25">
      <c r="A261" s="129" t="s">
        <v>120</v>
      </c>
      <c r="B261" s="129"/>
      <c r="C261" s="129"/>
      <c r="D261" s="129"/>
      <c r="E261" s="129"/>
      <c r="F261" s="129"/>
      <c r="G261" s="129"/>
      <c r="H261" s="129"/>
      <c r="T261" s="35"/>
    </row>
    <row r="262" spans="1:20" ht="33.950000000000003" customHeight="1" x14ac:dyDescent="0.25">
      <c r="A262" s="173" t="s">
        <v>121</v>
      </c>
      <c r="B262" s="173"/>
      <c r="C262" s="173"/>
      <c r="D262" s="173"/>
      <c r="E262" s="173"/>
      <c r="F262" s="173"/>
      <c r="G262" s="173"/>
      <c r="H262" s="173"/>
    </row>
    <row r="263" spans="1:20" x14ac:dyDescent="0.25">
      <c r="A263" s="228" t="s">
        <v>72</v>
      </c>
      <c r="B263" s="228"/>
      <c r="C263" s="228" t="s">
        <v>379</v>
      </c>
      <c r="D263" s="228"/>
      <c r="E263" s="228" t="s">
        <v>101</v>
      </c>
      <c r="F263" s="228"/>
      <c r="G263" s="228" t="s">
        <v>385</v>
      </c>
      <c r="H263" s="228"/>
    </row>
    <row r="264" spans="1:20" x14ac:dyDescent="0.25">
      <c r="A264" s="227" t="s">
        <v>74</v>
      </c>
      <c r="B264" s="227"/>
      <c r="C264" s="227"/>
      <c r="D264" s="227"/>
      <c r="E264" s="227"/>
      <c r="F264" s="227"/>
      <c r="G264" s="227"/>
      <c r="H264" s="227"/>
    </row>
    <row r="265" spans="1:20" x14ac:dyDescent="0.25">
      <c r="A265" s="227"/>
      <c r="B265" s="227"/>
      <c r="C265" s="227"/>
      <c r="D265" s="227"/>
      <c r="E265" s="227"/>
      <c r="F265" s="227"/>
      <c r="G265" s="227"/>
      <c r="H265" s="227"/>
    </row>
    <row r="266" spans="1:20" x14ac:dyDescent="0.25">
      <c r="A266" s="227"/>
      <c r="B266" s="227"/>
      <c r="C266" s="227"/>
      <c r="D266" s="227"/>
      <c r="E266" s="227"/>
      <c r="F266" s="227"/>
      <c r="G266" s="227"/>
      <c r="H266" s="227"/>
    </row>
    <row r="267" spans="1:20" x14ac:dyDescent="0.25">
      <c r="A267" s="227"/>
      <c r="B267" s="227"/>
      <c r="C267" s="227"/>
      <c r="D267" s="227"/>
      <c r="E267" s="227"/>
      <c r="F267" s="227"/>
      <c r="G267" s="227"/>
      <c r="H267" s="227"/>
    </row>
    <row r="268" spans="1:20" x14ac:dyDescent="0.25">
      <c r="A268" s="38" t="s">
        <v>63</v>
      </c>
      <c r="B268" s="39"/>
      <c r="C268" s="39"/>
      <c r="D268" s="38" t="str">
        <f>E8</f>
        <v>Edmont - Aurelia</v>
      </c>
      <c r="F268" s="39"/>
      <c r="G268" s="39"/>
      <c r="H268" s="39"/>
    </row>
    <row r="269" spans="1:20" x14ac:dyDescent="0.25">
      <c r="A269" s="39"/>
      <c r="B269" s="39"/>
      <c r="C269" s="39"/>
      <c r="D269" s="39"/>
      <c r="E269" s="39"/>
      <c r="F269" s="39"/>
      <c r="G269" s="39"/>
      <c r="H269" s="39"/>
    </row>
    <row r="270" spans="1:20" x14ac:dyDescent="0.25">
      <c r="A270" s="39"/>
      <c r="B270" s="39"/>
      <c r="C270" s="39"/>
      <c r="D270" s="39"/>
      <c r="E270" s="39"/>
      <c r="F270" s="39"/>
      <c r="G270" s="39"/>
      <c r="H270" s="39"/>
    </row>
    <row r="271" spans="1:20" ht="15" customHeight="1" x14ac:dyDescent="0.25"/>
    <row r="312" spans="1:1" x14ac:dyDescent="0.25">
      <c r="A312" s="41" t="s">
        <v>161</v>
      </c>
    </row>
    <row r="345" spans="1:1" x14ac:dyDescent="0.25">
      <c r="A345" s="41" t="s">
        <v>64</v>
      </c>
    </row>
  </sheetData>
  <mergeCells count="430">
    <mergeCell ref="C49:E49"/>
    <mergeCell ref="G49:H49"/>
    <mergeCell ref="G51:H51"/>
    <mergeCell ref="G50:H50"/>
    <mergeCell ref="A51:B52"/>
    <mergeCell ref="C52:H52"/>
    <mergeCell ref="I14:P14"/>
    <mergeCell ref="F110:H110"/>
    <mergeCell ref="F108:H108"/>
    <mergeCell ref="E42:H42"/>
    <mergeCell ref="A42:D42"/>
    <mergeCell ref="A49:B49"/>
    <mergeCell ref="A53:B54"/>
    <mergeCell ref="C53:E53"/>
    <mergeCell ref="G53:H53"/>
    <mergeCell ref="A55:B56"/>
    <mergeCell ref="C55:E55"/>
    <mergeCell ref="G55:H55"/>
    <mergeCell ref="A57:B58"/>
    <mergeCell ref="C57:E57"/>
    <mergeCell ref="G57:H57"/>
    <mergeCell ref="C51:E51"/>
    <mergeCell ref="C50:E50"/>
    <mergeCell ref="A50:B50"/>
    <mergeCell ref="A59:B59"/>
    <mergeCell ref="C59:E59"/>
    <mergeCell ref="D61:H61"/>
    <mergeCell ref="F109:H109"/>
    <mergeCell ref="E114:F114"/>
    <mergeCell ref="A114:B114"/>
    <mergeCell ref="C118:D118"/>
    <mergeCell ref="D69:H69"/>
    <mergeCell ref="A70:C70"/>
    <mergeCell ref="A81:B81"/>
    <mergeCell ref="A62:C62"/>
    <mergeCell ref="D62:H62"/>
    <mergeCell ref="G59:H59"/>
    <mergeCell ref="A64:C64"/>
    <mergeCell ref="D64:H64"/>
    <mergeCell ref="A60:H60"/>
    <mergeCell ref="A61:C61"/>
    <mergeCell ref="A261:H261"/>
    <mergeCell ref="A258:H258"/>
    <mergeCell ref="A219:B219"/>
    <mergeCell ref="A118:B118"/>
    <mergeCell ref="D148:D149"/>
    <mergeCell ref="E148:E149"/>
    <mergeCell ref="A96:B96"/>
    <mergeCell ref="F101:H101"/>
    <mergeCell ref="G115:H115"/>
    <mergeCell ref="A99:B99"/>
    <mergeCell ref="F107:H107"/>
    <mergeCell ref="C114:D114"/>
    <mergeCell ref="C120:D120"/>
    <mergeCell ref="A213:H213"/>
    <mergeCell ref="A228:B228"/>
    <mergeCell ref="A257:H257"/>
    <mergeCell ref="F100:H100"/>
    <mergeCell ref="A152:B152"/>
    <mergeCell ref="A153:B153"/>
    <mergeCell ref="A154:B154"/>
    <mergeCell ref="A155:B155"/>
    <mergeCell ref="A156:B156"/>
    <mergeCell ref="A157:B157"/>
    <mergeCell ref="A186:H186"/>
    <mergeCell ref="A106:E106"/>
    <mergeCell ref="F106:H106"/>
    <mergeCell ref="A108:E108"/>
    <mergeCell ref="F103:H103"/>
    <mergeCell ref="A107:E107"/>
    <mergeCell ref="A147:H147"/>
    <mergeCell ref="E118:F118"/>
    <mergeCell ref="A122:H122"/>
    <mergeCell ref="A148:A149"/>
    <mergeCell ref="F148:F149"/>
    <mergeCell ref="A123:H123"/>
    <mergeCell ref="G114:H114"/>
    <mergeCell ref="A109:E109"/>
    <mergeCell ref="A144:B144"/>
    <mergeCell ref="B254:H254"/>
    <mergeCell ref="A121:B121"/>
    <mergeCell ref="C121:D121"/>
    <mergeCell ref="E121:F121"/>
    <mergeCell ref="B253:H253"/>
    <mergeCell ref="B249:H249"/>
    <mergeCell ref="D70:H70"/>
    <mergeCell ref="A76:B76"/>
    <mergeCell ref="G75:H75"/>
    <mergeCell ref="C88:H88"/>
    <mergeCell ref="A89:B89"/>
    <mergeCell ref="A110:E110"/>
    <mergeCell ref="A116:B116"/>
    <mergeCell ref="C116:D116"/>
    <mergeCell ref="B250:H250"/>
    <mergeCell ref="A233:B233"/>
    <mergeCell ref="A222:B222"/>
    <mergeCell ref="A215:B215"/>
    <mergeCell ref="A216:B216"/>
    <mergeCell ref="A217:B217"/>
    <mergeCell ref="C124:C125"/>
    <mergeCell ref="B148:B149"/>
    <mergeCell ref="F105:H105"/>
    <mergeCell ref="A214:B214"/>
    <mergeCell ref="A264:H267"/>
    <mergeCell ref="A263:B263"/>
    <mergeCell ref="E263:F263"/>
    <mergeCell ref="C263:D263"/>
    <mergeCell ref="G263:H263"/>
    <mergeCell ref="A113:H113"/>
    <mergeCell ref="A111:E111"/>
    <mergeCell ref="F111:H111"/>
    <mergeCell ref="A112:E112"/>
    <mergeCell ref="F112:H112"/>
    <mergeCell ref="A218:H218"/>
    <mergeCell ref="A119:B119"/>
    <mergeCell ref="A227:B227"/>
    <mergeCell ref="A115:B115"/>
    <mergeCell ref="A259:H259"/>
    <mergeCell ref="A117:H117"/>
    <mergeCell ref="A262:H262"/>
    <mergeCell ref="A260:H260"/>
    <mergeCell ref="A256:H256"/>
    <mergeCell ref="G118:H118"/>
    <mergeCell ref="A229:B229"/>
    <mergeCell ref="G120:H120"/>
    <mergeCell ref="E116:F116"/>
    <mergeCell ref="G116:H116"/>
    <mergeCell ref="A1:H1"/>
    <mergeCell ref="A2:H2"/>
    <mergeCell ref="A3:D3"/>
    <mergeCell ref="E3:H3"/>
    <mergeCell ref="A8:D8"/>
    <mergeCell ref="E8:H8"/>
    <mergeCell ref="A9:D9"/>
    <mergeCell ref="E9:H9"/>
    <mergeCell ref="A5:D5"/>
    <mergeCell ref="E5:H5"/>
    <mergeCell ref="A6:D6"/>
    <mergeCell ref="E6:H6"/>
    <mergeCell ref="A7:D7"/>
    <mergeCell ref="E7:H7"/>
    <mergeCell ref="A4:D4"/>
    <mergeCell ref="E4:H4"/>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E26:H26"/>
    <mergeCell ref="A28:D28"/>
    <mergeCell ref="E28:H28"/>
    <mergeCell ref="A25:D25"/>
    <mergeCell ref="E25:H25"/>
    <mergeCell ref="A24:D24"/>
    <mergeCell ref="E24:H24"/>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F33:H33"/>
    <mergeCell ref="F34:H34"/>
    <mergeCell ref="A37:H37"/>
    <mergeCell ref="A36:B36"/>
    <mergeCell ref="C36:E36"/>
    <mergeCell ref="G90:H99"/>
    <mergeCell ref="A41:D41"/>
    <mergeCell ref="E41:H41"/>
    <mergeCell ref="A40:H40"/>
    <mergeCell ref="A65:C65"/>
    <mergeCell ref="A66:C66"/>
    <mergeCell ref="D65:H65"/>
    <mergeCell ref="E76:F85"/>
    <mergeCell ref="G76:H85"/>
    <mergeCell ref="A84:B84"/>
    <mergeCell ref="A85:B85"/>
    <mergeCell ref="D66:H66"/>
    <mergeCell ref="A43:D43"/>
    <mergeCell ref="E43:H43"/>
    <mergeCell ref="E44:H44"/>
    <mergeCell ref="E45:H45"/>
    <mergeCell ref="E46:H46"/>
    <mergeCell ref="C56:H56"/>
    <mergeCell ref="C58:H58"/>
    <mergeCell ref="F36:H36"/>
    <mergeCell ref="A74:B74"/>
    <mergeCell ref="A38:B38"/>
    <mergeCell ref="C38:H38"/>
    <mergeCell ref="A45:D45"/>
    <mergeCell ref="L146:M146"/>
    <mergeCell ref="L145:M145"/>
    <mergeCell ref="L144:M144"/>
    <mergeCell ref="L143:M143"/>
    <mergeCell ref="A83:B83"/>
    <mergeCell ref="C119:D119"/>
    <mergeCell ref="E119:F119"/>
    <mergeCell ref="G119:H119"/>
    <mergeCell ref="A101:E101"/>
    <mergeCell ref="A86:B86"/>
    <mergeCell ref="C86:H86"/>
    <mergeCell ref="A142:H142"/>
    <mergeCell ref="E124:E125"/>
    <mergeCell ref="A46:D46"/>
    <mergeCell ref="A47:H47"/>
    <mergeCell ref="D63:H63"/>
    <mergeCell ref="A63:C63"/>
    <mergeCell ref="A82:B82"/>
    <mergeCell ref="A44:D44"/>
    <mergeCell ref="A72:B72"/>
    <mergeCell ref="C72:H72"/>
    <mergeCell ref="A39:B39"/>
    <mergeCell ref="C39:H39"/>
    <mergeCell ref="F124:F125"/>
    <mergeCell ref="C115:D115"/>
    <mergeCell ref="E115:F115"/>
    <mergeCell ref="B124:B125"/>
    <mergeCell ref="A124:A125"/>
    <mergeCell ref="C148:C149"/>
    <mergeCell ref="G148:G149"/>
    <mergeCell ref="G121:H121"/>
    <mergeCell ref="C54:H54"/>
    <mergeCell ref="A75:B75"/>
    <mergeCell ref="A80:B80"/>
    <mergeCell ref="A67:C67"/>
    <mergeCell ref="D67:H67"/>
    <mergeCell ref="C74:H74"/>
    <mergeCell ref="A77:B77"/>
    <mergeCell ref="A79:B79"/>
    <mergeCell ref="E75:F75"/>
    <mergeCell ref="A68:C68"/>
    <mergeCell ref="D68:H68"/>
    <mergeCell ref="A71:C71"/>
    <mergeCell ref="D71:H71"/>
    <mergeCell ref="A69:C69"/>
    <mergeCell ref="A48:B48"/>
    <mergeCell ref="C48:H48"/>
    <mergeCell ref="B248:H248"/>
    <mergeCell ref="A91:B91"/>
    <mergeCell ref="A92:B92"/>
    <mergeCell ref="F102:H102"/>
    <mergeCell ref="A102:E102"/>
    <mergeCell ref="D124:D125"/>
    <mergeCell ref="A104:E104"/>
    <mergeCell ref="A95:B95"/>
    <mergeCell ref="A97:B97"/>
    <mergeCell ref="A98:B98"/>
    <mergeCell ref="A103:E103"/>
    <mergeCell ref="A100:E100"/>
    <mergeCell ref="F104:H104"/>
    <mergeCell ref="G89:H89"/>
    <mergeCell ref="A88:B88"/>
    <mergeCell ref="G124:G125"/>
    <mergeCell ref="A232:B232"/>
    <mergeCell ref="A78:B78"/>
    <mergeCell ref="A223:B223"/>
    <mergeCell ref="A220:B220"/>
    <mergeCell ref="A221:B221"/>
    <mergeCell ref="A231:B231"/>
    <mergeCell ref="A93:B93"/>
    <mergeCell ref="A94:B94"/>
    <mergeCell ref="E89:F89"/>
    <mergeCell ref="E90:F99"/>
    <mergeCell ref="B245:H245"/>
    <mergeCell ref="A239:B239"/>
    <mergeCell ref="A236:H236"/>
    <mergeCell ref="A237:B237"/>
    <mergeCell ref="L130:M130"/>
    <mergeCell ref="A131:B131"/>
    <mergeCell ref="L131:M131"/>
    <mergeCell ref="A132:B132"/>
    <mergeCell ref="L132:M132"/>
    <mergeCell ref="A139:B139"/>
    <mergeCell ref="L139:M139"/>
    <mergeCell ref="A140:B140"/>
    <mergeCell ref="L140:M140"/>
    <mergeCell ref="A133:B133"/>
    <mergeCell ref="L133:M133"/>
    <mergeCell ref="A134:B134"/>
    <mergeCell ref="L134:M134"/>
    <mergeCell ref="A135:B135"/>
    <mergeCell ref="L135:M135"/>
    <mergeCell ref="A136:B136"/>
    <mergeCell ref="B255:H255"/>
    <mergeCell ref="A105:E105"/>
    <mergeCell ref="A90:B90"/>
    <mergeCell ref="A120:B120"/>
    <mergeCell ref="E120:F120"/>
    <mergeCell ref="L218:M218"/>
    <mergeCell ref="L217:M217"/>
    <mergeCell ref="L214:M214"/>
    <mergeCell ref="L215:M215"/>
    <mergeCell ref="L216:M216"/>
    <mergeCell ref="A238:B238"/>
    <mergeCell ref="A241:B241"/>
    <mergeCell ref="A240:B240"/>
    <mergeCell ref="B243:H243"/>
    <mergeCell ref="B244:H244"/>
    <mergeCell ref="B246:H246"/>
    <mergeCell ref="B247:H247"/>
    <mergeCell ref="A242:H242"/>
    <mergeCell ref="A234:B234"/>
    <mergeCell ref="A141:H141"/>
    <mergeCell ref="A126:H126"/>
    <mergeCell ref="A150:H150"/>
    <mergeCell ref="A138:B138"/>
    <mergeCell ref="L138:M138"/>
    <mergeCell ref="L136:M136"/>
    <mergeCell ref="A137:B137"/>
    <mergeCell ref="L137:M137"/>
    <mergeCell ref="A127:H127"/>
    <mergeCell ref="A128:H128"/>
    <mergeCell ref="A129:B129"/>
    <mergeCell ref="L129:M129"/>
    <mergeCell ref="A130:B130"/>
    <mergeCell ref="A151:H151"/>
    <mergeCell ref="L151:M151"/>
    <mergeCell ref="A143:B143"/>
    <mergeCell ref="A146:B146"/>
    <mergeCell ref="A145:B145"/>
    <mergeCell ref="L179:M179"/>
    <mergeCell ref="A180:B180"/>
    <mergeCell ref="A168:B168"/>
    <mergeCell ref="A158:H158"/>
    <mergeCell ref="A159:B159"/>
    <mergeCell ref="A160:B160"/>
    <mergeCell ref="A161:B161"/>
    <mergeCell ref="A162:B162"/>
    <mergeCell ref="A163:B163"/>
    <mergeCell ref="A164:B164"/>
    <mergeCell ref="A165:H165"/>
    <mergeCell ref="A166:B166"/>
    <mergeCell ref="A167:B167"/>
    <mergeCell ref="L165:M165"/>
    <mergeCell ref="A169:B169"/>
    <mergeCell ref="A170:B170"/>
    <mergeCell ref="A171:B171"/>
    <mergeCell ref="A172:H172"/>
    <mergeCell ref="L172:M172"/>
    <mergeCell ref="A173:B173"/>
    <mergeCell ref="A174:B174"/>
    <mergeCell ref="A175:B175"/>
    <mergeCell ref="A178:B178"/>
    <mergeCell ref="A176:B176"/>
    <mergeCell ref="L204:M204"/>
    <mergeCell ref="A205:B205"/>
    <mergeCell ref="A206:B206"/>
    <mergeCell ref="A181:B181"/>
    <mergeCell ref="A182:B182"/>
    <mergeCell ref="A183:B183"/>
    <mergeCell ref="A184:B184"/>
    <mergeCell ref="A185:B185"/>
    <mergeCell ref="A195:H195"/>
    <mergeCell ref="A196:B196"/>
    <mergeCell ref="A197:B197"/>
    <mergeCell ref="A198:B198"/>
    <mergeCell ref="A187:B187"/>
    <mergeCell ref="A188:B188"/>
    <mergeCell ref="A189:B189"/>
    <mergeCell ref="A190:B190"/>
    <mergeCell ref="A191:B191"/>
    <mergeCell ref="A192:B192"/>
    <mergeCell ref="A193:B193"/>
    <mergeCell ref="A194:B194"/>
    <mergeCell ref="B251:H251"/>
    <mergeCell ref="B252:H252"/>
    <mergeCell ref="A207:B207"/>
    <mergeCell ref="A208:B208"/>
    <mergeCell ref="A209:B209"/>
    <mergeCell ref="A210:B210"/>
    <mergeCell ref="A211:B211"/>
    <mergeCell ref="A212:B212"/>
    <mergeCell ref="C170:H171"/>
    <mergeCell ref="C199:H201"/>
    <mergeCell ref="C209:H209"/>
    <mergeCell ref="A199:B199"/>
    <mergeCell ref="A200:B200"/>
    <mergeCell ref="A201:B201"/>
    <mergeCell ref="A202:B202"/>
    <mergeCell ref="A203:B203"/>
    <mergeCell ref="A204:H204"/>
    <mergeCell ref="A179:H179"/>
    <mergeCell ref="A225:B225"/>
    <mergeCell ref="A235:B235"/>
    <mergeCell ref="A230:H230"/>
    <mergeCell ref="A224:H224"/>
    <mergeCell ref="A226:B226"/>
    <mergeCell ref="A177:B177"/>
  </mergeCells>
  <dataValidations count="17">
    <dataValidation type="list" allowBlank="1" showInputMessage="1" showErrorMessage="1" sqref="A16:B16">
      <formula1>"CTS No,Survey No,Plot No,Gut No,FP No,"</formula1>
    </dataValidation>
    <dataValidation type="list" allowBlank="1" showInputMessage="1" showErrorMessage="1" sqref="G19:H19">
      <formula1>$S$12:$W$12</formula1>
    </dataValidation>
    <dataValidation type="list" allowBlank="1" showInputMessage="1" showErrorMessage="1" sqref="E124:E125">
      <formula1>"Attached Loft area,Attached Otla area,Attached Mezzanine area"</formula1>
    </dataValidation>
    <dataValidation type="list" allowBlank="1" showInputMessage="1" showErrorMessage="1" sqref="G263:H263">
      <formula1>"Kunal Kadam,Pranita Mhatre,Shruti Fule,Pooja Kawale,Gaurav Panchal,Shruti Tathare, Hitakshi Mhatre, Sachin Sawant"</formula1>
    </dataValidation>
    <dataValidation type="list" allowBlank="1" showInputMessage="1" showErrorMessage="1" sqref="F100:H100">
      <formula1>"On Saleable Area,On Builtup Area,On Carpet Area,On Plot Area"</formula1>
    </dataValidation>
    <dataValidation type="list" allowBlank="1" showInputMessage="1" showErrorMessage="1" sqref="F111:H111">
      <formula1>OFFSET($S$100,1,MATCH($G19,$S$100:$W$100,0)-1,15,1)</formula1>
    </dataValidation>
    <dataValidation type="list" allowBlank="1" showInputMessage="1" showErrorMessage="1" sqref="B124:B125">
      <formula1>"Shop No. (Sale Plan),Sale / Rehab,Sale / Mhada"</formula1>
    </dataValidation>
    <dataValidation type="list" allowBlank="1" showInputMessage="1" showErrorMessage="1" sqref="B148:B149">
      <formula1>"Flat No. (Sale Plan),Sale / Rehab,Sale / Mhada"</formula1>
    </dataValidation>
    <dataValidation type="list" allowBlank="1" showInputMessage="1" showErrorMessage="1" sqref="C20:D20">
      <formula1>OFFSET($S$12,1,MATCH($G19,$S$12:$W$12,0)-1,15,1)</formula1>
    </dataValidation>
    <dataValidation type="list" allowBlank="1" showInputMessage="1" showErrorMessage="1" sqref="Y12">
      <formula1>#REF!</formula1>
    </dataValidation>
    <dataValidation type="list" allowBlank="1" showInputMessage="1" showErrorMessage="1" sqref="E148:E149">
      <formula1>"Fungible area,Balcony Area,Chajja Area,Cornice Area,AP Area,WS Area"</formula1>
    </dataValidation>
    <dataValidation type="list" allowBlank="1" showInputMessage="1" showErrorMessage="1" sqref="H125 H149">
      <formula1>".45,.50,.55,.60"</formula1>
    </dataValidation>
    <dataValidation type="list" allowBlank="1" showInputMessage="1" showErrorMessage="1" sqref="E4:H4">
      <formula1>$L$3:$P$3</formula1>
    </dataValidation>
    <dataValidation type="list" allowBlank="1" showInputMessage="1" showErrorMessage="1" sqref="C48:H48">
      <formula1>OFFSET($S$48,1,MATCH($G19,$S$48:$W$48,0)-1,15,1)</formula1>
    </dataValidation>
    <dataValidation type="whole" allowBlank="1" showInputMessage="1" showErrorMessage="1" sqref="C81">
      <formula1>0</formula1>
      <formula2>H73</formula2>
    </dataValidation>
    <dataValidation type="list" allowBlank="1" showInputMessage="1" showErrorMessage="1" sqref="H124 H148">
      <formula1>"Saleable area Loading :,Builder Saleable Area"</formula1>
    </dataValidation>
    <dataValidation type="list" allowBlank="1" showInputMessage="1" showErrorMessage="1" sqref="D124:D125 D148:D149">
      <formula1>"Carpet area,RERA Carpet area"</formula1>
    </dataValidation>
  </dataValidations>
  <hyperlinks>
    <hyperlink ref="C39"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1" max="7" man="1"/>
    <brk id="267" max="16383" man="1"/>
    <brk id="311" max="16383" man="1"/>
    <brk id="34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G17" sqref="G17"/>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0" t="s">
        <v>102</v>
      </c>
      <c r="C3" s="270"/>
      <c r="D3" s="270"/>
      <c r="E3" s="270"/>
      <c r="F3" s="270"/>
      <c r="G3" s="270"/>
      <c r="H3" s="270"/>
    </row>
    <row r="4" spans="1:9" x14ac:dyDescent="0.25">
      <c r="A4" s="2"/>
      <c r="B4" s="3" t="s">
        <v>103</v>
      </c>
      <c r="C4" s="3" t="s">
        <v>104</v>
      </c>
      <c r="D4" s="3" t="s">
        <v>66</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5"/>
      <c r="C4" s="55" t="s">
        <v>11</v>
      </c>
      <c r="D4" s="56" t="s">
        <v>178</v>
      </c>
      <c r="E4" s="56" t="s">
        <v>188</v>
      </c>
      <c r="F4" s="56" t="s">
        <v>170</v>
      </c>
      <c r="G4" s="56" t="s">
        <v>193</v>
      </c>
      <c r="H4" s="56" t="s">
        <v>211</v>
      </c>
      <c r="J4" t="s">
        <v>193</v>
      </c>
      <c r="K4" t="s">
        <v>209</v>
      </c>
    </row>
    <row r="5" spans="2:11" x14ac:dyDescent="0.25">
      <c r="B5" s="55"/>
      <c r="C5" s="55"/>
      <c r="D5" s="56" t="s">
        <v>179</v>
      </c>
      <c r="E5" s="56" t="s">
        <v>186</v>
      </c>
      <c r="F5" s="56" t="s">
        <v>208</v>
      </c>
      <c r="G5" s="56" t="s">
        <v>194</v>
      </c>
      <c r="H5" s="56" t="s">
        <v>212</v>
      </c>
    </row>
    <row r="6" spans="2:11" x14ac:dyDescent="0.25">
      <c r="B6" s="55"/>
      <c r="C6" s="55"/>
      <c r="D6" s="56" t="s">
        <v>180</v>
      </c>
      <c r="E6" s="56" t="s">
        <v>187</v>
      </c>
      <c r="F6" s="56" t="s">
        <v>209</v>
      </c>
      <c r="G6" s="56" t="s">
        <v>195</v>
      </c>
      <c r="H6" s="56" t="s">
        <v>225</v>
      </c>
    </row>
    <row r="7" spans="2:11" x14ac:dyDescent="0.25">
      <c r="B7" s="55"/>
      <c r="C7" s="55"/>
      <c r="D7" s="56" t="s">
        <v>181</v>
      </c>
      <c r="E7" s="56" t="s">
        <v>189</v>
      </c>
      <c r="F7" s="56" t="s">
        <v>210</v>
      </c>
      <c r="G7" s="56" t="s">
        <v>196</v>
      </c>
      <c r="H7" s="56" t="s">
        <v>213</v>
      </c>
    </row>
    <row r="8" spans="2:11" x14ac:dyDescent="0.25">
      <c r="B8" s="55"/>
      <c r="C8" s="55"/>
      <c r="D8" s="56" t="s">
        <v>182</v>
      </c>
      <c r="E8" s="56" t="s">
        <v>190</v>
      </c>
      <c r="F8" s="56"/>
      <c r="G8" s="56" t="s">
        <v>197</v>
      </c>
      <c r="H8" s="56" t="s">
        <v>214</v>
      </c>
    </row>
    <row r="9" spans="2:11" x14ac:dyDescent="0.25">
      <c r="B9" s="55"/>
      <c r="C9" s="55"/>
      <c r="D9" s="56" t="s">
        <v>183</v>
      </c>
      <c r="E9" s="56" t="s">
        <v>188</v>
      </c>
      <c r="F9" s="56"/>
      <c r="G9" s="56" t="s">
        <v>198</v>
      </c>
      <c r="H9" s="56" t="s">
        <v>215</v>
      </c>
    </row>
    <row r="10" spans="2:11" x14ac:dyDescent="0.25">
      <c r="B10" s="55"/>
      <c r="C10" s="55"/>
      <c r="D10" s="56" t="s">
        <v>184</v>
      </c>
      <c r="E10" s="56" t="s">
        <v>191</v>
      </c>
      <c r="F10" s="56"/>
      <c r="G10" s="56" t="s">
        <v>199</v>
      </c>
      <c r="H10" s="56" t="s">
        <v>216</v>
      </c>
    </row>
    <row r="11" spans="2:11" x14ac:dyDescent="0.25">
      <c r="B11" s="55"/>
      <c r="C11" s="55"/>
      <c r="D11" s="56" t="s">
        <v>185</v>
      </c>
      <c r="E11" s="56" t="s">
        <v>192</v>
      </c>
      <c r="F11" s="56"/>
      <c r="G11" s="56" t="s">
        <v>200</v>
      </c>
      <c r="H11" s="56" t="s">
        <v>217</v>
      </c>
    </row>
    <row r="12" spans="2:11" x14ac:dyDescent="0.25">
      <c r="B12" s="55"/>
      <c r="C12" s="55"/>
      <c r="D12" s="56"/>
      <c r="E12" s="56"/>
      <c r="F12" s="56"/>
      <c r="G12" s="56" t="s">
        <v>201</v>
      </c>
      <c r="H12" s="56" t="s">
        <v>218</v>
      </c>
    </row>
    <row r="13" spans="2:11" x14ac:dyDescent="0.25">
      <c r="B13" s="55"/>
      <c r="C13" s="55"/>
      <c r="D13" s="56"/>
      <c r="E13" s="56"/>
      <c r="F13" s="56"/>
      <c r="G13" s="56" t="s">
        <v>202</v>
      </c>
      <c r="H13" s="56" t="s">
        <v>219</v>
      </c>
    </row>
    <row r="14" spans="2:11" x14ac:dyDescent="0.25">
      <c r="B14" s="55"/>
      <c r="C14" s="55"/>
      <c r="D14" s="56"/>
      <c r="E14" s="56"/>
      <c r="F14" s="56"/>
      <c r="G14" s="56" t="s">
        <v>203</v>
      </c>
      <c r="H14" s="56" t="s">
        <v>220</v>
      </c>
    </row>
    <row r="15" spans="2:11" x14ac:dyDescent="0.25">
      <c r="B15" s="55"/>
      <c r="C15" s="55"/>
      <c r="D15" s="56"/>
      <c r="E15" s="56"/>
      <c r="F15" s="56"/>
      <c r="G15" s="56" t="s">
        <v>204</v>
      </c>
      <c r="H15" s="56" t="s">
        <v>221</v>
      </c>
    </row>
    <row r="16" spans="2:11" x14ac:dyDescent="0.25">
      <c r="B16" s="55"/>
      <c r="C16" s="55"/>
      <c r="D16" s="56"/>
      <c r="E16" s="56"/>
      <c r="F16" s="56"/>
      <c r="G16" s="56" t="s">
        <v>205</v>
      </c>
      <c r="H16" s="56" t="s">
        <v>222</v>
      </c>
    </row>
    <row r="17" spans="2:8" x14ac:dyDescent="0.25">
      <c r="B17" s="55"/>
      <c r="C17" s="55"/>
      <c r="D17" s="56"/>
      <c r="E17" s="56"/>
      <c r="F17" s="56"/>
      <c r="G17" s="56" t="s">
        <v>206</v>
      </c>
      <c r="H17" s="56" t="s">
        <v>223</v>
      </c>
    </row>
    <row r="18" spans="2:8" x14ac:dyDescent="0.25">
      <c r="B18" s="55"/>
      <c r="C18" s="55"/>
      <c r="D18" s="56"/>
      <c r="E18" s="56"/>
      <c r="F18" s="56"/>
      <c r="G18" s="56" t="s">
        <v>207</v>
      </c>
      <c r="H18" s="56" t="s">
        <v>224</v>
      </c>
    </row>
    <row r="24" spans="2:8" x14ac:dyDescent="0.25">
      <c r="C24" t="s">
        <v>167</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167</v>
      </c>
    </row>
    <row r="33" spans="3:11" x14ac:dyDescent="0.25">
      <c r="J33">
        <v>1</v>
      </c>
      <c r="K33">
        <v>2</v>
      </c>
    </row>
    <row r="34" spans="3:11" x14ac:dyDescent="0.25">
      <c r="C34" s="59" t="s">
        <v>235</v>
      </c>
      <c r="D34" s="56" t="s">
        <v>233</v>
      </c>
      <c r="E34" s="56" t="s">
        <v>238</v>
      </c>
      <c r="F34" s="56" t="s">
        <v>236</v>
      </c>
      <c r="G34" s="56" t="s">
        <v>237</v>
      </c>
      <c r="H34" s="56" t="s">
        <v>239</v>
      </c>
      <c r="J34" t="s">
        <v>193</v>
      </c>
      <c r="K34" t="s">
        <v>209</v>
      </c>
    </row>
    <row r="35" spans="3:11" x14ac:dyDescent="0.25">
      <c r="C35" s="55" t="s">
        <v>234</v>
      </c>
      <c r="D35" s="56" t="s">
        <v>168</v>
      </c>
      <c r="E35" s="56" t="s">
        <v>243</v>
      </c>
      <c r="F35" s="56" t="s">
        <v>245</v>
      </c>
      <c r="G35" s="56" t="s">
        <v>247</v>
      </c>
      <c r="H35" s="56"/>
    </row>
    <row r="36" spans="3:11" x14ac:dyDescent="0.25">
      <c r="C36" s="55"/>
      <c r="D36" s="56" t="s">
        <v>240</v>
      </c>
      <c r="E36" s="56" t="s">
        <v>244</v>
      </c>
      <c r="F36" s="56" t="s">
        <v>246</v>
      </c>
      <c r="G36" s="56" t="s">
        <v>248</v>
      </c>
      <c r="H36" s="56"/>
    </row>
    <row r="37" spans="3:11" x14ac:dyDescent="0.25">
      <c r="C37" s="55"/>
      <c r="D37" s="56" t="s">
        <v>241</v>
      </c>
      <c r="E37" s="56"/>
      <c r="F37" s="56"/>
      <c r="G37" s="56" t="s">
        <v>249</v>
      </c>
      <c r="H37" s="56"/>
    </row>
    <row r="38" spans="3:11" x14ac:dyDescent="0.25">
      <c r="C38" s="55"/>
      <c r="D38" s="56" t="s">
        <v>242</v>
      </c>
      <c r="E38" s="56"/>
      <c r="F38" s="56"/>
      <c r="G38" s="56" t="s">
        <v>249</v>
      </c>
      <c r="H38" s="56"/>
    </row>
    <row r="39" spans="3:11" x14ac:dyDescent="0.25">
      <c r="C39" s="55"/>
      <c r="D39" s="56"/>
      <c r="E39" s="56"/>
      <c r="F39" s="56"/>
      <c r="G39" s="56" t="s">
        <v>250</v>
      </c>
      <c r="H39" s="56"/>
    </row>
    <row r="40" spans="3:11" x14ac:dyDescent="0.25">
      <c r="C40" s="55"/>
      <c r="D40" s="56"/>
      <c r="E40" s="56"/>
      <c r="F40" s="56"/>
      <c r="G40" s="56" t="s">
        <v>251</v>
      </c>
      <c r="H40" s="56"/>
    </row>
    <row r="41" spans="3:11" x14ac:dyDescent="0.25">
      <c r="C41" s="55"/>
      <c r="D41" s="56"/>
      <c r="E41" s="56"/>
      <c r="F41" s="56"/>
      <c r="G41" s="56"/>
      <c r="H41" s="56"/>
    </row>
    <row r="43" spans="3:11" x14ac:dyDescent="0.25">
      <c r="C43" t="s">
        <v>252</v>
      </c>
    </row>
    <row r="44" spans="3:11" x14ac:dyDescent="0.25">
      <c r="C44" t="s">
        <v>170</v>
      </c>
      <c r="D44" t="s">
        <v>253</v>
      </c>
    </row>
    <row r="45" spans="3:11" x14ac:dyDescent="0.25">
      <c r="D45" t="s">
        <v>254</v>
      </c>
    </row>
    <row r="46" spans="3:11" x14ac:dyDescent="0.25">
      <c r="D46" t="s">
        <v>255</v>
      </c>
    </row>
    <row r="47" spans="3:11" x14ac:dyDescent="0.25">
      <c r="D47" t="s">
        <v>256</v>
      </c>
    </row>
    <row r="48" spans="3:11" x14ac:dyDescent="0.25">
      <c r="D48" t="s">
        <v>257</v>
      </c>
    </row>
    <row r="49" spans="3:4" x14ac:dyDescent="0.25">
      <c r="C49" t="s">
        <v>178</v>
      </c>
      <c r="D49" t="s">
        <v>258</v>
      </c>
    </row>
    <row r="50" spans="3:4" x14ac:dyDescent="0.25">
      <c r="D50" t="s">
        <v>259</v>
      </c>
    </row>
    <row r="51" spans="3:4" x14ac:dyDescent="0.25">
      <c r="D51" t="s">
        <v>260</v>
      </c>
    </row>
    <row r="52" spans="3:4" x14ac:dyDescent="0.25">
      <c r="D52" t="s">
        <v>263</v>
      </c>
    </row>
    <row r="53" spans="3:4" x14ac:dyDescent="0.25">
      <c r="D53" t="s">
        <v>261</v>
      </c>
    </row>
    <row r="54" spans="3:4" x14ac:dyDescent="0.25">
      <c r="D54" t="s">
        <v>262</v>
      </c>
    </row>
    <row r="55" spans="3:4" x14ac:dyDescent="0.25">
      <c r="D55" t="s">
        <v>264</v>
      </c>
    </row>
    <row r="56" spans="3:4" x14ac:dyDescent="0.25">
      <c r="D56" t="s">
        <v>265</v>
      </c>
    </row>
    <row r="57" spans="3:4" x14ac:dyDescent="0.25">
      <c r="D57" t="s">
        <v>266</v>
      </c>
    </row>
    <row r="58" spans="3:4" x14ac:dyDescent="0.25">
      <c r="D58" t="s">
        <v>268</v>
      </c>
    </row>
    <row r="59" spans="3:4" x14ac:dyDescent="0.25">
      <c r="D59" t="s">
        <v>277</v>
      </c>
    </row>
    <row r="60" spans="3:4" x14ac:dyDescent="0.25">
      <c r="C60" t="s">
        <v>193</v>
      </c>
      <c r="D60" t="s">
        <v>269</v>
      </c>
    </row>
    <row r="61" spans="3:4" x14ac:dyDescent="0.25">
      <c r="D61" t="s">
        <v>267</v>
      </c>
    </row>
    <row r="62" spans="3:4" x14ac:dyDescent="0.25">
      <c r="D62" t="s">
        <v>257</v>
      </c>
    </row>
    <row r="63" spans="3:4" x14ac:dyDescent="0.25">
      <c r="D63" t="s">
        <v>270</v>
      </c>
    </row>
    <row r="64" spans="3:4" x14ac:dyDescent="0.25">
      <c r="D64" t="s">
        <v>271</v>
      </c>
    </row>
    <row r="65" spans="3:4" x14ac:dyDescent="0.25">
      <c r="D65" t="s">
        <v>272</v>
      </c>
    </row>
    <row r="66" spans="3:4" x14ac:dyDescent="0.25">
      <c r="D66" t="s">
        <v>273</v>
      </c>
    </row>
    <row r="67" spans="3:4" x14ac:dyDescent="0.25">
      <c r="C67" t="s">
        <v>188</v>
      </c>
      <c r="D67" t="s">
        <v>274</v>
      </c>
    </row>
    <row r="68" spans="3:4" x14ac:dyDescent="0.25">
      <c r="D68" t="s">
        <v>275</v>
      </c>
    </row>
    <row r="69" spans="3:4" x14ac:dyDescent="0.2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5" x14ac:dyDescent="0.25"/>
  <cols>
    <col min="2" max="2" width="3" bestFit="1" customWidth="1"/>
    <col min="3" max="3" width="155.28515625" customWidth="1"/>
  </cols>
  <sheetData>
    <row r="2" spans="2:3" ht="15" customHeight="1" x14ac:dyDescent="0.25">
      <c r="B2" s="60">
        <v>1</v>
      </c>
      <c r="C2" s="63" t="s">
        <v>283</v>
      </c>
    </row>
    <row r="3" spans="2:3" x14ac:dyDescent="0.25">
      <c r="B3" s="60">
        <v>2</v>
      </c>
      <c r="C3" s="61" t="s">
        <v>284</v>
      </c>
    </row>
    <row r="4" spans="2:3" x14ac:dyDescent="0.25">
      <c r="B4" s="60">
        <v>3</v>
      </c>
      <c r="C4" s="62" t="s">
        <v>285</v>
      </c>
    </row>
    <row r="5" spans="2:3" x14ac:dyDescent="0.25">
      <c r="B5" s="60">
        <v>4</v>
      </c>
      <c r="C5" s="61" t="s">
        <v>286</v>
      </c>
    </row>
    <row r="6" spans="2:3" x14ac:dyDescent="0.25">
      <c r="B6" s="60">
        <v>5</v>
      </c>
      <c r="C6" s="62" t="s">
        <v>287</v>
      </c>
    </row>
    <row r="7" spans="2:3" ht="30" x14ac:dyDescent="0.25">
      <c r="B7" s="60">
        <v>6</v>
      </c>
      <c r="C7" s="61" t="s">
        <v>288</v>
      </c>
    </row>
    <row r="8" spans="2:3" ht="75" x14ac:dyDescent="0.25">
      <c r="B8" s="60">
        <v>7</v>
      </c>
      <c r="C8" s="61" t="s">
        <v>289</v>
      </c>
    </row>
    <row r="9" spans="2:3" x14ac:dyDescent="0.25">
      <c r="B9" s="60">
        <v>8</v>
      </c>
      <c r="C9" s="62" t="s">
        <v>290</v>
      </c>
    </row>
    <row r="10" spans="2:3" x14ac:dyDescent="0.25">
      <c r="B10" s="60">
        <v>9</v>
      </c>
      <c r="C10" s="62" t="s">
        <v>291</v>
      </c>
    </row>
    <row r="11" spans="2:3" x14ac:dyDescent="0.25">
      <c r="B11" s="60">
        <v>10</v>
      </c>
      <c r="C11" s="62" t="s">
        <v>292</v>
      </c>
    </row>
    <row r="12" spans="2:3" x14ac:dyDescent="0.25">
      <c r="B12" s="60">
        <v>11</v>
      </c>
      <c r="C12" s="62" t="s">
        <v>293</v>
      </c>
    </row>
    <row r="13" spans="2:3" x14ac:dyDescent="0.25">
      <c r="B13" s="60">
        <v>12</v>
      </c>
      <c r="C13" s="62" t="s">
        <v>294</v>
      </c>
    </row>
    <row r="14" spans="2:3" x14ac:dyDescent="0.25">
      <c r="B14" s="60">
        <v>13</v>
      </c>
      <c r="C14" s="62" t="s">
        <v>295</v>
      </c>
    </row>
    <row r="15" spans="2:3" x14ac:dyDescent="0.25">
      <c r="B15" s="60">
        <v>14</v>
      </c>
      <c r="C15" s="62" t="s">
        <v>285</v>
      </c>
    </row>
    <row r="16" spans="2:3" x14ac:dyDescent="0.25">
      <c r="B16" s="60">
        <v>15</v>
      </c>
      <c r="C16" s="62" t="s">
        <v>297</v>
      </c>
    </row>
    <row r="17" spans="2:3" ht="31.5" customHeight="1" x14ac:dyDescent="0.25">
      <c r="B17" s="66">
        <v>16</v>
      </c>
      <c r="C17" s="68" t="s">
        <v>298</v>
      </c>
    </row>
    <row r="18" spans="2:3" x14ac:dyDescent="0.25">
      <c r="B18" s="67">
        <v>17</v>
      </c>
      <c r="C18" s="68" t="s">
        <v>299</v>
      </c>
    </row>
    <row r="19" spans="2:3" x14ac:dyDescent="0.25">
      <c r="B19" s="66">
        <v>18</v>
      </c>
      <c r="C19" s="60" t="s">
        <v>300</v>
      </c>
    </row>
    <row r="20" spans="2:3" x14ac:dyDescent="0.25">
      <c r="B20" s="67">
        <v>19</v>
      </c>
      <c r="C20" s="60" t="s">
        <v>301</v>
      </c>
    </row>
    <row r="21" spans="2:3" x14ac:dyDescent="0.25">
      <c r="B21" s="69">
        <v>20</v>
      </c>
      <c r="C21" s="60" t="s">
        <v>302</v>
      </c>
    </row>
    <row r="22" spans="2:3" x14ac:dyDescent="0.25">
      <c r="B22" s="67">
        <v>21</v>
      </c>
      <c r="C22" s="60" t="s">
        <v>300</v>
      </c>
    </row>
    <row r="23" spans="2:3" s="77" customFormat="1" ht="29.25" customHeight="1" x14ac:dyDescent="0.25">
      <c r="B23" s="76">
        <v>22</v>
      </c>
      <c r="C23" s="63" t="s">
        <v>329</v>
      </c>
    </row>
    <row r="24" spans="2:3" s="77" customFormat="1" ht="30.75" customHeight="1" x14ac:dyDescent="0.25">
      <c r="B24" s="78">
        <v>23</v>
      </c>
      <c r="C24" s="63" t="s">
        <v>330</v>
      </c>
    </row>
    <row r="25" spans="2:3" x14ac:dyDescent="0.25">
      <c r="B25" s="69">
        <v>24</v>
      </c>
      <c r="C25" s="60" t="s">
        <v>333</v>
      </c>
    </row>
    <row r="26" spans="2:3" x14ac:dyDescent="0.25">
      <c r="B26" s="67">
        <v>25</v>
      </c>
      <c r="C26" s="60" t="s">
        <v>331</v>
      </c>
    </row>
    <row r="27" spans="2:3" x14ac:dyDescent="0.25">
      <c r="B27" s="78">
        <v>26</v>
      </c>
      <c r="C27" s="69" t="s">
        <v>332</v>
      </c>
    </row>
    <row r="28" spans="2:3" x14ac:dyDescent="0.25">
      <c r="B28" s="79">
        <v>27</v>
      </c>
      <c r="C28" s="60"/>
    </row>
    <row r="29" spans="2:3" x14ac:dyDescent="0.25">
      <c r="B29" s="67">
        <v>28</v>
      </c>
      <c r="C29" s="60"/>
    </row>
    <row r="30" spans="2:3" x14ac:dyDescent="0.25">
      <c r="B30" s="78">
        <v>29</v>
      </c>
      <c r="C30" s="60"/>
    </row>
    <row r="31" spans="2:3" x14ac:dyDescent="0.25">
      <c r="B31" s="79">
        <v>30</v>
      </c>
      <c r="C31" s="60"/>
    </row>
    <row r="32" spans="2:3" x14ac:dyDescent="0.25">
      <c r="B32" s="67">
        <v>31</v>
      </c>
      <c r="C32" s="60"/>
    </row>
    <row r="33" spans="2:3" x14ac:dyDescent="0.25">
      <c r="B33" s="78">
        <v>32</v>
      </c>
      <c r="C33" s="60"/>
    </row>
    <row r="34" spans="2:3" x14ac:dyDescent="0.25">
      <c r="B34" s="79">
        <v>33</v>
      </c>
      <c r="C34" s="60"/>
    </row>
    <row r="35" spans="2:3" x14ac:dyDescent="0.25">
      <c r="B35" s="67">
        <v>34</v>
      </c>
      <c r="C35" s="6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RowHeight="15" x14ac:dyDescent="0.25"/>
  <cols>
    <col min="1" max="1" width="9.140625" style="55"/>
    <col min="2" max="2" width="12.28515625" style="55" customWidth="1"/>
    <col min="3" max="16384" width="9.140625" style="55"/>
  </cols>
  <sheetData>
    <row r="2" spans="1:12" x14ac:dyDescent="0.25">
      <c r="B2" s="70" t="s">
        <v>303</v>
      </c>
      <c r="C2" s="271"/>
      <c r="D2" s="271"/>
    </row>
    <row r="3" spans="1:12" x14ac:dyDescent="0.25">
      <c r="D3" s="71"/>
      <c r="E3" s="71"/>
      <c r="F3" s="71"/>
      <c r="G3" s="71"/>
      <c r="H3" s="71"/>
      <c r="I3" s="71"/>
    </row>
    <row r="4" spans="1:12" x14ac:dyDescent="0.25">
      <c r="A4" s="70" t="s">
        <v>66</v>
      </c>
      <c r="B4" s="72" t="s">
        <v>304</v>
      </c>
      <c r="C4" s="272" t="s">
        <v>305</v>
      </c>
      <c r="D4" s="272"/>
      <c r="E4" s="272"/>
      <c r="F4" s="72"/>
      <c r="G4" s="273" t="s">
        <v>306</v>
      </c>
      <c r="H4" s="273"/>
      <c r="I4" s="273"/>
      <c r="J4" s="274" t="s">
        <v>307</v>
      </c>
      <c r="K4" s="274"/>
      <c r="L4" s="274"/>
    </row>
    <row r="5" spans="1:12" x14ac:dyDescent="0.25">
      <c r="A5" s="70"/>
      <c r="B5" s="72"/>
      <c r="C5" s="72" t="s">
        <v>308</v>
      </c>
      <c r="D5" s="72" t="s">
        <v>309</v>
      </c>
      <c r="E5" s="72" t="s">
        <v>310</v>
      </c>
      <c r="F5" s="72"/>
      <c r="G5" s="72" t="s">
        <v>308</v>
      </c>
      <c r="H5" s="72" t="s">
        <v>309</v>
      </c>
      <c r="I5" s="72" t="s">
        <v>310</v>
      </c>
      <c r="J5" s="72" t="s">
        <v>308</v>
      </c>
      <c r="K5" s="72" t="s">
        <v>309</v>
      </c>
      <c r="L5" s="72" t="s">
        <v>310</v>
      </c>
    </row>
    <row r="6" spans="1:12" x14ac:dyDescent="0.25">
      <c r="B6" s="56" t="s">
        <v>311</v>
      </c>
      <c r="C6" s="56"/>
      <c r="D6" s="56"/>
      <c r="E6" s="56">
        <f>C6*D6</f>
        <v>0</v>
      </c>
      <c r="F6" s="56" t="s">
        <v>328</v>
      </c>
      <c r="G6" s="56"/>
      <c r="H6" s="56"/>
      <c r="I6" s="56">
        <f>G6*H6</f>
        <v>0</v>
      </c>
      <c r="J6" s="56"/>
      <c r="K6" s="56"/>
      <c r="L6" s="56">
        <f>J6*K6</f>
        <v>0</v>
      </c>
    </row>
    <row r="7" spans="1:12" x14ac:dyDescent="0.25">
      <c r="B7" s="56"/>
      <c r="C7" s="56"/>
      <c r="D7" s="56"/>
      <c r="E7" s="56">
        <f t="shared" ref="E7:E41" si="0">C7*D7</f>
        <v>0</v>
      </c>
      <c r="F7" s="56" t="s">
        <v>328</v>
      </c>
      <c r="G7" s="56"/>
      <c r="H7" s="56"/>
      <c r="I7" s="56">
        <f t="shared" ref="I7:I35" si="1">G7*H7</f>
        <v>0</v>
      </c>
      <c r="J7" s="56"/>
      <c r="K7" s="56"/>
      <c r="L7" s="56">
        <f t="shared" ref="L7:L35" si="2">J7*K7</f>
        <v>0</v>
      </c>
    </row>
    <row r="8" spans="1:12" x14ac:dyDescent="0.25">
      <c r="B8" s="56"/>
      <c r="C8" s="56"/>
      <c r="D8" s="56"/>
      <c r="E8" s="56">
        <f t="shared" si="0"/>
        <v>0</v>
      </c>
      <c r="F8" s="56"/>
      <c r="G8" s="56"/>
      <c r="H8" s="56"/>
      <c r="I8" s="56">
        <f t="shared" si="1"/>
        <v>0</v>
      </c>
      <c r="J8" s="56"/>
      <c r="K8" s="56"/>
      <c r="L8" s="56">
        <f t="shared" si="2"/>
        <v>0</v>
      </c>
    </row>
    <row r="9" spans="1:12" x14ac:dyDescent="0.25">
      <c r="B9" s="56"/>
      <c r="C9" s="56"/>
      <c r="D9" s="56"/>
      <c r="E9" s="56">
        <f t="shared" si="0"/>
        <v>0</v>
      </c>
      <c r="F9" s="56" t="s">
        <v>312</v>
      </c>
      <c r="G9" s="56"/>
      <c r="H9" s="56"/>
      <c r="I9" s="56">
        <f t="shared" si="1"/>
        <v>0</v>
      </c>
      <c r="J9" s="56"/>
      <c r="K9" s="56"/>
      <c r="L9" s="56">
        <f t="shared" si="2"/>
        <v>0</v>
      </c>
    </row>
    <row r="10" spans="1:12" x14ac:dyDescent="0.25">
      <c r="B10" s="56" t="s">
        <v>313</v>
      </c>
      <c r="C10" s="56"/>
      <c r="D10" s="56"/>
      <c r="E10" s="56">
        <f t="shared" si="0"/>
        <v>0</v>
      </c>
      <c r="F10" s="56" t="s">
        <v>312</v>
      </c>
      <c r="G10" s="56"/>
      <c r="H10" s="56"/>
      <c r="I10" s="56">
        <f t="shared" si="1"/>
        <v>0</v>
      </c>
      <c r="J10" s="56"/>
      <c r="K10" s="56"/>
      <c r="L10" s="56">
        <f t="shared" si="2"/>
        <v>0</v>
      </c>
    </row>
    <row r="11" spans="1:12" x14ac:dyDescent="0.25">
      <c r="B11" s="56"/>
      <c r="C11" s="56"/>
      <c r="D11" s="56"/>
      <c r="E11" s="56">
        <f t="shared" si="0"/>
        <v>0</v>
      </c>
      <c r="F11" s="56" t="s">
        <v>314</v>
      </c>
      <c r="G11" s="56"/>
      <c r="H11" s="56"/>
      <c r="I11" s="56">
        <f t="shared" si="1"/>
        <v>0</v>
      </c>
      <c r="J11" s="56"/>
      <c r="K11" s="56"/>
      <c r="L11" s="56">
        <f t="shared" si="2"/>
        <v>0</v>
      </c>
    </row>
    <row r="12" spans="1:12" x14ac:dyDescent="0.25">
      <c r="B12" s="56"/>
      <c r="C12" s="56"/>
      <c r="D12" s="56"/>
      <c r="E12" s="56">
        <f t="shared" si="0"/>
        <v>0</v>
      </c>
      <c r="F12" s="56"/>
      <c r="G12" s="56"/>
      <c r="H12" s="56"/>
      <c r="I12" s="56">
        <f t="shared" si="1"/>
        <v>0</v>
      </c>
      <c r="J12" s="56"/>
      <c r="K12" s="56"/>
      <c r="L12" s="56">
        <f t="shared" si="2"/>
        <v>0</v>
      </c>
    </row>
    <row r="13" spans="1:12" x14ac:dyDescent="0.25">
      <c r="B13" s="56"/>
      <c r="C13" s="56"/>
      <c r="D13" s="56"/>
      <c r="E13" s="56">
        <f t="shared" si="0"/>
        <v>0</v>
      </c>
      <c r="F13" s="56"/>
      <c r="G13" s="56"/>
      <c r="H13" s="56"/>
      <c r="I13" s="56">
        <f t="shared" si="1"/>
        <v>0</v>
      </c>
      <c r="J13" s="56"/>
      <c r="K13" s="56"/>
      <c r="L13" s="56">
        <f t="shared" si="2"/>
        <v>0</v>
      </c>
    </row>
    <row r="14" spans="1:12" x14ac:dyDescent="0.25">
      <c r="B14" s="56" t="s">
        <v>315</v>
      </c>
      <c r="C14" s="56"/>
      <c r="D14" s="56"/>
      <c r="E14" s="56">
        <f t="shared" si="0"/>
        <v>0</v>
      </c>
      <c r="F14" s="56" t="s">
        <v>312</v>
      </c>
      <c r="G14" s="56"/>
      <c r="H14" s="56"/>
      <c r="I14" s="56">
        <f t="shared" si="1"/>
        <v>0</v>
      </c>
      <c r="J14" s="56"/>
      <c r="K14" s="56"/>
      <c r="L14" s="56">
        <f t="shared" si="2"/>
        <v>0</v>
      </c>
    </row>
    <row r="15" spans="1:12" x14ac:dyDescent="0.25">
      <c r="B15" s="56"/>
      <c r="C15" s="56"/>
      <c r="D15" s="56"/>
      <c r="E15" s="56">
        <f t="shared" si="0"/>
        <v>0</v>
      </c>
      <c r="F15" s="56" t="s">
        <v>314</v>
      </c>
      <c r="G15" s="56"/>
      <c r="H15" s="56"/>
      <c r="I15" s="56">
        <f t="shared" si="1"/>
        <v>0</v>
      </c>
      <c r="J15" s="56"/>
      <c r="K15" s="56"/>
      <c r="L15" s="56">
        <f t="shared" si="2"/>
        <v>0</v>
      </c>
    </row>
    <row r="16" spans="1:12" x14ac:dyDescent="0.25">
      <c r="B16" s="56"/>
      <c r="C16" s="56"/>
      <c r="D16" s="56"/>
      <c r="E16" s="56">
        <f t="shared" si="0"/>
        <v>0</v>
      </c>
      <c r="F16" s="56"/>
      <c r="G16" s="56"/>
      <c r="H16" s="56"/>
      <c r="I16" s="56">
        <f t="shared" si="1"/>
        <v>0</v>
      </c>
      <c r="J16" s="56"/>
      <c r="K16" s="56"/>
      <c r="L16" s="56">
        <f t="shared" si="2"/>
        <v>0</v>
      </c>
    </row>
    <row r="17" spans="2:12" x14ac:dyDescent="0.25">
      <c r="B17" s="56"/>
      <c r="C17" s="56"/>
      <c r="D17" s="56"/>
      <c r="E17" s="56">
        <f t="shared" si="0"/>
        <v>0</v>
      </c>
      <c r="F17" s="56"/>
      <c r="G17" s="56"/>
      <c r="H17" s="56"/>
      <c r="I17" s="56">
        <f t="shared" si="1"/>
        <v>0</v>
      </c>
      <c r="J17" s="56"/>
      <c r="K17" s="56"/>
      <c r="L17" s="56">
        <f t="shared" si="2"/>
        <v>0</v>
      </c>
    </row>
    <row r="18" spans="2:12" x14ac:dyDescent="0.25">
      <c r="B18" s="56" t="s">
        <v>316</v>
      </c>
      <c r="C18" s="56"/>
      <c r="D18" s="56"/>
      <c r="E18" s="56">
        <f t="shared" si="0"/>
        <v>0</v>
      </c>
      <c r="F18" s="56" t="s">
        <v>312</v>
      </c>
      <c r="G18" s="56"/>
      <c r="H18" s="56"/>
      <c r="I18" s="56">
        <f t="shared" si="1"/>
        <v>0</v>
      </c>
      <c r="J18" s="56"/>
      <c r="K18" s="56"/>
      <c r="L18" s="56">
        <f t="shared" si="2"/>
        <v>0</v>
      </c>
    </row>
    <row r="19" spans="2:12" x14ac:dyDescent="0.25">
      <c r="B19" s="56"/>
      <c r="C19" s="56"/>
      <c r="D19" s="56"/>
      <c r="E19" s="56">
        <f t="shared" si="0"/>
        <v>0</v>
      </c>
      <c r="F19" s="56" t="s">
        <v>314</v>
      </c>
      <c r="G19" s="56"/>
      <c r="H19" s="56"/>
      <c r="I19" s="56">
        <f t="shared" si="1"/>
        <v>0</v>
      </c>
      <c r="J19" s="56"/>
      <c r="K19" s="56"/>
      <c r="L19" s="56">
        <f t="shared" si="2"/>
        <v>0</v>
      </c>
    </row>
    <row r="20" spans="2:12" x14ac:dyDescent="0.25">
      <c r="B20" s="56"/>
      <c r="C20" s="56"/>
      <c r="D20" s="56"/>
      <c r="E20" s="56">
        <f t="shared" si="0"/>
        <v>0</v>
      </c>
      <c r="F20" s="56"/>
      <c r="G20" s="56"/>
      <c r="H20" s="56"/>
      <c r="I20" s="56">
        <f t="shared" si="1"/>
        <v>0</v>
      </c>
      <c r="J20" s="56"/>
      <c r="K20" s="56"/>
      <c r="L20" s="56">
        <f t="shared" si="2"/>
        <v>0</v>
      </c>
    </row>
    <row r="21" spans="2:12" x14ac:dyDescent="0.25">
      <c r="B21" s="56" t="s">
        <v>317</v>
      </c>
      <c r="C21" s="56"/>
      <c r="D21" s="56"/>
      <c r="E21" s="56">
        <f t="shared" si="0"/>
        <v>0</v>
      </c>
      <c r="F21" s="56" t="s">
        <v>312</v>
      </c>
      <c r="G21" s="56"/>
      <c r="H21" s="56"/>
      <c r="I21" s="56">
        <f t="shared" si="1"/>
        <v>0</v>
      </c>
      <c r="J21" s="56"/>
      <c r="K21" s="56"/>
      <c r="L21" s="56">
        <f t="shared" si="2"/>
        <v>0</v>
      </c>
    </row>
    <row r="22" spans="2:12" x14ac:dyDescent="0.25">
      <c r="B22" s="56"/>
      <c r="C22" s="56"/>
      <c r="D22" s="56"/>
      <c r="E22" s="56">
        <f t="shared" si="0"/>
        <v>0</v>
      </c>
      <c r="F22" s="56" t="s">
        <v>314</v>
      </c>
      <c r="G22" s="56"/>
      <c r="H22" s="56"/>
      <c r="I22" s="56">
        <f t="shared" si="1"/>
        <v>0</v>
      </c>
      <c r="J22" s="56"/>
      <c r="K22" s="56"/>
      <c r="L22" s="56">
        <f t="shared" si="2"/>
        <v>0</v>
      </c>
    </row>
    <row r="23" spans="2:12" x14ac:dyDescent="0.25">
      <c r="B23" s="56"/>
      <c r="C23" s="56"/>
      <c r="D23" s="56"/>
      <c r="E23" s="56">
        <f t="shared" si="0"/>
        <v>0</v>
      </c>
      <c r="F23" s="56"/>
      <c r="G23" s="56"/>
      <c r="H23" s="56"/>
      <c r="I23" s="56">
        <f t="shared" si="1"/>
        <v>0</v>
      </c>
      <c r="J23" s="56"/>
      <c r="K23" s="56"/>
      <c r="L23" s="56">
        <f t="shared" si="2"/>
        <v>0</v>
      </c>
    </row>
    <row r="24" spans="2:12" x14ac:dyDescent="0.25">
      <c r="B24" s="56" t="s">
        <v>318</v>
      </c>
      <c r="C24" s="56"/>
      <c r="D24" s="56"/>
      <c r="E24" s="56">
        <f t="shared" si="0"/>
        <v>0</v>
      </c>
      <c r="F24" s="56" t="s">
        <v>319</v>
      </c>
      <c r="G24" s="56"/>
      <c r="H24" s="56"/>
      <c r="I24" s="56">
        <f t="shared" si="1"/>
        <v>0</v>
      </c>
      <c r="J24" s="56"/>
      <c r="K24" s="56"/>
      <c r="L24" s="56">
        <f t="shared" si="2"/>
        <v>0</v>
      </c>
    </row>
    <row r="25" spans="2:12" x14ac:dyDescent="0.25">
      <c r="B25" s="56"/>
      <c r="C25" s="56"/>
      <c r="D25" s="56"/>
      <c r="E25" s="56">
        <f t="shared" ref="E25:E27" si="3">C25*D25</f>
        <v>0</v>
      </c>
      <c r="F25" s="56" t="s">
        <v>319</v>
      </c>
      <c r="G25" s="56"/>
      <c r="H25" s="56"/>
      <c r="I25" s="56">
        <f t="shared" ref="I25:I27" si="4">G25*H25</f>
        <v>0</v>
      </c>
      <c r="J25" s="56"/>
      <c r="K25" s="56"/>
      <c r="L25" s="56">
        <f t="shared" ref="L25:L27" si="5">J25*K25</f>
        <v>0</v>
      </c>
    </row>
    <row r="26" spans="2:12" x14ac:dyDescent="0.25">
      <c r="B26" s="56"/>
      <c r="C26" s="56"/>
      <c r="D26" s="56"/>
      <c r="E26" s="56">
        <f t="shared" si="3"/>
        <v>0</v>
      </c>
      <c r="F26" s="56" t="s">
        <v>319</v>
      </c>
      <c r="G26" s="56"/>
      <c r="H26" s="56"/>
      <c r="I26" s="56">
        <f t="shared" si="4"/>
        <v>0</v>
      </c>
      <c r="J26" s="56"/>
      <c r="K26" s="56"/>
      <c r="L26" s="56">
        <f t="shared" si="5"/>
        <v>0</v>
      </c>
    </row>
    <row r="27" spans="2:12" x14ac:dyDescent="0.25">
      <c r="B27" s="56"/>
      <c r="C27" s="56"/>
      <c r="D27" s="56"/>
      <c r="E27" s="56">
        <f t="shared" si="3"/>
        <v>0</v>
      </c>
      <c r="F27" s="56" t="s">
        <v>319</v>
      </c>
      <c r="G27" s="56"/>
      <c r="H27" s="56"/>
      <c r="I27" s="56">
        <f t="shared" si="4"/>
        <v>0</v>
      </c>
      <c r="J27" s="56"/>
      <c r="K27" s="56"/>
      <c r="L27" s="56">
        <f t="shared" si="5"/>
        <v>0</v>
      </c>
    </row>
    <row r="28" spans="2:12" x14ac:dyDescent="0.25">
      <c r="B28" s="56" t="s">
        <v>320</v>
      </c>
      <c r="C28" s="56"/>
      <c r="D28" s="56"/>
      <c r="E28" s="56">
        <f t="shared" si="0"/>
        <v>0</v>
      </c>
      <c r="F28" s="56" t="s">
        <v>319</v>
      </c>
      <c r="G28" s="56"/>
      <c r="H28" s="56"/>
      <c r="I28" s="56">
        <f t="shared" si="1"/>
        <v>0</v>
      </c>
      <c r="J28" s="56"/>
      <c r="K28" s="56"/>
      <c r="L28" s="56">
        <f t="shared" si="2"/>
        <v>0</v>
      </c>
    </row>
    <row r="29" spans="2:12" x14ac:dyDescent="0.25">
      <c r="B29" s="56" t="s">
        <v>321</v>
      </c>
      <c r="C29" s="56"/>
      <c r="D29" s="56"/>
      <c r="E29" s="56">
        <f t="shared" si="0"/>
        <v>0</v>
      </c>
      <c r="F29" s="56" t="s">
        <v>319</v>
      </c>
      <c r="G29" s="56"/>
      <c r="H29" s="56"/>
      <c r="I29" s="56">
        <f t="shared" si="1"/>
        <v>0</v>
      </c>
      <c r="J29" s="56"/>
      <c r="K29" s="56"/>
      <c r="L29" s="56">
        <f t="shared" si="2"/>
        <v>0</v>
      </c>
    </row>
    <row r="30" spans="2:12" x14ac:dyDescent="0.25">
      <c r="B30" s="56" t="s">
        <v>325</v>
      </c>
      <c r="C30" s="56"/>
      <c r="D30" s="56"/>
      <c r="E30" s="56">
        <f t="shared" si="0"/>
        <v>0</v>
      </c>
      <c r="F30" s="56"/>
      <c r="G30" s="56"/>
      <c r="H30" s="56"/>
      <c r="I30" s="56">
        <f t="shared" si="1"/>
        <v>0</v>
      </c>
      <c r="J30" s="56"/>
      <c r="K30" s="56"/>
      <c r="L30" s="56">
        <f t="shared" si="2"/>
        <v>0</v>
      </c>
    </row>
    <row r="31" spans="2:12" x14ac:dyDescent="0.25">
      <c r="B31" s="56"/>
      <c r="C31" s="56"/>
      <c r="D31" s="56"/>
      <c r="E31" s="56">
        <f t="shared" ref="E31:E32" si="6">C31*D31</f>
        <v>0</v>
      </c>
      <c r="F31" s="56"/>
      <c r="G31" s="56"/>
      <c r="H31" s="56"/>
      <c r="I31" s="56">
        <f t="shared" ref="I31:I32" si="7">G31*H31</f>
        <v>0</v>
      </c>
      <c r="J31" s="56"/>
      <c r="K31" s="56"/>
      <c r="L31" s="56">
        <f t="shared" ref="L31:L32" si="8">J31*K31</f>
        <v>0</v>
      </c>
    </row>
    <row r="32" spans="2:12" x14ac:dyDescent="0.25">
      <c r="B32" s="56"/>
      <c r="C32" s="56"/>
      <c r="D32" s="56"/>
      <c r="E32" s="56">
        <f t="shared" si="6"/>
        <v>0</v>
      </c>
      <c r="F32" s="56"/>
      <c r="G32" s="56"/>
      <c r="H32" s="56"/>
      <c r="I32" s="56">
        <f t="shared" si="7"/>
        <v>0</v>
      </c>
      <c r="J32" s="56"/>
      <c r="K32" s="56"/>
      <c r="L32" s="56">
        <f t="shared" si="8"/>
        <v>0</v>
      </c>
    </row>
    <row r="33" spans="2:12" x14ac:dyDescent="0.25">
      <c r="B33" s="56" t="s">
        <v>322</v>
      </c>
      <c r="C33" s="56"/>
      <c r="D33" s="56"/>
      <c r="E33" s="56">
        <f t="shared" si="0"/>
        <v>0</v>
      </c>
      <c r="F33" s="56"/>
      <c r="G33" s="56"/>
      <c r="H33" s="56"/>
      <c r="I33" s="56">
        <f t="shared" si="1"/>
        <v>0</v>
      </c>
      <c r="J33" s="56"/>
      <c r="K33" s="56"/>
      <c r="L33" s="56">
        <f t="shared" si="2"/>
        <v>0</v>
      </c>
    </row>
    <row r="34" spans="2:12" x14ac:dyDescent="0.25">
      <c r="B34" s="56" t="s">
        <v>326</v>
      </c>
      <c r="C34" s="56"/>
      <c r="D34" s="56"/>
      <c r="E34" s="56">
        <f t="shared" si="0"/>
        <v>0</v>
      </c>
      <c r="F34" s="56"/>
      <c r="G34" s="56"/>
      <c r="H34" s="56"/>
      <c r="I34" s="56">
        <f t="shared" si="1"/>
        <v>0</v>
      </c>
      <c r="J34" s="56"/>
      <c r="K34" s="56"/>
      <c r="L34" s="56">
        <f t="shared" si="2"/>
        <v>0</v>
      </c>
    </row>
    <row r="35" spans="2:12" x14ac:dyDescent="0.25">
      <c r="B35" s="56" t="s">
        <v>323</v>
      </c>
      <c r="C35" s="56"/>
      <c r="D35" s="56"/>
      <c r="E35" s="56">
        <f t="shared" si="0"/>
        <v>0</v>
      </c>
      <c r="F35" s="56"/>
      <c r="G35" s="56"/>
      <c r="H35" s="56"/>
      <c r="I35" s="56">
        <f t="shared" si="1"/>
        <v>0</v>
      </c>
      <c r="J35" s="56"/>
      <c r="K35" s="56"/>
      <c r="L35" s="56">
        <f t="shared" si="2"/>
        <v>0</v>
      </c>
    </row>
    <row r="36" spans="2:12" x14ac:dyDescent="0.25">
      <c r="B36" s="56" t="s">
        <v>324</v>
      </c>
      <c r="C36" s="56"/>
      <c r="D36" s="56"/>
      <c r="E36" s="56">
        <f t="shared" si="0"/>
        <v>0</v>
      </c>
      <c r="F36" s="56"/>
      <c r="G36" s="56"/>
      <c r="H36" s="56"/>
      <c r="I36" s="56">
        <f>G36*H36</f>
        <v>0</v>
      </c>
      <c r="J36" s="56"/>
      <c r="K36" s="56"/>
      <c r="L36" s="56">
        <f>J36*K36</f>
        <v>0</v>
      </c>
    </row>
    <row r="37" spans="2:12" x14ac:dyDescent="0.25">
      <c r="B37" s="56"/>
      <c r="C37" s="56"/>
      <c r="D37" s="56"/>
      <c r="E37" s="56">
        <f t="shared" ref="E37:E38" si="9">C37*D37</f>
        <v>0</v>
      </c>
      <c r="F37" s="56"/>
      <c r="G37" s="56"/>
      <c r="H37" s="56"/>
      <c r="I37" s="56">
        <f t="shared" ref="I37:I38" si="10">G37*H37</f>
        <v>0</v>
      </c>
      <c r="J37" s="56"/>
      <c r="K37" s="56"/>
      <c r="L37" s="56">
        <f t="shared" ref="L37:L38" si="11">J37*K37</f>
        <v>0</v>
      </c>
    </row>
    <row r="38" spans="2:12" x14ac:dyDescent="0.25">
      <c r="B38" s="56" t="s">
        <v>327</v>
      </c>
      <c r="C38" s="56"/>
      <c r="D38" s="56"/>
      <c r="E38" s="56">
        <f t="shared" si="9"/>
        <v>0</v>
      </c>
      <c r="F38" s="56"/>
      <c r="G38" s="56"/>
      <c r="H38" s="56"/>
      <c r="I38" s="56">
        <f t="shared" si="10"/>
        <v>0</v>
      </c>
      <c r="J38" s="56"/>
      <c r="K38" s="56"/>
      <c r="L38" s="56">
        <f t="shared" si="11"/>
        <v>0</v>
      </c>
    </row>
    <row r="39" spans="2:12" x14ac:dyDescent="0.25">
      <c r="B39" s="56"/>
      <c r="C39" s="56"/>
      <c r="D39" s="56"/>
      <c r="E39" s="56">
        <f t="shared" si="0"/>
        <v>0</v>
      </c>
      <c r="F39" s="56"/>
      <c r="G39" s="56"/>
      <c r="H39" s="56"/>
      <c r="I39" s="56">
        <f>G39*H39</f>
        <v>0</v>
      </c>
      <c r="J39" s="56"/>
      <c r="K39" s="56"/>
      <c r="L39" s="56">
        <f>J39*K39</f>
        <v>0</v>
      </c>
    </row>
    <row r="40" spans="2:12" x14ac:dyDescent="0.25">
      <c r="B40" s="56"/>
      <c r="C40" s="56"/>
      <c r="D40" s="56"/>
      <c r="E40" s="56">
        <f t="shared" si="0"/>
        <v>0</v>
      </c>
      <c r="F40" s="56"/>
      <c r="G40" s="56"/>
      <c r="H40" s="56"/>
      <c r="I40" s="56">
        <f>G40*H40</f>
        <v>0</v>
      </c>
      <c r="J40" s="56"/>
      <c r="K40" s="56"/>
      <c r="L40" s="56">
        <f>J40*K40</f>
        <v>0</v>
      </c>
    </row>
    <row r="41" spans="2:12" x14ac:dyDescent="0.25">
      <c r="B41" s="56"/>
      <c r="C41" s="56"/>
      <c r="D41" s="56"/>
      <c r="E41" s="56">
        <f t="shared" si="0"/>
        <v>0</v>
      </c>
      <c r="F41" s="56"/>
      <c r="G41" s="56"/>
      <c r="H41" s="56"/>
      <c r="I41" s="56">
        <f>G41*H41</f>
        <v>0</v>
      </c>
      <c r="J41" s="56"/>
      <c r="K41" s="56"/>
      <c r="L41" s="56">
        <f>J41*K41</f>
        <v>0</v>
      </c>
    </row>
    <row r="42" spans="2:12" x14ac:dyDescent="0.25">
      <c r="B42" s="56" t="s">
        <v>147</v>
      </c>
      <c r="C42" s="56"/>
      <c r="D42" s="56">
        <f>E42*10.764</f>
        <v>0</v>
      </c>
      <c r="E42" s="75">
        <f>SUM(E6:E41)</f>
        <v>0</v>
      </c>
      <c r="F42" s="56"/>
      <c r="G42" s="56"/>
      <c r="H42" s="56">
        <f>I42*10.764</f>
        <v>0</v>
      </c>
      <c r="I42" s="74">
        <f>SUM(I6:I41)</f>
        <v>0</v>
      </c>
      <c r="J42" s="56"/>
      <c r="K42" s="56">
        <f>L42*10.764</f>
        <v>0</v>
      </c>
      <c r="L42" s="73">
        <f>SUM(L6:L41)</f>
        <v>0</v>
      </c>
    </row>
    <row r="44" spans="2:12" x14ac:dyDescent="0.25">
      <c r="D44" s="55">
        <f>D42+H42</f>
        <v>0</v>
      </c>
      <c r="E44" s="5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2025-07-21T12:57:44Z</cp:lastPrinted>
  <dcterms:created xsi:type="dcterms:W3CDTF">2019-07-16T09:29:46Z</dcterms:created>
  <dcterms:modified xsi:type="dcterms:W3CDTF">2025-07-21T13:02:27Z</dcterms:modified>
</cp:coreProperties>
</file>