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D:\Gaurav\July 25\OLD\GHF\"/>
    </mc:Choice>
  </mc:AlternateContent>
  <xr:revisionPtr revIDLastSave="0" documentId="13_ncr:1_{5B7367DB-0DE6-4FAE-862A-BABC52C063DD}" xr6:coauthVersionLast="36" xr6:coauthVersionMax="36" xr10:uidLastSave="{00000000-0000-0000-0000-000000000000}"/>
  <bookViews>
    <workbookView xWindow="0" yWindow="0" windowWidth="20490" windowHeight="7125" xr2:uid="{00000000-000D-0000-FFFF-FFFF00000000}"/>
  </bookViews>
  <sheets>
    <sheet name="Report" sheetId="3" r:id="rId1"/>
    <sheet name="Construction table" sheetId="4" r:id="rId2"/>
  </sheets>
  <definedNames>
    <definedName name="_xlnm.Print_Area" localSheetId="0">Report!$A$1:$H$351</definedName>
  </definedNames>
  <calcPr calcId="191029"/>
</workbook>
</file>

<file path=xl/calcChain.xml><?xml version="1.0" encoding="utf-8"?>
<calcChain xmlns="http://schemas.openxmlformats.org/spreadsheetml/2006/main">
  <c r="C71" i="3" l="1"/>
  <c r="C72" i="3" s="1"/>
  <c r="C73" i="3" s="1"/>
  <c r="I2" i="3"/>
  <c r="D225" i="3" l="1"/>
  <c r="D223" i="3"/>
  <c r="G119" i="3"/>
  <c r="G118" i="3"/>
  <c r="F176" i="3" l="1"/>
  <c r="E176" i="3"/>
  <c r="F175" i="3"/>
  <c r="E175" i="3"/>
  <c r="F174" i="3"/>
  <c r="E174" i="3"/>
  <c r="F173" i="3"/>
  <c r="E173" i="3"/>
  <c r="F172" i="3"/>
  <c r="E172" i="3"/>
  <c r="F171" i="3"/>
  <c r="E171" i="3"/>
  <c r="F170" i="3"/>
  <c r="E170" i="3"/>
  <c r="F169" i="3"/>
  <c r="E169" i="3"/>
  <c r="F165" i="3"/>
  <c r="E165" i="3"/>
  <c r="F164" i="3"/>
  <c r="E164" i="3"/>
  <c r="F163" i="3"/>
  <c r="E163" i="3"/>
  <c r="F162" i="3"/>
  <c r="E162" i="3"/>
  <c r="F161" i="3"/>
  <c r="E161" i="3"/>
  <c r="F160" i="3"/>
  <c r="E160" i="3"/>
  <c r="E155" i="3"/>
  <c r="H155" i="3" s="1"/>
  <c r="E154" i="3"/>
  <c r="H154" i="3" s="1"/>
  <c r="E153" i="3"/>
  <c r="H153" i="3" s="1"/>
  <c r="E152" i="3"/>
  <c r="H152" i="3" s="1"/>
  <c r="E151" i="3"/>
  <c r="H151" i="3" s="1"/>
  <c r="E150" i="3"/>
  <c r="H150" i="3" s="1"/>
  <c r="E147" i="3"/>
  <c r="H147" i="3" s="1"/>
  <c r="E146" i="3"/>
  <c r="H146" i="3" s="1"/>
  <c r="E145" i="3"/>
  <c r="H145" i="3" s="1"/>
  <c r="E144" i="3"/>
  <c r="H144" i="3" s="1"/>
  <c r="E143" i="3"/>
  <c r="H143" i="3" s="1"/>
  <c r="E142" i="3"/>
  <c r="H142" i="3" s="1"/>
  <c r="E140" i="3"/>
  <c r="H140" i="3" s="1"/>
  <c r="E139" i="3"/>
  <c r="H139" i="3" s="1"/>
  <c r="E138" i="3"/>
  <c r="H138" i="3" s="1"/>
  <c r="E137" i="3"/>
  <c r="H137" i="3" s="1"/>
  <c r="E136" i="3"/>
  <c r="H136" i="3" s="1"/>
  <c r="E135" i="3"/>
  <c r="H135" i="3" s="1"/>
  <c r="J134" i="3"/>
  <c r="A151" i="3"/>
  <c r="A152" i="3" s="1"/>
  <c r="A153" i="3" s="1"/>
  <c r="A154" i="3" s="1"/>
  <c r="A155" i="3" s="1"/>
  <c r="A143" i="3"/>
  <c r="A144" i="3" s="1"/>
  <c r="A145" i="3" s="1"/>
  <c r="A146" i="3" s="1"/>
  <c r="A147" i="3" s="1"/>
  <c r="A136" i="3"/>
  <c r="A137" i="3" s="1"/>
  <c r="A138" i="3" s="1"/>
  <c r="A139" i="3" s="1"/>
  <c r="A140" i="3" s="1"/>
  <c r="U169" i="3"/>
  <c r="U160" i="3"/>
  <c r="V169" i="3"/>
  <c r="V160" i="3"/>
  <c r="H160" i="3" l="1"/>
  <c r="H164" i="3"/>
  <c r="H171" i="3"/>
  <c r="H175" i="3"/>
  <c r="H161" i="3"/>
  <c r="H172" i="3"/>
  <c r="H162" i="3"/>
  <c r="H173" i="3"/>
  <c r="H170" i="3"/>
  <c r="H165" i="3"/>
  <c r="H176" i="3"/>
  <c r="E123" i="3"/>
  <c r="E124" i="3" s="1"/>
  <c r="E127" i="3"/>
  <c r="E128" i="3" s="1"/>
  <c r="G123" i="3"/>
  <c r="G124" i="3" s="1"/>
  <c r="H174" i="3"/>
  <c r="H169" i="3"/>
  <c r="H163" i="3"/>
  <c r="T169" i="3"/>
  <c r="A169" i="3" s="1"/>
  <c r="U170" i="3"/>
  <c r="V170" i="3"/>
  <c r="V171" i="3" s="1"/>
  <c r="V172" i="3" s="1"/>
  <c r="V173" i="3" s="1"/>
  <c r="V174" i="3" s="1"/>
  <c r="V175" i="3" s="1"/>
  <c r="V176" i="3" s="1"/>
  <c r="T160" i="3"/>
  <c r="A160" i="3" s="1"/>
  <c r="U161" i="3"/>
  <c r="V161" i="3"/>
  <c r="V162" i="3" s="1"/>
  <c r="V163" i="3" s="1"/>
  <c r="V164" i="3" s="1"/>
  <c r="V165" i="3" s="1"/>
  <c r="V166" i="3" s="1"/>
  <c r="V167" i="3" s="1"/>
  <c r="C26" i="3"/>
  <c r="C18" i="3"/>
  <c r="H212" i="3"/>
  <c r="H211" i="3"/>
  <c r="H210" i="3"/>
  <c r="H209" i="3"/>
  <c r="H208" i="3"/>
  <c r="H207" i="3"/>
  <c r="H206" i="3"/>
  <c r="H205" i="3"/>
  <c r="H203" i="3"/>
  <c r="H202" i="3"/>
  <c r="H201" i="3"/>
  <c r="H200" i="3"/>
  <c r="H199" i="3"/>
  <c r="H198" i="3"/>
  <c r="H197" i="3"/>
  <c r="H196" i="3"/>
  <c r="H194" i="3"/>
  <c r="H193" i="3"/>
  <c r="H192" i="3"/>
  <c r="H191" i="3"/>
  <c r="H190" i="3"/>
  <c r="H189" i="3"/>
  <c r="H188" i="3"/>
  <c r="H187" i="3"/>
  <c r="H128" i="3"/>
  <c r="H179" i="3"/>
  <c r="H180" i="3"/>
  <c r="H181" i="3"/>
  <c r="H182" i="3"/>
  <c r="H183" i="3"/>
  <c r="H184" i="3"/>
  <c r="H185" i="3"/>
  <c r="H178" i="3"/>
  <c r="E129" i="3" l="1"/>
  <c r="G127" i="3"/>
  <c r="G128" i="3" s="1"/>
  <c r="G129" i="3" s="1"/>
  <c r="T170" i="3"/>
  <c r="A170" i="3" s="1"/>
  <c r="U171" i="3"/>
  <c r="T161" i="3"/>
  <c r="A161" i="3" s="1"/>
  <c r="U162" i="3"/>
  <c r="A97" i="3"/>
  <c r="D98" i="3" s="1"/>
  <c r="J107" i="3" s="1"/>
  <c r="A81" i="3"/>
  <c r="D82" i="3" s="1"/>
  <c r="A65" i="3"/>
  <c r="D66" i="3" s="1"/>
  <c r="T171" i="3" l="1"/>
  <c r="A171" i="3" s="1"/>
  <c r="U172" i="3"/>
  <c r="T162" i="3"/>
  <c r="A162" i="3" s="1"/>
  <c r="U163" i="3"/>
  <c r="J106" i="3"/>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H82" i="3"/>
  <c r="I5" i="4"/>
  <c r="F38" i="4" l="1"/>
  <c r="G38" i="4"/>
  <c r="T172" i="3"/>
  <c r="A172" i="3" s="1"/>
  <c r="U173" i="3"/>
  <c r="U164" i="3"/>
  <c r="T163" i="3"/>
  <c r="A163" i="3" s="1"/>
  <c r="E18" i="4"/>
  <c r="E15" i="4"/>
  <c r="E17" i="4"/>
  <c r="E11" i="4"/>
  <c r="K6" i="4"/>
  <c r="E9" i="4"/>
  <c r="K8" i="4"/>
  <c r="C7" i="4" s="1"/>
  <c r="E14" i="4"/>
  <c r="E12" i="4"/>
  <c r="E16" i="4"/>
  <c r="E10" i="4"/>
  <c r="K9" i="4"/>
  <c r="K10" i="4" s="1"/>
  <c r="K11" i="4" s="1"/>
  <c r="E13" i="4"/>
  <c r="K7" i="4"/>
  <c r="J91" i="3"/>
  <c r="J90" i="3"/>
  <c r="T173" i="3" l="1"/>
  <c r="A173" i="3" s="1"/>
  <c r="U174" i="3"/>
  <c r="T164" i="3"/>
  <c r="A164" i="3" s="1"/>
  <c r="U165" i="3"/>
  <c r="K12" i="4"/>
  <c r="K16" i="4" s="1"/>
  <c r="C8" i="4" s="1"/>
  <c r="E8" i="4" s="1"/>
  <c r="E7" i="4"/>
  <c r="A179" i="3"/>
  <c r="A180" i="3" s="1"/>
  <c r="A181" i="3" s="1"/>
  <c r="A182" i="3" s="1"/>
  <c r="A183" i="3" s="1"/>
  <c r="A184" i="3" s="1"/>
  <c r="A185" i="3" s="1"/>
  <c r="T174" i="3" l="1"/>
  <c r="A174" i="3" s="1"/>
  <c r="U175" i="3"/>
  <c r="T165" i="3"/>
  <c r="A165" i="3" s="1"/>
  <c r="U166" i="3"/>
  <c r="F7" i="4"/>
  <c r="J4" i="4" s="1"/>
  <c r="H7" i="4" s="1"/>
  <c r="U176" i="3" l="1"/>
  <c r="T176" i="3" s="1"/>
  <c r="A176" i="3" s="1"/>
  <c r="T175" i="3"/>
  <c r="A175" i="3" s="1"/>
  <c r="U167" i="3"/>
  <c r="T167" i="3" s="1"/>
  <c r="A167" i="3" s="1"/>
  <c r="T166" i="3"/>
  <c r="A166" i="3" s="1"/>
  <c r="G4" i="3"/>
  <c r="D224" i="3" l="1"/>
  <c r="G120" i="3"/>
  <c r="J75" i="3"/>
  <c r="J74" i="3"/>
  <c r="H66" i="3"/>
  <c r="J77" i="3" l="1"/>
  <c r="J70" i="3"/>
  <c r="D75" i="3"/>
  <c r="D72" i="3"/>
  <c r="D70" i="3"/>
  <c r="J68" i="3"/>
  <c r="D79" i="3"/>
  <c r="D77" i="3"/>
  <c r="D74" i="3"/>
  <c r="D71" i="3"/>
  <c r="J69" i="3"/>
  <c r="J67" i="3"/>
  <c r="D78" i="3"/>
  <c r="D76" i="3"/>
  <c r="D73" i="3"/>
  <c r="D95" i="3" l="1"/>
  <c r="D87" i="3"/>
  <c r="D90" i="3"/>
  <c r="J84" i="3"/>
  <c r="D94" i="3"/>
  <c r="D88" i="3"/>
  <c r="J83" i="3"/>
  <c r="D93" i="3"/>
  <c r="J86" i="3"/>
  <c r="J87" i="3" s="1"/>
  <c r="D92" i="3"/>
  <c r="D86" i="3"/>
  <c r="J85" i="3"/>
  <c r="C84" i="3" s="1"/>
  <c r="D84" i="3" s="1"/>
  <c r="D91" i="3"/>
  <c r="D89" i="3"/>
  <c r="J71" i="3"/>
  <c r="J76" i="3" s="1"/>
  <c r="C68" i="3"/>
  <c r="J88" i="3" l="1"/>
  <c r="J92" i="3"/>
  <c r="J89" i="3"/>
  <c r="D68" i="3"/>
  <c r="J72" i="3"/>
  <c r="H98" i="3"/>
  <c r="J93" i="3" l="1"/>
  <c r="C85" i="3" s="1"/>
  <c r="E84" i="3" s="1"/>
  <c r="I81" i="3" s="1"/>
  <c r="G84" i="3" s="1"/>
  <c r="D111" i="3"/>
  <c r="D110" i="3"/>
  <c r="D104" i="3"/>
  <c r="J101" i="3"/>
  <c r="C100" i="3" s="1"/>
  <c r="D106" i="3"/>
  <c r="D105" i="3"/>
  <c r="J99" i="3"/>
  <c r="D109" i="3"/>
  <c r="D103" i="3"/>
  <c r="J102" i="3"/>
  <c r="J103" i="3" s="1"/>
  <c r="J104" i="3" s="1"/>
  <c r="J105" i="3" s="1"/>
  <c r="D108" i="3"/>
  <c r="D102" i="3"/>
  <c r="J100" i="3"/>
  <c r="D107" i="3"/>
  <c r="J73" i="3"/>
  <c r="D85" i="3" l="1"/>
  <c r="J108" i="3"/>
  <c r="J109" i="3" s="1"/>
  <c r="C101" i="3" s="1"/>
  <c r="D101" i="3" s="1"/>
  <c r="D100" i="3"/>
  <c r="C69" i="3"/>
  <c r="U205" i="3"/>
  <c r="U196" i="3"/>
  <c r="U187" i="3"/>
  <c r="V187" i="3"/>
  <c r="V196" i="3"/>
  <c r="V205" i="3"/>
  <c r="E100" i="3" l="1"/>
  <c r="I97" i="3" s="1"/>
  <c r="G100" i="3" s="1"/>
  <c r="E68" i="3"/>
  <c r="G112" i="3" s="1"/>
  <c r="T205" i="3"/>
  <c r="U206" i="3"/>
  <c r="V206" i="3"/>
  <c r="V207" i="3" s="1"/>
  <c r="V208" i="3" s="1"/>
  <c r="V209" i="3" s="1"/>
  <c r="V210" i="3" s="1"/>
  <c r="V211" i="3" s="1"/>
  <c r="V212" i="3" s="1"/>
  <c r="T196" i="3"/>
  <c r="U197" i="3"/>
  <c r="V197" i="3"/>
  <c r="V198" i="3" s="1"/>
  <c r="V199" i="3" s="1"/>
  <c r="V200" i="3" s="1"/>
  <c r="V201" i="3" s="1"/>
  <c r="V202" i="3" s="1"/>
  <c r="V203" i="3" s="1"/>
  <c r="V188" i="3"/>
  <c r="V189" i="3" s="1"/>
  <c r="V190" i="3" s="1"/>
  <c r="V191" i="3" s="1"/>
  <c r="V192" i="3" s="1"/>
  <c r="V193" i="3" s="1"/>
  <c r="V194" i="3" s="1"/>
  <c r="U188" i="3"/>
  <c r="T187" i="3"/>
  <c r="D69" i="3" l="1"/>
  <c r="I65" i="3"/>
  <c r="G68" i="3" s="1"/>
  <c r="A205" i="3"/>
  <c r="A196" i="3"/>
  <c r="A187" i="3"/>
  <c r="T206" i="3"/>
  <c r="A206" i="3" s="1"/>
  <c r="U207" i="3"/>
  <c r="T207" i="3" s="1"/>
  <c r="T197" i="3"/>
  <c r="A197" i="3" s="1"/>
  <c r="U198" i="3"/>
  <c r="T198" i="3" s="1"/>
  <c r="U189" i="3"/>
  <c r="T188" i="3"/>
  <c r="A188" i="3" s="1"/>
  <c r="A207" i="3" l="1"/>
  <c r="A198" i="3"/>
  <c r="U208" i="3"/>
  <c r="T208" i="3" s="1"/>
  <c r="U199" i="3"/>
  <c r="T199" i="3" s="1"/>
  <c r="U190" i="3"/>
  <c r="T189" i="3"/>
  <c r="A189" i="3" s="1"/>
  <c r="A208" i="3" l="1"/>
  <c r="A199" i="3"/>
  <c r="U209" i="3"/>
  <c r="T209" i="3" s="1"/>
  <c r="U200" i="3"/>
  <c r="T200" i="3" s="1"/>
  <c r="U191" i="3"/>
  <c r="T190" i="3"/>
  <c r="A190" i="3" s="1"/>
  <c r="A209" i="3" l="1"/>
  <c r="A200" i="3"/>
  <c r="U210" i="3"/>
  <c r="T210" i="3" s="1"/>
  <c r="U201" i="3"/>
  <c r="T201" i="3" s="1"/>
  <c r="U192" i="3"/>
  <c r="T191" i="3"/>
  <c r="A191" i="3" s="1"/>
  <c r="A210" i="3" l="1"/>
  <c r="A201" i="3"/>
  <c r="U211" i="3"/>
  <c r="T211" i="3" s="1"/>
  <c r="U202" i="3"/>
  <c r="T202" i="3" s="1"/>
  <c r="U193" i="3"/>
  <c r="T192" i="3"/>
  <c r="A192" i="3" s="1"/>
  <c r="A211" i="3" l="1"/>
  <c r="A202" i="3"/>
  <c r="U212" i="3"/>
  <c r="T212" i="3" s="1"/>
  <c r="U203" i="3"/>
  <c r="T203" i="3" s="1"/>
  <c r="U194" i="3"/>
  <c r="T193" i="3"/>
  <c r="A193" i="3" s="1"/>
  <c r="A212" i="3" l="1"/>
  <c r="A203" i="3"/>
  <c r="T194" i="3"/>
  <c r="A19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C17" authorId="0" shapeId="0" xr:uid="{00000000-0006-0000-0000-000002000000}">
      <text>
        <r>
          <rPr>
            <b/>
            <sz val="12"/>
            <color indexed="81"/>
            <rFont val="Tahoma"/>
            <family val="2"/>
          </rPr>
          <t>Maybe same as RERA Registration Validity or different</t>
        </r>
      </text>
    </comment>
    <comment ref="G17" authorId="0" shapeId="0" xr:uid="{00000000-0006-0000-0000-000003000000}">
      <text>
        <r>
          <rPr>
            <b/>
            <sz val="18"/>
            <color indexed="81"/>
            <rFont val="Tahoma"/>
            <family val="2"/>
          </rPr>
          <t>From Rera</t>
        </r>
      </text>
    </comment>
    <comment ref="G20" authorId="0" shapeId="0" xr:uid="{00000000-0006-0000-0000-000004000000}">
      <text>
        <r>
          <rPr>
            <b/>
            <sz val="16"/>
            <color indexed="81"/>
            <rFont val="Tahoma"/>
            <family val="2"/>
          </rPr>
          <t>From RERA</t>
        </r>
      </text>
    </comment>
    <comment ref="G21" authorId="0" shapeId="0" xr:uid="{00000000-0006-0000-0000-000005000000}">
      <text>
        <r>
          <rPr>
            <b/>
            <sz val="16"/>
            <color indexed="81"/>
            <rFont val="Tahoma"/>
            <family val="2"/>
          </rPr>
          <t>From RERA</t>
        </r>
      </text>
    </comment>
    <comment ref="G27" authorId="0" shapeId="0" xr:uid="{00000000-0006-0000-0000-000006000000}">
      <text>
        <r>
          <rPr>
            <b/>
            <sz val="12"/>
            <color indexed="81"/>
            <rFont val="Tahoma"/>
            <family val="2"/>
          </rPr>
          <t>SACHIN:</t>
        </r>
        <r>
          <rPr>
            <sz val="12"/>
            <color indexed="81"/>
            <rFont val="Tahoma"/>
            <family val="2"/>
          </rPr>
          <t xml:space="preserve">
Road size should be in metre</t>
        </r>
      </text>
    </comment>
    <comment ref="G118" authorId="0" shapeId="0" xr:uid="{00000000-0006-0000-0000-000007000000}">
      <text>
        <r>
          <rPr>
            <b/>
            <sz val="16"/>
            <color indexed="81"/>
            <rFont val="Tahoma"/>
            <family val="2"/>
          </rPr>
          <t>Ready Recknor</t>
        </r>
      </text>
    </comment>
  </commentList>
</comments>
</file>

<file path=xl/sharedStrings.xml><?xml version="1.0" encoding="utf-8"?>
<sst xmlns="http://schemas.openxmlformats.org/spreadsheetml/2006/main" count="578" uniqueCount="320">
  <si>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</si>
  <si>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</si>
  <si>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</si>
  <si>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</si>
  <si>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</si>
  <si>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</si>
  <si>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</si>
  <si>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</si>
  <si>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</si>
  <si>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</si>
  <si>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</si>
  <si>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</si>
  <si>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</si>
  <si>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</si>
  <si>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</si>
  <si>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</si>
  <si>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</si>
  <si>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</si>
  <si>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</si>
  <si>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</si>
  <si>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</si>
  <si>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</si>
  <si>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</si>
  <si>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</si>
  <si>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</si>
  <si>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</si>
  <si>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</si>
  <si>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</si>
  <si>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</si>
  <si>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</si>
  <si>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</si>
  <si>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</si>
  <si>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</si>
  <si>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</si>
  <si>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</si>
  <si>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</si>
  <si>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</si>
  <si>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</si>
  <si>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</si>
  <si>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</si>
  <si>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</si>
  <si>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</si>
  <si>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</si>
  <si>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</si>
  <si>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</si>
  <si>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</si>
  <si>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</si>
  <si>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</si>
  <si>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</si>
  <si>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</si>
  <si>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</si>
  <si>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</si>
  <si>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</si>
  <si>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</si>
  <si>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</si>
  <si>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</si>
  <si>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</si>
  <si>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</si>
  <si>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</si>
  <si>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</si>
  <si>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</si>
  <si>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</si>
  <si>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</si>
  <si>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</si>
  <si>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</si>
  <si>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</si>
  <si>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</si>
  <si>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</si>
  <si>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</si>
  <si>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</si>
  <si>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</si>
  <si>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</si>
  <si>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</si>
  <si>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</si>
  <si>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</si>
  <si>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</si>
  <si>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</si>
  <si>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</si>
  <si>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</si>
  <si>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</si>
  <si>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</si>
  <si>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</si>
  <si>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</si>
  <si>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</si>
  <si>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</si>
  <si>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</si>
  <si>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</si>
  <si>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</si>
  <si>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</si>
  <si>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</si>
  <si>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</si>
  <si>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</si>
  <si>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</si>
  <si>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</si>
  <si>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</si>
  <si>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</si>
  <si>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</si>
  <si>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</si>
  <si>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</si>
  <si>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 xml:space="preserve">Bitumen </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</si>
  <si>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</si>
  <si>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</si>
  <si>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</si>
  <si>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</si>
  <si>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</si>
  <si>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</si>
  <si>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</si>
  <si>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</si>
  <si>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</si>
  <si>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</si>
  <si>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</si>
  <si>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</si>
  <si>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</si>
  <si>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</si>
  <si>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</si>
  <si>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</si>
  <si>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</si>
  <si>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</si>
  <si>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</si>
  <si>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</si>
  <si>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</si>
  <si>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</si>
  <si>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</si>
  <si>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</si>
  <si>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</si>
  <si>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</si>
  <si>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</si>
  <si>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</si>
  <si>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</si>
  <si>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</si>
  <si>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</si>
  <si>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</si>
  <si>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</si>
  <si>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</si>
  <si>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</si>
  <si>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</si>
  <si>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</si>
  <si>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</si>
  <si>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</si>
  <si>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</si>
  <si>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</si>
  <si>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</si>
  <si>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</si>
  <si>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</si>
  <si>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</si>
  <si>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</si>
  <si>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</si>
  <si>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</si>
  <si>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</si>
  <si>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</si>
  <si>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</si>
  <si>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Tower 2</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</si>
  <si>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</si>
  <si>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</si>
  <si>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</si>
  <si>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</si>
  <si>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</si>
  <si>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</si>
  <si>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</si>
  <si>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</si>
  <si>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</si>
  <si>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</si>
  <si>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</si>
  <si>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</si>
  <si>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</si>
  <si>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</si>
  <si>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</si>
  <si>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</si>
  <si>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Middle</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</si>
  <si>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</si>
  <si>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</si>
  <si>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</si>
  <si>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</si>
  <si>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</si>
  <si>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</si>
  <si>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</si>
  <si>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</si>
  <si>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</si>
  <si>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</si>
  <si>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</si>
  <si>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</si>
  <si>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</si>
  <si>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</si>
  <si>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</si>
  <si>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</si>
  <si>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</si>
  <si>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</si>
  <si>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</si>
  <si>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</si>
  <si>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</si>
  <si>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</si>
  <si>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</si>
  <si>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</si>
  <si>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</si>
  <si>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</si>
  <si>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</si>
  <si>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</si>
  <si>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</si>
  <si>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</si>
  <si>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</si>
  <si>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</si>
  <si>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</si>
  <si>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</si>
  <si>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</si>
  <si>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</si>
  <si>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</si>
  <si>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</si>
  <si>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</si>
  <si>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</si>
  <si>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</si>
  <si>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</si>
  <si>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</si>
  <si>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</si>
  <si>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</si>
  <si>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</si>
  <si>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</si>
  <si>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</si>
  <si>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</si>
  <si>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</si>
  <si>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</si>
  <si>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</si>
  <si>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</si>
  <si>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</si>
  <si>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</si>
  <si>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</si>
  <si>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</si>
  <si>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</si>
  <si>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</si>
  <si>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</si>
  <si>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</si>
  <si>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</si>
  <si>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</si>
  <si>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</si>
  <si>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</si>
  <si>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</si>
  <si>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Tower 3</t>
  </si>
  <si>
    <t>Tower 4</t>
  </si>
  <si>
    <t xml:space="preserve">Date: </t>
  </si>
  <si>
    <t xml:space="preserve">Date: 
</t>
  </si>
  <si>
    <t>Unit Details, Nomenclature and Area Details (Flats)</t>
  </si>
  <si>
    <t>Flat No.
(Approved
Plan)</t>
  </si>
  <si>
    <t>Flat No.
(Sale Plan)</t>
  </si>
  <si>
    <t>Sale /         Rehab /           PAP</t>
  </si>
  <si>
    <t>Balcony Area</t>
  </si>
  <si>
    <t>*</t>
  </si>
  <si>
    <t xml:space="preserve">We considered Carpet area as per Approved Plan.
</t>
  </si>
  <si>
    <t xml:space="preserve">We have considered rate by verifying it from market inquire.
</t>
  </si>
  <si>
    <t xml:space="preserve">Car parking is subjected to authentic documentation.
</t>
  </si>
  <si>
    <t>Net Plot Area (In Sq.Mt)</t>
  </si>
  <si>
    <t>9m</t>
  </si>
  <si>
    <t>Valid Upto 
Date</t>
  </si>
  <si>
    <t>Unit Details, Nomenclature and Area Details (Commercial)</t>
  </si>
  <si>
    <t>Grand Total</t>
  </si>
  <si>
    <t>P51800052921</t>
  </si>
  <si>
    <t>Municipal Corporation of Greater Mumbai (MCGM)</t>
  </si>
  <si>
    <t>Shivangan society, Lokmanya Tilak Rd, Jaihind Colony, Tata Colony, Mulund East, Mumbai, Maharashtra 400081</t>
  </si>
  <si>
    <t xml:space="preserve">Supremo Phase II, Wing C, CTS No.1289(Pt), 1290(Pt), 1292(Pt), 1294(Pt), 1295(Pt), 1296(Pt) &amp; 1297(Pt), near Shubh Labh CHS, Tata Colony Road, Mulund, Mulund, Mulund East, Kurla, Mumbai - 400081. 
</t>
  </si>
  <si>
    <t>Supremo Phase II, Wing C, CTS No.1289(Pt), 1290(Pt), 1292(Pt), 1294(Pt), 1295(Pt), 1296(Pt) &amp; 1297(Pt), near Shubh Labh CHS, Tata Colony Road, Mulund, Mulund, Mulund East, Kurla, Mumbai - 400081.</t>
  </si>
  <si>
    <t>ICICI BANK
IFSC Code ICIC0000988</t>
  </si>
  <si>
    <t>19.1636309,72.9587639</t>
  </si>
  <si>
    <t>https://maps.app.goo.gl/XQr7kwPvoAM3KcaMA</t>
  </si>
  <si>
    <t>Shubh Labh CHS</t>
  </si>
  <si>
    <t>74 M from Maratha Mandal Bus Stop</t>
  </si>
  <si>
    <t>About 450M from VPMS English High School</t>
  </si>
  <si>
    <t>About 190 M form Galaxy Superspeciality Hospital</t>
  </si>
  <si>
    <t>1 KM from Mulund Railway Station
3.1 KM from Nahur Railway Station</t>
  </si>
  <si>
    <t>1. Approx. 1.1 KM from Mulund Local Market.
2. Approx. 2 KM from Ratna Super Market.</t>
  </si>
  <si>
    <t>13.40 M W Road</t>
  </si>
  <si>
    <t>Plot C</t>
  </si>
  <si>
    <t>18.30 M W Road</t>
  </si>
  <si>
    <t>27.45 M W Road</t>
  </si>
  <si>
    <t>Road</t>
  </si>
  <si>
    <t>Other Plot</t>
  </si>
  <si>
    <t>Tata Colony Road</t>
  </si>
  <si>
    <t>VB Phadake Road</t>
  </si>
  <si>
    <t>Wing C</t>
  </si>
  <si>
    <t>CHE/ES/2027/T/337(New)</t>
  </si>
  <si>
    <t>CHE/ES/2027/T/337(NEW)/FCC/1/Amend</t>
  </si>
  <si>
    <t xml:space="preserve"> Basement For Domestic Tank, Fire Tank, Raw Water Tank &amp; Pump Room</t>
  </si>
  <si>
    <t>Shop</t>
  </si>
  <si>
    <t>Ground Floor For Commercials, Meter Room &amp; Parking</t>
  </si>
  <si>
    <t>1st Podium Floor For Commercials &amp; Parking</t>
  </si>
  <si>
    <t>3rd Podium Floor For Commercials &amp; Parking</t>
  </si>
  <si>
    <t>2nd Podium Floor For Parking</t>
  </si>
  <si>
    <t>4th to 6th Podium Floor For Commercials &amp; Parking</t>
  </si>
  <si>
    <t>7th Podium Floor For Amenities &amp; Parking</t>
  </si>
  <si>
    <t>1B + G + P1 to P7 + S + 1st to 41st Floor</t>
  </si>
  <si>
    <t>1B + G + P1 to P7 + S + 1st to 20th Floor</t>
  </si>
  <si>
    <t>8th Floor For Service Area</t>
  </si>
  <si>
    <t>5th to 6th Floor For Commercials &amp; Parking</t>
  </si>
  <si>
    <t>1st, 8th &amp; 15th Floor For Residential Floor (Part Refuge Area)</t>
  </si>
  <si>
    <t>1BHK</t>
  </si>
  <si>
    <t>Refuge Area</t>
  </si>
  <si>
    <t>2BHK</t>
  </si>
  <si>
    <t>2nd to 7th, 9th to 14th &amp; 16th to 20th Floor For Residential Floor</t>
  </si>
  <si>
    <t>Shops</t>
  </si>
  <si>
    <t>Flats</t>
  </si>
  <si>
    <t xml:space="preserve">We considered Gross carpet area = Net carpet + Balcony
</t>
  </si>
  <si>
    <r>
      <rPr>
        <sz val="16"/>
        <rFont val="Times New Roman"/>
        <family val="1"/>
      </rPr>
      <t>Terrace Garden, Banquet Hall, Sit Out Area, Jogging Track, Swimming Pool,</t>
    </r>
    <r>
      <rPr>
        <sz val="16"/>
        <color rgb="FFFF0000"/>
        <rFont val="Times New Roman"/>
        <family val="1"/>
      </rPr>
      <t xml:space="preserve"> </t>
    </r>
    <r>
      <rPr>
        <sz val="16"/>
        <rFont val="Times New Roman"/>
        <family val="1"/>
      </rPr>
      <t>Kids Play Area,</t>
    </r>
    <r>
      <rPr>
        <sz val="16"/>
        <color rgb="FFFF0000"/>
        <rFont val="Times New Roman"/>
        <family val="1"/>
      </rPr>
      <t xml:space="preserve"> </t>
    </r>
    <r>
      <rPr>
        <sz val="16"/>
        <rFont val="Times New Roman"/>
        <family val="1"/>
      </rPr>
      <t>Gym,</t>
    </r>
    <r>
      <rPr>
        <sz val="16"/>
        <color rgb="FFFF0000"/>
        <rFont val="Times New Roman"/>
        <family val="1"/>
      </rPr>
      <t xml:space="preserve"> </t>
    </r>
    <r>
      <rPr>
        <sz val="16"/>
        <rFont val="Times New Roman"/>
        <family val="1"/>
      </rPr>
      <t>Basketball Court,</t>
    </r>
    <r>
      <rPr>
        <sz val="16"/>
        <color rgb="FFFF0000"/>
        <rFont val="Times New Roman"/>
        <family val="1"/>
      </rPr>
      <t xml:space="preserve"> </t>
    </r>
    <r>
      <rPr>
        <sz val="16"/>
        <rFont val="Times New Roman"/>
        <family val="1"/>
      </rPr>
      <t>Yoga Area.</t>
    </r>
  </si>
  <si>
    <t>CHE/ES/2027/T/337(NEW)-CFO/1/NEW</t>
  </si>
  <si>
    <t>Building no.1 comprising of five Wings (i.e. Wing ‘A’,Wing ‘B’, Wing ‘C’, Wing ’D’ &amp; Wing ‘E’), having part basement  + Ground floor  + 1st &amp; 3rd podium + 4th to 6th  floors + 7th podium floor + service floor + 1st to 41st floors for residential  (total height of the building is 158.075 mtrs.)</t>
  </si>
  <si>
    <t>Remark for Environment Clearance Certificate.</t>
  </si>
  <si>
    <t>Approved Layout &amp; Floor Plans, CC, RERA certificate, Fire NOC</t>
  </si>
  <si>
    <t xml:space="preserve">K V Buildhome LLP
</t>
  </si>
  <si>
    <t>Mr.Nainesh Tambe</t>
  </si>
  <si>
    <t>Mr. Riddhesh 9702723941</t>
  </si>
  <si>
    <t xml:space="preserve">Supremo Phase II, 
Wing C (Sakura)
</t>
  </si>
  <si>
    <r>
      <t>Flats =</t>
    </r>
    <r>
      <rPr>
        <sz val="16"/>
        <color rgb="FFFF0000"/>
        <rFont val="Times New Roman"/>
        <family val="1"/>
      </rPr>
      <t xml:space="preserve"> </t>
    </r>
    <r>
      <rPr>
        <sz val="16"/>
        <rFont val="Times New Roman"/>
        <family val="1"/>
      </rPr>
      <t>154 &amp; 
Shop = 18</t>
    </r>
  </si>
  <si>
    <t>As per RERA Site Flats = 98</t>
  </si>
  <si>
    <t xml:space="preserve">CC Details
Valid Up to: </t>
  </si>
  <si>
    <t>Further CC is granted for Wing C upto 20th upper floor and Wing D upto 23rd upper floors as per approved amended plan dated 12.01.2024''excluding 24th to 35th upper floors or wing D (restricted for non-handing over of D.P. Roads &amp; availing instalment facility) CC for podium is proposed within building line only for both wings i.e. wing ‘C’ and ‘D’, subject to timely renewal of B.G, SWM NOC, Workmen’s compensation policy and taking all sorts of precautions during construction and for air pollution.</t>
  </si>
  <si>
    <t xml:space="preserve">Fire Noc Details:
Valid Up to :
</t>
  </si>
  <si>
    <t>21000 to 22000</t>
  </si>
  <si>
    <t>Mr. Suraj Khare</t>
  </si>
  <si>
    <t>16/07/2025 at 10:21AM</t>
  </si>
  <si>
    <t xml:space="preserve">Construction work is in process at the time of Visit. (Internal Visit not allowed).
</t>
  </si>
  <si>
    <t>CHE/ES/2027/T/337(NEW)/FCC/3/Amend</t>
  </si>
  <si>
    <t>Further CC for Wing C upto 36th upper floors and Wing D upto 41st upper floors is granted as per approved amended plan dated 05.02.2025, by restricting shopping and 37th to 41st upper floors of wing C for non-handing over of D.P. Roads &amp; availing instalment facility subject to timely renewal of B.G., SWM NOC, Workmen’s compensation policy and taking all sorts of precautions during construction along with precautionary measures for
air pollution.</t>
  </si>
  <si>
    <t xml:space="preserve">We have updated revised CC (On 18/07/2025).
</t>
  </si>
  <si>
    <t>Validity of CC is expired on 19/03/2025. Please provide Revised CC &amp; revised approved plans.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</si>
</sst>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sz val="12"/>
      <color indexed="8"/>
      <name val="Times New Roman"/>
      <family val="1"/>
    </font>
    <font>
      <u/>
      <sz val="11"/>
      <color theme="10"/>
      <name val="Calibri"/>
      <family val="2"/>
    </font>
    <font>
      <u/>
      <sz val="16"/>
      <color theme="10"/>
      <name val="Calibri"/>
      <family val="2"/>
    </font>
  </fonts>
  <fills count="14">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EF3E8"/>
        <bgColor indexed="64"/>
      </patternFill>
    </fill>
    <fill>
      <patternFill patternType="solid">
        <fgColor rgb="FFFEF5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3" fillId="0" borderId="0" applyNumberFormat="0" applyFill="0" applyBorder="0" applyAlignment="0" applyProtection="0"/>
  </cellStyleXfs>
  <cellXfs count="180">
    <xf numFmtId="0" fontId="0" fillId="0" borderId="0" xfId="0"/>
    <xf numFmtId="0" fontId="3" fillId="0" borderId="0" xfId="0" applyFont="1" applyAlignment="1">
      <alignment vertical="top"/>
    </xf>
    <xf numFmtId="0" fontId="3" fillId="3" borderId="0" xfId="0" applyFont="1" applyFill="1" applyAlignment="1">
      <alignment vertical="top"/>
    </xf>
    <xf numFmtId="0" fontId="3" fillId="0" borderId="0" xfId="0" applyFont="1" applyAlignment="1">
      <alignment horizontal="center" vertical="top"/>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vertical="top"/>
    </xf>
    <xf numFmtId="1" fontId="5" fillId="0" borderId="1" xfId="1" applyNumberFormat="1" applyFont="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5" fillId="0" borderId="1" xfId="1" applyNumberFormat="1" applyFont="1" applyBorder="1" applyAlignment="1">
      <alignment horizontal="center" vertical="top" wrapText="1"/>
    </xf>
    <xf numFmtId="0" fontId="4" fillId="2" borderId="1" xfId="0" applyFont="1" applyFill="1" applyBorder="1" applyAlignment="1">
      <alignment horizontal="center" vertical="top"/>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9"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center" wrapText="1"/>
    </xf>
    <xf numFmtId="0" fontId="6" fillId="4" borderId="1" xfId="1" applyNumberFormat="1" applyFont="1" applyFill="1" applyBorder="1" applyAlignment="1">
      <alignment horizontal="center" vertical="center" wrapText="1"/>
    </xf>
    <xf numFmtId="0" fontId="4" fillId="4" borderId="0" xfId="0" applyFont="1" applyFill="1" applyBorder="1" applyAlignment="1">
      <alignment vertical="top" wrapText="1"/>
    </xf>
    <xf numFmtId="1" fontId="6" fillId="4" borderId="1" xfId="1" applyNumberFormat="1"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1" fontId="3" fillId="12" borderId="1" xfId="0" applyNumberFormat="1" applyFont="1" applyFill="1" applyBorder="1" applyAlignment="1">
      <alignment horizontal="center" vertical="top"/>
    </xf>
    <xf numFmtId="1" fontId="2" fillId="0" borderId="1" xfId="1" applyNumberFormat="1" applyFont="1" applyFill="1" applyBorder="1" applyAlignment="1">
      <alignment horizontal="center" vertical="top" wrapText="1"/>
    </xf>
    <xf numFmtId="1" fontId="5" fillId="0" borderId="1" xfId="1" applyNumberFormat="1" applyFont="1" applyFill="1" applyBorder="1" applyAlignment="1">
      <alignment horizontal="center" vertical="top" wrapText="1"/>
    </xf>
    <xf numFmtId="1" fontId="3" fillId="13" borderId="1" xfId="0" applyNumberFormat="1" applyFont="1" applyFill="1" applyBorder="1" applyAlignment="1">
      <alignment horizontal="center" vertical="top"/>
    </xf>
    <xf numFmtId="0" fontId="3" fillId="12" borderId="0" xfId="0" applyFont="1" applyFill="1" applyAlignment="1">
      <alignment vertical="top"/>
    </xf>
    <xf numFmtId="14" fontId="4" fillId="4" borderId="1" xfId="0" applyNumberFormat="1" applyFont="1" applyFill="1" applyBorder="1" applyAlignment="1">
      <alignment horizontal="left" vertical="top" wrapText="1"/>
    </xf>
    <xf numFmtId="0" fontId="2" fillId="0" borderId="1" xfId="0" applyFont="1" applyFill="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 fontId="2" fillId="0" borderId="1" xfId="1" applyNumberFormat="1" applyFont="1" applyBorder="1" applyAlignment="1">
      <alignment horizontal="center" vertical="top" wrapText="1"/>
    </xf>
    <xf numFmtId="0" fontId="2" fillId="0" borderId="1" xfId="0" applyFont="1" applyBorder="1" applyAlignment="1">
      <alignment horizontal="center" vertical="top" wrapText="1"/>
    </xf>
    <xf numFmtId="14" fontId="4" fillId="4" borderId="1" xfId="0" applyNumberFormat="1" applyFont="1" applyFill="1" applyBorder="1" applyAlignment="1">
      <alignment horizontal="left" vertical="top" wrapText="1"/>
    </xf>
    <xf numFmtId="14" fontId="3" fillId="0" borderId="0" xfId="0" applyNumberFormat="1" applyFont="1" applyAlignment="1">
      <alignment vertical="top"/>
    </xf>
    <xf numFmtId="0" fontId="4" fillId="4"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2" fillId="2" borderId="1" xfId="0" applyFont="1" applyFill="1" applyBorder="1" applyAlignment="1">
      <alignment horizontal="center" vertical="top"/>
    </xf>
    <xf numFmtId="9" fontId="2" fillId="4" borderId="1" xfId="1" applyNumberFormat="1" applyFont="1" applyFill="1" applyBorder="1" applyAlignment="1" applyProtection="1">
      <alignment horizontal="left" vertical="top" wrapText="1"/>
      <protection hidden="1"/>
    </xf>
    <xf numFmtId="0" fontId="9" fillId="4" borderId="1" xfId="0" applyFont="1" applyFill="1" applyBorder="1" applyAlignment="1">
      <alignment horizontal="left" vertical="top" wrapText="1"/>
    </xf>
    <xf numFmtId="0" fontId="24" fillId="4" borderId="1" xfId="2" applyFont="1" applyFill="1" applyBorder="1" applyAlignment="1">
      <alignment horizontal="left" vertical="top" wrapText="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0" borderId="1" xfId="0" applyFont="1" applyFill="1" applyBorder="1" applyAlignment="1">
      <alignment horizontal="left"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1" xfId="0" applyNumberFormat="1"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9"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2" fillId="2" borderId="1" xfId="0" applyFont="1" applyFill="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0" fontId="4" fillId="4" borderId="1" xfId="0" applyFont="1" applyFill="1" applyBorder="1" applyAlignment="1">
      <alignment horizontal="left" vertical="top"/>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0" borderId="1" xfId="0" applyFont="1" applyBorder="1" applyAlignment="1">
      <alignment horizontal="left" vertical="top" wrapText="1"/>
    </xf>
    <xf numFmtId="0" fontId="4" fillId="0" borderId="1" xfId="0" applyFont="1" applyBorder="1" applyAlignment="1">
      <alignment horizontal="center" vertical="center" wrapText="1"/>
    </xf>
    <xf numFmtId="0" fontId="2" fillId="0" borderId="2" xfId="0" applyFont="1" applyBorder="1" applyAlignment="1">
      <alignment horizontal="left" vertical="top" wrapText="1"/>
    </xf>
    <xf numFmtId="0" fontId="2" fillId="0" borderId="5" xfId="0" applyFont="1" applyBorder="1" applyAlignment="1">
      <alignment horizontal="left" vertical="top" wrapText="1"/>
    </xf>
    <xf numFmtId="0" fontId="4" fillId="4" borderId="2" xfId="0" applyFont="1" applyFill="1" applyBorder="1" applyAlignment="1">
      <alignment horizontal="center" vertical="top" wrapText="1"/>
    </xf>
    <xf numFmtId="0" fontId="9" fillId="4" borderId="5" xfId="0"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Fill="1" applyBorder="1" applyAlignment="1">
      <alignment horizontal="left" vertical="top" wrapText="1"/>
    </xf>
    <xf numFmtId="16" fontId="4" fillId="4" borderId="2" xfId="0" applyNumberFormat="1" applyFont="1" applyFill="1" applyBorder="1" applyAlignment="1">
      <alignment horizontal="left" vertical="top" wrapText="1"/>
    </xf>
    <xf numFmtId="17"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4" borderId="3" xfId="0" applyFont="1" applyFill="1" applyBorder="1" applyAlignment="1">
      <alignment horizontal="center" vertical="top" wrapText="1"/>
    </xf>
    <xf numFmtId="0" fontId="4" fillId="4" borderId="5" xfId="0" applyFont="1" applyFill="1" applyBorder="1" applyAlignment="1">
      <alignment horizontal="center" vertical="top" wrapText="1"/>
    </xf>
    <xf numFmtId="0" fontId="9" fillId="4" borderId="2" xfId="0" applyFont="1" applyFill="1" applyBorder="1" applyAlignment="1">
      <alignment horizontal="left"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6" fontId="4" fillId="4" borderId="1"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2" fillId="0" borderId="0" xfId="1" applyFont="1" applyBorder="1" applyAlignment="1" applyProtection="1">
      <alignment horizontal="left" vertical="top" wrapText="1"/>
      <protection locked="0"/>
    </xf>
    <xf numFmtId="0" fontId="4" fillId="0" borderId="3" xfId="0" applyFont="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6" fillId="4" borderId="7" xfId="1" applyNumberFormat="1" applyFont="1" applyFill="1" applyBorder="1" applyAlignment="1">
      <alignment horizontal="center" vertical="center" wrapText="1"/>
    </xf>
    <xf numFmtId="0" fontId="6" fillId="4" borderId="4" xfId="1" applyNumberFormat="1" applyFont="1" applyFill="1" applyBorder="1" applyAlignment="1">
      <alignment horizontal="center" vertical="center" wrapText="1"/>
    </xf>
    <xf numFmtId="0" fontId="6" fillId="4" borderId="9" xfId="1" applyNumberFormat="1" applyFont="1" applyFill="1" applyBorder="1" applyAlignment="1">
      <alignment horizontal="center" vertical="center" wrapText="1"/>
    </xf>
    <xf numFmtId="0" fontId="6" fillId="4" borderId="12" xfId="1" applyNumberFormat="1" applyFont="1" applyFill="1" applyBorder="1" applyAlignment="1">
      <alignment horizontal="center" vertical="center" wrapText="1"/>
    </xf>
    <xf numFmtId="0" fontId="6" fillId="4" borderId="8" xfId="1" applyNumberFormat="1" applyFont="1" applyFill="1" applyBorder="1" applyAlignment="1">
      <alignment horizontal="center" vertical="center" wrapText="1"/>
    </xf>
    <xf numFmtId="0" fontId="6" fillId="4" borderId="13" xfId="1" applyNumberFormat="1"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CF56A"/>
      <color rgb="FFFEF3E8"/>
      <color rgb="FFFEF5E8"/>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8</xdr:col>
      <xdr:colOff>517071</xdr:colOff>
      <xdr:row>113</xdr:row>
      <xdr:rowOff>95252</xdr:rowOff>
    </xdr:from>
    <xdr:to>
      <xdr:col>17</xdr:col>
      <xdr:colOff>27719</xdr:colOff>
      <xdr:row>123</xdr:row>
      <xdr:rowOff>15109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014857" y="33174216"/>
          <a:ext cx="6858505" cy="3240000"/>
        </a:xfrm>
        <a:prstGeom prst="rect">
          <a:avLst/>
        </a:prstGeom>
      </xdr:spPr>
    </xdr:pic>
    <xdr:clientData/>
  </xdr:twoCellAnchor>
  <xdr:twoCellAnchor editAs="oneCell">
    <xdr:from>
      <xdr:col>1</xdr:col>
      <xdr:colOff>957224</xdr:colOff>
      <xdr:row>261</xdr:row>
      <xdr:rowOff>216737</xdr:rowOff>
    </xdr:from>
    <xdr:to>
      <xdr:col>6</xdr:col>
      <xdr:colOff>466006</xdr:colOff>
      <xdr:row>281</xdr:row>
      <xdr:rowOff>256198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2127438" y="68960023"/>
          <a:ext cx="5495925" cy="5210175"/>
        </a:xfrm>
        <a:prstGeom prst="rect">
          <a:avLst/>
        </a:prstGeom>
        <a:ln>
          <a:solidFill>
            <a:schemeClr val="tx1"/>
          </a:solidFill>
        </a:ln>
      </xdr:spPr>
    </xdr:pic>
    <xdr:clientData/>
  </xdr:twoCellAnchor>
  <xdr:twoCellAnchor>
    <xdr:from>
      <xdr:col>1</xdr:col>
      <xdr:colOff>843644</xdr:colOff>
      <xdr:row>282</xdr:row>
      <xdr:rowOff>244930</xdr:rowOff>
    </xdr:from>
    <xdr:to>
      <xdr:col>6</xdr:col>
      <xdr:colOff>733426</xdr:colOff>
      <xdr:row>303</xdr:row>
      <xdr:rowOff>216355</xdr:rowOff>
    </xdr:to>
    <xdr:grpSp>
      <xdr:nvGrpSpPr>
        <xdr:cNvPr id="7" name="Group 6">
          <a:extLst>
            <a:ext uri="{FF2B5EF4-FFF2-40B4-BE49-F238E27FC236}">
              <a16:creationId xmlns:a16="http://schemas.microsoft.com/office/drawing/2014/main" id="{00000000-0008-0000-0000-000007000000}"/>
            </a:ext>
          </a:extLst>
        </xdr:cNvPr>
        <xdr:cNvGrpSpPr/>
      </xdr:nvGrpSpPr>
      <xdr:grpSpPr>
        <a:xfrm>
          <a:off x="2013858" y="70702716"/>
          <a:ext cx="5876925" cy="5400675"/>
          <a:chOff x="2013858" y="74417466"/>
          <a:chExt cx="5876925" cy="5400675"/>
        </a:xfrm>
      </xdr:grpSpPr>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2013858" y="74417466"/>
            <a:ext cx="5876925" cy="5400675"/>
          </a:xfrm>
          <a:prstGeom prst="rect">
            <a:avLst/>
          </a:prstGeom>
          <a:ln>
            <a:solidFill>
              <a:schemeClr val="tx1"/>
            </a:solidFill>
          </a:ln>
        </xdr:spPr>
      </xdr:pic>
      <xdr:sp macro="" textlink="">
        <xdr:nvSpPr>
          <xdr:cNvPr id="5" name="Rectangle 4">
            <a:extLst>
              <a:ext uri="{FF2B5EF4-FFF2-40B4-BE49-F238E27FC236}">
                <a16:creationId xmlns:a16="http://schemas.microsoft.com/office/drawing/2014/main" id="{00000000-0008-0000-0000-000005000000}"/>
              </a:ext>
            </a:extLst>
          </xdr:cNvPr>
          <xdr:cNvSpPr/>
        </xdr:nvSpPr>
        <xdr:spPr>
          <a:xfrm rot="18675992">
            <a:off x="4700167" y="77129925"/>
            <a:ext cx="802821" cy="1205093"/>
          </a:xfrm>
          <a:prstGeom prst="rect">
            <a:avLst/>
          </a:prstGeom>
          <a:noFill/>
          <a:ln w="381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6" name="TextBox 5">
            <a:extLst>
              <a:ext uri="{FF2B5EF4-FFF2-40B4-BE49-F238E27FC236}">
                <a16:creationId xmlns:a16="http://schemas.microsoft.com/office/drawing/2014/main" id="{00000000-0008-0000-0000-000006000000}"/>
              </a:ext>
            </a:extLst>
          </xdr:cNvPr>
          <xdr:cNvSpPr txBox="1"/>
        </xdr:nvSpPr>
        <xdr:spPr>
          <a:xfrm rot="2380166">
            <a:off x="3837214" y="78105001"/>
            <a:ext cx="1279072" cy="503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002060"/>
                </a:solidFill>
              </a:rPr>
              <a:t>Wing</a:t>
            </a:r>
            <a:r>
              <a:rPr lang="en-IN" sz="2400" b="1" baseline="0">
                <a:solidFill>
                  <a:srgbClr val="002060"/>
                </a:solidFill>
              </a:rPr>
              <a:t> C</a:t>
            </a:r>
            <a:endParaRPr lang="en-IN" sz="2400" b="1">
              <a:solidFill>
                <a:srgbClr val="002060"/>
              </a:solidFill>
            </a:endParaRPr>
          </a:p>
        </xdr:txBody>
      </xdr:sp>
    </xdr:grpSp>
    <xdr:clientData/>
  </xdr:twoCellAnchor>
  <xdr:twoCellAnchor editAs="oneCell">
    <xdr:from>
      <xdr:col>2</xdr:col>
      <xdr:colOff>394801</xdr:colOff>
      <xdr:row>309</xdr:row>
      <xdr:rowOff>163286</xdr:rowOff>
    </xdr:from>
    <xdr:to>
      <xdr:col>5</xdr:col>
      <xdr:colOff>639536</xdr:colOff>
      <xdr:row>322</xdr:row>
      <xdr:rowOff>129625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stretch>
          <a:fillRect/>
        </a:stretch>
      </xdr:blipFill>
      <xdr:spPr>
        <a:xfrm>
          <a:off x="2735230" y="74390250"/>
          <a:ext cx="3755377" cy="3327303"/>
        </a:xfrm>
        <a:prstGeom prst="rect">
          <a:avLst/>
        </a:prstGeom>
        <a:ln>
          <a:solidFill>
            <a:schemeClr val="tx1"/>
          </a:solidFill>
        </a:ln>
      </xdr:spPr>
    </xdr:pic>
    <xdr:clientData/>
  </xdr:twoCellAnchor>
  <xdr:twoCellAnchor>
    <xdr:from>
      <xdr:col>1</xdr:col>
      <xdr:colOff>141516</xdr:colOff>
      <xdr:row>323</xdr:row>
      <xdr:rowOff>61234</xdr:rowOff>
    </xdr:from>
    <xdr:to>
      <xdr:col>6</xdr:col>
      <xdr:colOff>1047751</xdr:colOff>
      <xdr:row>338</xdr:row>
      <xdr:rowOff>0</xdr:rowOff>
    </xdr:to>
    <xdr:grpSp>
      <xdr:nvGrpSpPr>
        <xdr:cNvPr id="16" name="Group 15">
          <a:extLst>
            <a:ext uri="{FF2B5EF4-FFF2-40B4-BE49-F238E27FC236}">
              <a16:creationId xmlns:a16="http://schemas.microsoft.com/office/drawing/2014/main" id="{00000000-0008-0000-0000-000010000000}"/>
            </a:ext>
          </a:extLst>
        </xdr:cNvPr>
        <xdr:cNvGrpSpPr/>
      </xdr:nvGrpSpPr>
      <xdr:grpSpPr>
        <a:xfrm>
          <a:off x="1311730" y="81118984"/>
          <a:ext cx="6893378" cy="3816802"/>
          <a:chOff x="915761" y="86797244"/>
          <a:chExt cx="7679641" cy="4505004"/>
        </a:xfrm>
      </xdr:grpSpPr>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915761" y="86797244"/>
            <a:ext cx="7679641" cy="4505004"/>
          </a:xfrm>
          <a:prstGeom prst="rect">
            <a:avLst/>
          </a:prstGeom>
          <a:ln>
            <a:solidFill>
              <a:schemeClr val="tx1"/>
            </a:solidFill>
          </a:ln>
        </xdr:spPr>
      </xdr:pic>
      <xdr:sp macro="" textlink="">
        <xdr:nvSpPr>
          <xdr:cNvPr id="12" name="Freeform 11">
            <a:extLst>
              <a:ext uri="{FF2B5EF4-FFF2-40B4-BE49-F238E27FC236}">
                <a16:creationId xmlns:a16="http://schemas.microsoft.com/office/drawing/2014/main" id="{00000000-0008-0000-0000-00000C000000}"/>
              </a:ext>
            </a:extLst>
          </xdr:cNvPr>
          <xdr:cNvSpPr/>
        </xdr:nvSpPr>
        <xdr:spPr>
          <a:xfrm>
            <a:off x="2247901" y="87553800"/>
            <a:ext cx="4362450" cy="3352800"/>
          </a:xfrm>
          <a:custGeom>
            <a:avLst/>
            <a:gdLst>
              <a:gd name="connsiteX0" fmla="*/ 0 w 4448175"/>
              <a:gd name="connsiteY0" fmla="*/ 914400 h 3400425"/>
              <a:gd name="connsiteX1" fmla="*/ 0 w 4448175"/>
              <a:gd name="connsiteY1" fmla="*/ 914400 h 3400425"/>
              <a:gd name="connsiteX2" fmla="*/ 1009650 w 4448175"/>
              <a:gd name="connsiteY2" fmla="*/ 0 h 3400425"/>
              <a:gd name="connsiteX3" fmla="*/ 4448175 w 4448175"/>
              <a:gd name="connsiteY3" fmla="*/ 2657475 h 3400425"/>
              <a:gd name="connsiteX4" fmla="*/ 3952875 w 4448175"/>
              <a:gd name="connsiteY4" fmla="*/ 3152775 h 3400425"/>
              <a:gd name="connsiteX5" fmla="*/ 4381500 w 4448175"/>
              <a:gd name="connsiteY5" fmla="*/ 3324225 h 3400425"/>
              <a:gd name="connsiteX6" fmla="*/ 2981325 w 4448175"/>
              <a:gd name="connsiteY6" fmla="*/ 3400425 h 3400425"/>
              <a:gd name="connsiteX7" fmla="*/ 1619250 w 4448175"/>
              <a:gd name="connsiteY7" fmla="*/ 3124200 h 3400425"/>
              <a:gd name="connsiteX8" fmla="*/ 2124075 w 4448175"/>
              <a:gd name="connsiteY8" fmla="*/ 2619375 h 3400425"/>
              <a:gd name="connsiteX9" fmla="*/ 0 w 4448175"/>
              <a:gd name="connsiteY9" fmla="*/ 914400 h 34004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448175" h="3400425">
                <a:moveTo>
                  <a:pt x="0" y="914400"/>
                </a:moveTo>
                <a:lnTo>
                  <a:pt x="0" y="914400"/>
                </a:lnTo>
                <a:lnTo>
                  <a:pt x="1009650" y="0"/>
                </a:lnTo>
                <a:lnTo>
                  <a:pt x="4448175" y="2657475"/>
                </a:lnTo>
                <a:lnTo>
                  <a:pt x="3952875" y="3152775"/>
                </a:lnTo>
                <a:lnTo>
                  <a:pt x="4381500" y="3324225"/>
                </a:lnTo>
                <a:lnTo>
                  <a:pt x="2981325" y="3400425"/>
                </a:lnTo>
                <a:lnTo>
                  <a:pt x="1619250" y="3124200"/>
                </a:lnTo>
                <a:lnTo>
                  <a:pt x="2124075" y="2619375"/>
                </a:lnTo>
                <a:lnTo>
                  <a:pt x="0" y="914400"/>
                </a:lnTo>
                <a:close/>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3" name="Rectangle 12">
            <a:extLst>
              <a:ext uri="{FF2B5EF4-FFF2-40B4-BE49-F238E27FC236}">
                <a16:creationId xmlns:a16="http://schemas.microsoft.com/office/drawing/2014/main" id="{00000000-0008-0000-0000-00000D000000}"/>
              </a:ext>
            </a:extLst>
          </xdr:cNvPr>
          <xdr:cNvSpPr/>
        </xdr:nvSpPr>
        <xdr:spPr>
          <a:xfrm rot="2221430">
            <a:off x="3438525" y="88849200"/>
            <a:ext cx="828675" cy="428625"/>
          </a:xfrm>
          <a:prstGeom prst="rect">
            <a:avLst/>
          </a:pr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276725" y="88877775"/>
            <a:ext cx="1162050" cy="405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0">
                <a:solidFill>
                  <a:srgbClr val="FFFF00"/>
                </a:solidFill>
              </a:rPr>
              <a:t>Wing</a:t>
            </a:r>
            <a:r>
              <a:rPr lang="en-IN" sz="1800" b="0" baseline="0">
                <a:solidFill>
                  <a:srgbClr val="FFFF00"/>
                </a:solidFill>
              </a:rPr>
              <a:t> C</a:t>
            </a:r>
            <a:endParaRPr lang="en-IN" sz="1800" b="0">
              <a:solidFill>
                <a:srgbClr val="FFFF00"/>
              </a:solidFill>
            </a:endParaRPr>
          </a:p>
        </xdr:txBody>
      </xdr:sp>
    </xdr:grpSp>
    <xdr:clientData/>
  </xdr:twoCellAnchor>
  <xdr:twoCellAnchor>
    <xdr:from>
      <xdr:col>1</xdr:col>
      <xdr:colOff>680358</xdr:colOff>
      <xdr:row>230</xdr:row>
      <xdr:rowOff>122464</xdr:rowOff>
    </xdr:from>
    <xdr:to>
      <xdr:col>1</xdr:col>
      <xdr:colOff>1088572</xdr:colOff>
      <xdr:row>232</xdr:row>
      <xdr:rowOff>81643</xdr:rowOff>
    </xdr:to>
    <xdr:cxnSp macro="">
      <xdr:nvCxnSpPr>
        <xdr:cNvPr id="11" name="Straight Arrow Connector 10">
          <a:extLst>
            <a:ext uri="{FF2B5EF4-FFF2-40B4-BE49-F238E27FC236}">
              <a16:creationId xmlns:a16="http://schemas.microsoft.com/office/drawing/2014/main" id="{00000000-0008-0000-0000-00000B000000}"/>
            </a:ext>
          </a:extLst>
        </xdr:cNvPr>
        <xdr:cNvCxnSpPr/>
      </xdr:nvCxnSpPr>
      <xdr:spPr>
        <a:xfrm>
          <a:off x="1850572" y="55843714"/>
          <a:ext cx="408214" cy="47625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625930</xdr:colOff>
      <xdr:row>53</xdr:row>
      <xdr:rowOff>176893</xdr:rowOff>
    </xdr:from>
    <xdr:to>
      <xdr:col>17</xdr:col>
      <xdr:colOff>192359</xdr:colOff>
      <xdr:row>54</xdr:row>
      <xdr:rowOff>2099309</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6"/>
        <a:stretch>
          <a:fillRect/>
        </a:stretch>
      </xdr:blipFill>
      <xdr:spPr>
        <a:xfrm>
          <a:off x="10123716" y="23608393"/>
          <a:ext cx="6914286" cy="2180952"/>
        </a:xfrm>
        <a:prstGeom prst="rect">
          <a:avLst/>
        </a:prstGeom>
      </xdr:spPr>
    </xdr:pic>
    <xdr:clientData/>
  </xdr:twoCellAnchor>
  <xdr:twoCellAnchor>
    <xdr:from>
      <xdr:col>8</xdr:col>
      <xdr:colOff>382128</xdr:colOff>
      <xdr:row>229</xdr:row>
      <xdr:rowOff>68200</xdr:rowOff>
    </xdr:from>
    <xdr:to>
      <xdr:col>22</xdr:col>
      <xdr:colOff>459462</xdr:colOff>
      <xdr:row>258</xdr:row>
      <xdr:rowOff>102143</xdr:rowOff>
    </xdr:to>
    <xdr:grpSp>
      <xdr:nvGrpSpPr>
        <xdr:cNvPr id="10" name="Group 9">
          <a:extLst>
            <a:ext uri="{FF2B5EF4-FFF2-40B4-BE49-F238E27FC236}">
              <a16:creationId xmlns:a16="http://schemas.microsoft.com/office/drawing/2014/main" id="{0FB6E11E-6A58-4061-9DB5-BEA72B6A2DB6}"/>
            </a:ext>
          </a:extLst>
        </xdr:cNvPr>
        <xdr:cNvGrpSpPr/>
      </xdr:nvGrpSpPr>
      <xdr:grpSpPr>
        <a:xfrm>
          <a:off x="9879914" y="56823593"/>
          <a:ext cx="8649834" cy="7531479"/>
          <a:chOff x="516599" y="52634994"/>
          <a:chExt cx="8571393" cy="7508267"/>
        </a:xfrm>
      </xdr:grpSpPr>
      <xdr:pic>
        <xdr:nvPicPr>
          <xdr:cNvPr id="14" name="Picture 13" descr="https://vsjcllp.vsjadon.com/upload/insp-184781-843.jpg">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516599" y="56529165"/>
            <a:ext cx="2727760" cy="358879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7" name="Picture 16" descr="https://vsjcllp.vsjadon.com/upload/insp-184781-851.jpg">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5761670" y="52666846"/>
            <a:ext cx="2713935" cy="358879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8" name="Picture 17" descr="https://vsjcllp.vsjadon.com/upload/insp-184781-931.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3465310" y="56554467"/>
            <a:ext cx="2693194" cy="358879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0" name="Picture 19" descr="https://vsjcllp.vsjadon.com/upload/insp-184781-874.jpg">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693965" y="52666846"/>
            <a:ext cx="4801259" cy="358879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24" name="TextBox 23">
            <a:extLst>
              <a:ext uri="{FF2B5EF4-FFF2-40B4-BE49-F238E27FC236}">
                <a16:creationId xmlns:a16="http://schemas.microsoft.com/office/drawing/2014/main" id="{00000000-0008-0000-0000-000018000000}"/>
              </a:ext>
            </a:extLst>
          </xdr:cNvPr>
          <xdr:cNvSpPr txBox="1"/>
        </xdr:nvSpPr>
        <xdr:spPr>
          <a:xfrm>
            <a:off x="5876684" y="52634994"/>
            <a:ext cx="1285475" cy="5018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0000"/>
                </a:solidFill>
              </a:rPr>
              <a:t>Wing</a:t>
            </a:r>
            <a:r>
              <a:rPr lang="en-IN" sz="2400" b="1" baseline="0">
                <a:solidFill>
                  <a:srgbClr val="FF0000"/>
                </a:solidFill>
              </a:rPr>
              <a:t> C</a:t>
            </a:r>
            <a:endParaRPr lang="en-IN" sz="2400" b="1">
              <a:solidFill>
                <a:srgbClr val="FF0000"/>
              </a:solidFill>
            </a:endParaRPr>
          </a:p>
        </xdr:txBody>
      </xdr:sp>
      <xdr:sp macro="" textlink="">
        <xdr:nvSpPr>
          <xdr:cNvPr id="25" name="TextBox 24">
            <a:extLst>
              <a:ext uri="{FF2B5EF4-FFF2-40B4-BE49-F238E27FC236}">
                <a16:creationId xmlns:a16="http://schemas.microsoft.com/office/drawing/2014/main" id="{00000000-0008-0000-0000-000019000000}"/>
              </a:ext>
            </a:extLst>
          </xdr:cNvPr>
          <xdr:cNvSpPr txBox="1"/>
        </xdr:nvSpPr>
        <xdr:spPr>
          <a:xfrm>
            <a:off x="1061358" y="53223138"/>
            <a:ext cx="1291878" cy="501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0000"/>
                </a:solidFill>
              </a:rPr>
              <a:t>Wing</a:t>
            </a:r>
            <a:r>
              <a:rPr lang="en-IN" sz="2400" b="1" baseline="0">
                <a:solidFill>
                  <a:srgbClr val="FF0000"/>
                </a:solidFill>
              </a:rPr>
              <a:t> C</a:t>
            </a:r>
            <a:endParaRPr lang="en-IN" sz="2400" b="1">
              <a:solidFill>
                <a:srgbClr val="FF0000"/>
              </a:solidFill>
            </a:endParaRPr>
          </a:p>
        </xdr:txBody>
      </xdr:sp>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6402633" y="56548957"/>
            <a:ext cx="2685359" cy="3571476"/>
          </a:xfrm>
          <a:prstGeom prst="rect">
            <a:avLst/>
          </a:prstGeom>
          <a:ln>
            <a:solidFill>
              <a:schemeClr val="tx1"/>
            </a:solidFill>
          </a:ln>
        </xdr:spPr>
      </xdr:pic>
    </xdr:grpSp>
    <xdr:clientData/>
  </xdr:twoCellAnchor>
  <xdr:twoCellAnchor>
    <xdr:from>
      <xdr:col>0</xdr:col>
      <xdr:colOff>503465</xdr:colOff>
      <xdr:row>226</xdr:row>
      <xdr:rowOff>-1</xdr:rowOff>
    </xdr:from>
    <xdr:to>
      <xdr:col>7</xdr:col>
      <xdr:colOff>762000</xdr:colOff>
      <xdr:row>257</xdr:row>
      <xdr:rowOff>149677</xdr:rowOff>
    </xdr:to>
    <xdr:grpSp>
      <xdr:nvGrpSpPr>
        <xdr:cNvPr id="26" name="Group 25">
          <a:extLst>
            <a:ext uri="{FF2B5EF4-FFF2-40B4-BE49-F238E27FC236}">
              <a16:creationId xmlns:a16="http://schemas.microsoft.com/office/drawing/2014/main" id="{84F5D32B-3DE6-41A3-B992-5658EBBCAE5F}"/>
            </a:ext>
          </a:extLst>
        </xdr:cNvPr>
        <xdr:cNvGrpSpPr/>
      </xdr:nvGrpSpPr>
      <xdr:grpSpPr>
        <a:xfrm>
          <a:off x="503465" y="55979785"/>
          <a:ext cx="8586106" cy="8164285"/>
          <a:chOff x="539599" y="192071"/>
          <a:chExt cx="5586588" cy="5602595"/>
        </a:xfrm>
      </xdr:grpSpPr>
      <xdr:grpSp>
        <xdr:nvGrpSpPr>
          <xdr:cNvPr id="28" name="Group 27">
            <a:extLst>
              <a:ext uri="{FF2B5EF4-FFF2-40B4-BE49-F238E27FC236}">
                <a16:creationId xmlns:a16="http://schemas.microsoft.com/office/drawing/2014/main" id="{093CDBC4-ED44-4D68-957D-90CAC2EFDEC1}"/>
              </a:ext>
            </a:extLst>
          </xdr:cNvPr>
          <xdr:cNvGrpSpPr/>
        </xdr:nvGrpSpPr>
        <xdr:grpSpPr>
          <a:xfrm>
            <a:off x="539599" y="192071"/>
            <a:ext cx="5586588" cy="5602595"/>
            <a:chOff x="539599" y="192071"/>
            <a:chExt cx="5586588" cy="5602595"/>
          </a:xfrm>
        </xdr:grpSpPr>
        <xdr:pic>
          <xdr:nvPicPr>
            <xdr:cNvPr id="33" name="Picture 32">
              <a:extLst>
                <a:ext uri="{FF2B5EF4-FFF2-40B4-BE49-F238E27FC236}">
                  <a16:creationId xmlns:a16="http://schemas.microsoft.com/office/drawing/2014/main" id="{7D5BAFE6-0E1E-4682-BE8C-48DD1F39D36F}"/>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539599" y="192071"/>
              <a:ext cx="2697187" cy="3600000"/>
            </a:xfrm>
            <a:prstGeom prst="rect">
              <a:avLst/>
            </a:prstGeom>
            <a:ln>
              <a:solidFill>
                <a:schemeClr val="tx1"/>
              </a:solidFill>
            </a:ln>
          </xdr:spPr>
        </xdr:pic>
        <xdr:pic>
          <xdr:nvPicPr>
            <xdr:cNvPr id="34" name="Picture 33">
              <a:extLst>
                <a:ext uri="{FF2B5EF4-FFF2-40B4-BE49-F238E27FC236}">
                  <a16:creationId xmlns:a16="http://schemas.microsoft.com/office/drawing/2014/main" id="{EE247A12-1061-4B27-A93E-2581BB648B6B}"/>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429000" y="192071"/>
              <a:ext cx="2697187" cy="3600000"/>
            </a:xfrm>
            <a:prstGeom prst="rect">
              <a:avLst/>
            </a:prstGeom>
            <a:ln>
              <a:solidFill>
                <a:schemeClr val="tx1"/>
              </a:solidFill>
            </a:ln>
          </xdr:spPr>
        </xdr:pic>
        <xdr:pic>
          <xdr:nvPicPr>
            <xdr:cNvPr id="35" name="Picture 34">
              <a:extLst>
                <a:ext uri="{FF2B5EF4-FFF2-40B4-BE49-F238E27FC236}">
                  <a16:creationId xmlns:a16="http://schemas.microsoft.com/office/drawing/2014/main" id="{9DE48D59-7C0C-4205-A104-1A98C974C8F2}"/>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571918" y="3994666"/>
              <a:ext cx="2397778" cy="1800000"/>
            </a:xfrm>
            <a:prstGeom prst="rect">
              <a:avLst/>
            </a:prstGeom>
            <a:ln>
              <a:solidFill>
                <a:schemeClr val="tx1"/>
              </a:solidFill>
            </a:ln>
          </xdr:spPr>
        </xdr:pic>
        <xdr:pic>
          <xdr:nvPicPr>
            <xdr:cNvPr id="36" name="Picture 35">
              <a:extLst>
                <a:ext uri="{FF2B5EF4-FFF2-40B4-BE49-F238E27FC236}">
                  <a16:creationId xmlns:a16="http://schemas.microsoft.com/office/drawing/2014/main" id="{7D2DF0C6-D4E2-4760-A5E1-91C6B793A448}"/>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175255" y="3994666"/>
              <a:ext cx="1348594" cy="1800000"/>
            </a:xfrm>
            <a:prstGeom prst="rect">
              <a:avLst/>
            </a:prstGeom>
            <a:ln>
              <a:solidFill>
                <a:schemeClr val="tx1"/>
              </a:solidFill>
            </a:ln>
          </xdr:spPr>
        </xdr:pic>
        <xdr:pic>
          <xdr:nvPicPr>
            <xdr:cNvPr id="37" name="Picture 36">
              <a:extLst>
                <a:ext uri="{FF2B5EF4-FFF2-40B4-BE49-F238E27FC236}">
                  <a16:creationId xmlns:a16="http://schemas.microsoft.com/office/drawing/2014/main" id="{BA368E67-CAB6-4007-B405-D1BAE9ADF17C}"/>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4729408" y="3994666"/>
              <a:ext cx="1348594" cy="1800000"/>
            </a:xfrm>
            <a:prstGeom prst="rect">
              <a:avLst/>
            </a:prstGeom>
            <a:ln>
              <a:solidFill>
                <a:schemeClr val="tx1"/>
              </a:solidFill>
            </a:ln>
          </xdr:spPr>
        </xdr:pic>
      </xdr:grpSp>
      <xdr:sp macro="" textlink="">
        <xdr:nvSpPr>
          <xdr:cNvPr id="29" name="TextBox 39">
            <a:extLst>
              <a:ext uri="{FF2B5EF4-FFF2-40B4-BE49-F238E27FC236}">
                <a16:creationId xmlns:a16="http://schemas.microsoft.com/office/drawing/2014/main" id="{0728FA1E-1DC5-41C9-8985-2F64B23DCF8F}"/>
              </a:ext>
            </a:extLst>
          </xdr:cNvPr>
          <xdr:cNvSpPr txBox="1"/>
        </xdr:nvSpPr>
        <xdr:spPr>
          <a:xfrm>
            <a:off x="2458145" y="276110"/>
            <a:ext cx="849913"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C</a:t>
            </a:r>
            <a:endParaRPr lang="en-IN" b="1">
              <a:solidFill>
                <a:srgbClr val="FF0000"/>
              </a:solidFill>
            </a:endParaRPr>
          </a:p>
        </xdr:txBody>
      </xdr:sp>
      <xdr:cxnSp macro="">
        <xdr:nvCxnSpPr>
          <xdr:cNvPr id="30" name="Straight Arrow Connector 29">
            <a:extLst>
              <a:ext uri="{FF2B5EF4-FFF2-40B4-BE49-F238E27FC236}">
                <a16:creationId xmlns:a16="http://schemas.microsoft.com/office/drawing/2014/main" id="{3742329B-9FA3-4913-BCAD-84120B81416E}"/>
              </a:ext>
            </a:extLst>
          </xdr:cNvPr>
          <xdr:cNvCxnSpPr/>
        </xdr:nvCxnSpPr>
        <xdr:spPr>
          <a:xfrm flipH="1">
            <a:off x="2400300" y="487680"/>
            <a:ext cx="160020" cy="31242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TextBox 43">
            <a:extLst>
              <a:ext uri="{FF2B5EF4-FFF2-40B4-BE49-F238E27FC236}">
                <a16:creationId xmlns:a16="http://schemas.microsoft.com/office/drawing/2014/main" id="{6DB17B4C-C756-4886-A34D-6EDC9D84AA49}"/>
              </a:ext>
            </a:extLst>
          </xdr:cNvPr>
          <xdr:cNvSpPr txBox="1"/>
        </xdr:nvSpPr>
        <xdr:spPr>
          <a:xfrm>
            <a:off x="5226160" y="374217"/>
            <a:ext cx="849913"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C</a:t>
            </a:r>
            <a:endParaRPr lang="en-IN" b="1">
              <a:solidFill>
                <a:srgbClr val="FF0000"/>
              </a:solidFill>
            </a:endParaRPr>
          </a:p>
        </xdr:txBody>
      </xdr:sp>
      <xdr:cxnSp macro="">
        <xdr:nvCxnSpPr>
          <xdr:cNvPr id="32" name="Straight Arrow Connector 31">
            <a:extLst>
              <a:ext uri="{FF2B5EF4-FFF2-40B4-BE49-F238E27FC236}">
                <a16:creationId xmlns:a16="http://schemas.microsoft.com/office/drawing/2014/main" id="{276AFCAE-2CF5-4D8A-B290-18F7695BD033}"/>
              </a:ext>
            </a:extLst>
          </xdr:cNvPr>
          <xdr:cNvCxnSpPr>
            <a:cxnSpLocks/>
          </xdr:cNvCxnSpPr>
        </xdr:nvCxnSpPr>
        <xdr:spPr>
          <a:xfrm flipH="1">
            <a:off x="4960999" y="511086"/>
            <a:ext cx="296509" cy="349974"/>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8</xdr:col>
      <xdr:colOff>530679</xdr:colOff>
      <xdr:row>54</xdr:row>
      <xdr:rowOff>2381250</xdr:rowOff>
    </xdr:from>
    <xdr:to>
      <xdr:col>18</xdr:col>
      <xdr:colOff>143933</xdr:colOff>
      <xdr:row>59</xdr:row>
      <xdr:rowOff>1727035</xdr:rowOff>
    </xdr:to>
    <xdr:pic>
      <xdr:nvPicPr>
        <xdr:cNvPr id="19" name="Picture 18">
          <a:extLst>
            <a:ext uri="{FF2B5EF4-FFF2-40B4-BE49-F238E27FC236}">
              <a16:creationId xmlns:a16="http://schemas.microsoft.com/office/drawing/2014/main" id="{07E2C17F-6324-4D0E-BAD8-3903EAA3C457}"/>
            </a:ext>
          </a:extLst>
        </xdr:cNvPr>
        <xdr:cNvPicPr>
          <a:picLocks noChangeAspect="1"/>
        </xdr:cNvPicPr>
      </xdr:nvPicPr>
      <xdr:blipFill>
        <a:blip xmlns:r="http://schemas.openxmlformats.org/officeDocument/2006/relationships" r:embed="rId17"/>
        <a:stretch>
          <a:fillRect/>
        </a:stretch>
      </xdr:blipFill>
      <xdr:spPr>
        <a:xfrm>
          <a:off x="10028465" y="25608643"/>
          <a:ext cx="7573432" cy="206721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XQr7kwPvoAM3KcaMA"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351"/>
  <sheetViews>
    <sheetView tabSelected="1" view="pageBreakPreview" zoomScale="70" zoomScaleNormal="85" zoomScaleSheetLayoutView="70" zoomScalePageLayoutView="70" workbookViewId="0">
      <selection activeCell="I8" sqref="I8"/>
    </sheetView>
  </sheetViews>
  <sheetFormatPr defaultColWidth="9.140625" defaultRowHeight="17.100000000000001" customHeight="1" x14ac:dyDescent="0.25"/>
  <cols>
    <col min="1" max="5" width="17.5703125" style="1" customWidth="1"/>
    <col min="6" max="6" width="19.5703125" style="1" bestFit="1" customWidth="1"/>
    <col min="7" max="7" width="17.5703125" style="1" customWidth="1"/>
    <col min="8" max="8" width="17.5703125" style="3" customWidth="1"/>
    <col min="9" max="9" width="33.85546875" style="1" customWidth="1"/>
    <col min="10" max="10" width="12" style="1" bestFit="1" customWidth="1"/>
    <col min="11" max="19" width="9.140625" style="1"/>
    <col min="20" max="22" width="0" style="1" hidden="1" customWidth="1"/>
    <col min="23" max="25" width="9.140625" style="1"/>
    <col min="26" max="26" width="7.85546875" style="1" customWidth="1"/>
    <col min="27" max="16384" width="9.140625" style="1"/>
  </cols>
  <sheetData>
    <row r="1" spans="1:15" ht="20.25" x14ac:dyDescent="0.25">
      <c r="A1" s="98" t="s">
        <v>38</v>
      </c>
      <c r="B1" s="99"/>
      <c r="C1" s="99"/>
      <c r="D1" s="99"/>
      <c r="E1" s="99"/>
      <c r="F1" s="99"/>
      <c r="G1" s="99"/>
      <c r="H1" s="100"/>
    </row>
    <row r="2" spans="1:15" ht="42" customHeight="1" x14ac:dyDescent="0.25">
      <c r="A2" s="120" t="s">
        <v>10</v>
      </c>
      <c r="B2" s="120"/>
      <c r="C2" s="82" t="s">
        <v>87</v>
      </c>
      <c r="D2" s="82"/>
      <c r="E2" s="120" t="s">
        <v>12</v>
      </c>
      <c r="F2" s="120"/>
      <c r="G2" s="146">
        <v>45488</v>
      </c>
      <c r="H2" s="82"/>
      <c r="I2" s="81">
        <f>J2+90</f>
        <v>45496</v>
      </c>
      <c r="J2" s="146">
        <v>45406</v>
      </c>
      <c r="K2" s="82"/>
    </row>
    <row r="3" spans="1:15" ht="42.75" customHeight="1" x14ac:dyDescent="0.25">
      <c r="A3" s="120" t="s">
        <v>39</v>
      </c>
      <c r="B3" s="120"/>
      <c r="C3" s="154" t="s">
        <v>306</v>
      </c>
      <c r="D3" s="154"/>
      <c r="E3" s="92" t="s">
        <v>162</v>
      </c>
      <c r="F3" s="92"/>
      <c r="G3" s="153" t="s">
        <v>314</v>
      </c>
      <c r="H3" s="82"/>
    </row>
    <row r="4" spans="1:15" ht="43.5" customHeight="1" x14ac:dyDescent="0.25">
      <c r="A4" s="92" t="s">
        <v>36</v>
      </c>
      <c r="B4" s="92"/>
      <c r="C4" s="82" t="s">
        <v>150</v>
      </c>
      <c r="D4" s="82"/>
      <c r="E4" s="120" t="s">
        <v>33</v>
      </c>
      <c r="F4" s="120"/>
      <c r="G4" s="82" t="str">
        <f ca="1">TEXT(TODAY(),"DD/MM/YYYY")</f>
        <v>18/07/2025</v>
      </c>
      <c r="H4" s="82"/>
      <c r="I4" s="82" t="s">
        <v>305</v>
      </c>
      <c r="J4" s="82"/>
    </row>
    <row r="5" spans="1:15" ht="20.25" x14ac:dyDescent="0.25">
      <c r="A5" s="84" t="s">
        <v>40</v>
      </c>
      <c r="B5" s="84"/>
      <c r="C5" s="84"/>
      <c r="D5" s="84"/>
      <c r="E5" s="84"/>
      <c r="F5" s="84"/>
      <c r="G5" s="84"/>
      <c r="H5" s="84"/>
    </row>
    <row r="6" spans="1:15" ht="43.5" customHeight="1" x14ac:dyDescent="0.25">
      <c r="A6" s="120" t="s">
        <v>29</v>
      </c>
      <c r="B6" s="120"/>
      <c r="C6" s="82" t="s">
        <v>93</v>
      </c>
      <c r="D6" s="82"/>
      <c r="E6" s="120" t="s">
        <v>35</v>
      </c>
      <c r="F6" s="120"/>
      <c r="G6" s="82" t="s">
        <v>313</v>
      </c>
      <c r="H6" s="82"/>
    </row>
    <row r="7" spans="1:15" ht="23.25" customHeight="1" x14ac:dyDescent="0.25">
      <c r="A7" s="120" t="s">
        <v>42</v>
      </c>
      <c r="B7" s="120"/>
      <c r="C7" s="82" t="s">
        <v>303</v>
      </c>
      <c r="D7" s="82"/>
      <c r="E7" s="120" t="s">
        <v>43</v>
      </c>
      <c r="F7" s="120"/>
      <c r="G7" s="128" t="s">
        <v>303</v>
      </c>
      <c r="H7" s="128"/>
    </row>
    <row r="8" spans="1:15" ht="48.75" customHeight="1" x14ac:dyDescent="0.25">
      <c r="A8" s="120" t="s">
        <v>44</v>
      </c>
      <c r="B8" s="120"/>
      <c r="C8" s="82" t="s">
        <v>255</v>
      </c>
      <c r="D8" s="82"/>
      <c r="E8" s="82"/>
      <c r="F8" s="82"/>
      <c r="G8" s="82"/>
      <c r="H8" s="82"/>
    </row>
    <row r="9" spans="1:15" ht="45" customHeight="1" x14ac:dyDescent="0.25">
      <c r="A9" s="121" t="s">
        <v>153</v>
      </c>
      <c r="B9" s="42" t="s">
        <v>41</v>
      </c>
      <c r="C9" s="82" t="s">
        <v>255</v>
      </c>
      <c r="D9" s="82"/>
      <c r="E9" s="82"/>
      <c r="F9" s="82"/>
      <c r="G9" s="82"/>
      <c r="H9" s="82"/>
    </row>
    <row r="10" spans="1:15" ht="66" customHeight="1" x14ac:dyDescent="0.25">
      <c r="A10" s="121"/>
      <c r="B10" s="42" t="s">
        <v>11</v>
      </c>
      <c r="C10" s="131" t="s">
        <v>256</v>
      </c>
      <c r="D10" s="132"/>
      <c r="E10" s="132"/>
      <c r="F10" s="132"/>
      <c r="G10" s="132"/>
      <c r="H10" s="133"/>
      <c r="J10" s="159"/>
      <c r="K10" s="159"/>
      <c r="L10" s="159"/>
      <c r="M10" s="159"/>
      <c r="N10" s="159"/>
      <c r="O10" s="159"/>
    </row>
    <row r="11" spans="1:15" ht="66.75" customHeight="1" x14ac:dyDescent="0.25">
      <c r="A11" s="121"/>
      <c r="B11" s="42" t="s">
        <v>5</v>
      </c>
      <c r="C11" s="82" t="s">
        <v>257</v>
      </c>
      <c r="D11" s="82"/>
      <c r="E11" s="82"/>
      <c r="F11" s="82"/>
      <c r="G11" s="82"/>
      <c r="H11" s="82"/>
    </row>
    <row r="12" spans="1:15" ht="40.5" customHeight="1" x14ac:dyDescent="0.25">
      <c r="A12" s="92" t="s">
        <v>34</v>
      </c>
      <c r="B12" s="92"/>
      <c r="C12" s="82" t="s">
        <v>302</v>
      </c>
      <c r="D12" s="82"/>
      <c r="E12" s="82"/>
      <c r="F12" s="82"/>
      <c r="G12" s="82"/>
      <c r="H12" s="82"/>
    </row>
    <row r="13" spans="1:15" ht="20.100000000000001" customHeight="1" x14ac:dyDescent="0.25">
      <c r="A13" s="84" t="s">
        <v>45</v>
      </c>
      <c r="B13" s="84"/>
      <c r="C13" s="84"/>
      <c r="D13" s="84"/>
      <c r="E13" s="84"/>
      <c r="F13" s="84"/>
      <c r="G13" s="84"/>
      <c r="H13" s="84"/>
    </row>
    <row r="14" spans="1:15" ht="41.25" customHeight="1" x14ac:dyDescent="0.25">
      <c r="A14" s="120" t="s">
        <v>27</v>
      </c>
      <c r="B14" s="120" t="s">
        <v>4</v>
      </c>
      <c r="C14" s="82" t="s">
        <v>88</v>
      </c>
      <c r="D14" s="82"/>
      <c r="E14" s="120" t="s">
        <v>46</v>
      </c>
      <c r="F14" s="120" t="s">
        <v>4</v>
      </c>
      <c r="G14" s="82" t="s">
        <v>254</v>
      </c>
      <c r="H14" s="82"/>
    </row>
    <row r="15" spans="1:15" ht="41.25" customHeight="1" x14ac:dyDescent="0.25">
      <c r="A15" s="120" t="s">
        <v>47</v>
      </c>
      <c r="B15" s="120" t="s">
        <v>4</v>
      </c>
      <c r="C15" s="82" t="s">
        <v>253</v>
      </c>
      <c r="D15" s="82"/>
      <c r="E15" s="120" t="s">
        <v>48</v>
      </c>
      <c r="F15" s="120" t="s">
        <v>4</v>
      </c>
      <c r="G15" s="146">
        <v>47848</v>
      </c>
      <c r="H15" s="82"/>
    </row>
    <row r="16" spans="1:15" ht="41.25" customHeight="1" x14ac:dyDescent="0.25">
      <c r="A16" s="120" t="s">
        <v>49</v>
      </c>
      <c r="B16" s="120" t="s">
        <v>4</v>
      </c>
      <c r="C16" s="146">
        <v>45204</v>
      </c>
      <c r="D16" s="82"/>
      <c r="E16" s="120" t="s">
        <v>50</v>
      </c>
      <c r="F16" s="120" t="s">
        <v>4</v>
      </c>
      <c r="G16" s="145">
        <v>45204</v>
      </c>
      <c r="H16" s="82"/>
    </row>
    <row r="17" spans="1:8" ht="41.25" customHeight="1" x14ac:dyDescent="0.25">
      <c r="A17" s="120" t="s">
        <v>51</v>
      </c>
      <c r="B17" s="120" t="s">
        <v>4</v>
      </c>
      <c r="C17" s="146">
        <v>47848</v>
      </c>
      <c r="D17" s="82"/>
      <c r="E17" s="120" t="s">
        <v>52</v>
      </c>
      <c r="F17" s="120" t="s">
        <v>4</v>
      </c>
      <c r="G17" s="82" t="s">
        <v>258</v>
      </c>
      <c r="H17" s="82"/>
    </row>
    <row r="18" spans="1:8" ht="41.25" customHeight="1" x14ac:dyDescent="0.25">
      <c r="A18" s="120" t="s">
        <v>53</v>
      </c>
      <c r="B18" s="120" t="s">
        <v>4</v>
      </c>
      <c r="C18" s="82"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v>
      </c>
      <c r="D18" s="82"/>
      <c r="E18" s="120" t="s">
        <v>96</v>
      </c>
      <c r="F18" s="120" t="s">
        <v>4</v>
      </c>
      <c r="G18" s="82">
        <v>25426.16</v>
      </c>
      <c r="H18" s="82"/>
    </row>
    <row r="19" spans="1:8" ht="41.25" customHeight="1" x14ac:dyDescent="0.25">
      <c r="A19" s="120" t="s">
        <v>54</v>
      </c>
      <c r="B19" s="120" t="s">
        <v>4</v>
      </c>
      <c r="C19" s="82">
        <v>1</v>
      </c>
      <c r="D19" s="82"/>
      <c r="E19" s="120" t="s">
        <v>248</v>
      </c>
      <c r="F19" s="120" t="s">
        <v>4</v>
      </c>
      <c r="G19" s="82">
        <v>15217.63</v>
      </c>
      <c r="H19" s="82"/>
    </row>
    <row r="20" spans="1:8" ht="41.25" customHeight="1" x14ac:dyDescent="0.25">
      <c r="A20" s="120" t="s">
        <v>94</v>
      </c>
      <c r="B20" s="120" t="s">
        <v>4</v>
      </c>
      <c r="C20" s="82">
        <v>36515.54</v>
      </c>
      <c r="D20" s="82"/>
      <c r="E20" s="120" t="s">
        <v>95</v>
      </c>
      <c r="F20" s="120" t="s">
        <v>4</v>
      </c>
      <c r="G20" s="82">
        <v>27047.19</v>
      </c>
      <c r="H20" s="82"/>
    </row>
    <row r="21" spans="1:8" ht="41.25" customHeight="1" x14ac:dyDescent="0.25">
      <c r="A21" s="120" t="s">
        <v>56</v>
      </c>
      <c r="B21" s="120" t="s">
        <v>4</v>
      </c>
      <c r="C21" s="82" t="s">
        <v>307</v>
      </c>
      <c r="D21" s="82"/>
      <c r="E21" s="120" t="s">
        <v>55</v>
      </c>
      <c r="F21" s="120" t="s">
        <v>4</v>
      </c>
      <c r="G21" s="82" t="s">
        <v>308</v>
      </c>
      <c r="H21" s="82"/>
    </row>
    <row r="22" spans="1:8" ht="20.25" x14ac:dyDescent="0.25">
      <c r="A22" s="120" t="s">
        <v>166</v>
      </c>
      <c r="B22" s="120" t="s">
        <v>4</v>
      </c>
      <c r="C22" s="82" t="s">
        <v>259</v>
      </c>
      <c r="D22" s="82"/>
      <c r="E22" s="120" t="s">
        <v>167</v>
      </c>
      <c r="F22" s="120" t="s">
        <v>4</v>
      </c>
      <c r="G22" s="82" t="s">
        <v>261</v>
      </c>
      <c r="H22" s="82"/>
    </row>
    <row r="23" spans="1:8" ht="25.5" customHeight="1" x14ac:dyDescent="0.25">
      <c r="A23" s="120" t="s">
        <v>164</v>
      </c>
      <c r="B23" s="120" t="s">
        <v>4</v>
      </c>
      <c r="C23" s="87" t="s">
        <v>260</v>
      </c>
      <c r="D23" s="82"/>
      <c r="E23" s="82"/>
      <c r="F23" s="82"/>
      <c r="G23" s="82"/>
      <c r="H23" s="82"/>
    </row>
    <row r="24" spans="1:8" ht="47.25" customHeight="1" x14ac:dyDescent="0.25">
      <c r="A24" s="92" t="s">
        <v>25</v>
      </c>
      <c r="B24" s="92" t="s">
        <v>4</v>
      </c>
      <c r="C24" s="86" t="s">
        <v>298</v>
      </c>
      <c r="D24" s="86"/>
      <c r="E24" s="86"/>
      <c r="F24" s="86"/>
      <c r="G24" s="86"/>
      <c r="H24" s="86"/>
    </row>
    <row r="25" spans="1:8" ht="24" customHeight="1" x14ac:dyDescent="0.25">
      <c r="A25" s="84" t="s">
        <v>20</v>
      </c>
      <c r="B25" s="84"/>
      <c r="C25" s="84"/>
      <c r="D25" s="84"/>
      <c r="E25" s="84"/>
      <c r="F25" s="84"/>
      <c r="G25" s="84"/>
      <c r="H25" s="84"/>
    </row>
    <row r="26" spans="1:8" ht="43.5" customHeight="1" x14ac:dyDescent="0.25">
      <c r="A26" s="120" t="s">
        <v>26</v>
      </c>
      <c r="B26" s="120" t="s">
        <v>4</v>
      </c>
      <c r="C26" s="82" t="str">
        <f>IF(AND(G26="Upper"),"Developed","Developing")</f>
        <v>Developing</v>
      </c>
      <c r="D26" s="82"/>
      <c r="E26" s="120" t="s">
        <v>13</v>
      </c>
      <c r="F26" s="120" t="s">
        <v>4</v>
      </c>
      <c r="G26" s="82" t="s">
        <v>168</v>
      </c>
      <c r="H26" s="82"/>
    </row>
    <row r="27" spans="1:8" ht="43.5" customHeight="1" x14ac:dyDescent="0.25">
      <c r="A27" s="120" t="s">
        <v>14</v>
      </c>
      <c r="B27" s="120" t="s">
        <v>4</v>
      </c>
      <c r="C27" s="82" t="s">
        <v>99</v>
      </c>
      <c r="D27" s="82"/>
      <c r="E27" s="120" t="s">
        <v>154</v>
      </c>
      <c r="F27" s="120" t="s">
        <v>4</v>
      </c>
      <c r="G27" s="82" t="s">
        <v>249</v>
      </c>
      <c r="H27" s="82"/>
    </row>
    <row r="28" spans="1:8" ht="43.5" customHeight="1" x14ac:dyDescent="0.25">
      <c r="A28" s="120" t="s">
        <v>23</v>
      </c>
      <c r="B28" s="120" t="s">
        <v>4</v>
      </c>
      <c r="C28" s="82" t="s">
        <v>98</v>
      </c>
      <c r="D28" s="82"/>
      <c r="E28" s="120" t="s">
        <v>16</v>
      </c>
      <c r="F28" s="120" t="s">
        <v>4</v>
      </c>
      <c r="G28" s="82" t="s">
        <v>262</v>
      </c>
      <c r="H28" s="82"/>
    </row>
    <row r="29" spans="1:8" ht="43.5" customHeight="1" x14ac:dyDescent="0.25">
      <c r="A29" s="120" t="s">
        <v>108</v>
      </c>
      <c r="B29" s="120" t="s">
        <v>4</v>
      </c>
      <c r="C29" s="82" t="s">
        <v>263</v>
      </c>
      <c r="D29" s="82"/>
      <c r="E29" s="120" t="s">
        <v>109</v>
      </c>
      <c r="F29" s="120" t="s">
        <v>4</v>
      </c>
      <c r="G29" s="82" t="s">
        <v>264</v>
      </c>
      <c r="H29" s="82"/>
    </row>
    <row r="30" spans="1:8" ht="84" customHeight="1" x14ac:dyDescent="0.25">
      <c r="A30" s="120" t="s">
        <v>17</v>
      </c>
      <c r="B30" s="120" t="s">
        <v>4</v>
      </c>
      <c r="C30" s="82" t="s">
        <v>266</v>
      </c>
      <c r="D30" s="82"/>
      <c r="E30" s="120" t="s">
        <v>15</v>
      </c>
      <c r="F30" s="120" t="s">
        <v>4</v>
      </c>
      <c r="G30" s="82" t="s">
        <v>265</v>
      </c>
      <c r="H30" s="82"/>
    </row>
    <row r="31" spans="1:8" ht="20.25" x14ac:dyDescent="0.25">
      <c r="A31" s="120" t="s">
        <v>114</v>
      </c>
      <c r="B31" s="120" t="s">
        <v>4</v>
      </c>
      <c r="C31" s="82" t="s">
        <v>115</v>
      </c>
      <c r="D31" s="82"/>
      <c r="E31" s="120" t="s">
        <v>116</v>
      </c>
      <c r="F31" s="120" t="s">
        <v>4</v>
      </c>
      <c r="G31" s="82" t="s">
        <v>115</v>
      </c>
      <c r="H31" s="82"/>
    </row>
    <row r="32" spans="1:8" ht="21.75" customHeight="1" x14ac:dyDescent="0.25">
      <c r="A32" s="120" t="s">
        <v>117</v>
      </c>
      <c r="B32" s="120" t="s">
        <v>4</v>
      </c>
      <c r="C32" s="82" t="s">
        <v>115</v>
      </c>
      <c r="D32" s="82"/>
      <c r="E32" s="82"/>
      <c r="F32" s="82"/>
      <c r="G32" s="82"/>
      <c r="H32" s="82"/>
    </row>
    <row r="33" spans="1:15" ht="20.25" x14ac:dyDescent="0.25">
      <c r="A33" s="112" t="s">
        <v>37</v>
      </c>
      <c r="B33" s="112"/>
      <c r="C33" s="112"/>
      <c r="D33" s="112"/>
      <c r="E33" s="112"/>
      <c r="F33" s="112"/>
      <c r="G33" s="112"/>
      <c r="H33" s="112"/>
    </row>
    <row r="34" spans="1:15" ht="43.5" customHeight="1" x14ac:dyDescent="0.25">
      <c r="A34" s="120" t="s">
        <v>18</v>
      </c>
      <c r="B34" s="120"/>
      <c r="C34" s="82" t="s">
        <v>100</v>
      </c>
      <c r="D34" s="82"/>
      <c r="E34" s="120" t="s">
        <v>19</v>
      </c>
      <c r="F34" s="120" t="s">
        <v>4</v>
      </c>
      <c r="G34" s="82" t="s">
        <v>101</v>
      </c>
      <c r="H34" s="82"/>
    </row>
    <row r="35" spans="1:15" ht="43.5" customHeight="1" x14ac:dyDescent="0.25">
      <c r="A35" s="120" t="s">
        <v>22</v>
      </c>
      <c r="B35" s="120"/>
      <c r="C35" s="82" t="s">
        <v>101</v>
      </c>
      <c r="D35" s="82"/>
      <c r="E35" s="120" t="s">
        <v>32</v>
      </c>
      <c r="F35" s="120" t="s">
        <v>4</v>
      </c>
      <c r="G35" s="82" t="s">
        <v>101</v>
      </c>
      <c r="H35" s="82"/>
    </row>
    <row r="36" spans="1:15" ht="20.25" x14ac:dyDescent="0.25">
      <c r="A36" s="120" t="s">
        <v>31</v>
      </c>
      <c r="B36" s="120"/>
      <c r="C36" s="82" t="s">
        <v>102</v>
      </c>
      <c r="D36" s="82"/>
      <c r="E36" s="120" t="s">
        <v>21</v>
      </c>
      <c r="F36" s="120" t="s">
        <v>4</v>
      </c>
      <c r="G36" s="82" t="s">
        <v>103</v>
      </c>
      <c r="H36" s="82"/>
    </row>
    <row r="37" spans="1:15" ht="20.25" x14ac:dyDescent="0.25">
      <c r="A37" s="84" t="s">
        <v>0</v>
      </c>
      <c r="B37" s="84"/>
      <c r="C37" s="84"/>
      <c r="D37" s="84"/>
      <c r="E37" s="84"/>
      <c r="F37" s="84"/>
      <c r="G37" s="84"/>
      <c r="H37" s="84"/>
    </row>
    <row r="38" spans="1:15" ht="20.25" x14ac:dyDescent="0.25">
      <c r="A38" s="90" t="s">
        <v>0</v>
      </c>
      <c r="B38" s="90"/>
      <c r="C38" s="90" t="s">
        <v>233</v>
      </c>
      <c r="D38" s="90"/>
      <c r="E38" s="90"/>
      <c r="F38" s="90" t="s">
        <v>7</v>
      </c>
      <c r="G38" s="90"/>
      <c r="H38" s="90"/>
      <c r="J38" s="155" t="s">
        <v>1</v>
      </c>
      <c r="K38" s="156"/>
      <c r="L38" s="44" t="s">
        <v>6</v>
      </c>
      <c r="M38" s="155" t="s">
        <v>2</v>
      </c>
      <c r="N38" s="156"/>
      <c r="O38" s="44" t="s">
        <v>3</v>
      </c>
    </row>
    <row r="39" spans="1:15" ht="20.25" customHeight="1" x14ac:dyDescent="0.25">
      <c r="A39" s="121" t="s">
        <v>2</v>
      </c>
      <c r="B39" s="121"/>
      <c r="C39" s="124" t="s">
        <v>268</v>
      </c>
      <c r="D39" s="147"/>
      <c r="E39" s="148"/>
      <c r="F39" s="129" t="s">
        <v>272</v>
      </c>
      <c r="G39" s="129"/>
      <c r="H39" s="129"/>
    </row>
    <row r="40" spans="1:15" ht="20.25" customHeight="1" x14ac:dyDescent="0.25">
      <c r="A40" s="121" t="s">
        <v>3</v>
      </c>
      <c r="B40" s="121"/>
      <c r="C40" s="129" t="s">
        <v>270</v>
      </c>
      <c r="D40" s="129"/>
      <c r="E40" s="129"/>
      <c r="F40" s="129" t="s">
        <v>274</v>
      </c>
      <c r="G40" s="129"/>
      <c r="H40" s="129"/>
    </row>
    <row r="41" spans="1:15" ht="20.25" x14ac:dyDescent="0.25">
      <c r="A41" s="121" t="s">
        <v>1</v>
      </c>
      <c r="B41" s="121"/>
      <c r="C41" s="129" t="s">
        <v>267</v>
      </c>
      <c r="D41" s="129"/>
      <c r="E41" s="129"/>
      <c r="F41" s="129" t="s">
        <v>271</v>
      </c>
      <c r="G41" s="129"/>
      <c r="H41" s="129"/>
    </row>
    <row r="42" spans="1:15" ht="20.25" x14ac:dyDescent="0.25">
      <c r="A42" s="121" t="s">
        <v>6</v>
      </c>
      <c r="B42" s="121"/>
      <c r="C42" s="129" t="s">
        <v>269</v>
      </c>
      <c r="D42" s="129"/>
      <c r="E42" s="129"/>
      <c r="F42" s="129" t="s">
        <v>273</v>
      </c>
      <c r="G42" s="129"/>
      <c r="H42" s="129"/>
    </row>
    <row r="43" spans="1:15" ht="48.75" customHeight="1" x14ac:dyDescent="0.25">
      <c r="A43" s="120" t="s">
        <v>234</v>
      </c>
      <c r="B43" s="120"/>
      <c r="C43" s="82" t="s">
        <v>98</v>
      </c>
      <c r="D43" s="82"/>
      <c r="E43" s="82"/>
      <c r="F43" s="82"/>
      <c r="G43" s="82"/>
      <c r="H43" s="82"/>
    </row>
    <row r="44" spans="1:15" ht="20.25" x14ac:dyDescent="0.25">
      <c r="A44" s="84" t="s">
        <v>57</v>
      </c>
      <c r="B44" s="84"/>
      <c r="C44" s="84"/>
      <c r="D44" s="84"/>
      <c r="E44" s="84"/>
      <c r="F44" s="84"/>
      <c r="G44" s="84"/>
      <c r="H44" s="84"/>
    </row>
    <row r="45" spans="1:15" ht="21" customHeight="1" x14ac:dyDescent="0.25">
      <c r="A45" s="90" t="s">
        <v>58</v>
      </c>
      <c r="B45" s="90"/>
      <c r="C45" s="44" t="s">
        <v>59</v>
      </c>
      <c r="D45" s="90" t="s">
        <v>152</v>
      </c>
      <c r="E45" s="90"/>
      <c r="F45" s="90"/>
      <c r="G45" s="90" t="s">
        <v>60</v>
      </c>
      <c r="H45" s="90"/>
    </row>
    <row r="46" spans="1:15" ht="39.75" customHeight="1" x14ac:dyDescent="0.25">
      <c r="A46" s="91" t="s">
        <v>275</v>
      </c>
      <c r="B46" s="91"/>
      <c r="C46" s="41" t="s">
        <v>89</v>
      </c>
      <c r="D46" s="82" t="s">
        <v>286</v>
      </c>
      <c r="E46" s="82"/>
      <c r="F46" s="82"/>
      <c r="G46" s="82" t="s">
        <v>287</v>
      </c>
      <c r="H46" s="82"/>
    </row>
    <row r="47" spans="1:15" ht="20.25" hidden="1" x14ac:dyDescent="0.25">
      <c r="A47" s="91" t="s">
        <v>151</v>
      </c>
      <c r="B47" s="91"/>
      <c r="C47" s="41" t="s">
        <v>89</v>
      </c>
      <c r="D47" s="82"/>
      <c r="E47" s="82"/>
      <c r="F47" s="82"/>
      <c r="G47" s="82"/>
      <c r="H47" s="82"/>
    </row>
    <row r="48" spans="1:15" ht="20.25" hidden="1" x14ac:dyDescent="0.25">
      <c r="A48" s="91" t="s">
        <v>235</v>
      </c>
      <c r="B48" s="91"/>
      <c r="C48" s="41" t="s">
        <v>89</v>
      </c>
      <c r="D48" s="82"/>
      <c r="E48" s="82"/>
      <c r="F48" s="82"/>
      <c r="G48" s="82"/>
      <c r="H48" s="82"/>
    </row>
    <row r="49" spans="1:8" ht="20.25" hidden="1" x14ac:dyDescent="0.25">
      <c r="A49" s="91" t="s">
        <v>236</v>
      </c>
      <c r="B49" s="91"/>
      <c r="C49" s="41" t="s">
        <v>89</v>
      </c>
      <c r="D49" s="82"/>
      <c r="E49" s="82"/>
      <c r="F49" s="82"/>
      <c r="G49" s="82"/>
      <c r="H49" s="82"/>
    </row>
    <row r="50" spans="1:8" ht="20.25" x14ac:dyDescent="0.25">
      <c r="A50" s="84" t="s">
        <v>61</v>
      </c>
      <c r="B50" s="84"/>
      <c r="C50" s="84"/>
      <c r="D50" s="84"/>
      <c r="E50" s="84"/>
      <c r="F50" s="84"/>
      <c r="G50" s="84"/>
      <c r="H50" s="84"/>
    </row>
    <row r="51" spans="1:8" ht="42.75" customHeight="1" x14ac:dyDescent="0.25">
      <c r="A51" s="120" t="s">
        <v>62</v>
      </c>
      <c r="B51" s="120" t="s">
        <v>4</v>
      </c>
      <c r="C51" s="82" t="s">
        <v>98</v>
      </c>
      <c r="D51" s="82"/>
      <c r="E51" s="82"/>
      <c r="F51" s="82"/>
      <c r="G51" s="82"/>
      <c r="H51" s="82"/>
    </row>
    <row r="52" spans="1:8" ht="44.25" customHeight="1" x14ac:dyDescent="0.25">
      <c r="A52" s="120" t="s">
        <v>63</v>
      </c>
      <c r="B52" s="120" t="s">
        <v>4</v>
      </c>
      <c r="C52" s="82" t="s">
        <v>276</v>
      </c>
      <c r="D52" s="82"/>
      <c r="E52" s="82"/>
      <c r="F52" s="82"/>
      <c r="G52" s="59" t="s">
        <v>237</v>
      </c>
      <c r="H52" s="65">
        <v>45303</v>
      </c>
    </row>
    <row r="53" spans="1:8" ht="44.25" customHeight="1" x14ac:dyDescent="0.25">
      <c r="A53" s="120" t="s">
        <v>64</v>
      </c>
      <c r="B53" s="120" t="s">
        <v>4</v>
      </c>
      <c r="C53" s="82" t="s">
        <v>276</v>
      </c>
      <c r="D53" s="82"/>
      <c r="E53" s="82"/>
      <c r="F53" s="82"/>
      <c r="G53" s="59" t="s">
        <v>237</v>
      </c>
      <c r="H53" s="65">
        <v>45303</v>
      </c>
    </row>
    <row r="54" spans="1:8" ht="20.25" x14ac:dyDescent="0.25">
      <c r="A54" s="120" t="s">
        <v>309</v>
      </c>
      <c r="B54" s="120"/>
      <c r="C54" s="82" t="s">
        <v>277</v>
      </c>
      <c r="D54" s="82"/>
      <c r="E54" s="82"/>
      <c r="F54" s="82"/>
      <c r="G54" s="59" t="s">
        <v>237</v>
      </c>
      <c r="H54" s="65">
        <v>45355</v>
      </c>
    </row>
    <row r="55" spans="1:8" ht="193.5" customHeight="1" x14ac:dyDescent="0.25">
      <c r="A55" s="120"/>
      <c r="B55" s="120"/>
      <c r="C55" s="82" t="s">
        <v>310</v>
      </c>
      <c r="D55" s="82"/>
      <c r="E55" s="82"/>
      <c r="F55" s="82"/>
      <c r="G55" s="59" t="s">
        <v>250</v>
      </c>
      <c r="H55" s="65">
        <v>45370</v>
      </c>
    </row>
    <row r="56" spans="1:8" ht="46.5" hidden="1" customHeight="1" x14ac:dyDescent="0.25">
      <c r="A56" s="120" t="s">
        <v>65</v>
      </c>
      <c r="B56" s="120" t="s">
        <v>4</v>
      </c>
      <c r="C56" s="82"/>
      <c r="D56" s="82"/>
      <c r="E56" s="82"/>
      <c r="F56" s="82"/>
      <c r="G56" s="59" t="s">
        <v>238</v>
      </c>
      <c r="H56" s="43"/>
    </row>
    <row r="57" spans="1:8" ht="45" hidden="1" customHeight="1" x14ac:dyDescent="0.25">
      <c r="A57" s="120" t="s">
        <v>67</v>
      </c>
      <c r="B57" s="120" t="s">
        <v>4</v>
      </c>
      <c r="C57" s="82"/>
      <c r="D57" s="82"/>
      <c r="E57" s="82"/>
      <c r="F57" s="82"/>
      <c r="G57" s="59" t="s">
        <v>238</v>
      </c>
      <c r="H57" s="43"/>
    </row>
    <row r="58" spans="1:8" ht="46.5" hidden="1" customHeight="1" x14ac:dyDescent="0.25">
      <c r="A58" s="120" t="s">
        <v>66</v>
      </c>
      <c r="B58" s="120" t="s">
        <v>4</v>
      </c>
      <c r="C58" s="82"/>
      <c r="D58" s="82"/>
      <c r="E58" s="82"/>
      <c r="F58" s="82"/>
      <c r="G58" s="59" t="s">
        <v>238</v>
      </c>
      <c r="H58" s="43"/>
    </row>
    <row r="59" spans="1:8" ht="20.25" x14ac:dyDescent="0.25">
      <c r="A59" s="120" t="s">
        <v>309</v>
      </c>
      <c r="B59" s="120"/>
      <c r="C59" s="82" t="s">
        <v>316</v>
      </c>
      <c r="D59" s="82"/>
      <c r="E59" s="82"/>
      <c r="F59" s="82"/>
      <c r="G59" s="59" t="s">
        <v>237</v>
      </c>
      <c r="H59" s="80">
        <v>45712</v>
      </c>
    </row>
    <row r="60" spans="1:8" ht="193.5" customHeight="1" x14ac:dyDescent="0.25">
      <c r="A60" s="120"/>
      <c r="B60" s="120"/>
      <c r="C60" s="82" t="s">
        <v>317</v>
      </c>
      <c r="D60" s="82"/>
      <c r="E60" s="82"/>
      <c r="F60" s="82"/>
      <c r="G60" s="59" t="s">
        <v>250</v>
      </c>
      <c r="H60" s="80">
        <v>45735</v>
      </c>
    </row>
    <row r="61" spans="1:8" ht="21.75" customHeight="1" x14ac:dyDescent="0.25">
      <c r="A61" s="134" t="s">
        <v>311</v>
      </c>
      <c r="B61" s="136"/>
      <c r="C61" s="82" t="s">
        <v>299</v>
      </c>
      <c r="D61" s="82"/>
      <c r="E61" s="82"/>
      <c r="F61" s="82"/>
      <c r="G61" s="59" t="s">
        <v>238</v>
      </c>
      <c r="H61" s="71">
        <v>44880</v>
      </c>
    </row>
    <row r="62" spans="1:8" ht="85.5" customHeight="1" x14ac:dyDescent="0.25">
      <c r="A62" s="140"/>
      <c r="B62" s="142"/>
      <c r="C62" s="131" t="s">
        <v>300</v>
      </c>
      <c r="D62" s="132"/>
      <c r="E62" s="132"/>
      <c r="F62" s="132"/>
      <c r="G62" s="132"/>
      <c r="H62" s="133"/>
    </row>
    <row r="63" spans="1:8" ht="60.75" hidden="1" x14ac:dyDescent="0.25">
      <c r="A63" s="92" t="s">
        <v>68</v>
      </c>
      <c r="B63" s="92" t="s">
        <v>4</v>
      </c>
      <c r="C63" s="82"/>
      <c r="D63" s="82"/>
      <c r="E63" s="82"/>
      <c r="F63" s="82"/>
      <c r="G63" s="59" t="s">
        <v>238</v>
      </c>
      <c r="H63" s="43"/>
    </row>
    <row r="64" spans="1:8" ht="21" thickBot="1" x14ac:dyDescent="0.3">
      <c r="A64" s="84" t="s">
        <v>69</v>
      </c>
      <c r="B64" s="84"/>
      <c r="C64" s="84"/>
      <c r="D64" s="84"/>
      <c r="E64" s="84"/>
      <c r="F64" s="84"/>
      <c r="G64" s="84"/>
      <c r="H64" s="84"/>
    </row>
    <row r="65" spans="1:10" ht="20.25" customHeight="1" x14ac:dyDescent="0.3">
      <c r="A65" s="85" t="str">
        <f>CONCATENATE((IF(OR(A46="",A46="NA"),"",A46)),"= ",(IF(OR(D46="",D46="NA"),"",D46)),".")</f>
        <v>Wing C= 1B + G + P1 to P7 + S + 1st to 41st Floor.</v>
      </c>
      <c r="B65" s="85"/>
      <c r="C65" s="85"/>
      <c r="D65" s="73" t="s">
        <v>118</v>
      </c>
      <c r="E65" s="113" t="s">
        <v>105</v>
      </c>
      <c r="F65" s="113"/>
      <c r="G65" s="73" t="s">
        <v>119</v>
      </c>
      <c r="H65" s="73" t="s">
        <v>120</v>
      </c>
      <c r="I65" s="14" t="str">
        <f ca="1">(IF(E68&gt;99%,"All work completed. Please provide OC.",IF(E68&gt;89.8%,"Plinth, RCC, Brick, Plaster, Flooring, Wooden, Plumbing, Electrification, etc., work Completed. Finishing work is in process.",IF(E68&lt;94%,(IF(C68=0,"Work not yet Started.",IF(D68=25%,"Piling work in process",IF(D68=50%,"Excavation work in process",IF(D68=100%,"Excavation work Completed. ","0")))&amp;(IF(C69=0%,"",IF(C69=J70,"Footing work is process",IF(C69=J71,"Footing work Completed",IF(C69=J72,"1st Basement Completed",IF(C69=J73,"1st &amp; 2nd Basement Completed",IF(C69=J74,"1st to 3rd Basement Completed",IF(C69=J75,"1st to 4th Basement Completed",IF(C69=J76,"Plinth work is process",IF(C69=J77,"Plinth work completed","0")))))))))))&amp;(IF(C70=(E66+G66+H66),", RCC Slab",IF(C70&gt;0,", RCC upto "&amp;C70&amp;" Slab",""))&amp;(IF(C71=H66,", Brickwork",IF(C71&gt;0,", Brickwork upto "&amp;C71&amp;" Floor",""))&amp;(IF(C72=H66,", Internal Plaster",IF(C72&gt;0,", Internal Plaster upto "&amp;C72&amp;" Floor",""))&amp;(IF(C73=H66,", External Plaster",IF(C73&gt;0,", External Plaster upto "&amp;C73&amp;" Floor",""))&amp;(IF(C74=H66,", External Plumbing, Elevation and Waterproofing",IF(C74&gt;0,", External Plumbing, Elevation and Waterproofing upto "&amp;C74&amp;" Floor",""))&amp;(IF(C75=H66,", Flooring &amp; Fitting",IF(C75&gt;0,", Flooring &amp; Fitting upto "&amp;C75&amp;" Floor",""))&amp;(IF(C76=H66,", Wooden Work",IF(C76&gt;0,", Wooden Work upto "&amp;C76&amp;" Floor",""))&amp;(IF(C77=H66,", Electrical &amp; Sanitary fittings",IF(C77&gt;0,", Electrical &amp; Sanitary fittings upto "&amp;C77&amp;" Floor",""))&amp;(IF(C78&gt;0,", Finishing upto "&amp;C78&amp;" Floor","")&amp;(IF(C70&gt;0.5," Completed",""))))))))))))))))</f>
        <v>Excavation work Completed. Plinth work completed, RCC upto 36 Slab, Brickwork upto 27 Floor, Internal Plaster upto 20.25 Floor, External Plaster upto 20.25 Floor Completed</v>
      </c>
      <c r="J65" s="16"/>
    </row>
    <row r="66" spans="1:10" ht="20.25" x14ac:dyDescent="0.3">
      <c r="A66" s="85"/>
      <c r="B66" s="85"/>
      <c r="C66" s="85"/>
      <c r="D66" s="73">
        <f>IF(AND(ISNUMBER(SEARCH("1B",A65))),1,IF(AND(ISNUMBER(SEARCH("2B",A65))),2,IF(AND(ISNUMBER(SEARCH("3B",A65))),3,IF(AND(ISNUMBER(SEARCH("4B",A65))),4,IF(ISNUMBER(SEARCH("5B",A65)),5,0)))))</f>
        <v>1</v>
      </c>
      <c r="E66" s="113">
        <v>2</v>
      </c>
      <c r="F66" s="113"/>
      <c r="G66" s="73">
        <v>7</v>
      </c>
      <c r="H66" s="73">
        <f ca="1">--TRIM(RIGHT(SUBSTITUTE(LEFT(A65,_xlfn.AGGREGATE(16,6,FIND({0,1,2,3,4,5,6,7,8,9},A65,ROW(INDIRECT("1:"&amp;LEN(A65)))),1))," ",REPT(" ",LEN(A65))),LEN(A65)))</f>
        <v>41</v>
      </c>
      <c r="I66" s="15" t="s">
        <v>124</v>
      </c>
      <c r="J66" s="16"/>
    </row>
    <row r="67" spans="1:10" ht="20.25" customHeight="1" x14ac:dyDescent="0.3">
      <c r="A67" s="88" t="s">
        <v>122</v>
      </c>
      <c r="B67" s="88"/>
      <c r="C67" s="74" t="s">
        <v>135</v>
      </c>
      <c r="D67" s="74" t="s">
        <v>136</v>
      </c>
      <c r="E67" s="88" t="s">
        <v>123</v>
      </c>
      <c r="F67" s="88"/>
      <c r="G67" s="26" t="s">
        <v>121</v>
      </c>
      <c r="H67" s="26"/>
      <c r="I67" s="18" t="s">
        <v>137</v>
      </c>
      <c r="J67" s="17">
        <f ca="1">H66*25%</f>
        <v>10.25</v>
      </c>
    </row>
    <row r="68" spans="1:10" ht="20.25" customHeight="1" x14ac:dyDescent="0.3">
      <c r="A68" s="89" t="s">
        <v>138</v>
      </c>
      <c r="B68" s="89"/>
      <c r="C68" s="73">
        <f ca="1">J69</f>
        <v>41</v>
      </c>
      <c r="D68" s="75">
        <f ca="1">((100/H66)*C68)/100</f>
        <v>1</v>
      </c>
      <c r="E68" s="89">
        <f ca="1">(((C68/H66*10)+(C69/H66*25)+(25/(E66+G66+H66)*C70)+(5/(H66)*C71)+(2.5/(H66)*C72)+(2.5/(H66)*C73)+(5/H66*C74)+(2.5/H66*C75)+(2.5/H66*C76)+(5/H66*C77)+(10/H66*C78)+(5/H66*C79))/100)</f>
        <v>0.58762195121951211</v>
      </c>
      <c r="F68" s="89"/>
      <c r="G68" s="89" t="str">
        <f ca="1">I65</f>
        <v>Excavation work Completed. Plinth work completed, RCC upto 36 Slab, Brickwork upto 27 Floor, Internal Plaster upto 20.25 Floor, External Plaster upto 20.25 Floor Completed</v>
      </c>
      <c r="H68" s="89"/>
      <c r="I68" s="18" t="s">
        <v>125</v>
      </c>
      <c r="J68" s="22">
        <f ca="1">H66*50%</f>
        <v>20.5</v>
      </c>
    </row>
    <row r="69" spans="1:10" ht="20.25" x14ac:dyDescent="0.3">
      <c r="A69" s="89" t="s">
        <v>106</v>
      </c>
      <c r="B69" s="89"/>
      <c r="C69" s="76">
        <f ca="1">J77</f>
        <v>41</v>
      </c>
      <c r="D69" s="75">
        <f ca="1">((100/H66)*C69)/100</f>
        <v>1</v>
      </c>
      <c r="E69" s="89"/>
      <c r="F69" s="89"/>
      <c r="G69" s="89"/>
      <c r="H69" s="89"/>
      <c r="I69" s="18" t="s">
        <v>126</v>
      </c>
      <c r="J69" s="22">
        <f ca="1">H66</f>
        <v>41</v>
      </c>
    </row>
    <row r="70" spans="1:10" ht="21" customHeight="1" x14ac:dyDescent="0.35">
      <c r="A70" s="89" t="s">
        <v>139</v>
      </c>
      <c r="B70" s="89"/>
      <c r="C70" s="73">
        <v>36</v>
      </c>
      <c r="D70" s="75">
        <f ca="1">((100/(E66+G66+H66))*C70)/100</f>
        <v>0.72</v>
      </c>
      <c r="E70" s="89"/>
      <c r="F70" s="89"/>
      <c r="G70" s="89"/>
      <c r="H70" s="89"/>
      <c r="I70" s="18" t="s">
        <v>127</v>
      </c>
      <c r="J70" s="23">
        <f ca="1">(IF(D66&gt;1,(H66/(D66+2)),H66*0.2))</f>
        <v>8.2000000000000011</v>
      </c>
    </row>
    <row r="71" spans="1:10" ht="21" customHeight="1" x14ac:dyDescent="0.35">
      <c r="A71" s="89" t="s">
        <v>140</v>
      </c>
      <c r="B71" s="89"/>
      <c r="C71" s="73">
        <f>C70-G66-E66</f>
        <v>27</v>
      </c>
      <c r="D71" s="75">
        <f ca="1">((100/H66)*C71)/100</f>
        <v>0.65853658536585369</v>
      </c>
      <c r="E71" s="89"/>
      <c r="F71" s="89"/>
      <c r="G71" s="89"/>
      <c r="H71" s="89"/>
      <c r="I71" s="18" t="s">
        <v>128</v>
      </c>
      <c r="J71" s="23">
        <f ca="1">(IF(D66&gt;1,(H66/(D66+2)+J70),H66*0.2+J70))</f>
        <v>16.400000000000002</v>
      </c>
    </row>
    <row r="72" spans="1:10" ht="21" customHeight="1" x14ac:dyDescent="0.35">
      <c r="A72" s="118" t="s">
        <v>141</v>
      </c>
      <c r="B72" s="119"/>
      <c r="C72" s="77">
        <f>C71*0.75</f>
        <v>20.25</v>
      </c>
      <c r="D72" s="75">
        <f ca="1">((100/H66)*C72)/100</f>
        <v>0.49390243902439024</v>
      </c>
      <c r="E72" s="89"/>
      <c r="F72" s="89"/>
      <c r="G72" s="89"/>
      <c r="H72" s="89"/>
      <c r="I72" s="18" t="s">
        <v>142</v>
      </c>
      <c r="J72" s="23">
        <f>(IF(D66&gt;1,(H66/(D66+2)+J71),0))</f>
        <v>0</v>
      </c>
    </row>
    <row r="73" spans="1:10" ht="21" customHeight="1" x14ac:dyDescent="0.35">
      <c r="A73" s="118" t="s">
        <v>174</v>
      </c>
      <c r="B73" s="119"/>
      <c r="C73" s="77">
        <f>C72</f>
        <v>20.25</v>
      </c>
      <c r="D73" s="75">
        <f ca="1">((100/H66)*C73)/100</f>
        <v>0.49390243902439024</v>
      </c>
      <c r="E73" s="89"/>
      <c r="F73" s="89"/>
      <c r="G73" s="89"/>
      <c r="H73" s="89"/>
      <c r="I73" s="18" t="s">
        <v>143</v>
      </c>
      <c r="J73" s="23">
        <f>(IF(D66&gt;2,(H66/(D66+2)+J72),0))</f>
        <v>0</v>
      </c>
    </row>
    <row r="74" spans="1:10" ht="21" x14ac:dyDescent="0.35">
      <c r="A74" s="118" t="s">
        <v>171</v>
      </c>
      <c r="B74" s="119"/>
      <c r="C74" s="73">
        <v>0</v>
      </c>
      <c r="D74" s="75">
        <f ca="1">((100/(H66))*C74)/100</f>
        <v>0</v>
      </c>
      <c r="E74" s="89"/>
      <c r="F74" s="89"/>
      <c r="G74" s="89"/>
      <c r="H74" s="89"/>
      <c r="I74" s="18" t="s">
        <v>145</v>
      </c>
      <c r="J74" s="24">
        <f>(IF(D66&gt;3,(H66/(D66+2)+J73),0))</f>
        <v>0</v>
      </c>
    </row>
    <row r="75" spans="1:10" ht="21" x14ac:dyDescent="0.35">
      <c r="A75" s="89" t="s">
        <v>144</v>
      </c>
      <c r="B75" s="89"/>
      <c r="C75" s="73">
        <v>0</v>
      </c>
      <c r="D75" s="75">
        <f ca="1">((100/(H66))*C75)/100</f>
        <v>0</v>
      </c>
      <c r="E75" s="89"/>
      <c r="F75" s="89"/>
      <c r="G75" s="89"/>
      <c r="H75" s="89"/>
      <c r="I75" s="18" t="s">
        <v>146</v>
      </c>
      <c r="J75" s="23">
        <f>(IF(D66&gt;4,(H66/(D66+2)+J74),0))</f>
        <v>0</v>
      </c>
    </row>
    <row r="76" spans="1:10" ht="21" customHeight="1" x14ac:dyDescent="0.35">
      <c r="A76" s="89" t="s">
        <v>173</v>
      </c>
      <c r="B76" s="89"/>
      <c r="C76" s="73">
        <v>0</v>
      </c>
      <c r="D76" s="75">
        <f ca="1">((100/H66)*C76)/100</f>
        <v>0</v>
      </c>
      <c r="E76" s="89"/>
      <c r="F76" s="89"/>
      <c r="G76" s="89"/>
      <c r="H76" s="89"/>
      <c r="I76" s="18" t="s">
        <v>129</v>
      </c>
      <c r="J76" s="23">
        <f ca="1">(IF(D66=1,(H66/(D66+3)+J71),IF(D66=0,(H66*0.3+J71),IF(D66&gt;1,0))))</f>
        <v>26.650000000000002</v>
      </c>
    </row>
    <row r="77" spans="1:10" ht="21.75" thickBot="1" x14ac:dyDescent="0.4">
      <c r="A77" s="89" t="s">
        <v>172</v>
      </c>
      <c r="B77" s="89"/>
      <c r="C77" s="73">
        <v>0</v>
      </c>
      <c r="D77" s="75">
        <f ca="1">((100/H66)*C77)/100</f>
        <v>0</v>
      </c>
      <c r="E77" s="89"/>
      <c r="F77" s="89"/>
      <c r="G77" s="89"/>
      <c r="H77" s="89"/>
      <c r="I77" s="20" t="s">
        <v>130</v>
      </c>
      <c r="J77" s="25">
        <f ca="1">(IF(D66&gt;1.5,(H66/(D66+2)+J71+MAX(0,J72-J71)+MAX(0,J73-J72)+MAX(0,J74-J73)+MAX(0,J75-J74)+MAX(0,J76-J75)),IF(D66=1,(H66),IF(D66=0,H66*0.3+J76))))</f>
        <v>41</v>
      </c>
    </row>
    <row r="78" spans="1:10" ht="20.25" x14ac:dyDescent="0.25">
      <c r="A78" s="89" t="s">
        <v>147</v>
      </c>
      <c r="B78" s="89"/>
      <c r="C78" s="73">
        <v>0</v>
      </c>
      <c r="D78" s="75">
        <f ca="1">((100/(H66))*C78)/100</f>
        <v>0</v>
      </c>
      <c r="E78" s="89"/>
      <c r="F78" s="89"/>
      <c r="G78" s="89"/>
      <c r="H78" s="89"/>
    </row>
    <row r="79" spans="1:10" ht="20.25" x14ac:dyDescent="0.25">
      <c r="A79" s="89" t="s">
        <v>148</v>
      </c>
      <c r="B79" s="89"/>
      <c r="C79" s="73">
        <v>0</v>
      </c>
      <c r="D79" s="75">
        <f ca="1">((100/(H66))*C79)/100</f>
        <v>0</v>
      </c>
      <c r="E79" s="89"/>
      <c r="F79" s="89"/>
      <c r="G79" s="89"/>
      <c r="H79" s="89"/>
    </row>
    <row r="80" spans="1:10" ht="21" hidden="1" thickBot="1" x14ac:dyDescent="0.3">
      <c r="A80" s="84" t="s">
        <v>69</v>
      </c>
      <c r="B80" s="84"/>
      <c r="C80" s="84"/>
      <c r="D80" s="84"/>
      <c r="E80" s="84"/>
      <c r="F80" s="84"/>
      <c r="G80" s="84"/>
      <c r="H80" s="84"/>
    </row>
    <row r="81" spans="1:10" ht="20.25" hidden="1" customHeight="1" x14ac:dyDescent="0.3">
      <c r="A81" s="85" t="str">
        <f>CONCATENATE((IF(OR(A47="",A47="NA"),"",A47)),"= ",(IF(OR(D47="",D47="NA"),"",D47)),".")</f>
        <v>Tower 2= .</v>
      </c>
      <c r="B81" s="85"/>
      <c r="C81" s="85"/>
      <c r="D81" s="28" t="s">
        <v>118</v>
      </c>
      <c r="E81" s="113" t="s">
        <v>105</v>
      </c>
      <c r="F81" s="113"/>
      <c r="G81" s="28" t="s">
        <v>119</v>
      </c>
      <c r="H81" s="28" t="s">
        <v>120</v>
      </c>
      <c r="I81" s="14" t="str">
        <f ca="1">(IF(E84&gt;99%,"All work completed. Please provide OC.",IF(E84&gt;89.8%,"Plinth, RCC, Brick, Plaster, Flooring, Wooden, Plumbing, Electrification, etc., work Completed. Finishing work is in process.",IF(E84&lt;94%,(IF(C84=0,"Work not yet Started.",IF(D84=25%,"Piling work in process",IF(D84=50%,"Excavation work in process",IF(D84=100%,"Excavation work Completed. ","0")))&amp;(IF(C85=0%,"",IF(C85=J86,"Footing work is process",IF(C85=J87,"Footing work Completed",IF(C85=J88,"1st Basement Completed",IF(C85=J89,"1st &amp; 2nd Basement Completed",IF(C85=J90,"1st to 3rd Basement Completed",IF(C85=J91,"1st to 4th Basement Completed",IF(C85=J92,"Plinth work is process",IF(C85=J93,"Plinth work completed","0")))))))))))&amp;(IF(C86=(E82+G82+H82),", RCC Slab",IF(C86&gt;0,", RCC upto "&amp;C86&amp;" Slab",""))&amp;(IF(C87=H82,", Brickwork",IF(C87&gt;0,", Brickwork upto "&amp;C87&amp;" Floor",""))&amp;(IF(C88=H82,", Internal Plaster",IF(C88&gt;0,", Internal Plaster upto "&amp;C88&amp;" Floor",""))&amp;(IF(C89=H82,", External Plaster",IF(C89&gt;0,", External Plaster upto "&amp;C89&amp;" Floor",""))&amp;(IF(C90=H82,", External Plumbing, Elevation and Waterproofing",IF(C90&gt;0,", External Plumbing, Elevation and Waterproofing upto "&amp;C90&amp;" Floor",""))&amp;(IF(C91=H82,", Flooring &amp; Fitting",IF(C91&gt;0,", Flooring &amp; Fitting upto "&amp;C91&amp;" Floor",""))&amp;(IF(C92=H82,", Wooden Work",IF(C92&gt;0,", Wooden Work upto "&amp;C92&amp;" Floor",""))&amp;(IF(C93=H82,", Electrical &amp; Sanitary fittings",IF(C93&gt;0,", Electrical &amp; Sanitary fittings upto "&amp;C93&amp;" Floor",""))&amp;(IF(C94&gt;0,", Finishing upto "&amp;C94&amp;" Floor","")&amp;(IF(C86&gt;0.5," Completed",""))))))))))))))))</f>
        <v>Excavation work Completed. Plinth work completed</v>
      </c>
      <c r="J81" s="16"/>
    </row>
    <row r="82" spans="1:10" ht="20.25" hidden="1" x14ac:dyDescent="0.3">
      <c r="A82" s="85"/>
      <c r="B82" s="85"/>
      <c r="C82" s="85"/>
      <c r="D82" s="60">
        <f>IF(AND(ISNUMBER(SEARCH("1B",A81))),1,IF(AND(ISNUMBER(SEARCH("2B",A81))),2,IF(AND(ISNUMBER(SEARCH("3B",A81))),3,IF(AND(ISNUMBER(SEARCH("4B",A81))),4,IF(ISNUMBER(SEARCH("5B",A81)),5,0)))))</f>
        <v>0</v>
      </c>
      <c r="E82" s="113">
        <v>1</v>
      </c>
      <c r="F82" s="113"/>
      <c r="G82" s="60">
        <v>0</v>
      </c>
      <c r="H82" s="28">
        <f ca="1">--TRIM(RIGHT(SUBSTITUTE(LEFT(A81,_xlfn.AGGREGATE(16,6,FIND({0,1,2,3,4,5,6,7,8,9},A81,ROW(INDIRECT("1:"&amp;LEN(A81)))),1))," ",REPT(" ",LEN(A81))),LEN(A81)))</f>
        <v>2</v>
      </c>
      <c r="I82" s="15" t="s">
        <v>124</v>
      </c>
      <c r="J82" s="16"/>
    </row>
    <row r="83" spans="1:10" ht="20.25" hidden="1" customHeight="1" x14ac:dyDescent="0.3">
      <c r="A83" s="88" t="s">
        <v>122</v>
      </c>
      <c r="B83" s="88"/>
      <c r="C83" s="40" t="s">
        <v>135</v>
      </c>
      <c r="D83" s="29" t="s">
        <v>136</v>
      </c>
      <c r="E83" s="88" t="s">
        <v>123</v>
      </c>
      <c r="F83" s="88"/>
      <c r="G83" s="26" t="s">
        <v>121</v>
      </c>
      <c r="H83" s="26"/>
      <c r="I83" s="18" t="s">
        <v>137</v>
      </c>
      <c r="J83" s="17">
        <f ca="1">H82*25%</f>
        <v>0.5</v>
      </c>
    </row>
    <row r="84" spans="1:10" ht="20.25" hidden="1" customHeight="1" x14ac:dyDescent="0.3">
      <c r="A84" s="89" t="s">
        <v>138</v>
      </c>
      <c r="B84" s="89"/>
      <c r="C84" s="34">
        <f ca="1">J85</f>
        <v>2</v>
      </c>
      <c r="D84" s="30">
        <f ca="1">((100/H82)*C84)/100</f>
        <v>1</v>
      </c>
      <c r="E84" s="89">
        <f ca="1">(((C84/H82*10)+(C85/H82*25)+(25/(E82+G82+H82)*C86)+(5/(H82)*C87)+(2.5/(H82)*C88)+(2.5/(H82)*C89)+(5/H82*C90)+(2.5/H82*C91)+(2.5/H82*C92)+(5/H82*C93)+(10/H82*C94)+(5/H82*C95))/100)</f>
        <v>0.35</v>
      </c>
      <c r="F84" s="89"/>
      <c r="G84" s="89" t="str">
        <f ca="1">I81</f>
        <v>Excavation work Completed. Plinth work completed</v>
      </c>
      <c r="H84" s="89"/>
      <c r="I84" s="18" t="s">
        <v>125</v>
      </c>
      <c r="J84" s="22">
        <f ca="1">H82*50%</f>
        <v>1</v>
      </c>
    </row>
    <row r="85" spans="1:10" ht="20.25" hidden="1" x14ac:dyDescent="0.3">
      <c r="A85" s="89" t="s">
        <v>106</v>
      </c>
      <c r="B85" s="89"/>
      <c r="C85" s="36">
        <f ca="1">J93</f>
        <v>2</v>
      </c>
      <c r="D85" s="30">
        <f ca="1">((100/H82)*C85)/100</f>
        <v>1</v>
      </c>
      <c r="E85" s="89"/>
      <c r="F85" s="89"/>
      <c r="G85" s="89"/>
      <c r="H85" s="89"/>
      <c r="I85" s="18" t="s">
        <v>126</v>
      </c>
      <c r="J85" s="22">
        <f ca="1">H82</f>
        <v>2</v>
      </c>
    </row>
    <row r="86" spans="1:10" ht="21" hidden="1" customHeight="1" x14ac:dyDescent="0.35">
      <c r="A86" s="89" t="s">
        <v>139</v>
      </c>
      <c r="B86" s="89"/>
      <c r="C86" s="34">
        <v>0</v>
      </c>
      <c r="D86" s="30">
        <f ca="1">((100/(E82+G82+H82))*C86)/100</f>
        <v>0</v>
      </c>
      <c r="E86" s="89"/>
      <c r="F86" s="89"/>
      <c r="G86" s="89"/>
      <c r="H86" s="89"/>
      <c r="I86" s="18" t="s">
        <v>127</v>
      </c>
      <c r="J86" s="23">
        <f ca="1">(IF(D82&gt;1,(H82/(D82+2)),H82*0.2))</f>
        <v>0.4</v>
      </c>
    </row>
    <row r="87" spans="1:10" ht="21" hidden="1" customHeight="1" x14ac:dyDescent="0.35">
      <c r="A87" s="89" t="s">
        <v>140</v>
      </c>
      <c r="B87" s="89"/>
      <c r="C87" s="34">
        <v>0</v>
      </c>
      <c r="D87" s="30">
        <f ca="1">((100/H82)*C87)/100</f>
        <v>0</v>
      </c>
      <c r="E87" s="89"/>
      <c r="F87" s="89"/>
      <c r="G87" s="89"/>
      <c r="H87" s="89"/>
      <c r="I87" s="18" t="s">
        <v>128</v>
      </c>
      <c r="J87" s="23">
        <f ca="1">(IF(D82&gt;1,(H82/(D82+2)+J86),H82*0.2+J86))</f>
        <v>0.8</v>
      </c>
    </row>
    <row r="88" spans="1:10" ht="21" hidden="1" customHeight="1" x14ac:dyDescent="0.35">
      <c r="A88" s="118" t="s">
        <v>141</v>
      </c>
      <c r="B88" s="119"/>
      <c r="C88" s="34">
        <v>0</v>
      </c>
      <c r="D88" s="30">
        <f ca="1">((100/H82)*C88)/100</f>
        <v>0</v>
      </c>
      <c r="E88" s="89"/>
      <c r="F88" s="89"/>
      <c r="G88" s="89"/>
      <c r="H88" s="89"/>
      <c r="I88" s="18" t="s">
        <v>142</v>
      </c>
      <c r="J88" s="23">
        <f>(IF(D82&gt;1,(H82/(D82+2)+J87),0))</f>
        <v>0</v>
      </c>
    </row>
    <row r="89" spans="1:10" ht="21" hidden="1" customHeight="1" x14ac:dyDescent="0.35">
      <c r="A89" s="118" t="s">
        <v>174</v>
      </c>
      <c r="B89" s="119"/>
      <c r="C89" s="34">
        <v>0</v>
      </c>
      <c r="D89" s="30">
        <f ca="1">((100/H82)*C89)/100</f>
        <v>0</v>
      </c>
      <c r="E89" s="89"/>
      <c r="F89" s="89"/>
      <c r="G89" s="89"/>
      <c r="H89" s="89"/>
      <c r="I89" s="18" t="s">
        <v>143</v>
      </c>
      <c r="J89" s="23">
        <f>(IF(D82&gt;2,(H82/(D82+2)+J88),0))</f>
        <v>0</v>
      </c>
    </row>
    <row r="90" spans="1:10" ht="57.75" hidden="1" customHeight="1" x14ac:dyDescent="0.35">
      <c r="A90" s="118" t="s">
        <v>171</v>
      </c>
      <c r="B90" s="119"/>
      <c r="C90" s="34">
        <v>0</v>
      </c>
      <c r="D90" s="30">
        <f ca="1">((100/(H82))*C90)/100</f>
        <v>0</v>
      </c>
      <c r="E90" s="89"/>
      <c r="F90" s="89"/>
      <c r="G90" s="89"/>
      <c r="H90" s="89"/>
      <c r="I90" s="18" t="s">
        <v>145</v>
      </c>
      <c r="J90" s="24">
        <f>(IF(D82&gt;3,(H82/(D82+2)+J89),0))</f>
        <v>0</v>
      </c>
    </row>
    <row r="91" spans="1:10" ht="21" hidden="1" x14ac:dyDescent="0.35">
      <c r="A91" s="89" t="s">
        <v>144</v>
      </c>
      <c r="B91" s="89"/>
      <c r="C91" s="34">
        <v>0</v>
      </c>
      <c r="D91" s="30">
        <f ca="1">((100/(H82))*C91)/100</f>
        <v>0</v>
      </c>
      <c r="E91" s="89"/>
      <c r="F91" s="89"/>
      <c r="G91" s="89"/>
      <c r="H91" s="89"/>
      <c r="I91" s="18" t="s">
        <v>146</v>
      </c>
      <c r="J91" s="23">
        <f>(IF(D82&gt;4,(H82/(D82+2)+J90),0))</f>
        <v>0</v>
      </c>
    </row>
    <row r="92" spans="1:10" ht="21" hidden="1" customHeight="1" x14ac:dyDescent="0.35">
      <c r="A92" s="89" t="s">
        <v>173</v>
      </c>
      <c r="B92" s="89"/>
      <c r="C92" s="34">
        <v>0</v>
      </c>
      <c r="D92" s="30">
        <f ca="1">((100/H82)*C92)/100</f>
        <v>0</v>
      </c>
      <c r="E92" s="89"/>
      <c r="F92" s="89"/>
      <c r="G92" s="89"/>
      <c r="H92" s="89"/>
      <c r="I92" s="18" t="s">
        <v>129</v>
      </c>
      <c r="J92" s="23">
        <f ca="1">(IF(D82=1,(H82/(D82+3)+J87),IF(D82=0,(H82*0.3+J87),IF(D82&gt;1,0))))</f>
        <v>1.4</v>
      </c>
    </row>
    <row r="93" spans="1:10" ht="21.75" hidden="1" thickBot="1" x14ac:dyDescent="0.4">
      <c r="A93" s="89" t="s">
        <v>172</v>
      </c>
      <c r="B93" s="89"/>
      <c r="C93" s="34">
        <v>0</v>
      </c>
      <c r="D93" s="30">
        <f ca="1">((100/H82)*C93)/100</f>
        <v>0</v>
      </c>
      <c r="E93" s="89"/>
      <c r="F93" s="89"/>
      <c r="G93" s="89"/>
      <c r="H93" s="89"/>
      <c r="I93" s="20" t="s">
        <v>130</v>
      </c>
      <c r="J93" s="25">
        <f ca="1">(IF(D82&gt;1.5,(H82/(D82+2)+J87+MAX(0,J88-J87)+MAX(0,J89-J88)+MAX(0,J90-J89)+MAX(0,J91-J90)+MAX(0,J92-J91)),IF(D82=1,(H82/(D82+3)+J92),IF(D82=0,H82*0.3+J92))))</f>
        <v>2</v>
      </c>
    </row>
    <row r="94" spans="1:10" ht="20.25" hidden="1" x14ac:dyDescent="0.25">
      <c r="A94" s="89" t="s">
        <v>147</v>
      </c>
      <c r="B94" s="89"/>
      <c r="C94" s="34">
        <v>0</v>
      </c>
      <c r="D94" s="30">
        <f ca="1">((100/(H82))*C94)/100</f>
        <v>0</v>
      </c>
      <c r="E94" s="89"/>
      <c r="F94" s="89"/>
      <c r="G94" s="89"/>
      <c r="H94" s="89"/>
    </row>
    <row r="95" spans="1:10" ht="20.25" hidden="1" x14ac:dyDescent="0.25">
      <c r="A95" s="89" t="s">
        <v>148</v>
      </c>
      <c r="B95" s="89"/>
      <c r="C95" s="34">
        <v>0</v>
      </c>
      <c r="D95" s="30">
        <f ca="1">((100/(H82))*C95)/100</f>
        <v>0</v>
      </c>
      <c r="E95" s="89"/>
      <c r="F95" s="89"/>
      <c r="G95" s="89"/>
      <c r="H95" s="89"/>
    </row>
    <row r="96" spans="1:10" ht="21" hidden="1" thickBot="1" x14ac:dyDescent="0.3">
      <c r="A96" s="84" t="s">
        <v>69</v>
      </c>
      <c r="B96" s="84"/>
      <c r="C96" s="84"/>
      <c r="D96" s="84"/>
      <c r="E96" s="84"/>
      <c r="F96" s="84"/>
      <c r="G96" s="84"/>
      <c r="H96" s="84"/>
    </row>
    <row r="97" spans="1:11" ht="20.25" hidden="1" customHeight="1" x14ac:dyDescent="0.3">
      <c r="A97" s="85" t="str">
        <f>CONCATENATE((IF(OR(A48="",A48="NA"),"",A48)),"= ",(IF(OR(D48="",D48="NA"),"",D48)),".")</f>
        <v>Tower 3= .</v>
      </c>
      <c r="B97" s="85"/>
      <c r="C97" s="85"/>
      <c r="D97" s="34" t="s">
        <v>118</v>
      </c>
      <c r="E97" s="113" t="s">
        <v>105</v>
      </c>
      <c r="F97" s="113"/>
      <c r="G97" s="34" t="s">
        <v>119</v>
      </c>
      <c r="H97" s="34" t="s">
        <v>120</v>
      </c>
      <c r="I97" s="14" t="str">
        <f ca="1">(IF(E100&gt;99%,"All work completed. Please provide OC.",IF(E100&gt;89.8%,"Plinth, RCC, Brick, Plaster, Flooring, Wooden, Plumbing, Electrification, etc., work Completed. Finishing work is in process.",IF(E100&lt;94%,(IF(C100=0,"Work not yet Started.",IF(D100=25%,"Piling work in process",IF(D100=50%,"Excavation work in process",IF(D100=100%,"Excavation work Completed. ","0")))&amp;(IF(C101=0%,"",IF(C101=J102,"Footing work is process",IF(C101=J103,"Footing work Completed",IF(C101=J104,"1st Basement Completed",IF(C101=J105,"1st &amp; 2nd Basement Completed",IF(C101=J106,"1st to 3rd Basement Completed",IF(C101=J107,"1st to 4th Basement Completed",IF(C101=J108,"Plinth work is process",IF(C101=J109,"Plinth work completed","0")))))))))))&amp;(IF(C102=(E98+G98+H98),", RCC Slab",IF(C102&gt;0,", RCC upto "&amp;C102&amp;" Slab",""))&amp;(IF(C103=H98,", Brickwork",IF(C103&gt;0,", Brickwork upto "&amp;C103&amp;" Floor",""))&amp;(IF(C104=H98,", Internal Plaster",IF(C104&gt;0,", Internal Plaster upto "&amp;C104&amp;" Floor",""))&amp;(IF(C105=H98,", External Plaster",IF(C105&gt;0,", External Plaster upto "&amp;C105&amp;" Floor",""))&amp;(IF(C106=H98,", External Plumbing, Elevation and Waterproofing",IF(C106&gt;0,", External Plumbing, Elevation and Waterproofing upto "&amp;C106&amp;" Floor",""))&amp;(IF(C107=H98,", Flooring &amp; Fitting",IF(C107&gt;0,", Flooring &amp; Fitting upto "&amp;C107&amp;" Floor",""))&amp;(IF(C108=H98,", Wooden Work",IF(C108&gt;0,", Wooden Work upto "&amp;C108&amp;" Floor",""))&amp;(IF(C109=H98,", Electrical &amp; Sanitary fittings",IF(C109&gt;0,", Electrical &amp; Sanitary fittings upto "&amp;C109&amp;" Floor",""))&amp;(IF(C110&gt;0,", Finishing upto "&amp;C110&amp;" Floor","")&amp;(IF(C102&gt;0.5," Completed",""))))))))))))))))</f>
        <v>Excavation work Completed. Plinth work completed</v>
      </c>
      <c r="J97" s="16"/>
    </row>
    <row r="98" spans="1:11" ht="20.25" hidden="1" x14ac:dyDescent="0.3">
      <c r="A98" s="85"/>
      <c r="B98" s="85"/>
      <c r="C98" s="85"/>
      <c r="D98" s="60">
        <f>IF(AND(ISNUMBER(SEARCH("1B",A97))),1,IF(AND(ISNUMBER(SEARCH("2B",A97))),2,IF(AND(ISNUMBER(SEARCH("3B",A97))),3,IF(AND(ISNUMBER(SEARCH("4B",A97))),4,IF(ISNUMBER(SEARCH("5B",A97)),5,0)))))</f>
        <v>0</v>
      </c>
      <c r="E98" s="113">
        <v>1</v>
      </c>
      <c r="F98" s="113"/>
      <c r="G98" s="60">
        <v>0</v>
      </c>
      <c r="H98" s="34">
        <f ca="1">--TRIM(RIGHT(SUBSTITUTE(LEFT(A97,_xlfn.AGGREGATE(16,6,FIND({0,1,2,3,4,5,6,7,8,9},A97,ROW(INDIRECT("1:"&amp;LEN(A97)))),1))," ",REPT(" ",LEN(A97))),LEN(A97)))</f>
        <v>3</v>
      </c>
      <c r="I98" s="15" t="s">
        <v>124</v>
      </c>
      <c r="J98" s="16"/>
    </row>
    <row r="99" spans="1:11" ht="20.25" hidden="1" customHeight="1" x14ac:dyDescent="0.3">
      <c r="A99" s="88" t="s">
        <v>122</v>
      </c>
      <c r="B99" s="88"/>
      <c r="C99" s="40" t="s">
        <v>135</v>
      </c>
      <c r="D99" s="40" t="s">
        <v>136</v>
      </c>
      <c r="E99" s="88" t="s">
        <v>123</v>
      </c>
      <c r="F99" s="88"/>
      <c r="G99" s="26" t="s">
        <v>121</v>
      </c>
      <c r="H99" s="26"/>
      <c r="I99" s="18" t="s">
        <v>137</v>
      </c>
      <c r="J99" s="17">
        <f ca="1">H98*25%</f>
        <v>0.75</v>
      </c>
    </row>
    <row r="100" spans="1:11" ht="20.25" hidden="1" customHeight="1" x14ac:dyDescent="0.3">
      <c r="A100" s="89" t="s">
        <v>138</v>
      </c>
      <c r="B100" s="89"/>
      <c r="C100" s="34">
        <f ca="1">J101</f>
        <v>3</v>
      </c>
      <c r="D100" s="35">
        <f ca="1">((100/H98)*C100)/100</f>
        <v>1</v>
      </c>
      <c r="E100" s="89">
        <f ca="1">(((C100/H98*10)+(C101/H98*25)+(25/(E98+G98+H98)*C102)+(5/(H98)*C103)+(2.5/(H98)*C104)+(2.5/(H98)*C105)+(5/H98*C106)+(2.5/H98*C107)+(2.5/H98*C108)+(5/H98*C109)+(10/H98*C110)+(5/H98*C111))/100)</f>
        <v>0.35</v>
      </c>
      <c r="F100" s="89"/>
      <c r="G100" s="89" t="str">
        <f ca="1">I97</f>
        <v>Excavation work Completed. Plinth work completed</v>
      </c>
      <c r="H100" s="89"/>
      <c r="I100" s="18" t="s">
        <v>125</v>
      </c>
      <c r="J100" s="22">
        <f ca="1">H98*50%</f>
        <v>1.5</v>
      </c>
    </row>
    <row r="101" spans="1:11" ht="20.25" hidden="1" x14ac:dyDescent="0.3">
      <c r="A101" s="89" t="s">
        <v>106</v>
      </c>
      <c r="B101" s="89"/>
      <c r="C101" s="36">
        <f ca="1">J109</f>
        <v>3</v>
      </c>
      <c r="D101" s="35">
        <f ca="1">((100/H98)*C101)/100</f>
        <v>1</v>
      </c>
      <c r="E101" s="89"/>
      <c r="F101" s="89"/>
      <c r="G101" s="89"/>
      <c r="H101" s="89"/>
      <c r="I101" s="18" t="s">
        <v>126</v>
      </c>
      <c r="J101" s="22">
        <f ca="1">H98</f>
        <v>3</v>
      </c>
    </row>
    <row r="102" spans="1:11" ht="21" hidden="1" customHeight="1" x14ac:dyDescent="0.35">
      <c r="A102" s="89" t="s">
        <v>139</v>
      </c>
      <c r="B102" s="89"/>
      <c r="C102" s="34">
        <v>0</v>
      </c>
      <c r="D102" s="35">
        <f ca="1">((100/(E98+G98+H98))*C102)/100</f>
        <v>0</v>
      </c>
      <c r="E102" s="89"/>
      <c r="F102" s="89"/>
      <c r="G102" s="89"/>
      <c r="H102" s="89"/>
      <c r="I102" s="18" t="s">
        <v>127</v>
      </c>
      <c r="J102" s="23">
        <f ca="1">(IF(D98&gt;1,(H98/(D98+2)),H98*0.2))</f>
        <v>0.60000000000000009</v>
      </c>
    </row>
    <row r="103" spans="1:11" ht="21" hidden="1" customHeight="1" x14ac:dyDescent="0.35">
      <c r="A103" s="89" t="s">
        <v>140</v>
      </c>
      <c r="B103" s="89"/>
      <c r="C103" s="34">
        <v>0</v>
      </c>
      <c r="D103" s="35">
        <f ca="1">((100/H98)*C103)/100</f>
        <v>0</v>
      </c>
      <c r="E103" s="89"/>
      <c r="F103" s="89"/>
      <c r="G103" s="89"/>
      <c r="H103" s="89"/>
      <c r="I103" s="18" t="s">
        <v>128</v>
      </c>
      <c r="J103" s="23">
        <f ca="1">(IF(D98&gt;1,(H98/(D98+2)+J102),H98*0.2+J102))</f>
        <v>1.2000000000000002</v>
      </c>
    </row>
    <row r="104" spans="1:11" ht="21" hidden="1" customHeight="1" x14ac:dyDescent="0.35">
      <c r="A104" s="118" t="s">
        <v>141</v>
      </c>
      <c r="B104" s="119"/>
      <c r="C104" s="34">
        <v>0</v>
      </c>
      <c r="D104" s="35">
        <f ca="1">((100/H98)*C104)/100</f>
        <v>0</v>
      </c>
      <c r="E104" s="89"/>
      <c r="F104" s="89"/>
      <c r="G104" s="89"/>
      <c r="H104" s="89"/>
      <c r="I104" s="18" t="s">
        <v>142</v>
      </c>
      <c r="J104" s="23">
        <f>(IF(D98&gt;1,(H98/(D98+2)+J103),0))</f>
        <v>0</v>
      </c>
    </row>
    <row r="105" spans="1:11" ht="21" hidden="1" customHeight="1" x14ac:dyDescent="0.35">
      <c r="A105" s="118" t="s">
        <v>174</v>
      </c>
      <c r="B105" s="119"/>
      <c r="C105" s="34">
        <v>0</v>
      </c>
      <c r="D105" s="35">
        <f ca="1">((100/H98)*C105)/100</f>
        <v>0</v>
      </c>
      <c r="E105" s="89"/>
      <c r="F105" s="89"/>
      <c r="G105" s="89"/>
      <c r="H105" s="89"/>
      <c r="I105" s="18" t="s">
        <v>143</v>
      </c>
      <c r="J105" s="23">
        <f>(IF(D98&gt;2,(H98/(D98+2)+J104),0))</f>
        <v>0</v>
      </c>
    </row>
    <row r="106" spans="1:11" ht="57.75" hidden="1" customHeight="1" x14ac:dyDescent="0.35">
      <c r="A106" s="118" t="s">
        <v>171</v>
      </c>
      <c r="B106" s="119"/>
      <c r="C106" s="34">
        <v>0</v>
      </c>
      <c r="D106" s="35">
        <f ca="1">((100/(H98))*C106)/100</f>
        <v>0</v>
      </c>
      <c r="E106" s="89"/>
      <c r="F106" s="89"/>
      <c r="G106" s="89"/>
      <c r="H106" s="89"/>
      <c r="I106" s="18" t="s">
        <v>145</v>
      </c>
      <c r="J106" s="24">
        <f>(IF(D98&gt;3,(H98/(D98+2)+J105),0))</f>
        <v>0</v>
      </c>
    </row>
    <row r="107" spans="1:11" ht="21" hidden="1" x14ac:dyDescent="0.35">
      <c r="A107" s="89" t="s">
        <v>144</v>
      </c>
      <c r="B107" s="89"/>
      <c r="C107" s="34">
        <v>0</v>
      </c>
      <c r="D107" s="35">
        <f ca="1">((100/(H98))*C107)/100</f>
        <v>0</v>
      </c>
      <c r="E107" s="89"/>
      <c r="F107" s="89"/>
      <c r="G107" s="89"/>
      <c r="H107" s="89"/>
      <c r="I107" s="18" t="s">
        <v>146</v>
      </c>
      <c r="J107" s="23">
        <f>(IF(D98&gt;4,(H98/(D98+2)+J106),0))</f>
        <v>0</v>
      </c>
    </row>
    <row r="108" spans="1:11" ht="21" hidden="1" customHeight="1" x14ac:dyDescent="0.35">
      <c r="A108" s="89" t="s">
        <v>173</v>
      </c>
      <c r="B108" s="89"/>
      <c r="C108" s="34">
        <v>0</v>
      </c>
      <c r="D108" s="35">
        <f ca="1">((100/H98)*C108)/100</f>
        <v>0</v>
      </c>
      <c r="E108" s="89"/>
      <c r="F108" s="89"/>
      <c r="G108" s="89"/>
      <c r="H108" s="89"/>
      <c r="I108" s="18" t="s">
        <v>129</v>
      </c>
      <c r="J108" s="23">
        <f ca="1">(IF(D98=1,(H98/(D98+3)+J103),IF(D98=0,(H98*0.3+J103),IF(D98&gt;1,0))))</f>
        <v>2.1</v>
      </c>
    </row>
    <row r="109" spans="1:11" ht="21.75" hidden="1" thickBot="1" x14ac:dyDescent="0.4">
      <c r="A109" s="89" t="s">
        <v>172</v>
      </c>
      <c r="B109" s="89"/>
      <c r="C109" s="34">
        <v>0</v>
      </c>
      <c r="D109" s="35">
        <f ca="1">((100/H98)*C109)/100</f>
        <v>0</v>
      </c>
      <c r="E109" s="89"/>
      <c r="F109" s="89"/>
      <c r="G109" s="89"/>
      <c r="H109" s="89"/>
      <c r="I109" s="20" t="s">
        <v>130</v>
      </c>
      <c r="J109" s="25">
        <f ca="1">(IF(D98&gt;1.5,(H98/(D98+2)+J103+MAX(0,J104-J103)+MAX(0,J105-J104)+MAX(0,J106-J105)+MAX(0,J107-J106)+MAX(0,J108-J107)),IF(D98=1,(H98/(D98+3)+J108),IF(D98=0,H98*0.3+J108))))</f>
        <v>3</v>
      </c>
    </row>
    <row r="110" spans="1:11" ht="20.25" hidden="1" x14ac:dyDescent="0.25">
      <c r="A110" s="89" t="s">
        <v>147</v>
      </c>
      <c r="B110" s="89"/>
      <c r="C110" s="34">
        <v>0</v>
      </c>
      <c r="D110" s="35">
        <f ca="1">((100/(H98))*C110)/100</f>
        <v>0</v>
      </c>
      <c r="E110" s="89"/>
      <c r="F110" s="89"/>
      <c r="G110" s="89"/>
      <c r="H110" s="89"/>
    </row>
    <row r="111" spans="1:11" ht="20.25" hidden="1" x14ac:dyDescent="0.25">
      <c r="A111" s="89" t="s">
        <v>148</v>
      </c>
      <c r="B111" s="89"/>
      <c r="C111" s="34">
        <v>0</v>
      </c>
      <c r="D111" s="35">
        <f ca="1">((100/(H98))*C111)/100</f>
        <v>0</v>
      </c>
      <c r="E111" s="89"/>
      <c r="F111" s="89"/>
      <c r="G111" s="89"/>
      <c r="H111" s="89"/>
    </row>
    <row r="112" spans="1:11" ht="36.75" customHeight="1" x14ac:dyDescent="0.3">
      <c r="A112" s="157" t="s">
        <v>131</v>
      </c>
      <c r="B112" s="158"/>
      <c r="C112" s="158"/>
      <c r="D112" s="158"/>
      <c r="E112" s="158"/>
      <c r="F112" s="158"/>
      <c r="G112" s="103">
        <f ca="1">AVERAGE(E68)</f>
        <v>0.58762195121951211</v>
      </c>
      <c r="H112" s="104"/>
      <c r="I112" s="18"/>
      <c r="J112" s="19"/>
      <c r="K112" s="19"/>
    </row>
    <row r="113" spans="1:150 16226:16383" ht="20.25" x14ac:dyDescent="0.25">
      <c r="A113" s="98" t="s">
        <v>73</v>
      </c>
      <c r="B113" s="99"/>
      <c r="C113" s="99"/>
      <c r="D113" s="99"/>
      <c r="E113" s="99"/>
      <c r="F113" s="99"/>
      <c r="G113" s="99"/>
      <c r="H113" s="100"/>
    </row>
    <row r="114" spans="1:150 16226:16383" ht="54.75" customHeight="1" x14ac:dyDescent="0.25">
      <c r="A114" s="101" t="s">
        <v>74</v>
      </c>
      <c r="B114" s="102"/>
      <c r="C114" s="95" t="s">
        <v>110</v>
      </c>
      <c r="D114" s="96"/>
      <c r="E114" s="101" t="s">
        <v>149</v>
      </c>
      <c r="F114" s="102" t="s">
        <v>4</v>
      </c>
      <c r="G114" s="114" t="s">
        <v>163</v>
      </c>
      <c r="H114" s="114"/>
    </row>
    <row r="115" spans="1:150 16226:16383" ht="44.25" customHeight="1" x14ac:dyDescent="0.25">
      <c r="A115" s="101" t="s">
        <v>160</v>
      </c>
      <c r="B115" s="102"/>
      <c r="C115" s="95" t="s">
        <v>312</v>
      </c>
      <c r="D115" s="96"/>
      <c r="E115" s="101" t="s">
        <v>161</v>
      </c>
      <c r="F115" s="102" t="s">
        <v>4</v>
      </c>
      <c r="G115" s="82" t="s">
        <v>150</v>
      </c>
      <c r="H115" s="82"/>
    </row>
    <row r="116" spans="1:150 16226:16383" ht="20.25" x14ac:dyDescent="0.25">
      <c r="A116" s="101" t="s">
        <v>75</v>
      </c>
      <c r="B116" s="102"/>
      <c r="C116" s="131">
        <v>700000</v>
      </c>
      <c r="D116" s="133"/>
      <c r="E116" s="101" t="s">
        <v>104</v>
      </c>
      <c r="F116" s="102" t="s">
        <v>4</v>
      </c>
      <c r="G116" s="95" t="s">
        <v>111</v>
      </c>
      <c r="H116" s="96"/>
    </row>
    <row r="117" spans="1:150 16226:16383" ht="20.25" x14ac:dyDescent="0.25">
      <c r="A117" s="98" t="s">
        <v>72</v>
      </c>
      <c r="B117" s="99"/>
      <c r="C117" s="99"/>
      <c r="D117" s="99"/>
      <c r="E117" s="99"/>
      <c r="F117" s="99"/>
      <c r="G117" s="99"/>
      <c r="H117" s="100"/>
    </row>
    <row r="118" spans="1:150 16226:16383" ht="20.25" customHeight="1" x14ac:dyDescent="0.25">
      <c r="A118" s="101" t="s">
        <v>8</v>
      </c>
      <c r="B118" s="160"/>
      <c r="C118" s="160"/>
      <c r="D118" s="160"/>
      <c r="E118" s="160"/>
      <c r="F118" s="102"/>
      <c r="G118" s="161">
        <f>67520/10.764</f>
        <v>6272.7610553697514</v>
      </c>
      <c r="H118" s="162"/>
    </row>
    <row r="119" spans="1:150 16226:16383" ht="20.25" customHeight="1" x14ac:dyDescent="0.25">
      <c r="A119" s="101" t="s">
        <v>28</v>
      </c>
      <c r="B119" s="160"/>
      <c r="C119" s="160"/>
      <c r="D119" s="160"/>
      <c r="E119" s="160"/>
      <c r="F119" s="102" t="s">
        <v>4</v>
      </c>
      <c r="G119" s="97">
        <f>133330/10.764</f>
        <v>12386.659234485322</v>
      </c>
      <c r="H119" s="97"/>
    </row>
    <row r="120" spans="1:150 16226:16383" ht="20.25" customHeight="1" x14ac:dyDescent="0.25">
      <c r="A120" s="101" t="s">
        <v>112</v>
      </c>
      <c r="B120" s="160"/>
      <c r="C120" s="160"/>
      <c r="D120" s="160"/>
      <c r="E120" s="160"/>
      <c r="F120" s="102" t="s">
        <v>4</v>
      </c>
      <c r="G120" s="97">
        <f>G118*0.8</f>
        <v>5018.2088442958011</v>
      </c>
      <c r="H120" s="97"/>
    </row>
    <row r="121" spans="1:150 16226:16383" ht="20.25" x14ac:dyDescent="0.25">
      <c r="A121" s="126" t="s">
        <v>251</v>
      </c>
      <c r="B121" s="127"/>
      <c r="C121" s="127"/>
      <c r="D121" s="127"/>
      <c r="E121" s="127"/>
      <c r="F121" s="127"/>
      <c r="G121" s="127"/>
      <c r="H121" s="107"/>
    </row>
    <row r="122" spans="1:150 16226:16383" s="2" customFormat="1" ht="20.25" x14ac:dyDescent="0.25">
      <c r="A122" s="108" t="s">
        <v>157</v>
      </c>
      <c r="B122" s="109"/>
      <c r="C122" s="108" t="s">
        <v>158</v>
      </c>
      <c r="D122" s="109"/>
      <c r="E122" s="108" t="s">
        <v>156</v>
      </c>
      <c r="F122" s="109"/>
      <c r="G122" s="108" t="s">
        <v>169</v>
      </c>
      <c r="H122" s="109"/>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2" customFormat="1" ht="20.25" x14ac:dyDescent="0.25">
      <c r="A123" s="110" t="s">
        <v>295</v>
      </c>
      <c r="B123" s="111"/>
      <c r="C123" s="110" t="s">
        <v>97</v>
      </c>
      <c r="D123" s="111"/>
      <c r="E123" s="110">
        <f>COUNT(E135:E140)+COUNT(E142:E147)+COUNT(E150:E155)</f>
        <v>18</v>
      </c>
      <c r="F123" s="111"/>
      <c r="G123" s="110">
        <f>SUM(E135:E140)+SUM(E142:E147)+SUM(E150:E155)</f>
        <v>3187.1212635599995</v>
      </c>
      <c r="H123" s="11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2" customFormat="1" ht="20.25" x14ac:dyDescent="0.25">
      <c r="A124" s="108" t="s">
        <v>159</v>
      </c>
      <c r="B124" s="109"/>
      <c r="C124" s="108" t="s">
        <v>97</v>
      </c>
      <c r="D124" s="109"/>
      <c r="E124" s="108">
        <f>SUM(E123)</f>
        <v>18</v>
      </c>
      <c r="F124" s="109"/>
      <c r="G124" s="108">
        <f>SUM(G123)</f>
        <v>3187.1212635599995</v>
      </c>
      <c r="H124" s="109"/>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ht="20.25" x14ac:dyDescent="0.25">
      <c r="A125" s="126" t="s">
        <v>239</v>
      </c>
      <c r="B125" s="127"/>
      <c r="C125" s="127"/>
      <c r="D125" s="127"/>
      <c r="E125" s="127"/>
      <c r="F125" s="127"/>
      <c r="G125" s="127"/>
      <c r="H125" s="107"/>
    </row>
    <row r="126" spans="1:150 16226:16383" s="2" customFormat="1" ht="20.25" x14ac:dyDescent="0.25">
      <c r="A126" s="108" t="s">
        <v>157</v>
      </c>
      <c r="B126" s="109"/>
      <c r="C126" s="108" t="s">
        <v>158</v>
      </c>
      <c r="D126" s="109"/>
      <c r="E126" s="108" t="s">
        <v>156</v>
      </c>
      <c r="F126" s="109"/>
      <c r="G126" s="108" t="s">
        <v>169</v>
      </c>
      <c r="H126" s="109"/>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2" customFormat="1" ht="20.25" x14ac:dyDescent="0.25">
      <c r="A127" s="110" t="s">
        <v>296</v>
      </c>
      <c r="B127" s="111"/>
      <c r="C127" s="110" t="s">
        <v>97</v>
      </c>
      <c r="D127" s="111"/>
      <c r="E127" s="110">
        <f>COUNT(E160:E165)*3+COUNT(E169:E176)*17</f>
        <v>154</v>
      </c>
      <c r="F127" s="111"/>
      <c r="G127" s="110">
        <f>SUM(H160:H165)*3+SUM(H169:H176)*17</f>
        <v>78429.612104999993</v>
      </c>
      <c r="H127" s="11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2" customFormat="1" ht="20.25" x14ac:dyDescent="0.25">
      <c r="A128" s="108" t="s">
        <v>159</v>
      </c>
      <c r="B128" s="109"/>
      <c r="C128" s="108" t="s">
        <v>97</v>
      </c>
      <c r="D128" s="109"/>
      <c r="E128" s="108">
        <f>SUM(E127)</f>
        <v>154</v>
      </c>
      <c r="F128" s="109"/>
      <c r="G128" s="108">
        <f>SUM(G127)</f>
        <v>78429.612104999993</v>
      </c>
      <c r="H128" s="109">
        <f>SUM(H127:H127)</f>
        <v>0</v>
      </c>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2" customFormat="1" ht="20.25" x14ac:dyDescent="0.25">
      <c r="A129" s="108" t="s">
        <v>252</v>
      </c>
      <c r="B129" s="109"/>
      <c r="C129" s="108" t="s">
        <v>97</v>
      </c>
      <c r="D129" s="109"/>
      <c r="E129" s="108">
        <f>SUM(E128+E124)</f>
        <v>172</v>
      </c>
      <c r="F129" s="109"/>
      <c r="G129" s="108">
        <f>SUM(G128+G124)</f>
        <v>81616.733368559988</v>
      </c>
      <c r="H129" s="109"/>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ht="20.25" x14ac:dyDescent="0.25">
      <c r="A130" s="105" t="s">
        <v>155</v>
      </c>
      <c r="B130" s="106"/>
      <c r="C130" s="106"/>
      <c r="D130" s="106"/>
      <c r="E130" s="106"/>
      <c r="F130" s="106"/>
      <c r="G130" s="106"/>
      <c r="H130" s="107"/>
    </row>
    <row r="131" spans="1:150 16226:16383" ht="66" customHeight="1" x14ac:dyDescent="0.25">
      <c r="A131" s="61" t="s">
        <v>240</v>
      </c>
      <c r="B131" s="39" t="s">
        <v>241</v>
      </c>
      <c r="C131" s="78" t="s">
        <v>242</v>
      </c>
      <c r="D131" s="27" t="s">
        <v>90</v>
      </c>
      <c r="E131" s="68" t="s">
        <v>170</v>
      </c>
      <c r="F131" s="67" t="s">
        <v>243</v>
      </c>
      <c r="G131" s="27" t="s">
        <v>92</v>
      </c>
      <c r="H131" s="27" t="s">
        <v>91</v>
      </c>
    </row>
    <row r="132" spans="1:150 16226:16383" s="2" customFormat="1" ht="20.25" x14ac:dyDescent="0.25">
      <c r="A132" s="115" t="s">
        <v>275</v>
      </c>
      <c r="B132" s="116"/>
      <c r="C132" s="116"/>
      <c r="D132" s="116"/>
      <c r="E132" s="116"/>
      <c r="F132" s="116"/>
      <c r="G132" s="116"/>
      <c r="H132" s="117"/>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2" customFormat="1" ht="20.25" x14ac:dyDescent="0.25">
      <c r="A133" s="115" t="s">
        <v>278</v>
      </c>
      <c r="B133" s="116"/>
      <c r="C133" s="116"/>
      <c r="D133" s="116"/>
      <c r="E133" s="116"/>
      <c r="F133" s="116"/>
      <c r="G133" s="116"/>
      <c r="H133" s="117"/>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2" customFormat="1" ht="20.25" x14ac:dyDescent="0.25">
      <c r="A134" s="115" t="s">
        <v>280</v>
      </c>
      <c r="B134" s="116"/>
      <c r="C134" s="116"/>
      <c r="D134" s="116"/>
      <c r="E134" s="116"/>
      <c r="F134" s="116"/>
      <c r="G134" s="116"/>
      <c r="H134" s="117"/>
      <c r="I134" s="1"/>
      <c r="J134" s="69">
        <f>10.764</f>
        <v>10.763999999999999</v>
      </c>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2" customFormat="1" ht="20.25" x14ac:dyDescent="0.25">
      <c r="A135" s="83">
        <v>12</v>
      </c>
      <c r="B135" s="83"/>
      <c r="C135" s="62" t="s">
        <v>97</v>
      </c>
      <c r="D135" s="62" t="s">
        <v>279</v>
      </c>
      <c r="E135" s="66">
        <f>(3.75*4.162)*(10.764)</f>
        <v>167.99912999999998</v>
      </c>
      <c r="F135" s="64">
        <v>0</v>
      </c>
      <c r="G135" s="64">
        <v>0</v>
      </c>
      <c r="H135" s="64">
        <f>E135+F135+(IF(G135&lt;101,G135,IF(G135&lt;201,G135/2,IF(G135&lt;=301,G135/3,G135/4))))</f>
        <v>167.99912999999998</v>
      </c>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2" customFormat="1" ht="20.25" x14ac:dyDescent="0.25">
      <c r="A136" s="93">
        <f>A135+1</f>
        <v>13</v>
      </c>
      <c r="B136" s="94"/>
      <c r="C136" s="62" t="s">
        <v>97</v>
      </c>
      <c r="D136" s="62" t="s">
        <v>279</v>
      </c>
      <c r="E136" s="66">
        <f>(3.7*4.153)*(10.764)</f>
        <v>165.40070039999998</v>
      </c>
      <c r="F136" s="64">
        <v>0</v>
      </c>
      <c r="G136" s="64">
        <v>0</v>
      </c>
      <c r="H136" s="64">
        <f t="shared" ref="H136:H140" si="0">E136+F136+(IF(G136&lt;101,G136,IF(G136&lt;201,G136/2,IF(G136&lt;=301,G136/3,G136/4))))</f>
        <v>165.40070039999998</v>
      </c>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2" customFormat="1" ht="20.25" x14ac:dyDescent="0.25">
      <c r="A137" s="93">
        <f t="shared" ref="A137:A140" si="1">A136+1</f>
        <v>14</v>
      </c>
      <c r="B137" s="94"/>
      <c r="C137" s="62" t="s">
        <v>97</v>
      </c>
      <c r="D137" s="62" t="s">
        <v>279</v>
      </c>
      <c r="E137" s="66">
        <f>(3.73*4.167)*(10.764)</f>
        <v>167.30388323999998</v>
      </c>
      <c r="F137" s="64">
        <v>0</v>
      </c>
      <c r="G137" s="64">
        <v>0</v>
      </c>
      <c r="H137" s="64">
        <f t="shared" si="0"/>
        <v>167.30388323999998</v>
      </c>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2" customFormat="1" ht="20.25" customHeight="1" x14ac:dyDescent="0.25">
      <c r="A138" s="93">
        <f t="shared" si="1"/>
        <v>15</v>
      </c>
      <c r="B138" s="94"/>
      <c r="C138" s="62" t="s">
        <v>97</v>
      </c>
      <c r="D138" s="62" t="s">
        <v>279</v>
      </c>
      <c r="E138" s="66">
        <f>(3.73*4.519)*(10.764)</f>
        <v>181.43658467999998</v>
      </c>
      <c r="F138" s="64">
        <v>0</v>
      </c>
      <c r="G138" s="64">
        <v>0</v>
      </c>
      <c r="H138" s="64">
        <f t="shared" si="0"/>
        <v>181.43658467999998</v>
      </c>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2" customFormat="1" ht="20.25" customHeight="1" x14ac:dyDescent="0.25">
      <c r="A139" s="93">
        <f t="shared" si="1"/>
        <v>16</v>
      </c>
      <c r="B139" s="94"/>
      <c r="C139" s="62" t="s">
        <v>97</v>
      </c>
      <c r="D139" s="62" t="s">
        <v>279</v>
      </c>
      <c r="E139" s="66">
        <f>(3.7*4.659)*(10.764)</f>
        <v>185.55306119999997</v>
      </c>
      <c r="F139" s="64">
        <v>0</v>
      </c>
      <c r="G139" s="64">
        <v>0</v>
      </c>
      <c r="H139" s="64">
        <f t="shared" si="0"/>
        <v>185.55306119999997</v>
      </c>
      <c r="I139" s="1"/>
      <c r="J139" s="70"/>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2" customFormat="1" ht="20.25" customHeight="1" x14ac:dyDescent="0.25">
      <c r="A140" s="93">
        <f t="shared" si="1"/>
        <v>17</v>
      </c>
      <c r="B140" s="94"/>
      <c r="C140" s="62" t="s">
        <v>97</v>
      </c>
      <c r="D140" s="62" t="s">
        <v>279</v>
      </c>
      <c r="E140" s="66">
        <f>(3.75*4.823)*(10.764)</f>
        <v>194.68039499999998</v>
      </c>
      <c r="F140" s="64">
        <v>0</v>
      </c>
      <c r="G140" s="64">
        <v>0</v>
      </c>
      <c r="H140" s="64">
        <f t="shared" si="0"/>
        <v>194.68039499999998</v>
      </c>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2" customFormat="1" ht="20.25" x14ac:dyDescent="0.25">
      <c r="A141" s="115" t="s">
        <v>281</v>
      </c>
      <c r="B141" s="116"/>
      <c r="C141" s="116"/>
      <c r="D141" s="116"/>
      <c r="E141" s="116"/>
      <c r="F141" s="116"/>
      <c r="G141" s="116"/>
      <c r="H141" s="117"/>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2" customFormat="1" ht="20.25" x14ac:dyDescent="0.25">
      <c r="A142" s="83">
        <v>17</v>
      </c>
      <c r="B142" s="83"/>
      <c r="C142" s="62" t="s">
        <v>97</v>
      </c>
      <c r="D142" s="62" t="s">
        <v>279</v>
      </c>
      <c r="E142" s="66">
        <f>(3.75*4.162)*(10.764)</f>
        <v>167.99912999999998</v>
      </c>
      <c r="F142" s="64">
        <v>0</v>
      </c>
      <c r="G142" s="64">
        <v>0</v>
      </c>
      <c r="H142" s="64">
        <f>E142+F142+(IF(G142&lt;101,G142,IF(G142&lt;201,G142/2,IF(G142&lt;=301,G142/3,G142/4))))</f>
        <v>167.99912999999998</v>
      </c>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2" customFormat="1" ht="20.25" x14ac:dyDescent="0.25">
      <c r="A143" s="93">
        <f>A142+1</f>
        <v>18</v>
      </c>
      <c r="B143" s="94"/>
      <c r="C143" s="62" t="s">
        <v>97</v>
      </c>
      <c r="D143" s="62" t="s">
        <v>279</v>
      </c>
      <c r="E143" s="66">
        <f>(3.7*4.153)*(10.764)</f>
        <v>165.40070039999998</v>
      </c>
      <c r="F143" s="64">
        <v>0</v>
      </c>
      <c r="G143" s="64">
        <v>0</v>
      </c>
      <c r="H143" s="64">
        <f t="shared" ref="H143:H147" si="2">E143+F143+(IF(G143&lt;101,G143,IF(G143&lt;201,G143/2,IF(G143&lt;=301,G143/3,G143/4))))</f>
        <v>165.40070039999998</v>
      </c>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2" customFormat="1" ht="20.25" x14ac:dyDescent="0.25">
      <c r="A144" s="93">
        <f t="shared" ref="A144:A147" si="3">A143+1</f>
        <v>19</v>
      </c>
      <c r="B144" s="94"/>
      <c r="C144" s="62" t="s">
        <v>97</v>
      </c>
      <c r="D144" s="62" t="s">
        <v>279</v>
      </c>
      <c r="E144" s="66">
        <f>(3.73*4.167)*(10.764)</f>
        <v>167.30388323999998</v>
      </c>
      <c r="F144" s="64">
        <v>0</v>
      </c>
      <c r="G144" s="64">
        <v>0</v>
      </c>
      <c r="H144" s="64">
        <f t="shared" si="2"/>
        <v>167.30388323999998</v>
      </c>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2" customFormat="1" ht="20.25" customHeight="1" x14ac:dyDescent="0.25">
      <c r="A145" s="93">
        <f t="shared" si="3"/>
        <v>20</v>
      </c>
      <c r="B145" s="94"/>
      <c r="C145" s="62" t="s">
        <v>97</v>
      </c>
      <c r="D145" s="62" t="s">
        <v>279</v>
      </c>
      <c r="E145" s="66">
        <f>(3.73*4.519)*(10.764)</f>
        <v>181.43658467999998</v>
      </c>
      <c r="F145" s="64">
        <v>0</v>
      </c>
      <c r="G145" s="64">
        <v>0</v>
      </c>
      <c r="H145" s="64">
        <f t="shared" si="2"/>
        <v>181.43658467999998</v>
      </c>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2" customFormat="1" ht="20.25" customHeight="1" x14ac:dyDescent="0.25">
      <c r="A146" s="93">
        <f t="shared" si="3"/>
        <v>21</v>
      </c>
      <c r="B146" s="94"/>
      <c r="C146" s="62" t="s">
        <v>97</v>
      </c>
      <c r="D146" s="62" t="s">
        <v>279</v>
      </c>
      <c r="E146" s="66">
        <f>(3.7*4.659)*(10.764)</f>
        <v>185.55306119999997</v>
      </c>
      <c r="F146" s="64">
        <v>0</v>
      </c>
      <c r="G146" s="64">
        <v>0</v>
      </c>
      <c r="H146" s="64">
        <f t="shared" si="2"/>
        <v>185.55306119999997</v>
      </c>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2" customFormat="1" ht="20.25" customHeight="1" x14ac:dyDescent="0.25">
      <c r="A147" s="93">
        <f t="shared" si="3"/>
        <v>22</v>
      </c>
      <c r="B147" s="94"/>
      <c r="C147" s="62" t="s">
        <v>97</v>
      </c>
      <c r="D147" s="62" t="s">
        <v>279</v>
      </c>
      <c r="E147" s="66">
        <f>(3.75*4.823)*(10.764)</f>
        <v>194.68039499999998</v>
      </c>
      <c r="F147" s="64">
        <v>0</v>
      </c>
      <c r="G147" s="64">
        <v>0</v>
      </c>
      <c r="H147" s="64">
        <f t="shared" si="2"/>
        <v>194.68039499999998</v>
      </c>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2" customFormat="1" ht="20.25" x14ac:dyDescent="0.25">
      <c r="A148" s="115" t="s">
        <v>283</v>
      </c>
      <c r="B148" s="116"/>
      <c r="C148" s="116"/>
      <c r="D148" s="116"/>
      <c r="E148" s="116"/>
      <c r="F148" s="116"/>
      <c r="G148" s="116"/>
      <c r="H148" s="117"/>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2" customFormat="1" ht="20.25" x14ac:dyDescent="0.25">
      <c r="A149" s="115" t="s">
        <v>282</v>
      </c>
      <c r="B149" s="116"/>
      <c r="C149" s="116"/>
      <c r="D149" s="116"/>
      <c r="E149" s="116"/>
      <c r="F149" s="116"/>
      <c r="G149" s="116"/>
      <c r="H149" s="117"/>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2" customFormat="1" ht="20.25" x14ac:dyDescent="0.25">
      <c r="A150" s="83">
        <v>17</v>
      </c>
      <c r="B150" s="83"/>
      <c r="C150" s="62" t="s">
        <v>97</v>
      </c>
      <c r="D150" s="62" t="s">
        <v>279</v>
      </c>
      <c r="E150" s="66">
        <f>(3.75*4.162)*(10.764)</f>
        <v>167.99912999999998</v>
      </c>
      <c r="F150" s="64">
        <v>0</v>
      </c>
      <c r="G150" s="64">
        <v>0</v>
      </c>
      <c r="H150" s="64">
        <f>E150+F150+(IF(G150&lt;101,G150,IF(G150&lt;201,G150/2,IF(G150&lt;=301,G150/3,G150/4))))</f>
        <v>167.99912999999998</v>
      </c>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2" customFormat="1" ht="20.25" x14ac:dyDescent="0.25">
      <c r="A151" s="93">
        <f>A150+1</f>
        <v>18</v>
      </c>
      <c r="B151" s="94"/>
      <c r="C151" s="62" t="s">
        <v>97</v>
      </c>
      <c r="D151" s="62" t="s">
        <v>279</v>
      </c>
      <c r="E151" s="66">
        <f>(3.7*4.153)*(10.764)</f>
        <v>165.40070039999998</v>
      </c>
      <c r="F151" s="64">
        <v>0</v>
      </c>
      <c r="G151" s="64">
        <v>0</v>
      </c>
      <c r="H151" s="64">
        <f t="shared" ref="H151:H155" si="4">E151+F151+(IF(G151&lt;101,G151,IF(G151&lt;201,G151/2,IF(G151&lt;=301,G151/3,G151/4))))</f>
        <v>165.40070039999998</v>
      </c>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2" customFormat="1" ht="20.25" x14ac:dyDescent="0.25">
      <c r="A152" s="93">
        <f t="shared" ref="A152:A154" si="5">A151+1</f>
        <v>19</v>
      </c>
      <c r="B152" s="94"/>
      <c r="C152" s="62" t="s">
        <v>97</v>
      </c>
      <c r="D152" s="62" t="s">
        <v>279</v>
      </c>
      <c r="E152" s="66">
        <f>(3.73*4.167)*(10.764)</f>
        <v>167.30388323999998</v>
      </c>
      <c r="F152" s="64">
        <v>0</v>
      </c>
      <c r="G152" s="64">
        <v>0</v>
      </c>
      <c r="H152" s="64">
        <f t="shared" si="4"/>
        <v>167.30388323999998</v>
      </c>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2" customFormat="1" ht="20.25" customHeight="1" x14ac:dyDescent="0.25">
      <c r="A153" s="93">
        <f t="shared" si="5"/>
        <v>20</v>
      </c>
      <c r="B153" s="94"/>
      <c r="C153" s="62" t="s">
        <v>97</v>
      </c>
      <c r="D153" s="62" t="s">
        <v>279</v>
      </c>
      <c r="E153" s="66">
        <f>(3.73*4.519)*(10.764)</f>
        <v>181.43658467999998</v>
      </c>
      <c r="F153" s="64">
        <v>0</v>
      </c>
      <c r="G153" s="64">
        <v>0</v>
      </c>
      <c r="H153" s="64">
        <f t="shared" si="4"/>
        <v>181.43658467999998</v>
      </c>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2" customFormat="1" ht="20.25" customHeight="1" x14ac:dyDescent="0.25">
      <c r="A154" s="93">
        <f t="shared" si="5"/>
        <v>21</v>
      </c>
      <c r="B154" s="94"/>
      <c r="C154" s="62" t="s">
        <v>97</v>
      </c>
      <c r="D154" s="62" t="s">
        <v>279</v>
      </c>
      <c r="E154" s="66">
        <f>(3.7*4.659)*(10.764)</f>
        <v>185.55306119999997</v>
      </c>
      <c r="F154" s="64">
        <v>0</v>
      </c>
      <c r="G154" s="64">
        <v>0</v>
      </c>
      <c r="H154" s="64">
        <f t="shared" si="4"/>
        <v>185.55306119999997</v>
      </c>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2" customFormat="1" ht="20.25" customHeight="1" x14ac:dyDescent="0.25">
      <c r="A155" s="93">
        <f>A154+1</f>
        <v>22</v>
      </c>
      <c r="B155" s="94"/>
      <c r="C155" s="62" t="s">
        <v>97</v>
      </c>
      <c r="D155" s="62" t="s">
        <v>279</v>
      </c>
      <c r="E155" s="66">
        <f>(3.75*4.823)*(10.764)</f>
        <v>194.68039499999998</v>
      </c>
      <c r="F155" s="64">
        <v>0</v>
      </c>
      <c r="G155" s="64">
        <v>0</v>
      </c>
      <c r="H155" s="64">
        <f t="shared" si="4"/>
        <v>194.68039499999998</v>
      </c>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2" customFormat="1" ht="20.25" x14ac:dyDescent="0.25">
      <c r="A156" s="115" t="s">
        <v>284</v>
      </c>
      <c r="B156" s="116"/>
      <c r="C156" s="116"/>
      <c r="D156" s="116"/>
      <c r="E156" s="116"/>
      <c r="F156" s="116"/>
      <c r="G156" s="116"/>
      <c r="H156" s="117"/>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2" customFormat="1" ht="20.25" x14ac:dyDescent="0.25">
      <c r="A157" s="115" t="s">
        <v>285</v>
      </c>
      <c r="B157" s="116"/>
      <c r="C157" s="116"/>
      <c r="D157" s="116"/>
      <c r="E157" s="116"/>
      <c r="F157" s="116"/>
      <c r="G157" s="116"/>
      <c r="H157" s="117"/>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2" customFormat="1" ht="20.25" x14ac:dyDescent="0.25">
      <c r="A158" s="115" t="s">
        <v>288</v>
      </c>
      <c r="B158" s="151"/>
      <c r="C158" s="151"/>
      <c r="D158" s="151"/>
      <c r="E158" s="151"/>
      <c r="F158" s="151"/>
      <c r="G158" s="151"/>
      <c r="H158" s="152"/>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2" customFormat="1" ht="20.25" x14ac:dyDescent="0.25">
      <c r="A159" s="150" t="s">
        <v>290</v>
      </c>
      <c r="B159" s="151"/>
      <c r="C159" s="151"/>
      <c r="D159" s="151"/>
      <c r="E159" s="151"/>
      <c r="F159" s="151"/>
      <c r="G159" s="151"/>
      <c r="H159" s="152"/>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2" customFormat="1" ht="20.25" customHeight="1" x14ac:dyDescent="0.25">
      <c r="A160" s="83" t="str">
        <f ca="1">T160</f>
        <v>101,..,1501</v>
      </c>
      <c r="B160" s="83"/>
      <c r="C160" s="62" t="s">
        <v>97</v>
      </c>
      <c r="D160" s="62" t="s">
        <v>291</v>
      </c>
      <c r="E160" s="66">
        <f>((2.9*4.58+2.15*2.75+2.9*3.65+0.9*0.15+1.85*1.325+1.45*0.9+1.75*0.9+1.37*1.8))*(10.764)</f>
        <v>405.92927700000001</v>
      </c>
      <c r="F160" s="66">
        <f>(2.9*0.9+2*0.9)*(10.764)</f>
        <v>47.469239999999999</v>
      </c>
      <c r="G160" s="64">
        <v>0</v>
      </c>
      <c r="H160" s="64">
        <f>E160+F160+(IF(G160&lt;101,G160,IF(G160&lt;201,G160/2,IF(G160&lt;=301,G160/3,G160/4))))</f>
        <v>453.39851700000003</v>
      </c>
      <c r="I160" s="1"/>
      <c r="J160" s="1"/>
      <c r="K160" s="1"/>
      <c r="L160" s="1"/>
      <c r="M160" s="1"/>
      <c r="N160" s="1"/>
      <c r="O160" s="1"/>
      <c r="P160" s="1"/>
      <c r="Q160" s="1"/>
      <c r="R160" s="1"/>
      <c r="S160" s="1"/>
      <c r="T160" s="21" t="str">
        <f t="shared" ref="T160:T167" ca="1" si="6">U160&amp;""&amp;",..,"&amp;""&amp;V160</f>
        <v>101,..,1501</v>
      </c>
      <c r="U160" s="21">
        <f ca="1">(SUMPRODUCT(MID(0&amp;(LEFT(A159,SUM(LEN(A159)-LEN(SUBSTITUTE(A159,{"0","1","2","3"},""))))), LARGE(INDEX(ISNUMBER(--MID((LEFT(A159,SUM(LEN(A159)-LEN(SUBSTITUTE(A159,{"0","1","2","3"},""))))), ROW(INDIRECT("1:"&amp;LEN((LEFT(A159,SUM(LEN(A159)-LEN(SUBSTITUTE(A159,{"0","1","2","3"},"")))))))), 1)) * ROW(INDIRECT("1:"&amp;LEN((LEFT(A159,SUM(LEN(A159)-LEN(SUBSTITUTE(A159,{"0","1","2","3"},"")))))))), 0), ROW(INDIRECT("1:"&amp;LEN((LEFT(A159,SUM(LEN(A159)-LEN(SUBSTITUTE(A159,{"0","1","2","3"},"")))))))))+1, 1) * 10^ROW(INDIRECT("1:"&amp;LEN((LEFT(A159,SUM(LEN(A159)-LEN(SUBSTITUTE(A159,{"0","1","2","3"},""))))))))/10))*100+1</f>
        <v>101</v>
      </c>
      <c r="V160" s="21">
        <f ca="1">(SUMPRODUCT(MID(0&amp;(--TRIM(RIGHT(SUBSTITUTE(LEFT(A159,_xlfn.AGGREGATE(16,6,FIND({0,1,2,3,4,5,6,7,8,9},A159,ROW(INDIRECT("1:"&amp;LEN(A159)))),1))," ",REPT(" ",LEN(A159))),LEN(A159)))), LARGE(INDEX(ISNUMBER(--MID((--TRIM(RIGHT(SUBSTITUTE(LEFT(A159,_xlfn.AGGREGATE(16,6,FIND({0,1,2,3,4,5,6,7,8,9},A159,ROW(INDIRECT("1:"&amp;LEN(A159)))),1))," ",REPT(" ",LEN(A159))),LEN(A159)))), ROW(INDIRECT("1:"&amp;LEN((--TRIM(RIGHT(SUBSTITUTE(LEFT(A159,_xlfn.AGGREGATE(16,6,FIND({0,1,2,3,4,5,6,7,8,9},A159,ROW(INDIRECT("1:"&amp;LEN(A159)))),1))," ",REPT(" ",LEN(A159))),LEN(A159))))))), 1)) * ROW(INDIRECT("1:"&amp;LEN((--TRIM(RIGHT(SUBSTITUTE(LEFT(A159,_xlfn.AGGREGATE(16,6,FIND({0,1,2,3,4,5,6,7,8,9},A159,ROW(INDIRECT("1:"&amp;LEN(A159)))),1))," ",REPT(" ",LEN(A159))),LEN(A159))))))), 0), ROW(INDIRECT("1:"&amp;LEN((--TRIM(RIGHT(SUBSTITUTE(LEFT(A159,_xlfn.AGGREGATE(16,6,FIND({0,1,2,3,4,5,6,7,8,9},A159,ROW(INDIRECT("1:"&amp;LEN(A159)))),1))," ",REPT(" ",LEN(A159))),LEN(A159))))))))+1, 1) * 10^ROW(INDIRECT("1:"&amp;LEN((--TRIM(RIGHT(SUBSTITUTE(LEFT(A159,_xlfn.AGGREGATE(16,6,FIND({0,1,2,3,4,5,6,7,8,9},A159,ROW(INDIRECT("1:"&amp;LEN(A159)))),1))," ",REPT(" ",LEN(A159))),LEN(A159)))))))/10))*100+1</f>
        <v>1501</v>
      </c>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2" customFormat="1" ht="20.25" customHeight="1" x14ac:dyDescent="0.25">
      <c r="A161" s="83" t="str">
        <f t="shared" ref="A161:A167" ca="1" si="7">T161</f>
        <v>102,..,1502</v>
      </c>
      <c r="B161" s="83"/>
      <c r="C161" s="62" t="s">
        <v>97</v>
      </c>
      <c r="D161" s="62" t="s">
        <v>291</v>
      </c>
      <c r="E161" s="66">
        <f>((2.9*4.58+2*2.75+2.9*3.65+0.9*0.15+2*1.275+1.45*0.9+1.75*0.9+1.275*1.8))*(10.764)</f>
        <v>400.71142800000001</v>
      </c>
      <c r="F161" s="66">
        <f>(2.9*0.9+2*0.9)*(10.764)</f>
        <v>47.469239999999999</v>
      </c>
      <c r="G161" s="64">
        <v>0</v>
      </c>
      <c r="H161" s="64">
        <f t="shared" ref="H161:H165" si="8">E161+F161+(IF(G161&lt;101,G161,IF(G161&lt;201,G161/2,IF(G161&lt;=301,G161/3,G161/4))))</f>
        <v>448.18066800000003</v>
      </c>
      <c r="I161" s="1"/>
      <c r="J161" s="1"/>
      <c r="K161" s="1"/>
      <c r="L161" s="1"/>
      <c r="M161" s="1"/>
      <c r="N161" s="1"/>
      <c r="O161" s="1"/>
      <c r="P161" s="1"/>
      <c r="Q161" s="1"/>
      <c r="R161" s="1"/>
      <c r="S161" s="1"/>
      <c r="T161" s="21" t="str">
        <f t="shared" ca="1" si="6"/>
        <v>102,..,1502</v>
      </c>
      <c r="U161" s="21">
        <f ca="1">U160+1</f>
        <v>102</v>
      </c>
      <c r="V161" s="21">
        <f ca="1">V160+1</f>
        <v>1502</v>
      </c>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2" customFormat="1" ht="20.25" customHeight="1" x14ac:dyDescent="0.25">
      <c r="A162" s="83" t="str">
        <f t="shared" ca="1" si="7"/>
        <v>103,..,1503</v>
      </c>
      <c r="B162" s="83"/>
      <c r="C162" s="62" t="s">
        <v>97</v>
      </c>
      <c r="D162" s="62" t="s">
        <v>293</v>
      </c>
      <c r="E162" s="66">
        <f>((2.9*4.58+2.1*2.75+2.9*3.8+2.75*3.65+2*0.9+2.43*1.275+1.275*1.8+2.675*0.9+0.775*2.85))*(10.764)</f>
        <v>558.90993600000002</v>
      </c>
      <c r="F162" s="66">
        <f>(2.9*0.9+2.1*0.9)*(10.764)</f>
        <v>48.437999999999995</v>
      </c>
      <c r="G162" s="64">
        <v>0</v>
      </c>
      <c r="H162" s="64">
        <f t="shared" si="8"/>
        <v>607.347936</v>
      </c>
      <c r="I162" s="1"/>
      <c r="J162" s="1"/>
      <c r="K162" s="1"/>
      <c r="L162" s="1"/>
      <c r="M162" s="1"/>
      <c r="N162" s="1"/>
      <c r="O162" s="1"/>
      <c r="P162" s="1"/>
      <c r="Q162" s="1"/>
      <c r="R162" s="1"/>
      <c r="S162" s="1"/>
      <c r="T162" s="21" t="str">
        <f t="shared" ca="1" si="6"/>
        <v>103,..,1503</v>
      </c>
      <c r="U162" s="21">
        <f t="shared" ref="U162:V167" ca="1" si="9">U161+1</f>
        <v>103</v>
      </c>
      <c r="V162" s="21">
        <f t="shared" ca="1" si="9"/>
        <v>1503</v>
      </c>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2" customFormat="1" ht="20.25" customHeight="1" x14ac:dyDescent="0.25">
      <c r="A163" s="83" t="str">
        <f t="shared" ca="1" si="7"/>
        <v>104,..,1504</v>
      </c>
      <c r="B163" s="83"/>
      <c r="C163" s="62" t="s">
        <v>97</v>
      </c>
      <c r="D163" s="62" t="s">
        <v>291</v>
      </c>
      <c r="E163" s="66">
        <f>((2.9*4.58+2.15*2.75+2.9*3.65+0.9*0.15+1.45*0.9+1.75*0.9+1.85*1.325+1.37*1.8))*(10.764)</f>
        <v>405.92927700000001</v>
      </c>
      <c r="F163" s="66">
        <f>(2.9*0.9+2*0.9)*(10.764)</f>
        <v>47.469239999999999</v>
      </c>
      <c r="G163" s="64">
        <v>0</v>
      </c>
      <c r="H163" s="64">
        <f t="shared" si="8"/>
        <v>453.39851700000003</v>
      </c>
      <c r="I163" s="1"/>
      <c r="J163" s="1"/>
      <c r="K163" s="1"/>
      <c r="L163" s="1"/>
      <c r="M163" s="1"/>
      <c r="N163" s="1"/>
      <c r="O163" s="1"/>
      <c r="P163" s="1"/>
      <c r="Q163" s="1"/>
      <c r="R163" s="1"/>
      <c r="S163" s="1"/>
      <c r="T163" s="21" t="str">
        <f t="shared" ca="1" si="6"/>
        <v>104,..,1504</v>
      </c>
      <c r="U163" s="21">
        <f t="shared" ca="1" si="9"/>
        <v>104</v>
      </c>
      <c r="V163" s="21">
        <f t="shared" ca="1" si="9"/>
        <v>1504</v>
      </c>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2" customFormat="1" ht="20.25" customHeight="1" x14ac:dyDescent="0.25">
      <c r="A164" s="83" t="str">
        <f t="shared" ca="1" si="7"/>
        <v>105,..,1505</v>
      </c>
      <c r="B164" s="83"/>
      <c r="C164" s="62" t="s">
        <v>97</v>
      </c>
      <c r="D164" s="62" t="s">
        <v>291</v>
      </c>
      <c r="E164" s="66">
        <f>((2.9*4.58+2.15*2.75+2.9*3.65+0.9*0.15+1.45*0.9+1.75*0.9+1.85*1.325+1.37*1.8))*(10.764)</f>
        <v>405.92927700000001</v>
      </c>
      <c r="F164" s="66">
        <f>(2.9*0.9+2*0.9)*(10.764)</f>
        <v>47.469239999999999</v>
      </c>
      <c r="G164" s="64">
        <v>0</v>
      </c>
      <c r="H164" s="64">
        <f t="shared" si="8"/>
        <v>453.39851700000003</v>
      </c>
      <c r="I164" s="1"/>
      <c r="J164" s="1"/>
      <c r="K164" s="1"/>
      <c r="L164" s="1"/>
      <c r="M164" s="1"/>
      <c r="N164" s="1"/>
      <c r="O164" s="1"/>
      <c r="P164" s="1"/>
      <c r="Q164" s="1"/>
      <c r="R164" s="1"/>
      <c r="S164" s="1"/>
      <c r="T164" s="21" t="str">
        <f t="shared" ca="1" si="6"/>
        <v>105,..,1505</v>
      </c>
      <c r="U164" s="21">
        <f t="shared" ca="1" si="9"/>
        <v>105</v>
      </c>
      <c r="V164" s="21">
        <f t="shared" ca="1" si="9"/>
        <v>1505</v>
      </c>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2" customFormat="1" ht="20.25" customHeight="1" x14ac:dyDescent="0.25">
      <c r="A165" s="83" t="str">
        <f t="shared" ca="1" si="7"/>
        <v>106,..,1506</v>
      </c>
      <c r="B165" s="83"/>
      <c r="C165" s="62" t="s">
        <v>97</v>
      </c>
      <c r="D165" s="62" t="s">
        <v>293</v>
      </c>
      <c r="E165" s="66">
        <f>((2.9*4.58+2.1*2.75+2.75*3.8+2.75*3.65+2*0.9+2.75*1.275+1.275*1.8+2.675*0.9+0.775*2.85))*(10.764)</f>
        <v>557.16616799999997</v>
      </c>
      <c r="F165" s="66">
        <f>(2.9*0.9+2.1*0.9)*(10.764)</f>
        <v>48.437999999999995</v>
      </c>
      <c r="G165" s="64">
        <v>0</v>
      </c>
      <c r="H165" s="64">
        <f t="shared" si="8"/>
        <v>605.60416799999996</v>
      </c>
      <c r="I165" s="1"/>
      <c r="J165" s="1"/>
      <c r="K165" s="1"/>
      <c r="L165" s="1"/>
      <c r="M165" s="1"/>
      <c r="N165" s="1"/>
      <c r="O165" s="1"/>
      <c r="P165" s="1"/>
      <c r="Q165" s="1"/>
      <c r="R165" s="1"/>
      <c r="S165" s="1"/>
      <c r="T165" s="21" t="str">
        <f t="shared" ca="1" si="6"/>
        <v>106,..,1506</v>
      </c>
      <c r="U165" s="21">
        <f t="shared" ca="1" si="9"/>
        <v>106</v>
      </c>
      <c r="V165" s="21">
        <f t="shared" ca="1" si="9"/>
        <v>1506</v>
      </c>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2" customFormat="1" ht="20.25" customHeight="1" x14ac:dyDescent="0.25">
      <c r="A166" s="83" t="str">
        <f t="shared" ca="1" si="7"/>
        <v>107,..,1507</v>
      </c>
      <c r="B166" s="83"/>
      <c r="C166" s="62" t="s">
        <v>97</v>
      </c>
      <c r="D166" s="163" t="s">
        <v>292</v>
      </c>
      <c r="E166" s="164"/>
      <c r="F166" s="164"/>
      <c r="G166" s="164"/>
      <c r="H166" s="165"/>
      <c r="I166" s="1"/>
      <c r="J166" s="1"/>
      <c r="K166" s="1"/>
      <c r="L166" s="1"/>
      <c r="M166" s="1"/>
      <c r="N166" s="1"/>
      <c r="O166" s="1"/>
      <c r="P166" s="1"/>
      <c r="Q166" s="1"/>
      <c r="R166" s="1"/>
      <c r="S166" s="1"/>
      <c r="T166" s="21" t="str">
        <f t="shared" ca="1" si="6"/>
        <v>107,..,1507</v>
      </c>
      <c r="U166" s="21">
        <f t="shared" ca="1" si="9"/>
        <v>107</v>
      </c>
      <c r="V166" s="21">
        <f t="shared" ca="1" si="9"/>
        <v>1507</v>
      </c>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2" customFormat="1" ht="20.25" customHeight="1" x14ac:dyDescent="0.25">
      <c r="A167" s="83" t="str">
        <f t="shared" ca="1" si="7"/>
        <v>108,..,1508</v>
      </c>
      <c r="B167" s="83"/>
      <c r="C167" s="62" t="s">
        <v>97</v>
      </c>
      <c r="D167" s="166"/>
      <c r="E167" s="167"/>
      <c r="F167" s="167"/>
      <c r="G167" s="167"/>
      <c r="H167" s="168"/>
      <c r="I167" s="1"/>
      <c r="J167" s="1"/>
      <c r="K167" s="1"/>
      <c r="L167" s="1"/>
      <c r="M167" s="1"/>
      <c r="N167" s="1"/>
      <c r="O167" s="1"/>
      <c r="P167" s="1"/>
      <c r="Q167" s="1"/>
      <c r="R167" s="1"/>
      <c r="S167" s="1"/>
      <c r="T167" s="21" t="str">
        <f t="shared" ca="1" si="6"/>
        <v>108,..,1508</v>
      </c>
      <c r="U167" s="21">
        <f t="shared" ca="1" si="9"/>
        <v>108</v>
      </c>
      <c r="V167" s="21">
        <f t="shared" ca="1" si="9"/>
        <v>1508</v>
      </c>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2" customFormat="1" ht="20.25" x14ac:dyDescent="0.25">
      <c r="A168" s="150" t="s">
        <v>294</v>
      </c>
      <c r="B168" s="151"/>
      <c r="C168" s="151"/>
      <c r="D168" s="151"/>
      <c r="E168" s="151"/>
      <c r="F168" s="151"/>
      <c r="G168" s="151"/>
      <c r="H168" s="152"/>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2" customFormat="1" ht="20.25" customHeight="1" x14ac:dyDescent="0.25">
      <c r="A169" s="83" t="str">
        <f ca="1">T169</f>
        <v>201,..,2001</v>
      </c>
      <c r="B169" s="83"/>
      <c r="C169" s="62" t="s">
        <v>97</v>
      </c>
      <c r="D169" s="62" t="s">
        <v>291</v>
      </c>
      <c r="E169" s="66">
        <f>((2.9*4.58+2.15*2.75+2.9*3.65+0.9*0.15+1.85*1.325+1.45*0.9+1.75*0.9+1.37*1.8))*(10.764)</f>
        <v>405.92927700000001</v>
      </c>
      <c r="F169" s="66">
        <f>(2.9*0.9+2*0.9)*(10.764)</f>
        <v>47.469239999999999</v>
      </c>
      <c r="G169" s="64">
        <v>0</v>
      </c>
      <c r="H169" s="64">
        <f>E169+F169+(IF(G169&lt;101,G169,IF(G169&lt;201,G169/2,IF(G169&lt;=301,G169/3,G169/4))))</f>
        <v>453.39851700000003</v>
      </c>
      <c r="I169" s="1"/>
      <c r="J169" s="1"/>
      <c r="K169" s="1"/>
      <c r="L169" s="1"/>
      <c r="M169" s="1"/>
      <c r="N169" s="1"/>
      <c r="O169" s="1"/>
      <c r="P169" s="1"/>
      <c r="Q169" s="1"/>
      <c r="R169" s="1"/>
      <c r="S169" s="1"/>
      <c r="T169" s="21" t="str">
        <f t="shared" ref="T169:T176" ca="1" si="10">U169&amp;""&amp;",..,"&amp;""&amp;V169</f>
        <v>201,..,2001</v>
      </c>
      <c r="U169" s="21">
        <f ca="1">(SUMPRODUCT(MID(0&amp;(LEFT(A168,SUM(LEN(A168)-LEN(SUBSTITUTE(A168,{"0","1","2","3"},""))))), LARGE(INDEX(ISNUMBER(--MID((LEFT(A168,SUM(LEN(A168)-LEN(SUBSTITUTE(A168,{"0","1","2","3"},""))))), ROW(INDIRECT("1:"&amp;LEN((LEFT(A168,SUM(LEN(A168)-LEN(SUBSTITUTE(A168,{"0","1","2","3"},"")))))))), 1)) * ROW(INDIRECT("1:"&amp;LEN((LEFT(A168,SUM(LEN(A168)-LEN(SUBSTITUTE(A168,{"0","1","2","3"},"")))))))), 0), ROW(INDIRECT("1:"&amp;LEN((LEFT(A168,SUM(LEN(A168)-LEN(SUBSTITUTE(A168,{"0","1","2","3"},"")))))))))+1, 1) * 10^ROW(INDIRECT("1:"&amp;LEN((LEFT(A168,SUM(LEN(A168)-LEN(SUBSTITUTE(A168,{"0","1","2","3"},""))))))))/10))*100+1</f>
        <v>201</v>
      </c>
      <c r="V169" s="21">
        <f ca="1">(SUMPRODUCT(MID(0&amp;(--TRIM(RIGHT(SUBSTITUTE(LEFT(A168,_xlfn.AGGREGATE(16,6,FIND({0,1,2,3,4,5,6,7,8,9},A168,ROW(INDIRECT("1:"&amp;LEN(A168)))),1))," ",REPT(" ",LEN(A168))),LEN(A168)))), LARGE(INDEX(ISNUMBER(--MID((--TRIM(RIGHT(SUBSTITUTE(LEFT(A168,_xlfn.AGGREGATE(16,6,FIND({0,1,2,3,4,5,6,7,8,9},A168,ROW(INDIRECT("1:"&amp;LEN(A168)))),1))," ",REPT(" ",LEN(A168))),LEN(A168)))), ROW(INDIRECT("1:"&amp;LEN((--TRIM(RIGHT(SUBSTITUTE(LEFT(A168,_xlfn.AGGREGATE(16,6,FIND({0,1,2,3,4,5,6,7,8,9},A168,ROW(INDIRECT("1:"&amp;LEN(A168)))),1))," ",REPT(" ",LEN(A168))),LEN(A168))))))), 1)) * ROW(INDIRECT("1:"&amp;LEN((--TRIM(RIGHT(SUBSTITUTE(LEFT(A168,_xlfn.AGGREGATE(16,6,FIND({0,1,2,3,4,5,6,7,8,9},A168,ROW(INDIRECT("1:"&amp;LEN(A168)))),1))," ",REPT(" ",LEN(A168))),LEN(A168))))))), 0), ROW(INDIRECT("1:"&amp;LEN((--TRIM(RIGHT(SUBSTITUTE(LEFT(A168,_xlfn.AGGREGATE(16,6,FIND({0,1,2,3,4,5,6,7,8,9},A168,ROW(INDIRECT("1:"&amp;LEN(A168)))),1))," ",REPT(" ",LEN(A168))),LEN(A168))))))))+1, 1) * 10^ROW(INDIRECT("1:"&amp;LEN((--TRIM(RIGHT(SUBSTITUTE(LEFT(A168,_xlfn.AGGREGATE(16,6,FIND({0,1,2,3,4,5,6,7,8,9},A168,ROW(INDIRECT("1:"&amp;LEN(A168)))),1))," ",REPT(" ",LEN(A168))),LEN(A168)))))))/10))*100+1</f>
        <v>2001</v>
      </c>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2" customFormat="1" ht="20.25" customHeight="1" x14ac:dyDescent="0.25">
      <c r="A170" s="83" t="str">
        <f t="shared" ref="A170:A176" ca="1" si="11">T170</f>
        <v>202,..,2002</v>
      </c>
      <c r="B170" s="83"/>
      <c r="C170" s="62" t="s">
        <v>97</v>
      </c>
      <c r="D170" s="62" t="s">
        <v>291</v>
      </c>
      <c r="E170" s="66">
        <f>((2.9*4.58+2*2.75+2.9*3.65+0.9*0.15+2*1.275+1.45*0.9+1.75*0.9+1.275*1.8))*(10.764)</f>
        <v>400.71142800000001</v>
      </c>
      <c r="F170" s="66">
        <f>(2.9*0.9+2*0.9)*(10.764)</f>
        <v>47.469239999999999</v>
      </c>
      <c r="G170" s="64">
        <v>0</v>
      </c>
      <c r="H170" s="64">
        <f t="shared" ref="H170:H176" si="12">E170+F170+(IF(G170&lt;101,G170,IF(G170&lt;201,G170/2,IF(G170&lt;=301,G170/3,G170/4))))</f>
        <v>448.18066800000003</v>
      </c>
      <c r="I170" s="1"/>
      <c r="J170" s="1"/>
      <c r="K170" s="1"/>
      <c r="L170" s="1"/>
      <c r="M170" s="1"/>
      <c r="N170" s="1"/>
      <c r="O170" s="1"/>
      <c r="P170" s="1"/>
      <c r="Q170" s="1"/>
      <c r="R170" s="1"/>
      <c r="S170" s="1"/>
      <c r="T170" s="21" t="str">
        <f t="shared" ca="1" si="10"/>
        <v>202,..,2002</v>
      </c>
      <c r="U170" s="21">
        <f ca="1">U169+1</f>
        <v>202</v>
      </c>
      <c r="V170" s="21">
        <f ca="1">V169+1</f>
        <v>2002</v>
      </c>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2" customFormat="1" ht="20.25" customHeight="1" x14ac:dyDescent="0.25">
      <c r="A171" s="83" t="str">
        <f t="shared" ca="1" si="11"/>
        <v>203,..,2003</v>
      </c>
      <c r="B171" s="83"/>
      <c r="C171" s="62" t="s">
        <v>97</v>
      </c>
      <c r="D171" s="62" t="s">
        <v>293</v>
      </c>
      <c r="E171" s="66">
        <f>((2.9*4.58+2.1*2.75+2.9*3.8+2.75*3.65+2*0.9+2.43*1.275+1.275*1.8+2.675*0.9+0.775*2.85))*(10.764)</f>
        <v>558.90993600000002</v>
      </c>
      <c r="F171" s="66">
        <f>(2.9*0.9+2.1*0.9)*(10.764)</f>
        <v>48.437999999999995</v>
      </c>
      <c r="G171" s="64">
        <v>0</v>
      </c>
      <c r="H171" s="64">
        <f t="shared" si="12"/>
        <v>607.347936</v>
      </c>
      <c r="I171" s="1"/>
      <c r="J171" s="1"/>
      <c r="K171" s="1"/>
      <c r="L171" s="1"/>
      <c r="M171" s="1"/>
      <c r="N171" s="1"/>
      <c r="O171" s="1"/>
      <c r="P171" s="1"/>
      <c r="Q171" s="1"/>
      <c r="R171" s="1"/>
      <c r="S171" s="1"/>
      <c r="T171" s="21" t="str">
        <f t="shared" ca="1" si="10"/>
        <v>203,..,2003</v>
      </c>
      <c r="U171" s="21">
        <f t="shared" ref="U171:V171" ca="1" si="13">U170+1</f>
        <v>203</v>
      </c>
      <c r="V171" s="21">
        <f t="shared" ca="1" si="13"/>
        <v>2003</v>
      </c>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2" customFormat="1" ht="20.25" customHeight="1" x14ac:dyDescent="0.25">
      <c r="A172" s="83" t="str">
        <f t="shared" ca="1" si="11"/>
        <v>204,..,2004</v>
      </c>
      <c r="B172" s="83"/>
      <c r="C172" s="62" t="s">
        <v>97</v>
      </c>
      <c r="D172" s="62" t="s">
        <v>291</v>
      </c>
      <c r="E172" s="66">
        <f>((2.9*4.58+2.15*2.75+2.9*3.65+0.9*0.15+1.45*0.9+1.75*0.9+1.85*1.325+1.37*1.8))*(10.764)</f>
        <v>405.92927700000001</v>
      </c>
      <c r="F172" s="66">
        <f>(2.9*0.9+2*0.9)*(10.764)</f>
        <v>47.469239999999999</v>
      </c>
      <c r="G172" s="64">
        <v>0</v>
      </c>
      <c r="H172" s="64">
        <f t="shared" si="12"/>
        <v>453.39851700000003</v>
      </c>
      <c r="I172" s="1"/>
      <c r="J172" s="1"/>
      <c r="K172" s="1"/>
      <c r="L172" s="1"/>
      <c r="M172" s="1"/>
      <c r="N172" s="1"/>
      <c r="O172" s="1"/>
      <c r="P172" s="1"/>
      <c r="Q172" s="1"/>
      <c r="R172" s="1"/>
      <c r="S172" s="1"/>
      <c r="T172" s="21" t="str">
        <f t="shared" ca="1" si="10"/>
        <v>204,..,2004</v>
      </c>
      <c r="U172" s="21">
        <f t="shared" ref="U172:V172" ca="1" si="14">U171+1</f>
        <v>204</v>
      </c>
      <c r="V172" s="21">
        <f t="shared" ca="1" si="14"/>
        <v>2004</v>
      </c>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2" customFormat="1" ht="20.25" customHeight="1" x14ac:dyDescent="0.25">
      <c r="A173" s="83" t="str">
        <f t="shared" ca="1" si="11"/>
        <v>205,..,2005</v>
      </c>
      <c r="B173" s="83"/>
      <c r="C173" s="62" t="s">
        <v>97</v>
      </c>
      <c r="D173" s="62" t="s">
        <v>291</v>
      </c>
      <c r="E173" s="66">
        <f>((2.9*4.58+2.15*2.75+2.9*3.65+0.9*0.15+1.45*0.9+1.75*0.9+1.85*1.325+1.37*1.8))*(10.764)</f>
        <v>405.92927700000001</v>
      </c>
      <c r="F173" s="66">
        <f>(2.9*0.9+2*0.9)*(10.764)</f>
        <v>47.469239999999999</v>
      </c>
      <c r="G173" s="64">
        <v>0</v>
      </c>
      <c r="H173" s="64">
        <f t="shared" si="12"/>
        <v>453.39851700000003</v>
      </c>
      <c r="I173" s="1"/>
      <c r="J173" s="1"/>
      <c r="K173" s="1"/>
      <c r="L173" s="1"/>
      <c r="M173" s="1"/>
      <c r="N173" s="1"/>
      <c r="O173" s="1"/>
      <c r="P173" s="1"/>
      <c r="Q173" s="1"/>
      <c r="R173" s="1"/>
      <c r="S173" s="1"/>
      <c r="T173" s="21" t="str">
        <f t="shared" ca="1" si="10"/>
        <v>205,..,2005</v>
      </c>
      <c r="U173" s="21">
        <f t="shared" ref="U173:V173" ca="1" si="15">U172+1</f>
        <v>205</v>
      </c>
      <c r="V173" s="21">
        <f t="shared" ca="1" si="15"/>
        <v>2005</v>
      </c>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2" customFormat="1" ht="20.25" customHeight="1" x14ac:dyDescent="0.25">
      <c r="A174" s="83" t="str">
        <f t="shared" ca="1" si="11"/>
        <v>206,..,2006</v>
      </c>
      <c r="B174" s="83"/>
      <c r="C174" s="62" t="s">
        <v>97</v>
      </c>
      <c r="D174" s="62" t="s">
        <v>293</v>
      </c>
      <c r="E174" s="66">
        <f>((2.9*4.58+2.1*2.75+2.75*3.8+2.75*3.65+2*0.9+2.75*1.275+1.275*1.8+2.675*0.9+0.775*2.85))*(10.764)</f>
        <v>557.16616799999997</v>
      </c>
      <c r="F174" s="66">
        <f>(2.9*0.9+2.1*0.9)*(10.764)</f>
        <v>48.437999999999995</v>
      </c>
      <c r="G174" s="64">
        <v>0</v>
      </c>
      <c r="H174" s="64">
        <f t="shared" si="12"/>
        <v>605.60416799999996</v>
      </c>
      <c r="I174" s="1"/>
      <c r="J174" s="1"/>
      <c r="K174" s="1"/>
      <c r="L174" s="1"/>
      <c r="M174" s="1"/>
      <c r="N174" s="1"/>
      <c r="O174" s="1"/>
      <c r="P174" s="1"/>
      <c r="Q174" s="1"/>
      <c r="R174" s="1"/>
      <c r="S174" s="1"/>
      <c r="T174" s="21" t="str">
        <f t="shared" ca="1" si="10"/>
        <v>206,..,2006</v>
      </c>
      <c r="U174" s="21">
        <f t="shared" ref="U174:V174" ca="1" si="16">U173+1</f>
        <v>206</v>
      </c>
      <c r="V174" s="21">
        <f t="shared" ca="1" si="16"/>
        <v>2006</v>
      </c>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2" customFormat="1" ht="20.25" customHeight="1" x14ac:dyDescent="0.25">
      <c r="A175" s="83" t="str">
        <f t="shared" ca="1" si="11"/>
        <v>207,..,2007</v>
      </c>
      <c r="B175" s="83"/>
      <c r="C175" s="62" t="s">
        <v>97</v>
      </c>
      <c r="D175" s="62" t="s">
        <v>293</v>
      </c>
      <c r="E175" s="66">
        <f>((2.9*4.58+2.1*2.75+2.75*3.8+2.75*3.65+2*0.9+2.75*1.275+1.275*1.8+2.675*0.9+0.775*2.85))*(10.764)</f>
        <v>557.16616799999997</v>
      </c>
      <c r="F175" s="66">
        <f>(2.9*0.9+2.1*0.9)*(10.764)</f>
        <v>48.437999999999995</v>
      </c>
      <c r="G175" s="64">
        <v>0</v>
      </c>
      <c r="H175" s="64">
        <f t="shared" si="12"/>
        <v>605.60416799999996</v>
      </c>
      <c r="I175" s="1"/>
      <c r="J175" s="1"/>
      <c r="K175" s="1"/>
      <c r="L175" s="1"/>
      <c r="M175" s="1"/>
      <c r="N175" s="1"/>
      <c r="O175" s="1"/>
      <c r="P175" s="1"/>
      <c r="Q175" s="1"/>
      <c r="R175" s="1"/>
      <c r="S175" s="1"/>
      <c r="T175" s="21" t="str">
        <f t="shared" ca="1" si="10"/>
        <v>207,..,2007</v>
      </c>
      <c r="U175" s="21">
        <f t="shared" ref="U175:V175" ca="1" si="17">U174+1</f>
        <v>207</v>
      </c>
      <c r="V175" s="21">
        <f t="shared" ca="1" si="17"/>
        <v>2007</v>
      </c>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2" customFormat="1" ht="20.25" customHeight="1" x14ac:dyDescent="0.25">
      <c r="A176" s="83" t="str">
        <f t="shared" ca="1" si="11"/>
        <v>208,..,2008</v>
      </c>
      <c r="B176" s="83"/>
      <c r="C176" s="62" t="s">
        <v>97</v>
      </c>
      <c r="D176" s="62" t="s">
        <v>291</v>
      </c>
      <c r="E176" s="66">
        <f>((2.9*4.58+2.15*2.75+2.9*3.65+0.9*0.15+1.45*0.9+1.75*0.9+1.85*1.325+1.37*1.8))*(10.764)</f>
        <v>405.92927700000001</v>
      </c>
      <c r="F176" s="66">
        <f>(2.9*0.9+2*0.9)*(10.764)</f>
        <v>47.469239999999999</v>
      </c>
      <c r="G176" s="64">
        <v>0</v>
      </c>
      <c r="H176" s="64">
        <f t="shared" si="12"/>
        <v>453.39851700000003</v>
      </c>
      <c r="I176" s="1"/>
      <c r="J176" s="1"/>
      <c r="K176" s="1"/>
      <c r="L176" s="1"/>
      <c r="M176" s="1"/>
      <c r="N176" s="1"/>
      <c r="O176" s="1"/>
      <c r="P176" s="1"/>
      <c r="Q176" s="1"/>
      <c r="R176" s="1"/>
      <c r="S176" s="1"/>
      <c r="T176" s="21" t="str">
        <f t="shared" ca="1" si="10"/>
        <v>208,..,2008</v>
      </c>
      <c r="U176" s="21">
        <f t="shared" ref="U176:V176" ca="1" si="18">U175+1</f>
        <v>208</v>
      </c>
      <c r="V176" s="21">
        <f t="shared" ca="1" si="18"/>
        <v>2008</v>
      </c>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2" customFormat="1" ht="20.25" hidden="1" x14ac:dyDescent="0.25">
      <c r="A177" s="115" t="s">
        <v>289</v>
      </c>
      <c r="B177" s="116"/>
      <c r="C177" s="116"/>
      <c r="D177" s="116"/>
      <c r="E177" s="116"/>
      <c r="F177" s="116"/>
      <c r="G177" s="116"/>
      <c r="H177" s="117"/>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2" customFormat="1" ht="20.25" hidden="1" x14ac:dyDescent="0.25">
      <c r="A178" s="83">
        <v>1</v>
      </c>
      <c r="B178" s="83"/>
      <c r="C178" s="62"/>
      <c r="D178" s="62"/>
      <c r="E178" s="38">
        <v>0</v>
      </c>
      <c r="F178" s="37">
        <v>0</v>
      </c>
      <c r="G178" s="37">
        <v>0</v>
      </c>
      <c r="H178" s="4">
        <f>E178+F178+(IF(G178&lt;101,G178,IF(G178&lt;201,G178/2,IF(G178&lt;=301,G178/3,G178/4))))</f>
        <v>0</v>
      </c>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2" customFormat="1" ht="20.25" hidden="1" x14ac:dyDescent="0.25">
      <c r="A179" s="93">
        <f>A178+1</f>
        <v>2</v>
      </c>
      <c r="B179" s="94"/>
      <c r="C179" s="62"/>
      <c r="D179" s="62"/>
      <c r="E179" s="38"/>
      <c r="F179" s="37"/>
      <c r="G179" s="37"/>
      <c r="H179" s="37">
        <f t="shared" ref="H179:H185" si="19">E179+F179+(IF(G179&lt;101,G179,IF(G179&lt;201,G179/2,IF(G179&lt;=301,G179/3,G179/4))))</f>
        <v>0</v>
      </c>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2" customFormat="1" ht="20.25" hidden="1" x14ac:dyDescent="0.25">
      <c r="A180" s="93">
        <f t="shared" ref="A180:A185" si="20">A179+1</f>
        <v>3</v>
      </c>
      <c r="B180" s="94"/>
      <c r="C180" s="62"/>
      <c r="D180" s="62"/>
      <c r="E180" s="38"/>
      <c r="F180" s="37"/>
      <c r="G180" s="37"/>
      <c r="H180" s="37">
        <f t="shared" si="19"/>
        <v>0</v>
      </c>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2" customFormat="1" ht="20.25" hidden="1" customHeight="1" x14ac:dyDescent="0.25">
      <c r="A181" s="93">
        <f t="shared" si="20"/>
        <v>4</v>
      </c>
      <c r="B181" s="94"/>
      <c r="C181" s="62"/>
      <c r="D181" s="62"/>
      <c r="E181" s="38"/>
      <c r="F181" s="37"/>
      <c r="G181" s="37"/>
      <c r="H181" s="37">
        <f t="shared" si="19"/>
        <v>0</v>
      </c>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2" customFormat="1" ht="20.25" hidden="1" customHeight="1" x14ac:dyDescent="0.25">
      <c r="A182" s="93">
        <f t="shared" si="20"/>
        <v>5</v>
      </c>
      <c r="B182" s="94"/>
      <c r="C182" s="62"/>
      <c r="D182" s="62"/>
      <c r="E182" s="38"/>
      <c r="F182" s="37"/>
      <c r="G182" s="37"/>
      <c r="H182" s="37">
        <f t="shared" si="19"/>
        <v>0</v>
      </c>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2" customFormat="1" ht="20.25" hidden="1" customHeight="1" x14ac:dyDescent="0.25">
      <c r="A183" s="93">
        <f t="shared" si="20"/>
        <v>6</v>
      </c>
      <c r="B183" s="94"/>
      <c r="C183" s="62"/>
      <c r="D183" s="62"/>
      <c r="E183" s="38"/>
      <c r="F183" s="37"/>
      <c r="G183" s="37"/>
      <c r="H183" s="37">
        <f t="shared" si="19"/>
        <v>0</v>
      </c>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2" customFormat="1" ht="20.25" hidden="1" customHeight="1" x14ac:dyDescent="0.25">
      <c r="A184" s="93">
        <f t="shared" si="20"/>
        <v>7</v>
      </c>
      <c r="B184" s="94"/>
      <c r="C184" s="62"/>
      <c r="D184" s="62"/>
      <c r="E184" s="38"/>
      <c r="F184" s="37"/>
      <c r="G184" s="37"/>
      <c r="H184" s="37">
        <f t="shared" si="19"/>
        <v>0</v>
      </c>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2" customFormat="1" ht="20.25" hidden="1" customHeight="1" x14ac:dyDescent="0.25">
      <c r="A185" s="93">
        <f t="shared" si="20"/>
        <v>8</v>
      </c>
      <c r="B185" s="94"/>
      <c r="C185" s="62"/>
      <c r="D185" s="62"/>
      <c r="E185" s="38"/>
      <c r="F185" s="37"/>
      <c r="G185" s="37"/>
      <c r="H185" s="37">
        <f t="shared" si="19"/>
        <v>0</v>
      </c>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2" customFormat="1" ht="20.25" hidden="1" x14ac:dyDescent="0.25">
      <c r="A186" s="150" t="s">
        <v>132</v>
      </c>
      <c r="B186" s="151"/>
      <c r="C186" s="151"/>
      <c r="D186" s="151"/>
      <c r="E186" s="151"/>
      <c r="F186" s="151"/>
      <c r="G186" s="151"/>
      <c r="H186" s="152"/>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2" customFormat="1" ht="20.25" hidden="1" customHeight="1" x14ac:dyDescent="0.25">
      <c r="A187" s="83" t="str">
        <f ca="1">T187</f>
        <v>201,..,901</v>
      </c>
      <c r="B187" s="83"/>
      <c r="C187" s="62"/>
      <c r="D187" s="62"/>
      <c r="E187" s="38">
        <v>0</v>
      </c>
      <c r="F187" s="37">
        <v>0</v>
      </c>
      <c r="G187" s="37">
        <v>0</v>
      </c>
      <c r="H187" s="37">
        <f>E187+F187+(IF(G187&lt;101,G187,IF(G187&lt;201,G187/2,IF(G187&lt;=301,G187/3,G187/4))))</f>
        <v>0</v>
      </c>
      <c r="I187" s="1"/>
      <c r="J187" s="1"/>
      <c r="K187" s="1"/>
      <c r="L187" s="1"/>
      <c r="M187" s="1"/>
      <c r="N187" s="1"/>
      <c r="O187" s="1"/>
      <c r="P187" s="1"/>
      <c r="Q187" s="1"/>
      <c r="R187" s="1"/>
      <c r="S187" s="1"/>
      <c r="T187" s="21" t="str">
        <f t="shared" ref="T187:T194" ca="1" si="21">U187&amp;""&amp;",..,"&amp;""&amp;V187</f>
        <v>201,..,901</v>
      </c>
      <c r="U187" s="21">
        <f ca="1">(SUMPRODUCT(MID(0&amp;(LEFT(A186,SUM(LEN(A186)-LEN(SUBSTITUTE(A186,{"0","1","2","3"},""))))), LARGE(INDEX(ISNUMBER(--MID((LEFT(A186,SUM(LEN(A186)-LEN(SUBSTITUTE(A186,{"0","1","2","3"},""))))), ROW(INDIRECT("1:"&amp;LEN((LEFT(A186,SUM(LEN(A186)-LEN(SUBSTITUTE(A186,{"0","1","2","3"},"")))))))), 1)) * ROW(INDIRECT("1:"&amp;LEN((LEFT(A186,SUM(LEN(A186)-LEN(SUBSTITUTE(A186,{"0","1","2","3"},"")))))))), 0), ROW(INDIRECT("1:"&amp;LEN((LEFT(A186,SUM(LEN(A186)-LEN(SUBSTITUTE(A186,{"0","1","2","3"},"")))))))))+1, 1) * 10^ROW(INDIRECT("1:"&amp;LEN((LEFT(A186,SUM(LEN(A186)-LEN(SUBSTITUTE(A186,{"0","1","2","3"},""))))))))/10))*100+1</f>
        <v>201</v>
      </c>
      <c r="V187" s="21">
        <f ca="1">(SUMPRODUCT(MID(0&amp;(--TRIM(RIGHT(SUBSTITUTE(LEFT(A186,_xlfn.AGGREGATE(16,6,FIND({0,1,2,3,4,5,6,7,8,9},A186,ROW(INDIRECT("1:"&amp;LEN(A186)))),1))," ",REPT(" ",LEN(A186))),LEN(A186)))), LARGE(INDEX(ISNUMBER(--MID((--TRIM(RIGHT(SUBSTITUTE(LEFT(A186,_xlfn.AGGREGATE(16,6,FIND({0,1,2,3,4,5,6,7,8,9},A186,ROW(INDIRECT("1:"&amp;LEN(A186)))),1))," ",REPT(" ",LEN(A186))),LEN(A186)))), ROW(INDIRECT("1:"&amp;LEN((--TRIM(RIGHT(SUBSTITUTE(LEFT(A186,_xlfn.AGGREGATE(16,6,FIND({0,1,2,3,4,5,6,7,8,9},A186,ROW(INDIRECT("1:"&amp;LEN(A186)))),1))," ",REPT(" ",LEN(A186))),LEN(A186))))))), 1)) * ROW(INDIRECT("1:"&amp;LEN((--TRIM(RIGHT(SUBSTITUTE(LEFT(A186,_xlfn.AGGREGATE(16,6,FIND({0,1,2,3,4,5,6,7,8,9},A186,ROW(INDIRECT("1:"&amp;LEN(A186)))),1))," ",REPT(" ",LEN(A186))),LEN(A186))))))), 0), ROW(INDIRECT("1:"&amp;LEN((--TRIM(RIGHT(SUBSTITUTE(LEFT(A186,_xlfn.AGGREGATE(16,6,FIND({0,1,2,3,4,5,6,7,8,9},A186,ROW(INDIRECT("1:"&amp;LEN(A186)))),1))," ",REPT(" ",LEN(A186))),LEN(A186))))))))+1, 1) * 10^ROW(INDIRECT("1:"&amp;LEN((--TRIM(RIGHT(SUBSTITUTE(LEFT(A186,_xlfn.AGGREGATE(16,6,FIND({0,1,2,3,4,5,6,7,8,9},A186,ROW(INDIRECT("1:"&amp;LEN(A186)))),1))," ",REPT(" ",LEN(A186))),LEN(A186)))))))/10))*100+1</f>
        <v>901</v>
      </c>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2" customFormat="1" ht="20.25" hidden="1" customHeight="1" x14ac:dyDescent="0.25">
      <c r="A188" s="83" t="str">
        <f t="shared" ref="A188:A194" ca="1" si="22">T188</f>
        <v>202,..,902</v>
      </c>
      <c r="B188" s="83"/>
      <c r="C188" s="62"/>
      <c r="D188" s="62"/>
      <c r="E188" s="38"/>
      <c r="F188" s="37"/>
      <c r="G188" s="37"/>
      <c r="H188" s="37">
        <f t="shared" ref="H188:H194" si="23">E188+F188+(IF(G188&lt;101,G188,IF(G188&lt;201,G188/2,IF(G188&lt;=301,G188/3,G188/4))))</f>
        <v>0</v>
      </c>
      <c r="I188" s="1"/>
      <c r="J188" s="1"/>
      <c r="K188" s="1"/>
      <c r="L188" s="1"/>
      <c r="M188" s="1"/>
      <c r="N188" s="1"/>
      <c r="O188" s="1"/>
      <c r="P188" s="1"/>
      <c r="Q188" s="1"/>
      <c r="R188" s="1"/>
      <c r="S188" s="1"/>
      <c r="T188" s="21" t="str">
        <f t="shared" ca="1" si="21"/>
        <v>202,..,902</v>
      </c>
      <c r="U188" s="21">
        <f ca="1">U187+1</f>
        <v>202</v>
      </c>
      <c r="V188" s="21">
        <f ca="1">V187+1</f>
        <v>902</v>
      </c>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2" customFormat="1" ht="20.25" hidden="1" customHeight="1" x14ac:dyDescent="0.25">
      <c r="A189" s="83" t="str">
        <f t="shared" ca="1" si="22"/>
        <v>203,..,903</v>
      </c>
      <c r="B189" s="83"/>
      <c r="C189" s="62"/>
      <c r="D189" s="62"/>
      <c r="E189" s="38"/>
      <c r="F189" s="37"/>
      <c r="G189" s="37"/>
      <c r="H189" s="37">
        <f t="shared" si="23"/>
        <v>0</v>
      </c>
      <c r="I189" s="1"/>
      <c r="J189" s="1"/>
      <c r="K189" s="1"/>
      <c r="L189" s="1"/>
      <c r="M189" s="1"/>
      <c r="N189" s="1"/>
      <c r="O189" s="1"/>
      <c r="P189" s="1"/>
      <c r="Q189" s="1"/>
      <c r="R189" s="1"/>
      <c r="S189" s="1"/>
      <c r="T189" s="21" t="str">
        <f t="shared" ca="1" si="21"/>
        <v>203,..,903</v>
      </c>
      <c r="U189" s="21">
        <f t="shared" ref="U189:U194" ca="1" si="24">U188+1</f>
        <v>203</v>
      </c>
      <c r="V189" s="21">
        <f t="shared" ref="V189:V194" ca="1" si="25">V188+1</f>
        <v>903</v>
      </c>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2" customFormat="1" ht="20.25" hidden="1" customHeight="1" x14ac:dyDescent="0.25">
      <c r="A190" s="83" t="str">
        <f t="shared" ca="1" si="22"/>
        <v>204,..,904</v>
      </c>
      <c r="B190" s="83"/>
      <c r="C190" s="62"/>
      <c r="D190" s="62"/>
      <c r="E190" s="38"/>
      <c r="F190" s="37"/>
      <c r="G190" s="37"/>
      <c r="H190" s="37">
        <f t="shared" si="23"/>
        <v>0</v>
      </c>
      <c r="I190" s="1"/>
      <c r="J190" s="1"/>
      <c r="K190" s="1"/>
      <c r="L190" s="1"/>
      <c r="M190" s="1"/>
      <c r="N190" s="1"/>
      <c r="O190" s="1"/>
      <c r="P190" s="1"/>
      <c r="Q190" s="1"/>
      <c r="R190" s="1"/>
      <c r="S190" s="1"/>
      <c r="T190" s="21" t="str">
        <f t="shared" ca="1" si="21"/>
        <v>204,..,904</v>
      </c>
      <c r="U190" s="21">
        <f t="shared" ca="1" si="24"/>
        <v>204</v>
      </c>
      <c r="V190" s="21">
        <f t="shared" ca="1" si="25"/>
        <v>904</v>
      </c>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2" customFormat="1" ht="20.25" hidden="1" customHeight="1" x14ac:dyDescent="0.25">
      <c r="A191" s="83" t="str">
        <f t="shared" ca="1" si="22"/>
        <v>205,..,905</v>
      </c>
      <c r="B191" s="83"/>
      <c r="C191" s="62"/>
      <c r="D191" s="62"/>
      <c r="E191" s="38"/>
      <c r="F191" s="37"/>
      <c r="G191" s="37"/>
      <c r="H191" s="37">
        <f t="shared" si="23"/>
        <v>0</v>
      </c>
      <c r="I191" s="1"/>
      <c r="J191" s="1"/>
      <c r="K191" s="1"/>
      <c r="L191" s="1"/>
      <c r="M191" s="1"/>
      <c r="N191" s="1"/>
      <c r="O191" s="1"/>
      <c r="P191" s="1"/>
      <c r="Q191" s="1"/>
      <c r="R191" s="1"/>
      <c r="S191" s="1"/>
      <c r="T191" s="21" t="str">
        <f t="shared" ca="1" si="21"/>
        <v>205,..,905</v>
      </c>
      <c r="U191" s="21">
        <f t="shared" ca="1" si="24"/>
        <v>205</v>
      </c>
      <c r="V191" s="21">
        <f t="shared" ca="1" si="25"/>
        <v>905</v>
      </c>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2" customFormat="1" ht="20.25" hidden="1" customHeight="1" x14ac:dyDescent="0.25">
      <c r="A192" s="83" t="str">
        <f t="shared" ca="1" si="22"/>
        <v>206,..,906</v>
      </c>
      <c r="B192" s="83"/>
      <c r="C192" s="62"/>
      <c r="D192" s="62"/>
      <c r="E192" s="38"/>
      <c r="F192" s="37"/>
      <c r="G192" s="37"/>
      <c r="H192" s="37">
        <f t="shared" si="23"/>
        <v>0</v>
      </c>
      <c r="I192" s="1"/>
      <c r="J192" s="1"/>
      <c r="K192" s="1"/>
      <c r="L192" s="1"/>
      <c r="M192" s="1"/>
      <c r="N192" s="1"/>
      <c r="O192" s="1"/>
      <c r="P192" s="1"/>
      <c r="Q192" s="1"/>
      <c r="R192" s="1"/>
      <c r="S192" s="1"/>
      <c r="T192" s="21" t="str">
        <f t="shared" ca="1" si="21"/>
        <v>206,..,906</v>
      </c>
      <c r="U192" s="21">
        <f t="shared" ca="1" si="24"/>
        <v>206</v>
      </c>
      <c r="V192" s="21">
        <f t="shared" ca="1" si="25"/>
        <v>906</v>
      </c>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2" customFormat="1" ht="20.25" hidden="1" customHeight="1" x14ac:dyDescent="0.25">
      <c r="A193" s="83" t="str">
        <f t="shared" ca="1" si="22"/>
        <v>207,..,907</v>
      </c>
      <c r="B193" s="83"/>
      <c r="C193" s="62"/>
      <c r="D193" s="62"/>
      <c r="E193" s="38"/>
      <c r="F193" s="37"/>
      <c r="G193" s="37"/>
      <c r="H193" s="37">
        <f t="shared" si="23"/>
        <v>0</v>
      </c>
      <c r="I193" s="1"/>
      <c r="J193" s="1"/>
      <c r="K193" s="1"/>
      <c r="L193" s="1"/>
      <c r="M193" s="1"/>
      <c r="N193" s="1"/>
      <c r="O193" s="1"/>
      <c r="P193" s="1"/>
      <c r="Q193" s="1"/>
      <c r="R193" s="1"/>
      <c r="S193" s="1"/>
      <c r="T193" s="21" t="str">
        <f t="shared" ca="1" si="21"/>
        <v>207,..,907</v>
      </c>
      <c r="U193" s="21">
        <f t="shared" ca="1" si="24"/>
        <v>207</v>
      </c>
      <c r="V193" s="21">
        <f t="shared" ca="1" si="25"/>
        <v>907</v>
      </c>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2" customFormat="1" ht="20.25" hidden="1" customHeight="1" x14ac:dyDescent="0.25">
      <c r="A194" s="83" t="str">
        <f t="shared" ca="1" si="22"/>
        <v>208,..,908</v>
      </c>
      <c r="B194" s="83"/>
      <c r="C194" s="62"/>
      <c r="D194" s="62"/>
      <c r="E194" s="38"/>
      <c r="F194" s="37"/>
      <c r="G194" s="37"/>
      <c r="H194" s="37">
        <f t="shared" si="23"/>
        <v>0</v>
      </c>
      <c r="I194" s="1"/>
      <c r="J194" s="1"/>
      <c r="K194" s="1"/>
      <c r="L194" s="1"/>
      <c r="M194" s="1"/>
      <c r="N194" s="1"/>
      <c r="O194" s="1"/>
      <c r="P194" s="1"/>
      <c r="Q194" s="1"/>
      <c r="R194" s="1"/>
      <c r="S194" s="1"/>
      <c r="T194" s="21" t="str">
        <f t="shared" ca="1" si="21"/>
        <v>208,..,908</v>
      </c>
      <c r="U194" s="21">
        <f t="shared" ca="1" si="24"/>
        <v>208</v>
      </c>
      <c r="V194" s="21">
        <f t="shared" ca="1" si="25"/>
        <v>908</v>
      </c>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2" customFormat="1" ht="20.25" hidden="1" x14ac:dyDescent="0.25">
      <c r="A195" s="150" t="s">
        <v>133</v>
      </c>
      <c r="B195" s="151"/>
      <c r="C195" s="151"/>
      <c r="D195" s="151"/>
      <c r="E195" s="151"/>
      <c r="F195" s="151"/>
      <c r="G195" s="151"/>
      <c r="H195" s="152"/>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2" customFormat="1" ht="20.25" hidden="1" customHeight="1" x14ac:dyDescent="0.25">
      <c r="A196" s="83" t="str">
        <f ca="1">T196</f>
        <v>201 to 501</v>
      </c>
      <c r="B196" s="83"/>
      <c r="C196" s="62"/>
      <c r="D196" s="62"/>
      <c r="E196" s="38">
        <v>0</v>
      </c>
      <c r="F196" s="37">
        <v>0</v>
      </c>
      <c r="G196" s="37">
        <v>0</v>
      </c>
      <c r="H196" s="37">
        <f>E196+F196+(IF(G196&lt;101,G196,IF(G196&lt;201,G196/2,IF(G196&lt;=301,G196/3,G196/4))))</f>
        <v>0</v>
      </c>
      <c r="I196" s="1"/>
      <c r="J196" s="1"/>
      <c r="K196" s="1"/>
      <c r="L196" s="1"/>
      <c r="M196" s="1"/>
      <c r="N196" s="1"/>
      <c r="O196" s="1"/>
      <c r="P196" s="1"/>
      <c r="Q196" s="1"/>
      <c r="R196" s="1"/>
      <c r="S196" s="1"/>
      <c r="T196" s="21" t="str">
        <f ca="1">U196&amp;""&amp;" to "&amp;""&amp;V196</f>
        <v>201 to 501</v>
      </c>
      <c r="U196" s="21">
        <f ca="1">(SUMPRODUCT(MID(0&amp;(LEFT(A195,SUM(LEN(A195)-LEN(SUBSTITUTE(A195,{"0","1","2","3"},""))))), LARGE(INDEX(ISNUMBER(--MID((LEFT(A195,SUM(LEN(A195)-LEN(SUBSTITUTE(A195,{"0","1","2","3"},""))))), ROW(INDIRECT("1:"&amp;LEN((LEFT(A195,SUM(LEN(A195)-LEN(SUBSTITUTE(A195,{"0","1","2","3"},"")))))))), 1)) * ROW(INDIRECT("1:"&amp;LEN((LEFT(A195,SUM(LEN(A195)-LEN(SUBSTITUTE(A195,{"0","1","2","3"},"")))))))), 0), ROW(INDIRECT("1:"&amp;LEN((LEFT(A195,SUM(LEN(A195)-LEN(SUBSTITUTE(A195,{"0","1","2","3"},"")))))))))+1, 1) * 10^ROW(INDIRECT("1:"&amp;LEN((LEFT(A195,SUM(LEN(A195)-LEN(SUBSTITUTE(A195,{"0","1","2","3"},""))))))))/10))*100+1</f>
        <v>201</v>
      </c>
      <c r="V196" s="21">
        <f ca="1">(SUMPRODUCT(MID(0&amp;(--TRIM(RIGHT(SUBSTITUTE(LEFT(A195,_xlfn.AGGREGATE(16,6,FIND({0,1,2,3,4,5,6,7,8,9},A195,ROW(INDIRECT("1:"&amp;LEN(A195)))),1))," ",REPT(" ",LEN(A195))),LEN(A195)))), LARGE(INDEX(ISNUMBER(--MID((--TRIM(RIGHT(SUBSTITUTE(LEFT(A195,_xlfn.AGGREGATE(16,6,FIND({0,1,2,3,4,5,6,7,8,9},A195,ROW(INDIRECT("1:"&amp;LEN(A195)))),1))," ",REPT(" ",LEN(A195))),LEN(A195)))), ROW(INDIRECT("1:"&amp;LEN((--TRIM(RIGHT(SUBSTITUTE(LEFT(A195,_xlfn.AGGREGATE(16,6,FIND({0,1,2,3,4,5,6,7,8,9},A195,ROW(INDIRECT("1:"&amp;LEN(A195)))),1))," ",REPT(" ",LEN(A195))),LEN(A195))))))), 1)) * ROW(INDIRECT("1:"&amp;LEN((--TRIM(RIGHT(SUBSTITUTE(LEFT(A195,_xlfn.AGGREGATE(16,6,FIND({0,1,2,3,4,5,6,7,8,9},A195,ROW(INDIRECT("1:"&amp;LEN(A195)))),1))," ",REPT(" ",LEN(A195))),LEN(A195))))))), 0), ROW(INDIRECT("1:"&amp;LEN((--TRIM(RIGHT(SUBSTITUTE(LEFT(A195,_xlfn.AGGREGATE(16,6,FIND({0,1,2,3,4,5,6,7,8,9},A195,ROW(INDIRECT("1:"&amp;LEN(A195)))),1))," ",REPT(" ",LEN(A195))),LEN(A195))))))))+1, 1) * 10^ROW(INDIRECT("1:"&amp;LEN((--TRIM(RIGHT(SUBSTITUTE(LEFT(A195,_xlfn.AGGREGATE(16,6,FIND({0,1,2,3,4,5,6,7,8,9},A195,ROW(INDIRECT("1:"&amp;LEN(A195)))),1))," ",REPT(" ",LEN(A195))),LEN(A195)))))))/10))*100+1</f>
        <v>501</v>
      </c>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2" customFormat="1" ht="20.25" hidden="1" customHeight="1" x14ac:dyDescent="0.25">
      <c r="A197" s="83" t="str">
        <f t="shared" ref="A197:A203" ca="1" si="26">T197</f>
        <v>202 to 502</v>
      </c>
      <c r="B197" s="83"/>
      <c r="C197" s="62"/>
      <c r="D197" s="62"/>
      <c r="E197" s="38"/>
      <c r="F197" s="37"/>
      <c r="G197" s="37"/>
      <c r="H197" s="37">
        <f t="shared" ref="H197:H203" si="27">E197+F197+(IF(G197&lt;101,G197,IF(G197&lt;201,G197/2,IF(G197&lt;=301,G197/3,G197/4))))</f>
        <v>0</v>
      </c>
      <c r="I197" s="1"/>
      <c r="J197" s="1"/>
      <c r="K197" s="1"/>
      <c r="L197" s="1"/>
      <c r="M197" s="1"/>
      <c r="N197" s="1"/>
      <c r="O197" s="1"/>
      <c r="P197" s="1"/>
      <c r="Q197" s="1"/>
      <c r="R197" s="1"/>
      <c r="S197" s="1"/>
      <c r="T197" s="21" t="str">
        <f t="shared" ref="T197:T203" ca="1" si="28">U197&amp;""&amp;" to "&amp;""&amp;V197</f>
        <v>202 to 502</v>
      </c>
      <c r="U197" s="21">
        <f ca="1">U196+1</f>
        <v>202</v>
      </c>
      <c r="V197" s="21">
        <f ca="1">V196+1</f>
        <v>502</v>
      </c>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2" customFormat="1" ht="20.25" hidden="1" customHeight="1" x14ac:dyDescent="0.25">
      <c r="A198" s="83" t="str">
        <f t="shared" ca="1" si="26"/>
        <v>203 to 503</v>
      </c>
      <c r="B198" s="83"/>
      <c r="C198" s="62"/>
      <c r="D198" s="62"/>
      <c r="E198" s="38"/>
      <c r="F198" s="37"/>
      <c r="G198" s="37"/>
      <c r="H198" s="37">
        <f t="shared" si="27"/>
        <v>0</v>
      </c>
      <c r="I198" s="1"/>
      <c r="J198" s="1"/>
      <c r="K198" s="1"/>
      <c r="L198" s="1"/>
      <c r="M198" s="1"/>
      <c r="N198" s="1"/>
      <c r="O198" s="1"/>
      <c r="P198" s="1"/>
      <c r="Q198" s="1"/>
      <c r="R198" s="1"/>
      <c r="S198" s="1"/>
      <c r="T198" s="21" t="str">
        <f t="shared" ca="1" si="28"/>
        <v>203 to 503</v>
      </c>
      <c r="U198" s="21">
        <f t="shared" ref="U198:U203" ca="1" si="29">U197+1</f>
        <v>203</v>
      </c>
      <c r="V198" s="21">
        <f t="shared" ref="V198:V203" ca="1" si="30">V197+1</f>
        <v>503</v>
      </c>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2" customFormat="1" ht="20.25" hidden="1" customHeight="1" x14ac:dyDescent="0.25">
      <c r="A199" s="83" t="str">
        <f t="shared" ca="1" si="26"/>
        <v>204 to 504</v>
      </c>
      <c r="B199" s="83"/>
      <c r="C199" s="62"/>
      <c r="D199" s="62"/>
      <c r="E199" s="38"/>
      <c r="F199" s="37"/>
      <c r="G199" s="37"/>
      <c r="H199" s="37">
        <f t="shared" si="27"/>
        <v>0</v>
      </c>
      <c r="I199" s="1"/>
      <c r="J199" s="1"/>
      <c r="K199" s="1"/>
      <c r="L199" s="1"/>
      <c r="M199" s="1"/>
      <c r="N199" s="1"/>
      <c r="O199" s="1"/>
      <c r="P199" s="1"/>
      <c r="Q199" s="1"/>
      <c r="R199" s="1"/>
      <c r="S199" s="1"/>
      <c r="T199" s="21" t="str">
        <f t="shared" ca="1" si="28"/>
        <v>204 to 504</v>
      </c>
      <c r="U199" s="21">
        <f t="shared" ca="1" si="29"/>
        <v>204</v>
      </c>
      <c r="V199" s="21">
        <f t="shared" ca="1" si="30"/>
        <v>504</v>
      </c>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2" customFormat="1" ht="20.25" hidden="1" customHeight="1" x14ac:dyDescent="0.25">
      <c r="A200" s="83" t="str">
        <f t="shared" ca="1" si="26"/>
        <v>205 to 505</v>
      </c>
      <c r="B200" s="83"/>
      <c r="C200" s="62"/>
      <c r="D200" s="62"/>
      <c r="E200" s="38"/>
      <c r="F200" s="37"/>
      <c r="G200" s="37"/>
      <c r="H200" s="37">
        <f t="shared" si="27"/>
        <v>0</v>
      </c>
      <c r="I200" s="1"/>
      <c r="J200" s="1"/>
      <c r="K200" s="1"/>
      <c r="L200" s="1"/>
      <c r="M200" s="1"/>
      <c r="N200" s="1"/>
      <c r="O200" s="1"/>
      <c r="P200" s="1"/>
      <c r="Q200" s="1"/>
      <c r="R200" s="1"/>
      <c r="S200" s="1"/>
      <c r="T200" s="21" t="str">
        <f t="shared" ca="1" si="28"/>
        <v>205 to 505</v>
      </c>
      <c r="U200" s="21">
        <f t="shared" ca="1" si="29"/>
        <v>205</v>
      </c>
      <c r="V200" s="21">
        <f t="shared" ca="1" si="30"/>
        <v>505</v>
      </c>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2" customFormat="1" ht="20.25" hidden="1" customHeight="1" x14ac:dyDescent="0.25">
      <c r="A201" s="83" t="str">
        <f t="shared" ca="1" si="26"/>
        <v>206 to 506</v>
      </c>
      <c r="B201" s="83"/>
      <c r="C201" s="62"/>
      <c r="D201" s="62"/>
      <c r="E201" s="38"/>
      <c r="F201" s="37"/>
      <c r="G201" s="37"/>
      <c r="H201" s="37">
        <f t="shared" si="27"/>
        <v>0</v>
      </c>
      <c r="I201" s="1"/>
      <c r="J201" s="1"/>
      <c r="K201" s="1"/>
      <c r="L201" s="1"/>
      <c r="M201" s="1"/>
      <c r="N201" s="1"/>
      <c r="O201" s="1"/>
      <c r="P201" s="1"/>
      <c r="Q201" s="1"/>
      <c r="R201" s="1"/>
      <c r="S201" s="1"/>
      <c r="T201" s="21" t="str">
        <f t="shared" ca="1" si="28"/>
        <v>206 to 506</v>
      </c>
      <c r="U201" s="21">
        <f t="shared" ca="1" si="29"/>
        <v>206</v>
      </c>
      <c r="V201" s="21">
        <f t="shared" ca="1" si="30"/>
        <v>506</v>
      </c>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2" customFormat="1" ht="20.25" hidden="1" customHeight="1" x14ac:dyDescent="0.25">
      <c r="A202" s="83" t="str">
        <f t="shared" ca="1" si="26"/>
        <v>207 to 507</v>
      </c>
      <c r="B202" s="83"/>
      <c r="C202" s="62"/>
      <c r="D202" s="62"/>
      <c r="E202" s="38"/>
      <c r="F202" s="37"/>
      <c r="G202" s="37"/>
      <c r="H202" s="37">
        <f t="shared" si="27"/>
        <v>0</v>
      </c>
      <c r="I202" s="1"/>
      <c r="J202" s="1"/>
      <c r="K202" s="1"/>
      <c r="L202" s="1"/>
      <c r="M202" s="1"/>
      <c r="N202" s="1"/>
      <c r="O202" s="1"/>
      <c r="P202" s="1"/>
      <c r="Q202" s="1"/>
      <c r="R202" s="1"/>
      <c r="S202" s="1"/>
      <c r="T202" s="21" t="str">
        <f t="shared" ca="1" si="28"/>
        <v>207 to 507</v>
      </c>
      <c r="U202" s="21">
        <f t="shared" ca="1" si="29"/>
        <v>207</v>
      </c>
      <c r="V202" s="21">
        <f t="shared" ca="1" si="30"/>
        <v>507</v>
      </c>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2" customFormat="1" ht="20.25" hidden="1" customHeight="1" x14ac:dyDescent="0.25">
      <c r="A203" s="83" t="str">
        <f t="shared" ca="1" si="26"/>
        <v>208 to 508</v>
      </c>
      <c r="B203" s="83"/>
      <c r="C203" s="62"/>
      <c r="D203" s="62"/>
      <c r="E203" s="38"/>
      <c r="F203" s="37"/>
      <c r="G203" s="37"/>
      <c r="H203" s="37">
        <f t="shared" si="27"/>
        <v>0</v>
      </c>
      <c r="I203" s="1"/>
      <c r="J203" s="1"/>
      <c r="K203" s="1"/>
      <c r="L203" s="1"/>
      <c r="M203" s="1"/>
      <c r="N203" s="1"/>
      <c r="O203" s="1"/>
      <c r="P203" s="1"/>
      <c r="Q203" s="1"/>
      <c r="R203" s="1"/>
      <c r="S203" s="1"/>
      <c r="T203" s="21" t="str">
        <f t="shared" ca="1" si="28"/>
        <v>208 to 508</v>
      </c>
      <c r="U203" s="21">
        <f t="shared" ca="1" si="29"/>
        <v>208</v>
      </c>
      <c r="V203" s="21">
        <f t="shared" ca="1" si="30"/>
        <v>508</v>
      </c>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2" customFormat="1" ht="20.25" hidden="1" x14ac:dyDescent="0.25">
      <c r="A204" s="150" t="s">
        <v>134</v>
      </c>
      <c r="B204" s="151"/>
      <c r="C204" s="151"/>
      <c r="D204" s="151"/>
      <c r="E204" s="151"/>
      <c r="F204" s="151"/>
      <c r="G204" s="151"/>
      <c r="H204" s="152"/>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2" customFormat="1" ht="20.25" hidden="1" customHeight="1" x14ac:dyDescent="0.25">
      <c r="A205" s="83" t="str">
        <f ca="1">T205</f>
        <v>201 &amp; 501</v>
      </c>
      <c r="B205" s="83"/>
      <c r="C205" s="62"/>
      <c r="D205" s="62"/>
      <c r="E205" s="38">
        <v>0</v>
      </c>
      <c r="F205" s="37">
        <v>0</v>
      </c>
      <c r="G205" s="37">
        <v>0</v>
      </c>
      <c r="H205" s="37">
        <f>E205+F205+(IF(G205&lt;101,G205,IF(G205&lt;201,G205/2,IF(G205&lt;=301,G205/3,G205/4))))</f>
        <v>0</v>
      </c>
      <c r="I205" s="1"/>
      <c r="J205" s="1"/>
      <c r="K205" s="1"/>
      <c r="L205" s="1"/>
      <c r="M205" s="1"/>
      <c r="N205" s="1"/>
      <c r="O205" s="1"/>
      <c r="P205" s="1"/>
      <c r="Q205" s="1"/>
      <c r="R205" s="1"/>
      <c r="S205" s="1"/>
      <c r="T205" s="21" t="str">
        <f ca="1">U205&amp;""&amp;" &amp; "&amp;""&amp;V205</f>
        <v>201 &amp; 501</v>
      </c>
      <c r="U205" s="21">
        <f ca="1">(SUMPRODUCT(MID(0&amp;(LEFT(A204,SUM(LEN(A204)-LEN(SUBSTITUTE(A204,{"0","1","2","3"},""))))), LARGE(INDEX(ISNUMBER(--MID((LEFT(A204,SUM(LEN(A204)-LEN(SUBSTITUTE(A204,{"0","1","2","3"},""))))), ROW(INDIRECT("1:"&amp;LEN((LEFT(A204,SUM(LEN(A204)-LEN(SUBSTITUTE(A204,{"0","1","2","3"},"")))))))), 1)) * ROW(INDIRECT("1:"&amp;LEN((LEFT(A204,SUM(LEN(A204)-LEN(SUBSTITUTE(A204,{"0","1","2","3"},"")))))))), 0), ROW(INDIRECT("1:"&amp;LEN((LEFT(A204,SUM(LEN(A204)-LEN(SUBSTITUTE(A204,{"0","1","2","3"},"")))))))))+1, 1) * 10^ROW(INDIRECT("1:"&amp;LEN((LEFT(A204,SUM(LEN(A204)-LEN(SUBSTITUTE(A204,{"0","1","2","3"},""))))))))/10))*100+1</f>
        <v>201</v>
      </c>
      <c r="V205" s="21">
        <f ca="1">(SUMPRODUCT(MID(0&amp;(--TRIM(RIGHT(SUBSTITUTE(LEFT(A204,_xlfn.AGGREGATE(16,6,FIND({0,1,2,3,4,5,6,7,8,9},A204,ROW(INDIRECT("1:"&amp;LEN(A204)))),1))," ",REPT(" ",LEN(A204))),LEN(A204)))), LARGE(INDEX(ISNUMBER(--MID((--TRIM(RIGHT(SUBSTITUTE(LEFT(A204,_xlfn.AGGREGATE(16,6,FIND({0,1,2,3,4,5,6,7,8,9},A204,ROW(INDIRECT("1:"&amp;LEN(A204)))),1))," ",REPT(" ",LEN(A204))),LEN(A204)))), ROW(INDIRECT("1:"&amp;LEN((--TRIM(RIGHT(SUBSTITUTE(LEFT(A204,_xlfn.AGGREGATE(16,6,FIND({0,1,2,3,4,5,6,7,8,9},A204,ROW(INDIRECT("1:"&amp;LEN(A204)))),1))," ",REPT(" ",LEN(A204))),LEN(A204))))))), 1)) * ROW(INDIRECT("1:"&amp;LEN((--TRIM(RIGHT(SUBSTITUTE(LEFT(A204,_xlfn.AGGREGATE(16,6,FIND({0,1,2,3,4,5,6,7,8,9},A204,ROW(INDIRECT("1:"&amp;LEN(A204)))),1))," ",REPT(" ",LEN(A204))),LEN(A204))))))), 0), ROW(INDIRECT("1:"&amp;LEN((--TRIM(RIGHT(SUBSTITUTE(LEFT(A204,_xlfn.AGGREGATE(16,6,FIND({0,1,2,3,4,5,6,7,8,9},A204,ROW(INDIRECT("1:"&amp;LEN(A204)))),1))," ",REPT(" ",LEN(A204))),LEN(A204))))))))+1, 1) * 10^ROW(INDIRECT("1:"&amp;LEN((--TRIM(RIGHT(SUBSTITUTE(LEFT(A204,_xlfn.AGGREGATE(16,6,FIND({0,1,2,3,4,5,6,7,8,9},A204,ROW(INDIRECT("1:"&amp;LEN(A204)))),1))," ",REPT(" ",LEN(A204))),LEN(A204)))))))/10))*100+1</f>
        <v>501</v>
      </c>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2" customFormat="1" ht="20.25" hidden="1" customHeight="1" x14ac:dyDescent="0.25">
      <c r="A206" s="83" t="str">
        <f t="shared" ref="A206:A212" ca="1" si="31">T206</f>
        <v>202 &amp; 502</v>
      </c>
      <c r="B206" s="83"/>
      <c r="C206" s="62"/>
      <c r="D206" s="62"/>
      <c r="E206" s="38"/>
      <c r="F206" s="37"/>
      <c r="G206" s="37"/>
      <c r="H206" s="37">
        <f t="shared" ref="H206:H212" si="32">E206+F206+(IF(G206&lt;101,G206,IF(G206&lt;201,G206/2,IF(G206&lt;=301,G206/3,G206/4))))</f>
        <v>0</v>
      </c>
      <c r="I206" s="1"/>
      <c r="J206" s="1"/>
      <c r="K206" s="1"/>
      <c r="L206" s="1"/>
      <c r="M206" s="1"/>
      <c r="N206" s="1"/>
      <c r="O206" s="1"/>
      <c r="P206" s="1"/>
      <c r="Q206" s="1"/>
      <c r="R206" s="1"/>
      <c r="S206" s="1"/>
      <c r="T206" s="21" t="str">
        <f t="shared" ref="T206:T212" ca="1" si="33">U206&amp;""&amp;" &amp; "&amp;""&amp;V206</f>
        <v>202 &amp; 502</v>
      </c>
      <c r="U206" s="21">
        <f ca="1">U205+1</f>
        <v>202</v>
      </c>
      <c r="V206" s="21">
        <f ca="1">V205+1</f>
        <v>502</v>
      </c>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2" customFormat="1" ht="20.25" hidden="1" customHeight="1" x14ac:dyDescent="0.25">
      <c r="A207" s="83" t="str">
        <f t="shared" ca="1" si="31"/>
        <v>203 &amp; 503</v>
      </c>
      <c r="B207" s="83"/>
      <c r="C207" s="62"/>
      <c r="D207" s="62"/>
      <c r="E207" s="38"/>
      <c r="F207" s="37"/>
      <c r="G207" s="37"/>
      <c r="H207" s="37">
        <f t="shared" si="32"/>
        <v>0</v>
      </c>
      <c r="I207" s="1"/>
      <c r="J207" s="1"/>
      <c r="K207" s="1"/>
      <c r="L207" s="1"/>
      <c r="M207" s="1"/>
      <c r="N207" s="1"/>
      <c r="O207" s="1"/>
      <c r="P207" s="1"/>
      <c r="Q207" s="1"/>
      <c r="R207" s="1"/>
      <c r="S207" s="1"/>
      <c r="T207" s="21" t="str">
        <f t="shared" ca="1" si="33"/>
        <v>203 &amp; 503</v>
      </c>
      <c r="U207" s="21">
        <f t="shared" ref="U207:U212" ca="1" si="34">U206+1</f>
        <v>203</v>
      </c>
      <c r="V207" s="21">
        <f t="shared" ref="V207:V212" ca="1" si="35">V206+1</f>
        <v>503</v>
      </c>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2" customFormat="1" ht="20.25" hidden="1" customHeight="1" x14ac:dyDescent="0.25">
      <c r="A208" s="83" t="str">
        <f t="shared" ca="1" si="31"/>
        <v>204 &amp; 504</v>
      </c>
      <c r="B208" s="83"/>
      <c r="C208" s="62"/>
      <c r="D208" s="62"/>
      <c r="E208" s="38"/>
      <c r="F208" s="37"/>
      <c r="G208" s="37"/>
      <c r="H208" s="37">
        <f t="shared" si="32"/>
        <v>0</v>
      </c>
      <c r="I208" s="1"/>
      <c r="J208" s="1"/>
      <c r="K208" s="1"/>
      <c r="L208" s="1"/>
      <c r="M208" s="1"/>
      <c r="N208" s="1"/>
      <c r="O208" s="1"/>
      <c r="P208" s="1"/>
      <c r="Q208" s="1"/>
      <c r="R208" s="1"/>
      <c r="S208" s="1"/>
      <c r="T208" s="21" t="str">
        <f t="shared" ca="1" si="33"/>
        <v>204 &amp; 504</v>
      </c>
      <c r="U208" s="21">
        <f t="shared" ca="1" si="34"/>
        <v>204</v>
      </c>
      <c r="V208" s="21">
        <f t="shared" ca="1" si="35"/>
        <v>504</v>
      </c>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2" customFormat="1" ht="20.25" hidden="1" customHeight="1" x14ac:dyDescent="0.25">
      <c r="A209" s="83" t="str">
        <f t="shared" ca="1" si="31"/>
        <v>205 &amp; 505</v>
      </c>
      <c r="B209" s="83"/>
      <c r="C209" s="62"/>
      <c r="D209" s="62"/>
      <c r="E209" s="38"/>
      <c r="F209" s="37"/>
      <c r="G209" s="37"/>
      <c r="H209" s="37">
        <f t="shared" si="32"/>
        <v>0</v>
      </c>
      <c r="I209" s="1"/>
      <c r="J209" s="1"/>
      <c r="K209" s="1"/>
      <c r="L209" s="1"/>
      <c r="M209" s="1"/>
      <c r="N209" s="1"/>
      <c r="O209" s="1"/>
      <c r="P209" s="1"/>
      <c r="Q209" s="1"/>
      <c r="R209" s="1"/>
      <c r="S209" s="1"/>
      <c r="T209" s="21" t="str">
        <f t="shared" ca="1" si="33"/>
        <v>205 &amp; 505</v>
      </c>
      <c r="U209" s="21">
        <f t="shared" ca="1" si="34"/>
        <v>205</v>
      </c>
      <c r="V209" s="21">
        <f t="shared" ca="1" si="35"/>
        <v>505</v>
      </c>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2" customFormat="1" ht="20.25" hidden="1" customHeight="1" x14ac:dyDescent="0.25">
      <c r="A210" s="83" t="str">
        <f t="shared" ca="1" si="31"/>
        <v>206 &amp; 506</v>
      </c>
      <c r="B210" s="83"/>
      <c r="C210" s="62"/>
      <c r="D210" s="62"/>
      <c r="E210" s="38"/>
      <c r="F210" s="37"/>
      <c r="G210" s="37"/>
      <c r="H210" s="37">
        <f t="shared" si="32"/>
        <v>0</v>
      </c>
      <c r="I210" s="1"/>
      <c r="J210" s="1"/>
      <c r="K210" s="1"/>
      <c r="L210" s="1"/>
      <c r="M210" s="1"/>
      <c r="N210" s="1"/>
      <c r="O210" s="1"/>
      <c r="P210" s="1"/>
      <c r="Q210" s="1"/>
      <c r="R210" s="1"/>
      <c r="S210" s="1"/>
      <c r="T210" s="21" t="str">
        <f t="shared" ca="1" si="33"/>
        <v>206 &amp; 506</v>
      </c>
      <c r="U210" s="21">
        <f t="shared" ca="1" si="34"/>
        <v>206</v>
      </c>
      <c r="V210" s="21">
        <f t="shared" ca="1" si="35"/>
        <v>506</v>
      </c>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2" customFormat="1" ht="20.25" hidden="1" customHeight="1" x14ac:dyDescent="0.25">
      <c r="A211" s="83" t="str">
        <f t="shared" ca="1" si="31"/>
        <v>207 &amp; 507</v>
      </c>
      <c r="B211" s="83"/>
      <c r="C211" s="62"/>
      <c r="D211" s="62"/>
      <c r="E211" s="38"/>
      <c r="F211" s="37"/>
      <c r="G211" s="37"/>
      <c r="H211" s="37">
        <f t="shared" si="32"/>
        <v>0</v>
      </c>
      <c r="I211" s="1"/>
      <c r="J211" s="1"/>
      <c r="K211" s="1"/>
      <c r="L211" s="1"/>
      <c r="M211" s="1"/>
      <c r="N211" s="1"/>
      <c r="O211" s="1"/>
      <c r="P211" s="1"/>
      <c r="Q211" s="1"/>
      <c r="R211" s="1"/>
      <c r="S211" s="1"/>
      <c r="T211" s="21" t="str">
        <f t="shared" ca="1" si="33"/>
        <v>207 &amp; 507</v>
      </c>
      <c r="U211" s="21">
        <f t="shared" ca="1" si="34"/>
        <v>207</v>
      </c>
      <c r="V211" s="21">
        <f t="shared" ca="1" si="35"/>
        <v>507</v>
      </c>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2" customFormat="1" ht="20.25" hidden="1" customHeight="1" x14ac:dyDescent="0.25">
      <c r="A212" s="83" t="str">
        <f t="shared" ca="1" si="31"/>
        <v>208 &amp; 508</v>
      </c>
      <c r="B212" s="83"/>
      <c r="C212" s="62"/>
      <c r="D212" s="62"/>
      <c r="E212" s="38"/>
      <c r="F212" s="37"/>
      <c r="G212" s="37"/>
      <c r="H212" s="37">
        <f t="shared" si="32"/>
        <v>0</v>
      </c>
      <c r="I212" s="1"/>
      <c r="J212" s="1"/>
      <c r="K212" s="1"/>
      <c r="L212" s="1"/>
      <c r="M212" s="1"/>
      <c r="N212" s="1"/>
      <c r="O212" s="1"/>
      <c r="P212" s="1"/>
      <c r="Q212" s="1"/>
      <c r="R212" s="1"/>
      <c r="S212" s="1"/>
      <c r="T212" s="21" t="str">
        <f t="shared" ca="1" si="33"/>
        <v>208 &amp; 508</v>
      </c>
      <c r="U212" s="21">
        <f t="shared" ca="1" si="34"/>
        <v>208</v>
      </c>
      <c r="V212" s="21">
        <f t="shared" ca="1" si="35"/>
        <v>508</v>
      </c>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ht="20.25" x14ac:dyDescent="0.25">
      <c r="A213" s="84" t="s">
        <v>70</v>
      </c>
      <c r="B213" s="84"/>
      <c r="C213" s="84"/>
      <c r="D213" s="84"/>
      <c r="E213" s="84"/>
      <c r="F213" s="84"/>
      <c r="G213" s="84"/>
      <c r="H213" s="84"/>
    </row>
    <row r="214" spans="1:150 16226:16383" ht="20.25" x14ac:dyDescent="0.25">
      <c r="A214" s="72" t="s">
        <v>244</v>
      </c>
      <c r="B214" s="131" t="s">
        <v>315</v>
      </c>
      <c r="C214" s="132"/>
      <c r="D214" s="132"/>
      <c r="E214" s="132"/>
      <c r="F214" s="132"/>
      <c r="G214" s="132"/>
      <c r="H214" s="133"/>
    </row>
    <row r="215" spans="1:150 16226:16383" ht="20.25" x14ac:dyDescent="0.25">
      <c r="A215" s="44" t="s">
        <v>244</v>
      </c>
      <c r="B215" s="131" t="s">
        <v>245</v>
      </c>
      <c r="C215" s="132"/>
      <c r="D215" s="132"/>
      <c r="E215" s="132"/>
      <c r="F215" s="132"/>
      <c r="G215" s="132"/>
      <c r="H215" s="133"/>
    </row>
    <row r="216" spans="1:150 16226:16383" ht="20.25" x14ac:dyDescent="0.25">
      <c r="A216" s="44" t="s">
        <v>244</v>
      </c>
      <c r="B216" s="131" t="s">
        <v>297</v>
      </c>
      <c r="C216" s="132"/>
      <c r="D216" s="132"/>
      <c r="E216" s="132"/>
      <c r="F216" s="132"/>
      <c r="G216" s="132"/>
      <c r="H216" s="133"/>
    </row>
    <row r="217" spans="1:150 16226:16383" ht="20.25" x14ac:dyDescent="0.25">
      <c r="A217" s="44" t="s">
        <v>244</v>
      </c>
      <c r="B217" s="131" t="s">
        <v>246</v>
      </c>
      <c r="C217" s="132"/>
      <c r="D217" s="132"/>
      <c r="E217" s="132"/>
      <c r="F217" s="132"/>
      <c r="G217" s="132"/>
      <c r="H217" s="133"/>
    </row>
    <row r="218" spans="1:150 16226:16383" ht="20.25" x14ac:dyDescent="0.25">
      <c r="A218" s="79" t="s">
        <v>244</v>
      </c>
      <c r="B218" s="131" t="s">
        <v>247</v>
      </c>
      <c r="C218" s="132"/>
      <c r="D218" s="132"/>
      <c r="E218" s="132"/>
      <c r="F218" s="132"/>
      <c r="G218" s="132"/>
      <c r="H218" s="133"/>
    </row>
    <row r="219" spans="1:150 16226:16383" ht="20.25" x14ac:dyDescent="0.25">
      <c r="A219" s="79" t="s">
        <v>244</v>
      </c>
      <c r="B219" s="131" t="s">
        <v>318</v>
      </c>
      <c r="C219" s="132"/>
      <c r="D219" s="132"/>
      <c r="E219" s="132"/>
      <c r="F219" s="132"/>
      <c r="G219" s="132"/>
      <c r="H219" s="133"/>
    </row>
    <row r="220" spans="1:150 16226:16383" ht="20.25" x14ac:dyDescent="0.25">
      <c r="A220" s="79" t="s">
        <v>244</v>
      </c>
      <c r="B220" s="131" t="s">
        <v>319</v>
      </c>
      <c r="C220" s="132"/>
      <c r="D220" s="132"/>
      <c r="E220" s="132"/>
      <c r="F220" s="132"/>
      <c r="G220" s="132"/>
      <c r="H220" s="133"/>
    </row>
    <row r="221" spans="1:150 16226:16383" ht="24.75" hidden="1" customHeight="1" x14ac:dyDescent="0.25">
      <c r="A221" s="44" t="s">
        <v>244</v>
      </c>
      <c r="B221" s="149" t="s">
        <v>301</v>
      </c>
      <c r="C221" s="132"/>
      <c r="D221" s="132"/>
      <c r="E221" s="132"/>
      <c r="F221" s="132"/>
      <c r="G221" s="132"/>
      <c r="H221" s="133"/>
    </row>
    <row r="222" spans="1:150 16226:16383" ht="20.25" x14ac:dyDescent="0.25">
      <c r="A222" s="130" t="s">
        <v>76</v>
      </c>
      <c r="B222" s="130"/>
      <c r="C222" s="130"/>
      <c r="D222" s="130"/>
      <c r="E222" s="130"/>
      <c r="F222" s="130"/>
      <c r="G222" s="130"/>
      <c r="H222" s="130"/>
    </row>
    <row r="223" spans="1:150 16226:16383" ht="20.25" x14ac:dyDescent="0.25">
      <c r="A223" s="120" t="s">
        <v>71</v>
      </c>
      <c r="B223" s="120"/>
      <c r="C223" s="120"/>
      <c r="D223" s="131" t="str">
        <f>C3</f>
        <v xml:space="preserve">Supremo Phase II, 
Wing C (Sakura)
</v>
      </c>
      <c r="E223" s="132"/>
      <c r="F223" s="132"/>
      <c r="G223" s="132"/>
      <c r="H223" s="133"/>
    </row>
    <row r="224" spans="1:150 16226:16383" ht="40.5" customHeight="1" x14ac:dyDescent="0.25">
      <c r="A224" s="120" t="s">
        <v>107</v>
      </c>
      <c r="B224" s="120"/>
      <c r="C224" s="120"/>
      <c r="D224" s="131" t="str">
        <f>C9</f>
        <v>Shivangan society, Lokmanya Tilak Rd, Jaihind Colony, Tata Colony, Mulund East, Mumbai, Maharashtra 400081</v>
      </c>
      <c r="E224" s="132"/>
      <c r="F224" s="132"/>
      <c r="G224" s="132"/>
      <c r="H224" s="133"/>
    </row>
    <row r="225" spans="1:8" ht="20.25" customHeight="1" x14ac:dyDescent="0.25">
      <c r="A225" s="143" t="s">
        <v>113</v>
      </c>
      <c r="B225" s="143"/>
      <c r="C225" s="143"/>
      <c r="D225" s="144" t="str">
        <f>G3</f>
        <v>16/07/2025 at 10:21AM</v>
      </c>
      <c r="E225" s="132"/>
      <c r="F225" s="132"/>
      <c r="G225" s="132"/>
      <c r="H225" s="133"/>
    </row>
    <row r="226" spans="1:8" ht="20.25" x14ac:dyDescent="0.25">
      <c r="A226" s="8"/>
      <c r="B226" s="9"/>
      <c r="C226" s="9"/>
      <c r="D226" s="9"/>
      <c r="E226" s="9"/>
      <c r="F226" s="9"/>
      <c r="G226" s="9"/>
      <c r="H226" s="5"/>
    </row>
    <row r="227" spans="1:8" ht="20.25" x14ac:dyDescent="0.25">
      <c r="A227" s="10"/>
      <c r="B227" s="11"/>
      <c r="C227" s="11"/>
      <c r="D227" s="11"/>
      <c r="E227" s="11"/>
      <c r="F227" s="11"/>
      <c r="G227" s="11"/>
      <c r="H227" s="6"/>
    </row>
    <row r="228" spans="1:8" ht="20.25" x14ac:dyDescent="0.25">
      <c r="A228" s="10"/>
      <c r="B228" s="11"/>
      <c r="C228" s="11"/>
      <c r="D228" s="11"/>
      <c r="E228" s="11"/>
      <c r="F228" s="11"/>
      <c r="G228" s="11"/>
      <c r="H228" s="6"/>
    </row>
    <row r="229" spans="1:8" ht="20.25" x14ac:dyDescent="0.25">
      <c r="A229" s="10"/>
      <c r="B229" s="11"/>
      <c r="C229" s="11"/>
      <c r="D229" s="11"/>
      <c r="E229" s="11"/>
      <c r="F229" s="11"/>
      <c r="G229" s="11"/>
      <c r="H229" s="6"/>
    </row>
    <row r="230" spans="1:8" ht="20.25" x14ac:dyDescent="0.25">
      <c r="A230" s="10"/>
      <c r="B230" s="11"/>
      <c r="C230" s="11"/>
      <c r="D230" s="11"/>
      <c r="E230" s="11"/>
      <c r="F230" s="11"/>
      <c r="G230" s="11"/>
      <c r="H230" s="6"/>
    </row>
    <row r="231" spans="1:8" ht="20.25" x14ac:dyDescent="0.25">
      <c r="A231" s="10"/>
      <c r="B231" s="11"/>
      <c r="C231" s="11"/>
      <c r="D231" s="11"/>
      <c r="E231" s="11"/>
      <c r="F231" s="11"/>
      <c r="G231" s="11"/>
      <c r="H231" s="6"/>
    </row>
    <row r="232" spans="1:8" ht="20.25" x14ac:dyDescent="0.25">
      <c r="A232" s="10"/>
      <c r="B232" s="11"/>
      <c r="C232" s="11"/>
      <c r="D232" s="11"/>
      <c r="E232" s="11"/>
      <c r="F232" s="11"/>
      <c r="G232" s="11"/>
      <c r="H232" s="6"/>
    </row>
    <row r="233" spans="1:8" ht="20.25" x14ac:dyDescent="0.25">
      <c r="A233" s="10"/>
      <c r="B233" s="11"/>
      <c r="C233" s="11"/>
      <c r="D233" s="11"/>
      <c r="E233" s="11"/>
      <c r="F233" s="11"/>
      <c r="G233" s="11"/>
      <c r="H233" s="6"/>
    </row>
    <row r="234" spans="1:8" ht="20.25" x14ac:dyDescent="0.25">
      <c r="A234" s="10"/>
      <c r="B234" s="11"/>
      <c r="C234" s="11"/>
      <c r="D234" s="11"/>
      <c r="E234" s="11"/>
      <c r="F234" s="11"/>
      <c r="G234" s="11"/>
      <c r="H234" s="6"/>
    </row>
    <row r="235" spans="1:8" ht="20.25" x14ac:dyDescent="0.25">
      <c r="A235" s="10"/>
      <c r="B235" s="11"/>
      <c r="C235" s="11"/>
      <c r="D235" s="11"/>
      <c r="E235" s="11"/>
      <c r="F235" s="11"/>
      <c r="G235" s="11"/>
      <c r="H235" s="6"/>
    </row>
    <row r="236" spans="1:8" ht="20.25" x14ac:dyDescent="0.25">
      <c r="A236" s="10"/>
      <c r="B236" s="11"/>
      <c r="C236" s="11"/>
      <c r="D236" s="11"/>
      <c r="E236" s="11"/>
      <c r="F236" s="11"/>
      <c r="G236" s="11"/>
      <c r="H236" s="6"/>
    </row>
    <row r="237" spans="1:8" ht="20.25" x14ac:dyDescent="0.25">
      <c r="A237" s="10"/>
      <c r="B237" s="11"/>
      <c r="C237" s="11"/>
      <c r="D237" s="11"/>
      <c r="E237" s="11"/>
      <c r="F237" s="11"/>
      <c r="G237" s="11"/>
      <c r="H237" s="6"/>
    </row>
    <row r="238" spans="1:8" ht="20.25" x14ac:dyDescent="0.25">
      <c r="A238" s="10"/>
      <c r="B238" s="11"/>
      <c r="C238" s="11"/>
      <c r="D238" s="11"/>
      <c r="E238" s="11"/>
      <c r="F238" s="11"/>
      <c r="G238" s="11"/>
      <c r="H238" s="6"/>
    </row>
    <row r="239" spans="1:8" ht="20.25" x14ac:dyDescent="0.25">
      <c r="A239" s="10"/>
      <c r="B239" s="11"/>
      <c r="C239" s="11"/>
      <c r="D239" s="11"/>
      <c r="E239" s="11"/>
      <c r="F239" s="11"/>
      <c r="G239" s="11"/>
      <c r="H239" s="6"/>
    </row>
    <row r="240" spans="1:8" ht="20.25" x14ac:dyDescent="0.25">
      <c r="A240" s="10"/>
      <c r="B240" s="11"/>
      <c r="C240" s="11"/>
      <c r="D240" s="11"/>
      <c r="E240" s="11"/>
      <c r="F240" s="11"/>
      <c r="G240" s="11"/>
      <c r="H240" s="6"/>
    </row>
    <row r="241" spans="1:8" ht="20.25" x14ac:dyDescent="0.25">
      <c r="A241" s="10"/>
      <c r="B241" s="11"/>
      <c r="C241" s="11"/>
      <c r="D241" s="11"/>
      <c r="E241" s="11"/>
      <c r="F241" s="11"/>
      <c r="G241" s="11"/>
      <c r="H241" s="6"/>
    </row>
    <row r="242" spans="1:8" ht="20.25" x14ac:dyDescent="0.25">
      <c r="A242" s="10"/>
      <c r="B242" s="11"/>
      <c r="C242" s="11"/>
      <c r="D242" s="11"/>
      <c r="E242" s="11"/>
      <c r="F242" s="11"/>
      <c r="G242" s="11"/>
      <c r="H242" s="6"/>
    </row>
    <row r="243" spans="1:8" ht="20.25" x14ac:dyDescent="0.25">
      <c r="A243" s="10"/>
      <c r="B243" s="11"/>
      <c r="C243" s="11"/>
      <c r="D243" s="11"/>
      <c r="E243" s="11"/>
      <c r="F243" s="11"/>
      <c r="G243" s="11"/>
      <c r="H243" s="6"/>
    </row>
    <row r="244" spans="1:8" ht="20.25" x14ac:dyDescent="0.25">
      <c r="A244" s="10"/>
      <c r="B244" s="11"/>
      <c r="C244" s="11"/>
      <c r="D244" s="11"/>
      <c r="E244" s="11"/>
      <c r="F244" s="11"/>
      <c r="G244" s="11"/>
      <c r="H244" s="6"/>
    </row>
    <row r="245" spans="1:8" ht="20.25" x14ac:dyDescent="0.25">
      <c r="A245" s="10"/>
      <c r="B245" s="11"/>
      <c r="C245" s="11"/>
      <c r="D245" s="11"/>
      <c r="E245" s="11"/>
      <c r="F245" s="11"/>
      <c r="G245" s="11"/>
      <c r="H245" s="6"/>
    </row>
    <row r="246" spans="1:8" ht="20.25" x14ac:dyDescent="0.25">
      <c r="A246" s="10"/>
      <c r="B246" s="11"/>
      <c r="C246" s="11"/>
      <c r="D246" s="11"/>
      <c r="E246" s="11"/>
      <c r="F246" s="11"/>
      <c r="G246" s="11"/>
      <c r="H246" s="6"/>
    </row>
    <row r="247" spans="1:8" ht="20.25" x14ac:dyDescent="0.25">
      <c r="A247" s="10"/>
      <c r="B247" s="11"/>
      <c r="C247" s="11"/>
      <c r="D247" s="11"/>
      <c r="E247" s="11"/>
      <c r="F247" s="11"/>
      <c r="G247" s="11"/>
      <c r="H247" s="6"/>
    </row>
    <row r="248" spans="1:8" ht="20.25" x14ac:dyDescent="0.25">
      <c r="A248" s="10"/>
      <c r="B248" s="11"/>
      <c r="C248" s="11"/>
      <c r="D248" s="11"/>
      <c r="E248" s="11"/>
      <c r="F248" s="11"/>
      <c r="G248" s="11"/>
      <c r="H248" s="6"/>
    </row>
    <row r="249" spans="1:8" ht="20.25" x14ac:dyDescent="0.25">
      <c r="A249" s="10"/>
      <c r="B249" s="11"/>
      <c r="C249" s="11"/>
      <c r="D249" s="11"/>
      <c r="E249" s="11"/>
      <c r="F249" s="11"/>
      <c r="G249" s="11"/>
      <c r="H249" s="6"/>
    </row>
    <row r="250" spans="1:8" ht="20.25" x14ac:dyDescent="0.25">
      <c r="A250" s="10"/>
      <c r="B250" s="11"/>
      <c r="C250" s="11"/>
      <c r="D250" s="11"/>
      <c r="E250" s="11"/>
      <c r="F250" s="11"/>
      <c r="G250" s="11"/>
      <c r="H250" s="6"/>
    </row>
    <row r="251" spans="1:8" ht="20.25" x14ac:dyDescent="0.25">
      <c r="A251" s="10"/>
      <c r="B251" s="11"/>
      <c r="C251" s="11"/>
      <c r="D251" s="11"/>
      <c r="E251" s="11"/>
      <c r="F251" s="11"/>
      <c r="G251" s="11"/>
      <c r="H251" s="6"/>
    </row>
    <row r="252" spans="1:8" ht="20.25" x14ac:dyDescent="0.25">
      <c r="A252" s="10"/>
      <c r="B252" s="11"/>
      <c r="C252" s="11"/>
      <c r="D252" s="11"/>
      <c r="E252" s="11"/>
      <c r="F252" s="11"/>
      <c r="G252" s="11"/>
      <c r="H252" s="6"/>
    </row>
    <row r="253" spans="1:8" ht="20.25" x14ac:dyDescent="0.25">
      <c r="A253" s="10"/>
      <c r="B253" s="11"/>
      <c r="C253" s="11"/>
      <c r="D253" s="11"/>
      <c r="E253" s="11"/>
      <c r="F253" s="11"/>
      <c r="G253" s="11"/>
      <c r="H253" s="6"/>
    </row>
    <row r="254" spans="1:8" ht="20.25" x14ac:dyDescent="0.25">
      <c r="A254" s="10"/>
      <c r="B254" s="11"/>
      <c r="C254" s="11"/>
      <c r="D254" s="11"/>
      <c r="E254" s="11"/>
      <c r="F254" s="11"/>
      <c r="G254" s="11"/>
      <c r="H254" s="6"/>
    </row>
    <row r="255" spans="1:8" ht="20.25" x14ac:dyDescent="0.25">
      <c r="A255" s="10"/>
      <c r="B255" s="11"/>
      <c r="C255" s="11"/>
      <c r="D255" s="11"/>
      <c r="E255" s="11"/>
      <c r="F255" s="11"/>
      <c r="G255" s="11"/>
      <c r="H255" s="6"/>
    </row>
    <row r="256" spans="1:8" ht="20.25" x14ac:dyDescent="0.25">
      <c r="A256" s="10"/>
      <c r="B256" s="11"/>
      <c r="C256" s="11"/>
      <c r="D256" s="11"/>
      <c r="E256" s="11"/>
      <c r="F256" s="11"/>
      <c r="G256" s="11"/>
      <c r="H256" s="6"/>
    </row>
    <row r="257" spans="1:8" ht="20.25" x14ac:dyDescent="0.25">
      <c r="A257" s="10"/>
      <c r="B257" s="11"/>
      <c r="C257" s="11"/>
      <c r="D257" s="11"/>
      <c r="E257" s="11"/>
      <c r="F257" s="11"/>
      <c r="G257" s="11"/>
      <c r="H257" s="6"/>
    </row>
    <row r="258" spans="1:8" ht="20.25" x14ac:dyDescent="0.25">
      <c r="A258" s="10"/>
      <c r="B258" s="11"/>
      <c r="C258" s="11"/>
      <c r="D258" s="11"/>
      <c r="E258" s="11"/>
      <c r="F258" s="11"/>
      <c r="G258" s="11"/>
      <c r="H258" s="6"/>
    </row>
    <row r="259" spans="1:8" ht="20.25" x14ac:dyDescent="0.25">
      <c r="A259" s="10"/>
      <c r="B259" s="11"/>
      <c r="C259" s="11"/>
      <c r="D259" s="11"/>
      <c r="E259" s="11"/>
      <c r="F259" s="11"/>
      <c r="G259" s="11"/>
      <c r="H259" s="6"/>
    </row>
    <row r="260" spans="1:8" ht="20.25" x14ac:dyDescent="0.25">
      <c r="A260" s="12"/>
      <c r="B260" s="13"/>
      <c r="C260" s="13"/>
      <c r="D260" s="13"/>
      <c r="E260" s="13"/>
      <c r="F260" s="13"/>
      <c r="G260" s="13"/>
      <c r="H260" s="7"/>
    </row>
    <row r="261" spans="1:8" ht="20.25" x14ac:dyDescent="0.25">
      <c r="A261" s="84" t="s">
        <v>165</v>
      </c>
      <c r="B261" s="84"/>
      <c r="C261" s="84"/>
      <c r="D261" s="84"/>
      <c r="E261" s="84"/>
      <c r="F261" s="84"/>
      <c r="G261" s="84"/>
      <c r="H261" s="84"/>
    </row>
    <row r="262" spans="1:8" ht="20.25" x14ac:dyDescent="0.25">
      <c r="A262" s="8"/>
      <c r="B262" s="9"/>
      <c r="C262" s="9"/>
      <c r="D262" s="9"/>
      <c r="E262" s="9"/>
      <c r="F262" s="9"/>
      <c r="G262" s="9"/>
      <c r="H262" s="5"/>
    </row>
    <row r="263" spans="1:8" ht="20.25" x14ac:dyDescent="0.25">
      <c r="A263" s="10"/>
      <c r="B263" s="63"/>
      <c r="C263" s="63"/>
      <c r="D263" s="63"/>
      <c r="E263" s="63"/>
      <c r="F263" s="63"/>
      <c r="G263" s="63"/>
      <c r="H263" s="6"/>
    </row>
    <row r="264" spans="1:8" ht="20.25" x14ac:dyDescent="0.25">
      <c r="A264" s="10"/>
      <c r="B264" s="63"/>
      <c r="C264" s="63"/>
      <c r="D264" s="63"/>
      <c r="E264" s="63"/>
      <c r="F264" s="63"/>
      <c r="G264" s="63"/>
      <c r="H264" s="6"/>
    </row>
    <row r="265" spans="1:8" ht="20.25" x14ac:dyDescent="0.25">
      <c r="A265" s="10"/>
      <c r="B265" s="63"/>
      <c r="C265" s="63"/>
      <c r="D265" s="63"/>
      <c r="E265" s="63"/>
      <c r="F265" s="63"/>
      <c r="G265" s="63"/>
      <c r="H265" s="6"/>
    </row>
    <row r="266" spans="1:8" ht="20.25" x14ac:dyDescent="0.25">
      <c r="A266" s="10"/>
      <c r="B266" s="63"/>
      <c r="C266" s="63"/>
      <c r="D266" s="63"/>
      <c r="E266" s="63"/>
      <c r="F266" s="63"/>
      <c r="G266" s="63"/>
      <c r="H266" s="6"/>
    </row>
    <row r="267" spans="1:8" ht="20.25" x14ac:dyDescent="0.25">
      <c r="A267" s="10"/>
      <c r="B267" s="63"/>
      <c r="C267" s="63"/>
      <c r="D267" s="63"/>
      <c r="E267" s="63"/>
      <c r="F267" s="63"/>
      <c r="G267" s="63"/>
      <c r="H267" s="6"/>
    </row>
    <row r="268" spans="1:8" ht="20.25" x14ac:dyDescent="0.25">
      <c r="A268" s="10"/>
      <c r="B268" s="63"/>
      <c r="C268" s="63"/>
      <c r="D268" s="63"/>
      <c r="E268" s="63"/>
      <c r="F268" s="63"/>
      <c r="G268" s="63"/>
      <c r="H268" s="6"/>
    </row>
    <row r="269" spans="1:8" ht="20.25" x14ac:dyDescent="0.25">
      <c r="A269" s="10"/>
      <c r="B269" s="63"/>
      <c r="C269" s="63"/>
      <c r="D269" s="63"/>
      <c r="E269" s="63"/>
      <c r="F269" s="63"/>
      <c r="G269" s="63"/>
      <c r="H269" s="6"/>
    </row>
    <row r="270" spans="1:8" ht="20.25" x14ac:dyDescent="0.25">
      <c r="A270" s="10"/>
      <c r="B270" s="63"/>
      <c r="C270" s="63"/>
      <c r="D270" s="63"/>
      <c r="E270" s="63"/>
      <c r="F270" s="63"/>
      <c r="G270" s="63"/>
      <c r="H270" s="6"/>
    </row>
    <row r="271" spans="1:8" ht="20.25" x14ac:dyDescent="0.25">
      <c r="A271" s="10"/>
      <c r="B271" s="63"/>
      <c r="C271" s="63"/>
      <c r="D271" s="63"/>
      <c r="E271" s="63"/>
      <c r="F271" s="63"/>
      <c r="G271" s="63"/>
      <c r="H271" s="6"/>
    </row>
    <row r="272" spans="1:8" ht="20.25" x14ac:dyDescent="0.25">
      <c r="A272" s="10"/>
      <c r="B272" s="63"/>
      <c r="C272" s="63"/>
      <c r="D272" s="63"/>
      <c r="E272" s="63"/>
      <c r="F272" s="63"/>
      <c r="G272" s="63"/>
      <c r="H272" s="6"/>
    </row>
    <row r="273" spans="1:8" ht="20.25" x14ac:dyDescent="0.25">
      <c r="A273" s="10"/>
      <c r="B273" s="63"/>
      <c r="C273" s="63"/>
      <c r="D273" s="63"/>
      <c r="E273" s="63"/>
      <c r="F273" s="63"/>
      <c r="G273" s="63"/>
      <c r="H273" s="6"/>
    </row>
    <row r="274" spans="1:8" ht="20.25" x14ac:dyDescent="0.25">
      <c r="A274" s="10"/>
      <c r="B274" s="63"/>
      <c r="C274" s="63"/>
      <c r="D274" s="63"/>
      <c r="E274" s="63"/>
      <c r="F274" s="63"/>
      <c r="G274" s="63"/>
      <c r="H274" s="6"/>
    </row>
    <row r="275" spans="1:8" ht="20.25" x14ac:dyDescent="0.25">
      <c r="A275" s="10"/>
      <c r="B275" s="63"/>
      <c r="C275" s="63"/>
      <c r="D275" s="63"/>
      <c r="E275" s="63"/>
      <c r="F275" s="63"/>
      <c r="G275" s="63"/>
      <c r="H275" s="6"/>
    </row>
    <row r="276" spans="1:8" ht="20.25" x14ac:dyDescent="0.25">
      <c r="A276" s="10"/>
      <c r="B276" s="63"/>
      <c r="C276" s="63"/>
      <c r="D276" s="63"/>
      <c r="E276" s="63"/>
      <c r="F276" s="63"/>
      <c r="G276" s="63"/>
      <c r="H276" s="6"/>
    </row>
    <row r="277" spans="1:8" ht="20.25" x14ac:dyDescent="0.25">
      <c r="A277" s="10"/>
      <c r="B277" s="63"/>
      <c r="C277" s="63"/>
      <c r="D277" s="63"/>
      <c r="E277" s="63"/>
      <c r="F277" s="63"/>
      <c r="G277" s="63"/>
      <c r="H277" s="6"/>
    </row>
    <row r="278" spans="1:8" ht="20.25" x14ac:dyDescent="0.25">
      <c r="A278" s="10"/>
      <c r="B278" s="63"/>
      <c r="C278" s="63"/>
      <c r="D278" s="63"/>
      <c r="E278" s="63"/>
      <c r="F278" s="63"/>
      <c r="G278" s="63"/>
      <c r="H278" s="6"/>
    </row>
    <row r="279" spans="1:8" ht="20.25" x14ac:dyDescent="0.25">
      <c r="A279" s="10"/>
      <c r="B279" s="63"/>
      <c r="C279" s="63"/>
      <c r="D279" s="63"/>
      <c r="E279" s="63"/>
      <c r="F279" s="63"/>
      <c r="G279" s="63"/>
      <c r="H279" s="6"/>
    </row>
    <row r="280" spans="1:8" ht="20.25" x14ac:dyDescent="0.25">
      <c r="A280" s="10"/>
      <c r="B280" s="63"/>
      <c r="C280" s="63"/>
      <c r="D280" s="63"/>
      <c r="E280" s="63"/>
      <c r="F280" s="63"/>
      <c r="G280" s="63"/>
      <c r="H280" s="6"/>
    </row>
    <row r="281" spans="1:8" ht="20.25" x14ac:dyDescent="0.25">
      <c r="A281" s="10"/>
      <c r="B281" s="63"/>
      <c r="C281" s="63"/>
      <c r="D281" s="63"/>
      <c r="E281" s="63"/>
      <c r="F281" s="63"/>
      <c r="G281" s="63"/>
      <c r="H281" s="6"/>
    </row>
    <row r="282" spans="1:8" ht="20.25" x14ac:dyDescent="0.25">
      <c r="A282" s="10"/>
      <c r="B282" s="63"/>
      <c r="C282" s="63"/>
      <c r="D282" s="63"/>
      <c r="E282" s="63"/>
      <c r="F282" s="63"/>
      <c r="G282" s="63"/>
      <c r="H282" s="6"/>
    </row>
    <row r="283" spans="1:8" ht="20.25" x14ac:dyDescent="0.25">
      <c r="A283" s="10"/>
      <c r="B283" s="63"/>
      <c r="C283" s="63"/>
      <c r="D283" s="63"/>
      <c r="E283" s="63"/>
      <c r="F283" s="63"/>
      <c r="G283" s="63"/>
      <c r="H283" s="6"/>
    </row>
    <row r="284" spans="1:8" ht="20.25" x14ac:dyDescent="0.25">
      <c r="A284" s="10"/>
      <c r="B284" s="63"/>
      <c r="C284" s="63"/>
      <c r="D284" s="63"/>
      <c r="E284" s="63"/>
      <c r="F284" s="63"/>
      <c r="G284" s="63"/>
      <c r="H284" s="6"/>
    </row>
    <row r="285" spans="1:8" ht="20.25" x14ac:dyDescent="0.25">
      <c r="A285" s="10"/>
      <c r="B285" s="63"/>
      <c r="C285" s="63"/>
      <c r="D285" s="63"/>
      <c r="E285" s="63"/>
      <c r="F285" s="63"/>
      <c r="G285" s="63"/>
      <c r="H285" s="6"/>
    </row>
    <row r="286" spans="1:8" ht="20.25" x14ac:dyDescent="0.25">
      <c r="A286" s="10"/>
      <c r="B286" s="63"/>
      <c r="C286" s="63"/>
      <c r="D286" s="63"/>
      <c r="E286" s="63"/>
      <c r="F286" s="63"/>
      <c r="G286" s="63"/>
      <c r="H286" s="6"/>
    </row>
    <row r="287" spans="1:8" ht="20.25" x14ac:dyDescent="0.25">
      <c r="A287" s="10"/>
      <c r="B287" s="63"/>
      <c r="C287" s="63"/>
      <c r="D287" s="63"/>
      <c r="E287" s="63"/>
      <c r="F287" s="63"/>
      <c r="G287" s="63"/>
      <c r="H287" s="6"/>
    </row>
    <row r="288" spans="1:8" ht="20.25" x14ac:dyDescent="0.25">
      <c r="A288" s="10"/>
      <c r="B288" s="63"/>
      <c r="C288" s="63"/>
      <c r="D288" s="63"/>
      <c r="E288" s="63"/>
      <c r="F288" s="63"/>
      <c r="G288" s="63"/>
      <c r="H288" s="6"/>
    </row>
    <row r="289" spans="1:8" ht="20.25" x14ac:dyDescent="0.25">
      <c r="A289" s="10"/>
      <c r="B289" s="63"/>
      <c r="C289" s="63"/>
      <c r="D289" s="63"/>
      <c r="E289" s="63"/>
      <c r="F289" s="63"/>
      <c r="G289" s="63"/>
      <c r="H289" s="6"/>
    </row>
    <row r="290" spans="1:8" ht="20.25" x14ac:dyDescent="0.25">
      <c r="A290" s="10"/>
      <c r="B290" s="63"/>
      <c r="C290" s="63"/>
      <c r="D290" s="63"/>
      <c r="E290" s="63"/>
      <c r="F290" s="63"/>
      <c r="G290" s="63"/>
      <c r="H290" s="6"/>
    </row>
    <row r="291" spans="1:8" ht="20.25" x14ac:dyDescent="0.25">
      <c r="A291" s="10"/>
      <c r="B291" s="63"/>
      <c r="C291" s="63"/>
      <c r="D291" s="63"/>
      <c r="E291" s="63"/>
      <c r="F291" s="63"/>
      <c r="G291" s="63"/>
      <c r="H291" s="6"/>
    </row>
    <row r="292" spans="1:8" ht="20.25" x14ac:dyDescent="0.25">
      <c r="A292" s="10"/>
      <c r="B292" s="63"/>
      <c r="C292" s="63"/>
      <c r="D292" s="63"/>
      <c r="E292" s="63"/>
      <c r="F292" s="63"/>
      <c r="G292" s="63"/>
      <c r="H292" s="6"/>
    </row>
    <row r="293" spans="1:8" ht="20.25" x14ac:dyDescent="0.25">
      <c r="A293" s="10"/>
      <c r="B293" s="63"/>
      <c r="C293" s="63"/>
      <c r="D293" s="63"/>
      <c r="E293" s="63"/>
      <c r="F293" s="63"/>
      <c r="G293" s="63"/>
      <c r="H293" s="6"/>
    </row>
    <row r="294" spans="1:8" ht="20.25" x14ac:dyDescent="0.25">
      <c r="A294" s="10"/>
      <c r="B294" s="63"/>
      <c r="C294" s="63"/>
      <c r="D294" s="63"/>
      <c r="E294" s="63"/>
      <c r="F294" s="63"/>
      <c r="G294" s="63"/>
      <c r="H294" s="6"/>
    </row>
    <row r="295" spans="1:8" ht="20.25" x14ac:dyDescent="0.25">
      <c r="A295" s="10"/>
      <c r="B295" s="63"/>
      <c r="C295" s="63"/>
      <c r="D295" s="63"/>
      <c r="E295" s="63"/>
      <c r="F295" s="63"/>
      <c r="G295" s="63"/>
      <c r="H295" s="6"/>
    </row>
    <row r="296" spans="1:8" ht="20.25" x14ac:dyDescent="0.25">
      <c r="A296" s="10"/>
      <c r="B296" s="63"/>
      <c r="C296" s="63"/>
      <c r="D296" s="63"/>
      <c r="E296" s="63"/>
      <c r="F296" s="63"/>
      <c r="G296" s="63"/>
      <c r="H296" s="6"/>
    </row>
    <row r="297" spans="1:8" ht="20.25" x14ac:dyDescent="0.25">
      <c r="A297" s="10"/>
      <c r="B297" s="63"/>
      <c r="C297" s="63"/>
      <c r="D297" s="63"/>
      <c r="E297" s="63"/>
      <c r="F297" s="63"/>
      <c r="G297" s="63"/>
      <c r="H297" s="6"/>
    </row>
    <row r="298" spans="1:8" ht="20.25" x14ac:dyDescent="0.25">
      <c r="A298" s="10"/>
      <c r="B298" s="63"/>
      <c r="C298" s="63"/>
      <c r="D298" s="63"/>
      <c r="E298" s="63"/>
      <c r="F298" s="63"/>
      <c r="G298" s="63"/>
      <c r="H298" s="6"/>
    </row>
    <row r="299" spans="1:8" ht="20.25" x14ac:dyDescent="0.25">
      <c r="A299" s="10"/>
      <c r="B299" s="63"/>
      <c r="C299" s="63"/>
      <c r="D299" s="63"/>
      <c r="E299" s="63"/>
      <c r="F299" s="63"/>
      <c r="G299" s="63"/>
      <c r="H299" s="6"/>
    </row>
    <row r="300" spans="1:8" ht="20.25" x14ac:dyDescent="0.25">
      <c r="A300" s="10"/>
      <c r="B300" s="63"/>
      <c r="C300" s="63"/>
      <c r="D300" s="63"/>
      <c r="E300" s="63"/>
      <c r="F300" s="63"/>
      <c r="G300" s="63"/>
      <c r="H300" s="6"/>
    </row>
    <row r="301" spans="1:8" ht="20.25" x14ac:dyDescent="0.25">
      <c r="A301" s="10"/>
      <c r="B301" s="63"/>
      <c r="C301" s="63"/>
      <c r="D301" s="63"/>
      <c r="E301" s="63"/>
      <c r="F301" s="63"/>
      <c r="G301" s="63"/>
      <c r="H301" s="6"/>
    </row>
    <row r="302" spans="1:8" ht="20.25" x14ac:dyDescent="0.25">
      <c r="A302" s="10"/>
      <c r="B302" s="63"/>
      <c r="C302" s="63"/>
      <c r="D302" s="63"/>
      <c r="E302" s="63"/>
      <c r="F302" s="63"/>
      <c r="G302" s="63"/>
      <c r="H302" s="6"/>
    </row>
    <row r="303" spans="1:8" ht="20.25" x14ac:dyDescent="0.25">
      <c r="A303" s="10"/>
      <c r="B303" s="63"/>
      <c r="C303" s="63"/>
      <c r="D303" s="63"/>
      <c r="E303" s="63"/>
      <c r="F303" s="63"/>
      <c r="G303" s="63"/>
      <c r="H303" s="6"/>
    </row>
    <row r="304" spans="1:8" ht="20.25" x14ac:dyDescent="0.25">
      <c r="A304" s="10"/>
      <c r="B304" s="63"/>
      <c r="C304" s="63"/>
      <c r="D304" s="63"/>
      <c r="E304" s="63"/>
      <c r="F304" s="63"/>
      <c r="G304" s="63"/>
      <c r="H304" s="6"/>
    </row>
    <row r="305" spans="1:8" ht="20.25" x14ac:dyDescent="0.25">
      <c r="A305" s="10"/>
      <c r="B305" s="63"/>
      <c r="C305" s="63"/>
      <c r="D305" s="63"/>
      <c r="E305" s="63"/>
      <c r="F305" s="63"/>
      <c r="G305" s="63"/>
      <c r="H305" s="6"/>
    </row>
    <row r="306" spans="1:8" ht="20.25" x14ac:dyDescent="0.25">
      <c r="A306" s="10"/>
      <c r="B306" s="63"/>
      <c r="C306" s="63"/>
      <c r="D306" s="63"/>
      <c r="E306" s="63"/>
      <c r="F306" s="63"/>
      <c r="G306" s="63"/>
      <c r="H306" s="6"/>
    </row>
    <row r="307" spans="1:8" ht="20.25" x14ac:dyDescent="0.25">
      <c r="A307" s="10"/>
      <c r="B307" s="63"/>
      <c r="C307" s="63"/>
      <c r="D307" s="63"/>
      <c r="E307" s="63"/>
      <c r="F307" s="63"/>
      <c r="G307" s="63"/>
      <c r="H307" s="6"/>
    </row>
    <row r="308" spans="1:8" ht="20.25" x14ac:dyDescent="0.25">
      <c r="A308" s="12"/>
      <c r="B308" s="13"/>
      <c r="C308" s="13"/>
      <c r="D308" s="13"/>
      <c r="E308" s="13"/>
      <c r="F308" s="13"/>
      <c r="G308" s="13"/>
      <c r="H308" s="7"/>
    </row>
    <row r="309" spans="1:8" ht="20.25" x14ac:dyDescent="0.25">
      <c r="A309" s="98" t="s">
        <v>77</v>
      </c>
      <c r="B309" s="99"/>
      <c r="C309" s="99"/>
      <c r="D309" s="99"/>
      <c r="E309" s="99"/>
      <c r="F309" s="99"/>
      <c r="G309" s="99"/>
      <c r="H309" s="100"/>
    </row>
    <row r="310" spans="1:8" ht="20.25" x14ac:dyDescent="0.25">
      <c r="A310" s="8"/>
      <c r="B310" s="9"/>
      <c r="C310" s="9"/>
      <c r="D310" s="9"/>
      <c r="E310" s="9"/>
      <c r="F310" s="9"/>
      <c r="G310" s="9"/>
      <c r="H310" s="5"/>
    </row>
    <row r="311" spans="1:8" ht="20.25" x14ac:dyDescent="0.25">
      <c r="A311" s="10"/>
      <c r="B311" s="11"/>
      <c r="C311" s="11"/>
      <c r="D311" s="11"/>
      <c r="E311" s="11"/>
      <c r="F311" s="11"/>
      <c r="G311" s="11"/>
      <c r="H311" s="6"/>
    </row>
    <row r="312" spans="1:8" ht="20.25" x14ac:dyDescent="0.25">
      <c r="A312" s="10"/>
      <c r="B312" s="11"/>
      <c r="C312" s="11"/>
      <c r="D312" s="11"/>
      <c r="E312" s="11"/>
      <c r="F312" s="11"/>
      <c r="G312" s="11"/>
      <c r="H312" s="6"/>
    </row>
    <row r="313" spans="1:8" ht="20.25" x14ac:dyDescent="0.25">
      <c r="A313" s="10"/>
      <c r="B313" s="11"/>
      <c r="C313" s="11"/>
      <c r="D313" s="11"/>
      <c r="E313" s="11"/>
      <c r="F313" s="11"/>
      <c r="G313" s="11"/>
      <c r="H313" s="6"/>
    </row>
    <row r="314" spans="1:8" ht="20.25" x14ac:dyDescent="0.25">
      <c r="A314" s="10"/>
      <c r="B314" s="11"/>
      <c r="C314" s="11"/>
      <c r="D314" s="11"/>
      <c r="E314" s="11"/>
      <c r="F314" s="11"/>
      <c r="G314" s="11"/>
      <c r="H314" s="6"/>
    </row>
    <row r="315" spans="1:8" ht="20.25" x14ac:dyDescent="0.25">
      <c r="A315" s="10"/>
      <c r="B315" s="11"/>
      <c r="C315" s="11"/>
      <c r="D315" s="11"/>
      <c r="E315" s="11"/>
      <c r="F315" s="11"/>
      <c r="G315" s="11"/>
      <c r="H315" s="6"/>
    </row>
    <row r="316" spans="1:8" ht="20.25" x14ac:dyDescent="0.25">
      <c r="A316" s="10"/>
      <c r="B316" s="11"/>
      <c r="C316" s="11"/>
      <c r="D316" s="11"/>
      <c r="E316" s="11"/>
      <c r="F316" s="11"/>
      <c r="G316" s="11"/>
      <c r="H316" s="6"/>
    </row>
    <row r="317" spans="1:8" ht="20.25" x14ac:dyDescent="0.25">
      <c r="A317" s="10"/>
      <c r="B317" s="11"/>
      <c r="C317" s="11"/>
      <c r="D317" s="11"/>
      <c r="E317" s="11"/>
      <c r="F317" s="11"/>
      <c r="G317" s="11"/>
      <c r="H317" s="6"/>
    </row>
    <row r="318" spans="1:8" ht="20.25" x14ac:dyDescent="0.25">
      <c r="A318" s="10"/>
      <c r="B318" s="11"/>
      <c r="C318" s="11"/>
      <c r="D318" s="11"/>
      <c r="E318" s="11"/>
      <c r="F318" s="11"/>
      <c r="G318" s="11"/>
      <c r="H318" s="6"/>
    </row>
    <row r="319" spans="1:8" ht="20.25" x14ac:dyDescent="0.25">
      <c r="A319" s="10"/>
      <c r="B319" s="11"/>
      <c r="C319" s="11"/>
      <c r="D319" s="11"/>
      <c r="E319" s="11"/>
      <c r="F319" s="11"/>
      <c r="G319" s="11"/>
      <c r="H319" s="6"/>
    </row>
    <row r="320" spans="1:8" ht="20.25" x14ac:dyDescent="0.25">
      <c r="A320" s="10"/>
      <c r="B320" s="11"/>
      <c r="C320" s="11"/>
      <c r="D320" s="11"/>
      <c r="E320" s="11"/>
      <c r="F320" s="11"/>
      <c r="G320" s="11"/>
      <c r="H320" s="6"/>
    </row>
    <row r="321" spans="1:8" ht="20.25" x14ac:dyDescent="0.25">
      <c r="A321" s="10"/>
      <c r="B321" s="11"/>
      <c r="C321" s="11"/>
      <c r="D321" s="11"/>
      <c r="E321" s="11"/>
      <c r="F321" s="11"/>
      <c r="G321" s="11"/>
      <c r="H321" s="6"/>
    </row>
    <row r="322" spans="1:8" ht="20.25" x14ac:dyDescent="0.25">
      <c r="A322" s="10"/>
      <c r="B322" s="11"/>
      <c r="C322" s="11"/>
      <c r="D322" s="11"/>
      <c r="E322" s="11"/>
      <c r="F322" s="11"/>
      <c r="G322" s="11"/>
      <c r="H322" s="6"/>
    </row>
    <row r="323" spans="1:8" ht="20.25" x14ac:dyDescent="0.25">
      <c r="A323" s="10"/>
      <c r="B323" s="11"/>
      <c r="C323" s="11"/>
      <c r="D323" s="11"/>
      <c r="E323" s="11"/>
      <c r="F323" s="11"/>
      <c r="G323" s="11"/>
      <c r="H323" s="6"/>
    </row>
    <row r="324" spans="1:8" ht="20.25" x14ac:dyDescent="0.25">
      <c r="A324" s="10"/>
      <c r="B324" s="11"/>
      <c r="C324" s="11"/>
      <c r="D324" s="11"/>
      <c r="E324" s="11"/>
      <c r="F324" s="11"/>
      <c r="G324" s="11"/>
      <c r="H324" s="6"/>
    </row>
    <row r="325" spans="1:8" ht="20.25" x14ac:dyDescent="0.25">
      <c r="A325" s="10"/>
      <c r="B325" s="11"/>
      <c r="C325" s="11"/>
      <c r="D325" s="11"/>
      <c r="E325" s="11"/>
      <c r="F325" s="11"/>
      <c r="G325" s="11"/>
      <c r="H325" s="6"/>
    </row>
    <row r="326" spans="1:8" ht="20.25" x14ac:dyDescent="0.25">
      <c r="A326" s="10"/>
      <c r="B326" s="11"/>
      <c r="C326" s="11"/>
      <c r="D326" s="11"/>
      <c r="E326" s="11"/>
      <c r="F326" s="11"/>
      <c r="G326" s="11"/>
      <c r="H326" s="6"/>
    </row>
    <row r="327" spans="1:8" ht="20.25" x14ac:dyDescent="0.25">
      <c r="A327" s="10"/>
      <c r="B327" s="11"/>
      <c r="C327" s="11"/>
      <c r="D327" s="11"/>
      <c r="E327" s="11"/>
      <c r="F327" s="11"/>
      <c r="G327" s="11"/>
      <c r="H327" s="6"/>
    </row>
    <row r="328" spans="1:8" ht="20.25" x14ac:dyDescent="0.25">
      <c r="A328" s="10"/>
      <c r="B328" s="11"/>
      <c r="C328" s="11"/>
      <c r="D328" s="11"/>
      <c r="E328" s="11"/>
      <c r="F328" s="11"/>
      <c r="G328" s="11"/>
      <c r="H328" s="6"/>
    </row>
    <row r="329" spans="1:8" ht="20.25" x14ac:dyDescent="0.25">
      <c r="A329" s="10"/>
      <c r="B329" s="11"/>
      <c r="C329" s="11"/>
      <c r="D329" s="11"/>
      <c r="E329" s="11"/>
      <c r="F329" s="11"/>
      <c r="G329" s="11"/>
      <c r="H329" s="6"/>
    </row>
    <row r="330" spans="1:8" ht="20.25" x14ac:dyDescent="0.25">
      <c r="A330" s="10"/>
      <c r="B330" s="11"/>
      <c r="C330" s="11"/>
      <c r="D330" s="11"/>
      <c r="E330" s="11"/>
      <c r="F330" s="11"/>
      <c r="G330" s="11"/>
      <c r="H330" s="6"/>
    </row>
    <row r="331" spans="1:8" ht="20.25" x14ac:dyDescent="0.25">
      <c r="A331" s="10"/>
      <c r="B331" s="11"/>
      <c r="C331" s="11"/>
      <c r="D331" s="11"/>
      <c r="E331" s="11"/>
      <c r="F331" s="11"/>
      <c r="G331" s="11"/>
      <c r="H331" s="6"/>
    </row>
    <row r="332" spans="1:8" ht="20.25" x14ac:dyDescent="0.25">
      <c r="A332" s="10"/>
      <c r="B332" s="11"/>
      <c r="C332" s="11"/>
      <c r="D332" s="11"/>
      <c r="E332" s="11"/>
      <c r="F332" s="11"/>
      <c r="G332" s="11"/>
      <c r="H332" s="6"/>
    </row>
    <row r="333" spans="1:8" ht="20.25" x14ac:dyDescent="0.25">
      <c r="A333" s="10"/>
      <c r="B333" s="11"/>
      <c r="C333" s="11"/>
      <c r="D333" s="11"/>
      <c r="E333" s="11"/>
      <c r="F333" s="11"/>
      <c r="G333" s="11"/>
      <c r="H333" s="6"/>
    </row>
    <row r="334" spans="1:8" ht="20.25" x14ac:dyDescent="0.25">
      <c r="A334" s="10"/>
      <c r="B334" s="11"/>
      <c r="C334" s="11"/>
      <c r="D334" s="11"/>
      <c r="E334" s="11"/>
      <c r="F334" s="11"/>
      <c r="G334" s="11"/>
      <c r="H334" s="6"/>
    </row>
    <row r="335" spans="1:8" ht="20.25" x14ac:dyDescent="0.25">
      <c r="A335" s="10"/>
      <c r="B335" s="11"/>
      <c r="C335" s="11"/>
      <c r="D335" s="11"/>
      <c r="E335" s="11"/>
      <c r="F335" s="11"/>
      <c r="G335" s="11"/>
      <c r="H335" s="6"/>
    </row>
    <row r="336" spans="1:8" ht="20.25" x14ac:dyDescent="0.25">
      <c r="A336" s="10"/>
      <c r="B336" s="11"/>
      <c r="C336" s="11"/>
      <c r="D336" s="11"/>
      <c r="E336" s="11"/>
      <c r="F336" s="11"/>
      <c r="G336" s="11"/>
      <c r="H336" s="6"/>
    </row>
    <row r="337" spans="1:8" ht="20.25" x14ac:dyDescent="0.25">
      <c r="A337" s="10"/>
      <c r="B337" s="11"/>
      <c r="C337" s="11"/>
      <c r="D337" s="11"/>
      <c r="E337" s="11"/>
      <c r="F337" s="11"/>
      <c r="G337" s="11"/>
      <c r="H337" s="6"/>
    </row>
    <row r="338" spans="1:8" ht="20.25" x14ac:dyDescent="0.25">
      <c r="A338" s="10"/>
      <c r="B338" s="11"/>
      <c r="C338" s="11"/>
      <c r="D338" s="11"/>
      <c r="E338" s="11"/>
      <c r="F338" s="11"/>
      <c r="G338" s="11"/>
      <c r="H338" s="6"/>
    </row>
    <row r="339" spans="1:8" ht="20.25" x14ac:dyDescent="0.25">
      <c r="A339" s="10"/>
      <c r="B339" s="11"/>
      <c r="C339" s="11"/>
      <c r="D339" s="11"/>
      <c r="E339" s="11"/>
      <c r="F339" s="11"/>
      <c r="G339" s="11"/>
      <c r="H339" s="6"/>
    </row>
    <row r="340" spans="1:8" ht="20.25" x14ac:dyDescent="0.25">
      <c r="A340" s="10"/>
      <c r="B340" s="11"/>
      <c r="C340" s="11"/>
      <c r="D340" s="11"/>
      <c r="E340" s="11"/>
      <c r="F340" s="11"/>
      <c r="G340" s="11"/>
      <c r="H340" s="6"/>
    </row>
    <row r="341" spans="1:8" ht="20.25" x14ac:dyDescent="0.25">
      <c r="A341" s="84" t="s">
        <v>24</v>
      </c>
      <c r="B341" s="84"/>
      <c r="C341" s="84"/>
      <c r="D341" s="84"/>
      <c r="E341" s="84"/>
      <c r="F341" s="84"/>
      <c r="G341" s="84"/>
      <c r="H341" s="84"/>
    </row>
    <row r="342" spans="1:8" ht="20.25" x14ac:dyDescent="0.25">
      <c r="A342" s="134" t="s">
        <v>78</v>
      </c>
      <c r="B342" s="135"/>
      <c r="C342" s="135"/>
      <c r="D342" s="135"/>
      <c r="E342" s="135"/>
      <c r="F342" s="135"/>
      <c r="G342" s="135"/>
      <c r="H342" s="136"/>
    </row>
    <row r="343" spans="1:8" ht="20.25" x14ac:dyDescent="0.25">
      <c r="A343" s="137" t="s">
        <v>79</v>
      </c>
      <c r="B343" s="138"/>
      <c r="C343" s="138"/>
      <c r="D343" s="138"/>
      <c r="E343" s="138"/>
      <c r="F343" s="138"/>
      <c r="G343" s="138"/>
      <c r="H343" s="139"/>
    </row>
    <row r="344" spans="1:8" ht="45" customHeight="1" x14ac:dyDescent="0.25">
      <c r="A344" s="137" t="s">
        <v>80</v>
      </c>
      <c r="B344" s="138"/>
      <c r="C344" s="138"/>
      <c r="D344" s="138"/>
      <c r="E344" s="138"/>
      <c r="F344" s="138"/>
      <c r="G344" s="138"/>
      <c r="H344" s="139"/>
    </row>
    <row r="345" spans="1:8" ht="42.75" customHeight="1" x14ac:dyDescent="0.25">
      <c r="A345" s="137" t="s">
        <v>81</v>
      </c>
      <c r="B345" s="138"/>
      <c r="C345" s="138"/>
      <c r="D345" s="138"/>
      <c r="E345" s="138"/>
      <c r="F345" s="138"/>
      <c r="G345" s="138"/>
      <c r="H345" s="139"/>
    </row>
    <row r="346" spans="1:8" ht="20.25" x14ac:dyDescent="0.25">
      <c r="A346" s="137" t="s">
        <v>82</v>
      </c>
      <c r="B346" s="138"/>
      <c r="C346" s="138"/>
      <c r="D346" s="138"/>
      <c r="E346" s="138"/>
      <c r="F346" s="138"/>
      <c r="G346" s="138"/>
      <c r="H346" s="139"/>
    </row>
    <row r="347" spans="1:8" ht="20.25" x14ac:dyDescent="0.25">
      <c r="A347" s="137" t="s">
        <v>83</v>
      </c>
      <c r="B347" s="138"/>
      <c r="C347" s="138"/>
      <c r="D347" s="138"/>
      <c r="E347" s="138"/>
      <c r="F347" s="138"/>
      <c r="G347" s="138"/>
      <c r="H347" s="139"/>
    </row>
    <row r="348" spans="1:8" ht="45" customHeight="1" x14ac:dyDescent="0.25">
      <c r="A348" s="137" t="s">
        <v>84</v>
      </c>
      <c r="B348" s="138"/>
      <c r="C348" s="138"/>
      <c r="D348" s="138"/>
      <c r="E348" s="138"/>
      <c r="F348" s="138"/>
      <c r="G348" s="138"/>
      <c r="H348" s="139"/>
    </row>
    <row r="349" spans="1:8" ht="45" customHeight="1" x14ac:dyDescent="0.25">
      <c r="A349" s="137" t="s">
        <v>85</v>
      </c>
      <c r="B349" s="138"/>
      <c r="C349" s="138"/>
      <c r="D349" s="138"/>
      <c r="E349" s="138"/>
      <c r="F349" s="138"/>
      <c r="G349" s="138"/>
      <c r="H349" s="139"/>
    </row>
    <row r="350" spans="1:8" ht="20.25" x14ac:dyDescent="0.25">
      <c r="A350" s="140" t="s">
        <v>86</v>
      </c>
      <c r="B350" s="141"/>
      <c r="C350" s="141"/>
      <c r="D350" s="141"/>
      <c r="E350" s="141"/>
      <c r="F350" s="141"/>
      <c r="G350" s="141"/>
      <c r="H350" s="142"/>
    </row>
    <row r="351" spans="1:8" ht="57" customHeight="1" x14ac:dyDescent="0.25">
      <c r="A351" s="122" t="s">
        <v>30</v>
      </c>
      <c r="B351" s="123"/>
      <c r="C351" s="124" t="s">
        <v>304</v>
      </c>
      <c r="D351" s="125"/>
      <c r="E351" s="122" t="s">
        <v>9</v>
      </c>
      <c r="F351" s="123"/>
      <c r="G351" s="129"/>
      <c r="H351" s="129"/>
    </row>
  </sheetData>
  <mergeCells count="401">
    <mergeCell ref="A59:B60"/>
    <mergeCell ref="C59:F59"/>
    <mergeCell ref="C60:F60"/>
    <mergeCell ref="B218:H218"/>
    <mergeCell ref="B219:H219"/>
    <mergeCell ref="B220:H220"/>
    <mergeCell ref="A174:B174"/>
    <mergeCell ref="A175:B175"/>
    <mergeCell ref="A176:B176"/>
    <mergeCell ref="A166:B166"/>
    <mergeCell ref="A167:B167"/>
    <mergeCell ref="D166:H167"/>
    <mergeCell ref="A168:H168"/>
    <mergeCell ref="A169:B169"/>
    <mergeCell ref="A170:B170"/>
    <mergeCell ref="A171:B171"/>
    <mergeCell ref="A172:B172"/>
    <mergeCell ref="A173:B173"/>
    <mergeCell ref="A157:H157"/>
    <mergeCell ref="A158:H158"/>
    <mergeCell ref="A159:H159"/>
    <mergeCell ref="A160:B160"/>
    <mergeCell ref="A161:B161"/>
    <mergeCell ref="A162:B162"/>
    <mergeCell ref="A163:B163"/>
    <mergeCell ref="A164:B164"/>
    <mergeCell ref="A165:B165"/>
    <mergeCell ref="A149:H149"/>
    <mergeCell ref="A150:B150"/>
    <mergeCell ref="A151:B151"/>
    <mergeCell ref="A152:B152"/>
    <mergeCell ref="A153:B153"/>
    <mergeCell ref="A154:B154"/>
    <mergeCell ref="A155:B155"/>
    <mergeCell ref="A156:H156"/>
    <mergeCell ref="A141:H141"/>
    <mergeCell ref="A142:B142"/>
    <mergeCell ref="A143:B143"/>
    <mergeCell ref="A144:B144"/>
    <mergeCell ref="A145:B145"/>
    <mergeCell ref="A146:B146"/>
    <mergeCell ref="A147:B147"/>
    <mergeCell ref="A148:H148"/>
    <mergeCell ref="A140:B140"/>
    <mergeCell ref="A114:B114"/>
    <mergeCell ref="C114:D114"/>
    <mergeCell ref="C115:D115"/>
    <mergeCell ref="C116:D116"/>
    <mergeCell ref="E116:F116"/>
    <mergeCell ref="A118:F118"/>
    <mergeCell ref="A119:F119"/>
    <mergeCell ref="A120:F120"/>
    <mergeCell ref="A125:H125"/>
    <mergeCell ref="A126:B126"/>
    <mergeCell ref="E126:F126"/>
    <mergeCell ref="G126:H126"/>
    <mergeCell ref="A127:B127"/>
    <mergeCell ref="G127:H127"/>
    <mergeCell ref="A128:B128"/>
    <mergeCell ref="G118:H118"/>
    <mergeCell ref="A112:F112"/>
    <mergeCell ref="J10:O10"/>
    <mergeCell ref="A133:H133"/>
    <mergeCell ref="A134:H134"/>
    <mergeCell ref="A135:B135"/>
    <mergeCell ref="A136:B136"/>
    <mergeCell ref="A137:B137"/>
    <mergeCell ref="A138:B138"/>
    <mergeCell ref="A58:B58"/>
    <mergeCell ref="C58:F58"/>
    <mergeCell ref="A61:B62"/>
    <mergeCell ref="C62:H62"/>
    <mergeCell ref="E97:F97"/>
    <mergeCell ref="E98:F98"/>
    <mergeCell ref="A99:B99"/>
    <mergeCell ref="E99:F99"/>
    <mergeCell ref="A100:B100"/>
    <mergeCell ref="E100:F111"/>
    <mergeCell ref="G100:H111"/>
    <mergeCell ref="A101:B101"/>
    <mergeCell ref="A102:B102"/>
    <mergeCell ref="A103:B103"/>
    <mergeCell ref="A104:B104"/>
    <mergeCell ref="A105:B105"/>
    <mergeCell ref="A106:B106"/>
    <mergeCell ref="A107:B107"/>
    <mergeCell ref="A108:B108"/>
    <mergeCell ref="A109:B109"/>
    <mergeCell ref="A110:B110"/>
    <mergeCell ref="A111:B111"/>
    <mergeCell ref="G49:H49"/>
    <mergeCell ref="A51:B51"/>
    <mergeCell ref="A53:B53"/>
    <mergeCell ref="A56:B56"/>
    <mergeCell ref="A57:B57"/>
    <mergeCell ref="A52:B52"/>
    <mergeCell ref="C51:H51"/>
    <mergeCell ref="C52:F52"/>
    <mergeCell ref="C53:F53"/>
    <mergeCell ref="C55:F55"/>
    <mergeCell ref="C54:F54"/>
    <mergeCell ref="A54:B55"/>
    <mergeCell ref="A64:H64"/>
    <mergeCell ref="A67:B67"/>
    <mergeCell ref="A68:B68"/>
    <mergeCell ref="E67:F67"/>
    <mergeCell ref="E65:F65"/>
    <mergeCell ref="E66:F66"/>
    <mergeCell ref="A34:B34"/>
    <mergeCell ref="A35:B35"/>
    <mergeCell ref="A36:B36"/>
    <mergeCell ref="C34:D34"/>
    <mergeCell ref="C35:D35"/>
    <mergeCell ref="C36:D36"/>
    <mergeCell ref="G34:H34"/>
    <mergeCell ref="J38:K38"/>
    <mergeCell ref="M38:N38"/>
    <mergeCell ref="C38:E38"/>
    <mergeCell ref="F38:H38"/>
    <mergeCell ref="A31:B31"/>
    <mergeCell ref="A32:B32"/>
    <mergeCell ref="E26:F26"/>
    <mergeCell ref="E27:F27"/>
    <mergeCell ref="E28:F28"/>
    <mergeCell ref="E29:F29"/>
    <mergeCell ref="E30:F30"/>
    <mergeCell ref="E31:F31"/>
    <mergeCell ref="C28:D28"/>
    <mergeCell ref="C29:D29"/>
    <mergeCell ref="C30:D30"/>
    <mergeCell ref="C31:D31"/>
    <mergeCell ref="C32:H32"/>
    <mergeCell ref="A30:B30"/>
    <mergeCell ref="A14:B14"/>
    <mergeCell ref="A15:B15"/>
    <mergeCell ref="A16:B16"/>
    <mergeCell ref="A17:B17"/>
    <mergeCell ref="A18:B18"/>
    <mergeCell ref="A19:B19"/>
    <mergeCell ref="A20:B20"/>
    <mergeCell ref="A21:B21"/>
    <mergeCell ref="A22:B22"/>
    <mergeCell ref="A23:B23"/>
    <mergeCell ref="A24:B24"/>
    <mergeCell ref="E22:F22"/>
    <mergeCell ref="C14:D14"/>
    <mergeCell ref="C15:D15"/>
    <mergeCell ref="C16:D16"/>
    <mergeCell ref="C17:D17"/>
    <mergeCell ref="A26:B26"/>
    <mergeCell ref="A27:B27"/>
    <mergeCell ref="A28:B28"/>
    <mergeCell ref="A29:B29"/>
    <mergeCell ref="E2:F2"/>
    <mergeCell ref="E14:F14"/>
    <mergeCell ref="E15:F15"/>
    <mergeCell ref="E16:F16"/>
    <mergeCell ref="E17:F17"/>
    <mergeCell ref="E18:F18"/>
    <mergeCell ref="E19:F19"/>
    <mergeCell ref="E20:F20"/>
    <mergeCell ref="E21:F21"/>
    <mergeCell ref="A73:B73"/>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A139:B139"/>
    <mergeCell ref="E3:F3"/>
    <mergeCell ref="E4:F4"/>
    <mergeCell ref="E84:F95"/>
    <mergeCell ref="G84:H95"/>
    <mergeCell ref="A85:B85"/>
    <mergeCell ref="A86:B86"/>
    <mergeCell ref="A87:B87"/>
    <mergeCell ref="A88:B88"/>
    <mergeCell ref="A89:B89"/>
    <mergeCell ref="A90:B90"/>
    <mergeCell ref="A91:B91"/>
    <mergeCell ref="A92:B92"/>
    <mergeCell ref="A93:B93"/>
    <mergeCell ref="A94:B94"/>
    <mergeCell ref="A95:B95"/>
    <mergeCell ref="A69:B69"/>
    <mergeCell ref="C27:D27"/>
    <mergeCell ref="A76:B76"/>
    <mergeCell ref="A77:B77"/>
    <mergeCell ref="A78:B78"/>
    <mergeCell ref="A79:B79"/>
    <mergeCell ref="A70:B70"/>
    <mergeCell ref="A71:B71"/>
    <mergeCell ref="C128:D128"/>
    <mergeCell ref="A177:H177"/>
    <mergeCell ref="A129:B129"/>
    <mergeCell ref="G129:H129"/>
    <mergeCell ref="A179:B179"/>
    <mergeCell ref="A203:B203"/>
    <mergeCell ref="B215:H215"/>
    <mergeCell ref="B214:H214"/>
    <mergeCell ref="B217:H217"/>
    <mergeCell ref="B216:H216"/>
    <mergeCell ref="A200:B200"/>
    <mergeCell ref="A201:B201"/>
    <mergeCell ref="A202:B202"/>
    <mergeCell ref="A211:B211"/>
    <mergeCell ref="A212:B212"/>
    <mergeCell ref="A208:B208"/>
    <mergeCell ref="A209:B209"/>
    <mergeCell ref="A210:B210"/>
    <mergeCell ref="A204:H204"/>
    <mergeCell ref="A205:B205"/>
    <mergeCell ref="A206:B206"/>
    <mergeCell ref="A207:B207"/>
    <mergeCell ref="A213:H213"/>
    <mergeCell ref="C41:E41"/>
    <mergeCell ref="F41:H41"/>
    <mergeCell ref="G68:H79"/>
    <mergeCell ref="G36:H36"/>
    <mergeCell ref="G35:H35"/>
    <mergeCell ref="B221:H221"/>
    <mergeCell ref="A199:B199"/>
    <mergeCell ref="A192:B192"/>
    <mergeCell ref="A190:B190"/>
    <mergeCell ref="E128:F128"/>
    <mergeCell ref="E127:F127"/>
    <mergeCell ref="C126:D126"/>
    <mergeCell ref="C127:D127"/>
    <mergeCell ref="C129:D129"/>
    <mergeCell ref="A191:B191"/>
    <mergeCell ref="A193:B193"/>
    <mergeCell ref="A194:B194"/>
    <mergeCell ref="A189:B189"/>
    <mergeCell ref="A195:H195"/>
    <mergeCell ref="A196:B196"/>
    <mergeCell ref="A188:B188"/>
    <mergeCell ref="A186:H186"/>
    <mergeCell ref="A187:B187"/>
    <mergeCell ref="E129:F129"/>
    <mergeCell ref="E68:F79"/>
    <mergeCell ref="C42:E42"/>
    <mergeCell ref="A41:B41"/>
    <mergeCell ref="A39:B39"/>
    <mergeCell ref="A40:B40"/>
    <mergeCell ref="A180:B180"/>
    <mergeCell ref="G14:H14"/>
    <mergeCell ref="G16:H16"/>
    <mergeCell ref="G17:H17"/>
    <mergeCell ref="G15:H15"/>
    <mergeCell ref="G18:H18"/>
    <mergeCell ref="G19:H19"/>
    <mergeCell ref="G46:H46"/>
    <mergeCell ref="G31:H31"/>
    <mergeCell ref="G22:H22"/>
    <mergeCell ref="F42:H42"/>
    <mergeCell ref="C43:H43"/>
    <mergeCell ref="E34:F34"/>
    <mergeCell ref="E35:F35"/>
    <mergeCell ref="E36:F36"/>
    <mergeCell ref="C39:E39"/>
    <mergeCell ref="F39:H39"/>
    <mergeCell ref="F40:H40"/>
    <mergeCell ref="C40:E40"/>
    <mergeCell ref="A5:H5"/>
    <mergeCell ref="A13:H13"/>
    <mergeCell ref="C26:D26"/>
    <mergeCell ref="G351:H351"/>
    <mergeCell ref="A222:H222"/>
    <mergeCell ref="D224:H224"/>
    <mergeCell ref="A342:H342"/>
    <mergeCell ref="A348:H348"/>
    <mergeCell ref="A349:H349"/>
    <mergeCell ref="A350:H350"/>
    <mergeCell ref="A343:H343"/>
    <mergeCell ref="A344:H344"/>
    <mergeCell ref="A345:H345"/>
    <mergeCell ref="A346:H346"/>
    <mergeCell ref="A224:C224"/>
    <mergeCell ref="A341:H341"/>
    <mergeCell ref="A347:H347"/>
    <mergeCell ref="A309:H309"/>
    <mergeCell ref="D223:H223"/>
    <mergeCell ref="A225:C225"/>
    <mergeCell ref="D225:H225"/>
    <mergeCell ref="A261:H261"/>
    <mergeCell ref="A65:C66"/>
    <mergeCell ref="A74:B74"/>
    <mergeCell ref="A42:B42"/>
    <mergeCell ref="E351:F351"/>
    <mergeCell ref="A351:B351"/>
    <mergeCell ref="C351:D351"/>
    <mergeCell ref="A115:B115"/>
    <mergeCell ref="E82:F82"/>
    <mergeCell ref="A1:H1"/>
    <mergeCell ref="A223:C223"/>
    <mergeCell ref="G27:H27"/>
    <mergeCell ref="G28:H28"/>
    <mergeCell ref="A37:H37"/>
    <mergeCell ref="A44:H44"/>
    <mergeCell ref="A50:H50"/>
    <mergeCell ref="A121:H121"/>
    <mergeCell ref="G119:H119"/>
    <mergeCell ref="G7:H7"/>
    <mergeCell ref="G47:H47"/>
    <mergeCell ref="G45:H45"/>
    <mergeCell ref="A25:H25"/>
    <mergeCell ref="G26:H26"/>
    <mergeCell ref="G20:H20"/>
    <mergeCell ref="G21:H21"/>
    <mergeCell ref="A9:A11"/>
    <mergeCell ref="G6:H6"/>
    <mergeCell ref="G124:H124"/>
    <mergeCell ref="A33:H33"/>
    <mergeCell ref="G30:H30"/>
    <mergeCell ref="G29:H29"/>
    <mergeCell ref="C61:F61"/>
    <mergeCell ref="C63:F63"/>
    <mergeCell ref="A181:B181"/>
    <mergeCell ref="A182:B182"/>
    <mergeCell ref="A80:H80"/>
    <mergeCell ref="A81:C82"/>
    <mergeCell ref="E81:F81"/>
    <mergeCell ref="A113:H113"/>
    <mergeCell ref="G114:H114"/>
    <mergeCell ref="C57:F57"/>
    <mergeCell ref="C124:D124"/>
    <mergeCell ref="G128:H128"/>
    <mergeCell ref="A132:H132"/>
    <mergeCell ref="G48:H48"/>
    <mergeCell ref="A49:B49"/>
    <mergeCell ref="D49:F49"/>
    <mergeCell ref="A72:B72"/>
    <mergeCell ref="A75:B75"/>
    <mergeCell ref="A43:B43"/>
    <mergeCell ref="A38:B38"/>
    <mergeCell ref="C56:F56"/>
    <mergeCell ref="A183:B183"/>
    <mergeCell ref="A184:B184"/>
    <mergeCell ref="A185:B185"/>
    <mergeCell ref="A178:B178"/>
    <mergeCell ref="G116:H116"/>
    <mergeCell ref="G120:H120"/>
    <mergeCell ref="A117:H117"/>
    <mergeCell ref="E114:F114"/>
    <mergeCell ref="G112:H112"/>
    <mergeCell ref="A116:B116"/>
    <mergeCell ref="E115:F115"/>
    <mergeCell ref="G115:H115"/>
    <mergeCell ref="A130:H130"/>
    <mergeCell ref="E122:F122"/>
    <mergeCell ref="E123:F123"/>
    <mergeCell ref="E124:F124"/>
    <mergeCell ref="A122:B122"/>
    <mergeCell ref="A123:B123"/>
    <mergeCell ref="C122:D122"/>
    <mergeCell ref="A124:B124"/>
    <mergeCell ref="C123:D123"/>
    <mergeCell ref="G122:H122"/>
    <mergeCell ref="G123:H123"/>
    <mergeCell ref="I4:J4"/>
    <mergeCell ref="A197:B197"/>
    <mergeCell ref="A198:B198"/>
    <mergeCell ref="A96:H96"/>
    <mergeCell ref="A97:C98"/>
    <mergeCell ref="C18:D18"/>
    <mergeCell ref="C19:D19"/>
    <mergeCell ref="C20:D20"/>
    <mergeCell ref="C21:D21"/>
    <mergeCell ref="C22:D22"/>
    <mergeCell ref="C24:H24"/>
    <mergeCell ref="C23:H23"/>
    <mergeCell ref="A83:B83"/>
    <mergeCell ref="E83:F83"/>
    <mergeCell ref="A84:B84"/>
    <mergeCell ref="A45:B45"/>
    <mergeCell ref="A46:B46"/>
    <mergeCell ref="A47:B47"/>
    <mergeCell ref="D46:F46"/>
    <mergeCell ref="D45:F45"/>
    <mergeCell ref="D47:F47"/>
    <mergeCell ref="A48:B48"/>
    <mergeCell ref="D48:F48"/>
    <mergeCell ref="A63:B63"/>
  </mergeCells>
  <dataValidations count="6">
    <dataValidation type="list" allowBlank="1" showInputMessage="1" showErrorMessage="1" sqref="G26:H26" xr:uid="{00000000-0002-0000-0000-000001000000}">
      <formula1>"Middle,Upper"</formula1>
    </dataValidation>
    <dataValidation type="list" allowBlank="1" showInputMessage="1" showErrorMessage="1" sqref="C116" xr:uid="{00000000-0002-0000-0000-000002000000}">
      <formula1>"300000,350000,400000,500000,600000,700000,800000,900000,1000000,1200000,1400000,1500000,1600000"</formula1>
    </dataValidation>
    <dataValidation type="list" allowBlank="1" showInputMessage="1" showErrorMessage="1" sqref="F131" xr:uid="{00000000-0002-0000-0000-000003000000}">
      <formula1>"Fungible area,Balcony Area,Chajja Area,Cornice Area,AP Area,WS Area"</formula1>
    </dataValidation>
    <dataValidation type="list" allowBlank="1" showInputMessage="1" showErrorMessage="1" sqref="C27:D27" xr:uid="{00000000-0002-0000-0000-000004000000}">
      <formula1>"Bitumen,Concrete"</formula1>
    </dataValidation>
    <dataValidation type="list" allowBlank="1" showInputMessage="1" showErrorMessage="1" sqref="C51:H51 G35:H35" xr:uid="{00000000-0002-0000-0000-000005000000}">
      <formula1>"Yes,No"</formula1>
    </dataValidation>
    <dataValidation type="list" allowBlank="1" showInputMessage="1" showErrorMessage="1" sqref="C131" xr:uid="{00000000-0002-0000-0000-000006000000}">
      <formula1>"Sale /         Rehab /           PAP,Sale / Mhada,Sale / Landowner"</formula1>
    </dataValidation>
  </dataValidations>
  <hyperlinks>
    <hyperlink ref="C23" r:id="rId1" xr:uid="{00000000-0004-0000-0000-000000000000}"/>
  </hyperlinks>
  <printOptions horizontalCentered="1"/>
  <pageMargins left="0.27559055118110237" right="0.27559055118110237" top="0.70866141732283472" bottom="0.47244094488188981" header="0.15748031496062992" footer="0.15748031496062992"/>
  <pageSetup paperSize="9" scale="68" fitToHeight="0" orientation="portrait" r:id="rId2"/>
  <headerFooter>
    <oddHeader>&amp;C&amp;25&amp;G</oddHeader>
    <oddFooter>&amp;L&amp;"Times New Roman,Bold"&amp;16Ref No: &amp;F&amp;R&amp;"Times New Roman,Bold"&amp;16&amp;P</oddFooter>
  </headerFooter>
  <rowBreaks count="4" manualBreakCount="4">
    <brk id="60" max="16383" man="1"/>
    <brk id="221" max="8" man="1"/>
    <brk id="260" max="16383" man="1"/>
    <brk id="308"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zoomScale="70" zoomScaleNormal="70" workbookViewId="0">
      <selection activeCell="A4" sqref="A4:C5"/>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84" t="s">
        <v>69</v>
      </c>
      <c r="B3" s="84"/>
      <c r="C3" s="84"/>
      <c r="D3" s="84"/>
      <c r="E3" s="84"/>
      <c r="F3" s="84"/>
      <c r="G3" s="84"/>
      <c r="H3" s="84"/>
      <c r="I3" s="84"/>
    </row>
    <row r="4" spans="1:11" s="1" customFormat="1" ht="20.25" customHeight="1" x14ac:dyDescent="0.3">
      <c r="A4" s="178">
        <v>1</v>
      </c>
      <c r="B4" s="178"/>
      <c r="C4" s="178"/>
      <c r="D4" s="179" t="s">
        <v>4</v>
      </c>
      <c r="E4" s="32" t="s">
        <v>118</v>
      </c>
      <c r="F4" s="113" t="s">
        <v>105</v>
      </c>
      <c r="G4" s="113"/>
      <c r="H4" s="32" t="s">
        <v>119</v>
      </c>
      <c r="I4" s="32" t="s">
        <v>120</v>
      </c>
      <c r="J4" s="14"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6"/>
    </row>
    <row r="5" spans="1:11" s="1" customFormat="1" ht="20.25" x14ac:dyDescent="0.3">
      <c r="A5" s="178"/>
      <c r="B5" s="178"/>
      <c r="C5" s="178"/>
      <c r="D5" s="179"/>
      <c r="E5" s="32">
        <v>3</v>
      </c>
      <c r="F5" s="113">
        <v>1</v>
      </c>
      <c r="G5" s="113"/>
      <c r="H5" s="32">
        <v>0</v>
      </c>
      <c r="I5" s="32">
        <f ca="1">--TRIM(RIGHT(SUBSTITUTE(LEFT(A4,_xlfn.AGGREGATE(16,6,FIND({0,1,2,3,4,5,6,7,8,9},A4,ROW(INDIRECT("1:"&amp;LEN(A4)))),1))," ",REPT(" ",LEN(A4))),LEN(A4)))</f>
        <v>1</v>
      </c>
      <c r="J5" s="15" t="s">
        <v>124</v>
      </c>
      <c r="K5" s="16"/>
    </row>
    <row r="6" spans="1:11" s="1" customFormat="1" ht="20.25" customHeight="1" x14ac:dyDescent="0.3">
      <c r="A6" s="88" t="s">
        <v>122</v>
      </c>
      <c r="B6" s="88"/>
      <c r="C6" s="88" t="s">
        <v>135</v>
      </c>
      <c r="D6" s="88"/>
      <c r="E6" s="33" t="s">
        <v>136</v>
      </c>
      <c r="F6" s="88" t="s">
        <v>123</v>
      </c>
      <c r="G6" s="88"/>
      <c r="H6" s="26" t="s">
        <v>121</v>
      </c>
      <c r="I6" s="26"/>
      <c r="J6" s="18" t="s">
        <v>137</v>
      </c>
      <c r="K6" s="17">
        <f ca="1">I5*25%</f>
        <v>0.25</v>
      </c>
    </row>
    <row r="7" spans="1:11" s="1" customFormat="1" ht="20.25" customHeight="1" x14ac:dyDescent="0.3">
      <c r="A7" s="89" t="s">
        <v>138</v>
      </c>
      <c r="B7" s="89"/>
      <c r="C7" s="113">
        <f ca="1">K8</f>
        <v>1</v>
      </c>
      <c r="D7" s="113"/>
      <c r="E7" s="31">
        <f ca="1">((100/I5)*C7)/100</f>
        <v>1</v>
      </c>
      <c r="F7" s="89">
        <f ca="1">(((C7/I5*10)+(C8/I5*25)+(25/(F5+H5+I5)*C9)+(5/(I5)*C10)+(2.5/(I5)*C11)+(2.5/(I5)*C12)+(5/I5*C13)+(2.5/I5*C14)+(2.5/I5*C15)+(5/I5*C16)+(10/I5*C17)+(5/I5*C18))/100)</f>
        <v>0.35</v>
      </c>
      <c r="G7" s="89"/>
      <c r="H7" s="89" t="str">
        <f ca="1">J4</f>
        <v>Excavation work Completed. Plinth work completed</v>
      </c>
      <c r="I7" s="89"/>
      <c r="J7" s="18" t="s">
        <v>125</v>
      </c>
      <c r="K7" s="22">
        <f ca="1">I5*50%</f>
        <v>0.5</v>
      </c>
    </row>
    <row r="8" spans="1:11" s="1" customFormat="1" ht="20.25" x14ac:dyDescent="0.3">
      <c r="A8" s="89" t="s">
        <v>106</v>
      </c>
      <c r="B8" s="89"/>
      <c r="C8" s="177">
        <f ca="1">K16</f>
        <v>1</v>
      </c>
      <c r="D8" s="113"/>
      <c r="E8" s="31">
        <f ca="1">((100/I5)*C8)/100</f>
        <v>1</v>
      </c>
      <c r="F8" s="89"/>
      <c r="G8" s="89"/>
      <c r="H8" s="89"/>
      <c r="I8" s="89"/>
      <c r="J8" s="18" t="s">
        <v>126</v>
      </c>
      <c r="K8" s="22">
        <f ca="1">I5</f>
        <v>1</v>
      </c>
    </row>
    <row r="9" spans="1:11" s="1" customFormat="1" ht="21" customHeight="1" x14ac:dyDescent="0.35">
      <c r="A9" s="89" t="s">
        <v>139</v>
      </c>
      <c r="B9" s="89"/>
      <c r="C9" s="113">
        <v>0</v>
      </c>
      <c r="D9" s="113"/>
      <c r="E9" s="31">
        <f ca="1">((100/(F5+H5+I5))*C9)/100</f>
        <v>0</v>
      </c>
      <c r="F9" s="89"/>
      <c r="G9" s="89"/>
      <c r="H9" s="89"/>
      <c r="I9" s="89"/>
      <c r="J9" s="18" t="s">
        <v>127</v>
      </c>
      <c r="K9" s="23">
        <f ca="1">(IF(E5&gt;1,(I5/(E5+2)),I5*0.2))</f>
        <v>0.2</v>
      </c>
    </row>
    <row r="10" spans="1:11" s="1" customFormat="1" ht="21" customHeight="1" x14ac:dyDescent="0.35">
      <c r="A10" s="89" t="s">
        <v>140</v>
      </c>
      <c r="B10" s="89"/>
      <c r="C10" s="113">
        <v>0</v>
      </c>
      <c r="D10" s="113"/>
      <c r="E10" s="31">
        <f ca="1">((100/I5)*C10)/100</f>
        <v>0</v>
      </c>
      <c r="F10" s="89"/>
      <c r="G10" s="89"/>
      <c r="H10" s="89"/>
      <c r="I10" s="89"/>
      <c r="J10" s="18" t="s">
        <v>128</v>
      </c>
      <c r="K10" s="23">
        <f ca="1">(IF(E5&gt;1,(I5/(E5+2)+K9),I5*0.2+K9))</f>
        <v>0.4</v>
      </c>
    </row>
    <row r="11" spans="1:11" s="1" customFormat="1" ht="21" customHeight="1" x14ac:dyDescent="0.35">
      <c r="A11" s="118" t="s">
        <v>141</v>
      </c>
      <c r="B11" s="119"/>
      <c r="C11" s="113">
        <v>0</v>
      </c>
      <c r="D11" s="113"/>
      <c r="E11" s="31">
        <f ca="1">((100/I5)*C11)/100</f>
        <v>0</v>
      </c>
      <c r="F11" s="89"/>
      <c r="G11" s="89"/>
      <c r="H11" s="89"/>
      <c r="I11" s="89"/>
      <c r="J11" s="18" t="s">
        <v>142</v>
      </c>
      <c r="K11" s="23">
        <f ca="1">(IF(E5&gt;1,(I5/(E5+2)+K10),0))</f>
        <v>0.60000000000000009</v>
      </c>
    </row>
    <row r="12" spans="1:11" s="1" customFormat="1" ht="21" customHeight="1" x14ac:dyDescent="0.35">
      <c r="A12" s="118" t="s">
        <v>174</v>
      </c>
      <c r="B12" s="119"/>
      <c r="C12" s="113">
        <v>0</v>
      </c>
      <c r="D12" s="113"/>
      <c r="E12" s="31">
        <f ca="1">((100/I5)*C12)/100</f>
        <v>0</v>
      </c>
      <c r="F12" s="89"/>
      <c r="G12" s="89"/>
      <c r="H12" s="89"/>
      <c r="I12" s="89"/>
      <c r="J12" s="18" t="s">
        <v>143</v>
      </c>
      <c r="K12" s="23">
        <f ca="1">(IF(E5&gt;2,(I5/(E5+2)+K11),0))</f>
        <v>0.8</v>
      </c>
    </row>
    <row r="13" spans="1:11" s="1" customFormat="1" ht="57.75" customHeight="1" x14ac:dyDescent="0.35">
      <c r="A13" s="118" t="s">
        <v>171</v>
      </c>
      <c r="B13" s="119"/>
      <c r="C13" s="113">
        <v>0</v>
      </c>
      <c r="D13" s="113"/>
      <c r="E13" s="31">
        <f ca="1">((100/(I5))*C13)/100</f>
        <v>0</v>
      </c>
      <c r="F13" s="89"/>
      <c r="G13" s="89"/>
      <c r="H13" s="89"/>
      <c r="I13" s="89"/>
      <c r="J13" s="18" t="s">
        <v>145</v>
      </c>
      <c r="K13" s="24">
        <f>(IF(E5&gt;3,(I5/(E5+2)+K12),0))</f>
        <v>0</v>
      </c>
    </row>
    <row r="14" spans="1:11" s="1" customFormat="1" ht="21" x14ac:dyDescent="0.35">
      <c r="A14" s="89" t="s">
        <v>144</v>
      </c>
      <c r="B14" s="89"/>
      <c r="C14" s="113">
        <v>0</v>
      </c>
      <c r="D14" s="113"/>
      <c r="E14" s="31">
        <f ca="1">((100/(I5))*C14)/100</f>
        <v>0</v>
      </c>
      <c r="F14" s="89"/>
      <c r="G14" s="89"/>
      <c r="H14" s="89"/>
      <c r="I14" s="89"/>
      <c r="J14" s="18" t="s">
        <v>146</v>
      </c>
      <c r="K14" s="23">
        <f>(IF(E5&gt;4,(I5/(E5+2)+K13),0))</f>
        <v>0</v>
      </c>
    </row>
    <row r="15" spans="1:11" s="1" customFormat="1" ht="21" customHeight="1" x14ac:dyDescent="0.35">
      <c r="A15" s="89" t="s">
        <v>173</v>
      </c>
      <c r="B15" s="89"/>
      <c r="C15" s="113">
        <v>0</v>
      </c>
      <c r="D15" s="113"/>
      <c r="E15" s="31">
        <f ca="1">((100/I5)*C15)/100</f>
        <v>0</v>
      </c>
      <c r="F15" s="89"/>
      <c r="G15" s="89"/>
      <c r="H15" s="89"/>
      <c r="I15" s="89"/>
      <c r="J15" s="18" t="s">
        <v>129</v>
      </c>
      <c r="K15" s="23">
        <f>(IF(E5=1,(I5/(E5+3)+K10),IF(E5=0,(I5*0.3+K10),IF(E5&gt;1,0))))</f>
        <v>0</v>
      </c>
    </row>
    <row r="16" spans="1:11" s="1" customFormat="1" ht="21.75" thickBot="1" x14ac:dyDescent="0.4">
      <c r="A16" s="89" t="s">
        <v>172</v>
      </c>
      <c r="B16" s="89"/>
      <c r="C16" s="113">
        <v>0</v>
      </c>
      <c r="D16" s="113"/>
      <c r="E16" s="31">
        <f ca="1">((100/I5)*C16)/100</f>
        <v>0</v>
      </c>
      <c r="F16" s="89"/>
      <c r="G16" s="89"/>
      <c r="H16" s="89"/>
      <c r="I16" s="89"/>
      <c r="J16" s="20" t="s">
        <v>130</v>
      </c>
      <c r="K16" s="25">
        <f ca="1">(IF(E5&gt;1.5,(I5/(E5+2)+K10+MAX(0,K11-K10)+MAX(0,K12-K11)+MAX(0,K13-K12)+MAX(0,K14-K13)+MAX(0,K15-K14)),IF(E5=1,(I5/(E5+3)+K15),IF(E5=0,I5*0.3+K15))))</f>
        <v>1</v>
      </c>
    </row>
    <row r="17" spans="1:9" s="1" customFormat="1" ht="20.25" x14ac:dyDescent="0.25">
      <c r="A17" s="89" t="s">
        <v>147</v>
      </c>
      <c r="B17" s="89"/>
      <c r="C17" s="113">
        <v>0</v>
      </c>
      <c r="D17" s="113"/>
      <c r="E17" s="31">
        <f ca="1">((100/(I5))*C17)/100</f>
        <v>0</v>
      </c>
      <c r="F17" s="89"/>
      <c r="G17" s="89"/>
      <c r="H17" s="89"/>
      <c r="I17" s="89"/>
    </row>
    <row r="18" spans="1:9" s="1" customFormat="1" ht="20.25" x14ac:dyDescent="0.25">
      <c r="A18" s="89" t="s">
        <v>148</v>
      </c>
      <c r="B18" s="89"/>
      <c r="C18" s="113">
        <v>0</v>
      </c>
      <c r="D18" s="113"/>
      <c r="E18" s="31">
        <f ca="1">((100/(I5))*C18)/100</f>
        <v>0</v>
      </c>
      <c r="F18" s="89"/>
      <c r="G18" s="89"/>
      <c r="H18" s="89"/>
      <c r="I18" s="89"/>
    </row>
    <row r="23" spans="1:9" x14ac:dyDescent="0.25">
      <c r="B23" s="176" t="s">
        <v>175</v>
      </c>
      <c r="C23" s="176"/>
      <c r="D23" s="176"/>
      <c r="E23" s="176"/>
      <c r="F23" s="176"/>
      <c r="G23" s="176"/>
    </row>
    <row r="24" spans="1:9" ht="14.45" customHeight="1" x14ac:dyDescent="0.25">
      <c r="B24" s="171" t="s">
        <v>176</v>
      </c>
      <c r="C24" s="171" t="s">
        <v>177</v>
      </c>
      <c r="D24" s="174" t="s">
        <v>178</v>
      </c>
      <c r="E24" s="175" t="s">
        <v>179</v>
      </c>
      <c r="F24" s="172" t="s">
        <v>180</v>
      </c>
      <c r="G24" s="171" t="s">
        <v>181</v>
      </c>
    </row>
    <row r="25" spans="1:9" x14ac:dyDescent="0.25">
      <c r="B25" s="171"/>
      <c r="C25" s="171"/>
      <c r="D25" s="174"/>
      <c r="E25" s="175"/>
      <c r="F25" s="172"/>
      <c r="G25" s="171"/>
    </row>
    <row r="26" spans="1:9" x14ac:dyDescent="0.25">
      <c r="B26" s="45" t="s">
        <v>182</v>
      </c>
      <c r="C26" s="46">
        <v>10</v>
      </c>
      <c r="D26" s="46">
        <v>1</v>
      </c>
      <c r="E26" s="47"/>
      <c r="F26" s="48">
        <f>((E26/D26)*0.05)*100</f>
        <v>0</v>
      </c>
      <c r="G26" s="48">
        <f t="shared" ref="G26:G37" si="0">((E26/D26)*(C26/100))*100</f>
        <v>0</v>
      </c>
    </row>
    <row r="27" spans="1:9" x14ac:dyDescent="0.25">
      <c r="B27" s="45" t="s">
        <v>183</v>
      </c>
      <c r="C27" s="47">
        <v>10</v>
      </c>
      <c r="D27" s="47">
        <v>1</v>
      </c>
      <c r="E27" s="47"/>
      <c r="F27" s="48">
        <f>((E27/D27)*0.05)*100</f>
        <v>0</v>
      </c>
      <c r="G27" s="48">
        <f t="shared" si="0"/>
        <v>0</v>
      </c>
    </row>
    <row r="28" spans="1:9" x14ac:dyDescent="0.25">
      <c r="B28" s="45" t="s">
        <v>184</v>
      </c>
      <c r="C28" s="47">
        <v>15</v>
      </c>
      <c r="D28" s="47">
        <v>1</v>
      </c>
      <c r="E28" s="47"/>
      <c r="F28" s="48">
        <f>((E28/D28)*0.15)*100</f>
        <v>0</v>
      </c>
      <c r="G28" s="48">
        <f t="shared" si="0"/>
        <v>0</v>
      </c>
    </row>
    <row r="29" spans="1:9" x14ac:dyDescent="0.25">
      <c r="B29" s="49" t="s">
        <v>185</v>
      </c>
      <c r="C29" s="47">
        <v>25</v>
      </c>
      <c r="D29" s="47">
        <v>40</v>
      </c>
      <c r="E29" s="47"/>
      <c r="F29" s="48">
        <f>((E29/D29)*0.25)*100</f>
        <v>0</v>
      </c>
      <c r="G29" s="48">
        <f t="shared" si="0"/>
        <v>0</v>
      </c>
    </row>
    <row r="30" spans="1:9" x14ac:dyDescent="0.25">
      <c r="B30" s="49" t="s">
        <v>186</v>
      </c>
      <c r="C30" s="47">
        <v>5</v>
      </c>
      <c r="D30" s="47">
        <v>39</v>
      </c>
      <c r="E30" s="47"/>
      <c r="F30" s="48">
        <f>((E30/D30)*0.05)*100</f>
        <v>0</v>
      </c>
      <c r="G30" s="48">
        <f t="shared" si="0"/>
        <v>0</v>
      </c>
    </row>
    <row r="31" spans="1:9" ht="30" x14ac:dyDescent="0.25">
      <c r="B31" s="49" t="s">
        <v>187</v>
      </c>
      <c r="C31" s="47">
        <v>2.5</v>
      </c>
      <c r="D31" s="47">
        <v>39</v>
      </c>
      <c r="E31" s="47"/>
      <c r="F31" s="48">
        <f>((E31/D31)*0.025)*100</f>
        <v>0</v>
      </c>
      <c r="G31" s="48">
        <f t="shared" si="0"/>
        <v>0</v>
      </c>
    </row>
    <row r="32" spans="1:9" ht="30" x14ac:dyDescent="0.25">
      <c r="B32" s="49" t="s">
        <v>188</v>
      </c>
      <c r="C32" s="47">
        <v>2.5</v>
      </c>
      <c r="D32" s="47">
        <v>39</v>
      </c>
      <c r="E32" s="47"/>
      <c r="F32" s="48">
        <f>((E32/D32)*0.025)*100</f>
        <v>0</v>
      </c>
      <c r="G32" s="48">
        <f t="shared" si="0"/>
        <v>0</v>
      </c>
    </row>
    <row r="33" spans="1:7" ht="45" x14ac:dyDescent="0.25">
      <c r="B33" s="50" t="s">
        <v>189</v>
      </c>
      <c r="C33" s="47">
        <v>5</v>
      </c>
      <c r="D33" s="47">
        <v>39</v>
      </c>
      <c r="E33" s="47"/>
      <c r="F33" s="48">
        <f>((E33/D33)*0.05)*100</f>
        <v>0</v>
      </c>
      <c r="G33" s="48">
        <f t="shared" si="0"/>
        <v>0</v>
      </c>
    </row>
    <row r="34" spans="1:7" ht="30" x14ac:dyDescent="0.25">
      <c r="B34" s="50" t="s">
        <v>190</v>
      </c>
      <c r="C34" s="47">
        <v>5</v>
      </c>
      <c r="D34" s="47">
        <v>39</v>
      </c>
      <c r="E34" s="47"/>
      <c r="F34" s="48">
        <f>((E34/D34)*0.1)*100</f>
        <v>0</v>
      </c>
      <c r="G34" s="48">
        <f t="shared" si="0"/>
        <v>0</v>
      </c>
    </row>
    <row r="35" spans="1:7" ht="30" x14ac:dyDescent="0.25">
      <c r="B35" s="50" t="s">
        <v>191</v>
      </c>
      <c r="C35" s="47">
        <v>5</v>
      </c>
      <c r="D35" s="47">
        <v>39</v>
      </c>
      <c r="E35" s="47"/>
      <c r="F35" s="48">
        <f>((E35/D35)*0.05)*100</f>
        <v>0</v>
      </c>
      <c r="G35" s="48">
        <f t="shared" si="0"/>
        <v>0</v>
      </c>
    </row>
    <row r="36" spans="1:7" ht="60" x14ac:dyDescent="0.25">
      <c r="B36" s="50" t="s">
        <v>192</v>
      </c>
      <c r="C36" s="47">
        <v>10</v>
      </c>
      <c r="D36" s="47">
        <v>39</v>
      </c>
      <c r="E36" s="47"/>
      <c r="F36" s="48">
        <f>((E36/D36)*0.1)*100</f>
        <v>0</v>
      </c>
      <c r="G36" s="48">
        <f t="shared" si="0"/>
        <v>0</v>
      </c>
    </row>
    <row r="37" spans="1:7" ht="45" x14ac:dyDescent="0.25">
      <c r="B37" s="50" t="s">
        <v>193</v>
      </c>
      <c r="C37" s="47">
        <v>5</v>
      </c>
      <c r="D37" s="47">
        <v>39</v>
      </c>
      <c r="E37" s="47"/>
      <c r="F37" s="48">
        <f>((E37/D37)*0.1)*100</f>
        <v>0</v>
      </c>
      <c r="G37" s="48">
        <f t="shared" si="0"/>
        <v>0</v>
      </c>
    </row>
    <row r="38" spans="1:7" ht="15.75" x14ac:dyDescent="0.25">
      <c r="B38" s="51" t="s">
        <v>194</v>
      </c>
      <c r="C38" s="52">
        <f>SUM(C26:C37)</f>
        <v>100</v>
      </c>
      <c r="D38" s="51"/>
      <c r="E38" s="51"/>
      <c r="F38" s="52">
        <f>SUM(F26:F37)</f>
        <v>0</v>
      </c>
      <c r="G38" s="52">
        <f>SUM(G26:G37)</f>
        <v>0</v>
      </c>
    </row>
    <row r="39" spans="1:7" x14ac:dyDescent="0.25">
      <c r="B39" s="172" t="s">
        <v>195</v>
      </c>
      <c r="C39" s="172"/>
      <c r="D39" s="172"/>
      <c r="E39" s="172"/>
      <c r="F39" s="172"/>
      <c r="G39" s="172"/>
    </row>
    <row r="40" spans="1:7" x14ac:dyDescent="0.25">
      <c r="B40" s="173" t="s">
        <v>196</v>
      </c>
      <c r="C40" s="173"/>
      <c r="D40" s="173"/>
      <c r="E40" s="173" t="s">
        <v>197</v>
      </c>
      <c r="F40" s="173"/>
      <c r="G40" s="173"/>
    </row>
    <row r="41" spans="1:7" x14ac:dyDescent="0.25">
      <c r="B41" s="169" t="s">
        <v>198</v>
      </c>
      <c r="C41" s="169"/>
      <c r="D41" s="169"/>
      <c r="E41" s="169" t="s">
        <v>199</v>
      </c>
      <c r="F41" s="169"/>
      <c r="G41" s="169"/>
    </row>
    <row r="42" spans="1:7" x14ac:dyDescent="0.25">
      <c r="B42" s="169" t="s">
        <v>200</v>
      </c>
      <c r="C42" s="169"/>
      <c r="D42" s="169"/>
      <c r="E42" s="169" t="s">
        <v>201</v>
      </c>
      <c r="F42" s="169"/>
      <c r="G42" s="169"/>
    </row>
    <row r="43" spans="1:7" x14ac:dyDescent="0.25">
      <c r="B43" s="170" t="s">
        <v>202</v>
      </c>
      <c r="C43" s="170"/>
      <c r="D43" s="170"/>
      <c r="E43" s="170" t="s">
        <v>203</v>
      </c>
      <c r="F43" s="170"/>
      <c r="G43" s="170"/>
    </row>
    <row r="45" spans="1:7" ht="15.75" thickBot="1" x14ac:dyDescent="0.3"/>
    <row r="46" spans="1:7" ht="17.25" thickTop="1" thickBot="1" x14ac:dyDescent="0.3">
      <c r="A46" s="53" t="s">
        <v>204</v>
      </c>
      <c r="B46" s="53" t="s">
        <v>176</v>
      </c>
      <c r="C46" s="54" t="s">
        <v>205</v>
      </c>
      <c r="D46" s="54" t="s">
        <v>206</v>
      </c>
      <c r="E46" s="54" t="s">
        <v>207</v>
      </c>
    </row>
    <row r="47" spans="1:7" ht="31.5" thickTop="1" thickBot="1" x14ac:dyDescent="0.3">
      <c r="A47" s="55">
        <v>1</v>
      </c>
      <c r="B47" s="56" t="s">
        <v>208</v>
      </c>
      <c r="C47" s="57">
        <v>0</v>
      </c>
      <c r="D47" s="58">
        <v>0.1</v>
      </c>
      <c r="E47" s="57">
        <v>0.1</v>
      </c>
    </row>
    <row r="48" spans="1:7" ht="31.5" thickTop="1" thickBot="1" x14ac:dyDescent="0.3">
      <c r="A48" s="55">
        <v>2</v>
      </c>
      <c r="B48" s="56" t="s">
        <v>209</v>
      </c>
      <c r="C48" s="57" t="s">
        <v>210</v>
      </c>
      <c r="D48" s="58" t="s">
        <v>211</v>
      </c>
      <c r="E48" s="57">
        <v>0.3</v>
      </c>
    </row>
    <row r="49" spans="1:5" ht="61.5" thickTop="1" thickBot="1" x14ac:dyDescent="0.3">
      <c r="A49" s="55">
        <v>3</v>
      </c>
      <c r="B49" s="56" t="s">
        <v>212</v>
      </c>
      <c r="C49" s="57" t="s">
        <v>213</v>
      </c>
      <c r="D49" s="58" t="s">
        <v>214</v>
      </c>
      <c r="E49" s="57">
        <v>0.45</v>
      </c>
    </row>
    <row r="50" spans="1:5" ht="76.5" thickTop="1" thickBot="1" x14ac:dyDescent="0.3">
      <c r="A50" s="55">
        <v>4</v>
      </c>
      <c r="B50" s="56" t="s">
        <v>215</v>
      </c>
      <c r="C50" s="57" t="s">
        <v>216</v>
      </c>
      <c r="D50" s="58" t="s">
        <v>217</v>
      </c>
      <c r="E50" s="57">
        <v>0.7</v>
      </c>
    </row>
    <row r="51" spans="1:5" ht="76.5" thickTop="1" thickBot="1" x14ac:dyDescent="0.3">
      <c r="A51" s="55">
        <v>5</v>
      </c>
      <c r="B51" s="56" t="s">
        <v>218</v>
      </c>
      <c r="C51" s="57" t="s">
        <v>219</v>
      </c>
      <c r="D51" s="58" t="s">
        <v>220</v>
      </c>
      <c r="E51" s="57">
        <v>0.75</v>
      </c>
    </row>
    <row r="52" spans="1:5" ht="76.5" thickTop="1" thickBot="1" x14ac:dyDescent="0.3">
      <c r="A52" s="55">
        <v>6</v>
      </c>
      <c r="B52" s="56" t="s">
        <v>221</v>
      </c>
      <c r="C52" s="57" t="s">
        <v>222</v>
      </c>
      <c r="D52" s="58" t="s">
        <v>223</v>
      </c>
      <c r="E52" s="57">
        <v>0.8</v>
      </c>
    </row>
    <row r="53" spans="1:5" ht="121.5" thickTop="1" thickBot="1" x14ac:dyDescent="0.3">
      <c r="A53" s="55">
        <v>7</v>
      </c>
      <c r="B53" s="56" t="s">
        <v>224</v>
      </c>
      <c r="C53" s="57" t="s">
        <v>225</v>
      </c>
      <c r="D53" s="58" t="s">
        <v>226</v>
      </c>
      <c r="E53" s="57">
        <v>0.85</v>
      </c>
    </row>
    <row r="54" spans="1:5" ht="211.5" thickTop="1" thickBot="1" x14ac:dyDescent="0.3">
      <c r="A54" s="55">
        <v>8</v>
      </c>
      <c r="B54" s="56" t="s">
        <v>227</v>
      </c>
      <c r="C54" s="57" t="s">
        <v>228</v>
      </c>
      <c r="D54" s="58" t="s">
        <v>229</v>
      </c>
      <c r="E54" s="57">
        <v>0.95</v>
      </c>
    </row>
    <row r="55" spans="1:5" ht="91.5" thickTop="1" thickBot="1" x14ac:dyDescent="0.3">
      <c r="A55" s="55">
        <v>9</v>
      </c>
      <c r="B55" s="56" t="s">
        <v>230</v>
      </c>
      <c r="C55" s="57" t="s">
        <v>231</v>
      </c>
      <c r="D55" s="58" t="s">
        <v>232</v>
      </c>
      <c r="E55" s="57">
        <v>1</v>
      </c>
    </row>
    <row r="56" spans="1:5" ht="15.75" thickTop="1" x14ac:dyDescent="0.25"/>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Construction table</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2025-07-18T12:37:21Z</cp:lastPrinted>
  <dcterms:created xsi:type="dcterms:W3CDTF">2010-11-23T11:42:48Z</dcterms:created>
  <dcterms:modified xsi:type="dcterms:W3CDTF">2025-07-18T12:38:56Z</dcterms:modified>
</cp:coreProperties>
</file>