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D:\Kunal\Godrej Buyout\June Data\Correction\Vinaya\Runwal Forest\"/>
    </mc:Choice>
  </mc:AlternateContent>
  <xr:revisionPtr revIDLastSave="0" documentId="13_ncr:1_{3844F05C-C5AF-41DD-B7C4-09B8359E9FBB}" xr6:coauthVersionLast="47" xr6:coauthVersionMax="47" xr10:uidLastSave="{00000000-0000-0000-0000-000000000000}"/>
  <bookViews>
    <workbookView xWindow="-108" yWindow="-108" windowWidth="23256" windowHeight="12456" xr2:uid="{00000000-000D-0000-FFFF-FFFF00000000}"/>
  </bookViews>
  <sheets>
    <sheet name="Report" sheetId="1" r:id="rId1"/>
    <sheet name="C%" sheetId="4" r:id="rId2"/>
  </sheets>
  <definedNames>
    <definedName name="_xlnm.Print_Area" localSheetId="0">Report!$A$1:$H$444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 i="1" l="1"/>
  <c r="I40" i="1"/>
  <c r="I38" i="1"/>
  <c r="I196" i="1" l="1"/>
  <c r="D240" i="1"/>
  <c r="F240" i="1" s="1"/>
  <c r="H240" i="1" s="1"/>
  <c r="D239" i="1"/>
  <c r="F239" i="1" s="1"/>
  <c r="H239" i="1" s="1"/>
  <c r="D238" i="1"/>
  <c r="D237" i="1"/>
  <c r="D236" i="1"/>
  <c r="D235" i="1"/>
  <c r="D234" i="1"/>
  <c r="D233" i="1"/>
  <c r="D232" i="1"/>
  <c r="D231" i="1"/>
  <c r="D230" i="1"/>
  <c r="D229" i="1"/>
  <c r="D228" i="1"/>
  <c r="D227" i="1"/>
  <c r="D225" i="1"/>
  <c r="F225" i="1" s="1"/>
  <c r="H225" i="1" s="1"/>
  <c r="D224" i="1"/>
  <c r="F224" i="1" s="1"/>
  <c r="H224" i="1" s="1"/>
  <c r="N224" i="1" s="1"/>
  <c r="D223" i="1"/>
  <c r="F223" i="1" s="1"/>
  <c r="H223" i="1" s="1"/>
  <c r="N223" i="1" s="1"/>
  <c r="D222" i="1"/>
  <c r="F222" i="1" s="1"/>
  <c r="H222" i="1" s="1"/>
  <c r="N222" i="1" s="1"/>
  <c r="D221" i="1"/>
  <c r="F221" i="1" s="1"/>
  <c r="H221" i="1" s="1"/>
  <c r="N221" i="1" s="1"/>
  <c r="D220" i="1"/>
  <c r="F220" i="1" s="1"/>
  <c r="H220" i="1" s="1"/>
  <c r="N220" i="1" s="1"/>
  <c r="D219" i="1"/>
  <c r="F219" i="1" s="1"/>
  <c r="H219" i="1" s="1"/>
  <c r="N219" i="1" s="1"/>
  <c r="D218" i="1"/>
  <c r="F218" i="1" s="1"/>
  <c r="H218" i="1" s="1"/>
  <c r="N218" i="1" s="1"/>
  <c r="D217" i="1"/>
  <c r="F217" i="1" s="1"/>
  <c r="H217" i="1" s="1"/>
  <c r="D216" i="1"/>
  <c r="F216" i="1" s="1"/>
  <c r="H216" i="1" s="1"/>
  <c r="N216" i="1" s="1"/>
  <c r="D214" i="1"/>
  <c r="F214" i="1" s="1"/>
  <c r="H214" i="1" s="1"/>
  <c r="D213" i="1"/>
  <c r="F213" i="1" s="1"/>
  <c r="H213" i="1" s="1"/>
  <c r="A213" i="1"/>
  <c r="A214" i="1" s="1"/>
  <c r="A215" i="1" s="1"/>
  <c r="A216" i="1" s="1"/>
  <c r="A217" i="1" s="1"/>
  <c r="A218" i="1" s="1"/>
  <c r="A219" i="1" s="1"/>
  <c r="A220" i="1" s="1"/>
  <c r="A221" i="1" s="1"/>
  <c r="A222" i="1" s="1"/>
  <c r="A223" i="1" s="1"/>
  <c r="A224" i="1" s="1"/>
  <c r="A225" i="1" s="1"/>
  <c r="D212" i="1"/>
  <c r="F212" i="1" s="1"/>
  <c r="H212" i="1" s="1"/>
  <c r="D210" i="1"/>
  <c r="F210" i="1" s="1"/>
  <c r="H210" i="1" s="1"/>
  <c r="D209" i="1"/>
  <c r="F209" i="1" s="1"/>
  <c r="H209" i="1" s="1"/>
  <c r="D208" i="1"/>
  <c r="F208" i="1" s="1"/>
  <c r="H208" i="1" s="1"/>
  <c r="D207" i="1"/>
  <c r="F207" i="1" s="1"/>
  <c r="H207" i="1" s="1"/>
  <c r="D206" i="1"/>
  <c r="F206" i="1" s="1"/>
  <c r="H206" i="1" s="1"/>
  <c r="M206" i="1" s="1"/>
  <c r="D205" i="1"/>
  <c r="D204" i="1"/>
  <c r="F204" i="1" s="1"/>
  <c r="H204" i="1" s="1"/>
  <c r="D203" i="1"/>
  <c r="F203" i="1" s="1"/>
  <c r="H203" i="1" s="1"/>
  <c r="D202" i="1"/>
  <c r="F202" i="1" s="1"/>
  <c r="H202" i="1" s="1"/>
  <c r="M202" i="1" s="1"/>
  <c r="D201" i="1"/>
  <c r="F201" i="1" s="1"/>
  <c r="H201" i="1" s="1"/>
  <c r="D200" i="1"/>
  <c r="F200" i="1" s="1"/>
  <c r="H200" i="1" s="1"/>
  <c r="D199" i="1"/>
  <c r="F199" i="1" s="1"/>
  <c r="H199" i="1" s="1"/>
  <c r="D198" i="1"/>
  <c r="F198" i="1" s="1"/>
  <c r="H198" i="1" s="1"/>
  <c r="M198" i="1" s="1"/>
  <c r="D197" i="1"/>
  <c r="F197" i="1" s="1"/>
  <c r="H197" i="1" s="1"/>
  <c r="F205" i="1"/>
  <c r="H205" i="1" s="1"/>
  <c r="A198" i="1"/>
  <c r="A199" i="1" s="1"/>
  <c r="A200" i="1" s="1"/>
  <c r="A201" i="1" s="1"/>
  <c r="A202" i="1" s="1"/>
  <c r="A203" i="1" s="1"/>
  <c r="A204" i="1" s="1"/>
  <c r="A205" i="1" s="1"/>
  <c r="A206" i="1" s="1"/>
  <c r="A207" i="1" s="1"/>
  <c r="A208" i="1" s="1"/>
  <c r="A209" i="1" s="1"/>
  <c r="A210" i="1" s="1"/>
  <c r="I172" i="1"/>
  <c r="I169" i="1"/>
  <c r="D195" i="1"/>
  <c r="D194" i="1"/>
  <c r="F194" i="1" s="1"/>
  <c r="H194" i="1" s="1"/>
  <c r="D193" i="1"/>
  <c r="F193" i="1" s="1"/>
  <c r="H193" i="1" s="1"/>
  <c r="D192" i="1"/>
  <c r="F192" i="1" s="1"/>
  <c r="H192" i="1" s="1"/>
  <c r="D191" i="1"/>
  <c r="F191" i="1" s="1"/>
  <c r="H191" i="1" s="1"/>
  <c r="D190" i="1"/>
  <c r="F190" i="1" s="1"/>
  <c r="H190" i="1" s="1"/>
  <c r="D189" i="1"/>
  <c r="F189" i="1" s="1"/>
  <c r="H189" i="1" s="1"/>
  <c r="D188" i="1"/>
  <c r="F188" i="1" s="1"/>
  <c r="H188" i="1" s="1"/>
  <c r="D187" i="1"/>
  <c r="F187" i="1" s="1"/>
  <c r="H187" i="1" s="1"/>
  <c r="D186" i="1"/>
  <c r="F186" i="1" s="1"/>
  <c r="H186" i="1" s="1"/>
  <c r="F195" i="1"/>
  <c r="H195" i="1" s="1"/>
  <c r="A183" i="1"/>
  <c r="A184" i="1" s="1"/>
  <c r="A185" i="1" s="1"/>
  <c r="A186" i="1" s="1"/>
  <c r="A187" i="1" s="1"/>
  <c r="A188" i="1" s="1"/>
  <c r="A189" i="1" s="1"/>
  <c r="A190" i="1" s="1"/>
  <c r="A191" i="1" s="1"/>
  <c r="A192" i="1" s="1"/>
  <c r="A193" i="1" s="1"/>
  <c r="A194" i="1" s="1"/>
  <c r="A195" i="1" s="1"/>
  <c r="D178" i="1"/>
  <c r="F178" i="1" s="1"/>
  <c r="H178" i="1" s="1"/>
  <c r="D177" i="1"/>
  <c r="F177" i="1" s="1"/>
  <c r="H177" i="1" s="1"/>
  <c r="D176" i="1"/>
  <c r="F176" i="1" s="1"/>
  <c r="H176" i="1" s="1"/>
  <c r="D175" i="1"/>
  <c r="F175" i="1" s="1"/>
  <c r="H175" i="1" s="1"/>
  <c r="D174" i="1"/>
  <c r="F174" i="1" s="1"/>
  <c r="H174" i="1" s="1"/>
  <c r="D173" i="1"/>
  <c r="F173" i="1" s="1"/>
  <c r="H173" i="1" s="1"/>
  <c r="D172" i="1"/>
  <c r="F172" i="1" s="1"/>
  <c r="H172" i="1" s="1"/>
  <c r="D171" i="1"/>
  <c r="F171" i="1" s="1"/>
  <c r="H171" i="1" s="1"/>
  <c r="D170" i="1"/>
  <c r="F170" i="1" s="1"/>
  <c r="H170" i="1" s="1"/>
  <c r="A170" i="1"/>
  <c r="A171" i="1" s="1"/>
  <c r="A172" i="1" s="1"/>
  <c r="A173" i="1" s="1"/>
  <c r="A174" i="1" s="1"/>
  <c r="A175" i="1" s="1"/>
  <c r="A176" i="1" s="1"/>
  <c r="A177" i="1" s="1"/>
  <c r="A178" i="1" s="1"/>
  <c r="A179" i="1" s="1"/>
  <c r="A180" i="1" s="1"/>
  <c r="D169" i="1"/>
  <c r="F169" i="1" s="1"/>
  <c r="H169" i="1" s="1"/>
  <c r="D163" i="1"/>
  <c r="F163" i="1" s="1"/>
  <c r="H163" i="1" s="1"/>
  <c r="D162" i="1"/>
  <c r="F162" i="1" s="1"/>
  <c r="H162" i="1" s="1"/>
  <c r="D161" i="1"/>
  <c r="F161" i="1" s="1"/>
  <c r="H161" i="1" s="1"/>
  <c r="D160" i="1"/>
  <c r="F160" i="1" s="1"/>
  <c r="H160" i="1" s="1"/>
  <c r="D159" i="1"/>
  <c r="F159" i="1" s="1"/>
  <c r="H159" i="1" s="1"/>
  <c r="D158" i="1"/>
  <c r="F158" i="1" s="1"/>
  <c r="H158" i="1" s="1"/>
  <c r="D157" i="1"/>
  <c r="F157" i="1" s="1"/>
  <c r="H157" i="1" s="1"/>
  <c r="D156" i="1"/>
  <c r="F156" i="1" s="1"/>
  <c r="H156" i="1" s="1"/>
  <c r="D155" i="1"/>
  <c r="F155" i="1" s="1"/>
  <c r="H155" i="1" s="1"/>
  <c r="D154" i="1"/>
  <c r="F154" i="1" s="1"/>
  <c r="H154" i="1" s="1"/>
  <c r="A155" i="1"/>
  <c r="A156" i="1" s="1"/>
  <c r="A157" i="1" s="1"/>
  <c r="A158" i="1" s="1"/>
  <c r="A159" i="1" s="1"/>
  <c r="A160" i="1" s="1"/>
  <c r="A161" i="1" s="1"/>
  <c r="A162" i="1" s="1"/>
  <c r="A163" i="1" s="1"/>
  <c r="A164" i="1" s="1"/>
  <c r="A165" i="1" s="1"/>
  <c r="D148" i="1"/>
  <c r="F148" i="1" s="1"/>
  <c r="H148" i="1" s="1"/>
  <c r="D147" i="1"/>
  <c r="F147" i="1" s="1"/>
  <c r="H147" i="1" s="1"/>
  <c r="D146" i="1"/>
  <c r="F146" i="1" s="1"/>
  <c r="H146" i="1" s="1"/>
  <c r="D145" i="1"/>
  <c r="F145" i="1" s="1"/>
  <c r="H145" i="1" s="1"/>
  <c r="D144" i="1"/>
  <c r="F144" i="1" s="1"/>
  <c r="H144" i="1" s="1"/>
  <c r="D143" i="1"/>
  <c r="F143" i="1" s="1"/>
  <c r="H143" i="1" s="1"/>
  <c r="D142" i="1"/>
  <c r="F142" i="1" s="1"/>
  <c r="H142" i="1" s="1"/>
  <c r="D141" i="1"/>
  <c r="F141" i="1" s="1"/>
  <c r="H141" i="1" s="1"/>
  <c r="D140" i="1"/>
  <c r="F140" i="1" s="1"/>
  <c r="H140" i="1" s="1"/>
  <c r="D139" i="1"/>
  <c r="F139" i="1" s="1"/>
  <c r="H139" i="1" s="1"/>
  <c r="A129" i="1"/>
  <c r="A130" i="1" s="1"/>
  <c r="A131" i="1" s="1"/>
  <c r="A132" i="1" s="1"/>
  <c r="A133" i="1" s="1"/>
  <c r="A134" i="1" s="1"/>
  <c r="A135" i="1" s="1"/>
  <c r="A140" i="1"/>
  <c r="A141" i="1" s="1"/>
  <c r="A142" i="1" s="1"/>
  <c r="A143" i="1" s="1"/>
  <c r="A144" i="1" s="1"/>
  <c r="A145" i="1" s="1"/>
  <c r="A146" i="1" s="1"/>
  <c r="A147" i="1" s="1"/>
  <c r="A148" i="1" s="1"/>
  <c r="A149" i="1" s="1"/>
  <c r="A150" i="1" s="1"/>
  <c r="D127" i="1"/>
  <c r="D126" i="1"/>
  <c r="F126" i="1" s="1"/>
  <c r="H126" i="1" s="1"/>
  <c r="D125" i="1"/>
  <c r="F125" i="1" s="1"/>
  <c r="H125" i="1" s="1"/>
  <c r="D124" i="1"/>
  <c r="A125" i="1"/>
  <c r="A126" i="1" s="1"/>
  <c r="A127" i="1" s="1"/>
  <c r="O217" i="1" l="1"/>
  <c r="N217" i="1"/>
  <c r="F124" i="1"/>
  <c r="H124" i="1" s="1"/>
  <c r="C93" i="1"/>
  <c r="C94" i="1"/>
  <c r="F127" i="1"/>
  <c r="F289" i="1"/>
  <c r="A285" i="1"/>
  <c r="A286" i="1" s="1"/>
  <c r="A287" i="1" s="1"/>
  <c r="A288" i="1" s="1"/>
  <c r="A289" i="1" s="1"/>
  <c r="A290" i="1" s="1"/>
  <c r="A291" i="1" s="1"/>
  <c r="A292" i="1" s="1"/>
  <c r="A293" i="1" s="1"/>
  <c r="A294" i="1" s="1"/>
  <c r="A269" i="1"/>
  <c r="A270" i="1" s="1"/>
  <c r="A271" i="1" s="1"/>
  <c r="A272" i="1" s="1"/>
  <c r="A273" i="1" s="1"/>
  <c r="A274" i="1" s="1"/>
  <c r="A275" i="1" s="1"/>
  <c r="A276" i="1" s="1"/>
  <c r="A277" i="1" s="1"/>
  <c r="A278" i="1" s="1"/>
  <c r="A279" i="1" s="1"/>
  <c r="A256" i="1"/>
  <c r="A257" i="1" s="1"/>
  <c r="A258" i="1" s="1"/>
  <c r="A259" i="1" s="1"/>
  <c r="A260" i="1" s="1"/>
  <c r="A261" i="1" s="1"/>
  <c r="A262" i="1" s="1"/>
  <c r="A263" i="1" s="1"/>
  <c r="A264" i="1" s="1"/>
  <c r="A265" i="1" s="1"/>
  <c r="A266" i="1" s="1"/>
  <c r="A243" i="1"/>
  <c r="A244" i="1" s="1"/>
  <c r="A245" i="1" s="1"/>
  <c r="A246" i="1" s="1"/>
  <c r="A247" i="1" s="1"/>
  <c r="A248" i="1" s="1"/>
  <c r="A249" i="1" s="1"/>
  <c r="A250" i="1" s="1"/>
  <c r="A251" i="1" s="1"/>
  <c r="A252" i="1" s="1"/>
  <c r="A253" i="1" s="1"/>
  <c r="A228" i="1"/>
  <c r="A229" i="1" s="1"/>
  <c r="A230" i="1" s="1"/>
  <c r="A231" i="1" s="1"/>
  <c r="A232" i="1" s="1"/>
  <c r="A233" i="1" s="1"/>
  <c r="A234" i="1" s="1"/>
  <c r="A235" i="1" s="1"/>
  <c r="A236" i="1" s="1"/>
  <c r="A237" i="1" s="1"/>
  <c r="A238" i="1" s="1"/>
  <c r="A239" i="1" s="1"/>
  <c r="A240" i="1" s="1"/>
  <c r="A105" i="1"/>
  <c r="A106" i="1" s="1"/>
  <c r="A107" i="1" s="1"/>
  <c r="A108" i="1" s="1"/>
  <c r="A109" i="1" s="1"/>
  <c r="A110" i="1" s="1"/>
  <c r="A111" i="1" s="1"/>
  <c r="A112" i="1" s="1"/>
  <c r="A113" i="1" s="1"/>
  <c r="A114" i="1" s="1"/>
  <c r="A115" i="1" s="1"/>
  <c r="F279" i="1"/>
  <c r="H279" i="1" s="1"/>
  <c r="F278" i="1"/>
  <c r="H278" i="1" s="1"/>
  <c r="F277" i="1"/>
  <c r="H277" i="1" s="1"/>
  <c r="F276" i="1"/>
  <c r="H276" i="1" s="1"/>
  <c r="F275" i="1"/>
  <c r="H275" i="1" s="1"/>
  <c r="F274" i="1"/>
  <c r="H274" i="1" s="1"/>
  <c r="F273" i="1"/>
  <c r="H273" i="1" s="1"/>
  <c r="F272" i="1"/>
  <c r="H272" i="1" s="1"/>
  <c r="F271" i="1"/>
  <c r="H271" i="1" s="1"/>
  <c r="F270" i="1"/>
  <c r="H270" i="1" s="1"/>
  <c r="F269" i="1"/>
  <c r="H269" i="1" s="1"/>
  <c r="F268" i="1"/>
  <c r="H268" i="1" s="1"/>
  <c r="F266" i="1"/>
  <c r="H266" i="1" s="1"/>
  <c r="F265" i="1"/>
  <c r="H265" i="1" s="1"/>
  <c r="F264" i="1"/>
  <c r="H264" i="1" s="1"/>
  <c r="F263" i="1"/>
  <c r="H263" i="1" s="1"/>
  <c r="F262" i="1"/>
  <c r="H262" i="1" s="1"/>
  <c r="F261" i="1"/>
  <c r="H261" i="1" s="1"/>
  <c r="F260" i="1"/>
  <c r="H260" i="1" s="1"/>
  <c r="F259" i="1"/>
  <c r="H259" i="1" s="1"/>
  <c r="F258" i="1"/>
  <c r="H258" i="1" s="1"/>
  <c r="F257" i="1"/>
  <c r="H257" i="1" s="1"/>
  <c r="F256" i="1"/>
  <c r="H256" i="1" s="1"/>
  <c r="F255" i="1"/>
  <c r="H255" i="1" s="1"/>
  <c r="F253" i="1"/>
  <c r="H253" i="1" s="1"/>
  <c r="F252" i="1"/>
  <c r="H252" i="1" s="1"/>
  <c r="F251" i="1"/>
  <c r="H251" i="1" s="1"/>
  <c r="F250" i="1"/>
  <c r="H250" i="1" s="1"/>
  <c r="F249" i="1"/>
  <c r="H249" i="1" s="1"/>
  <c r="F248" i="1"/>
  <c r="H248" i="1" s="1"/>
  <c r="F247" i="1"/>
  <c r="H247" i="1" s="1"/>
  <c r="F246" i="1"/>
  <c r="H246" i="1" s="1"/>
  <c r="F245" i="1"/>
  <c r="H245" i="1" s="1"/>
  <c r="F244" i="1"/>
  <c r="H244" i="1" s="1"/>
  <c r="F243" i="1"/>
  <c r="H243" i="1" s="1"/>
  <c r="F242" i="1"/>
  <c r="H242" i="1" s="1"/>
  <c r="F105" i="1"/>
  <c r="H105" i="1" s="1"/>
  <c r="F106" i="1"/>
  <c r="F107" i="1"/>
  <c r="H107" i="1" s="1"/>
  <c r="F108" i="1"/>
  <c r="F109" i="1"/>
  <c r="F110" i="1"/>
  <c r="F111" i="1"/>
  <c r="F112" i="1"/>
  <c r="F113" i="1"/>
  <c r="F114" i="1"/>
  <c r="F115" i="1"/>
  <c r="F104" i="1"/>
  <c r="H104" i="1" s="1"/>
  <c r="F238" i="1"/>
  <c r="H238" i="1" s="1"/>
  <c r="F237" i="1"/>
  <c r="H237" i="1" s="1"/>
  <c r="F236" i="1"/>
  <c r="H236" i="1" s="1"/>
  <c r="F235" i="1"/>
  <c r="H235" i="1" s="1"/>
  <c r="F234" i="1"/>
  <c r="H234" i="1" s="1"/>
  <c r="F233" i="1"/>
  <c r="H233" i="1" s="1"/>
  <c r="F232" i="1"/>
  <c r="H232" i="1" s="1"/>
  <c r="F231" i="1"/>
  <c r="H231" i="1" s="1"/>
  <c r="F230" i="1"/>
  <c r="H230" i="1" s="1"/>
  <c r="F229" i="1"/>
  <c r="H229" i="1" s="1"/>
  <c r="F228" i="1"/>
  <c r="H228" i="1" s="1"/>
  <c r="F227" i="1"/>
  <c r="H227" i="1" s="1"/>
  <c r="G93" i="1" l="1"/>
  <c r="C96" i="1"/>
  <c r="H127" i="1"/>
  <c r="G94" i="1" s="1"/>
  <c r="E94" i="1"/>
  <c r="E93" i="1"/>
  <c r="E96" i="1" s="1"/>
  <c r="E90" i="1"/>
  <c r="C90" i="1"/>
  <c r="C97" i="1" l="1"/>
  <c r="G96" i="1"/>
  <c r="E97" i="1"/>
  <c r="C8" i="1"/>
  <c r="J71" i="1" l="1"/>
  <c r="J70" i="1"/>
  <c r="J69" i="1"/>
  <c r="J68" i="1"/>
  <c r="H63" i="1"/>
  <c r="J65" i="1" l="1"/>
  <c r="E66" i="1" s="1"/>
  <c r="F66" i="1" s="1"/>
  <c r="J63" i="1"/>
  <c r="F70" i="1"/>
  <c r="F75" i="1"/>
  <c r="F69" i="1"/>
  <c r="J66" i="1"/>
  <c r="J67" i="1" s="1"/>
  <c r="J72" i="1" s="1"/>
  <c r="J73" i="1" s="1"/>
  <c r="E67" i="1" s="1"/>
  <c r="G66" i="1" s="1"/>
  <c r="F71" i="1"/>
  <c r="F74" i="1"/>
  <c r="F68" i="1"/>
  <c r="F72" i="1"/>
  <c r="F73" i="1"/>
  <c r="J64" i="1"/>
  <c r="F67" i="1" l="1"/>
  <c r="I60" i="1"/>
  <c r="C64" i="1" s="1"/>
  <c r="H106" i="1" l="1"/>
  <c r="H108" i="1"/>
  <c r="H109" i="1"/>
  <c r="H110" i="1"/>
  <c r="H111" i="1"/>
  <c r="H112" i="1"/>
  <c r="H113" i="1"/>
  <c r="H114" i="1"/>
  <c r="H115" i="1"/>
  <c r="G90" i="1" l="1"/>
  <c r="G42" i="1"/>
  <c r="G97" i="1" l="1"/>
  <c r="G5" i="1"/>
  <c r="G43" i="1" l="1"/>
  <c r="G44" i="1" s="1"/>
  <c r="H11" i="4" l="1"/>
  <c r="H10" i="4"/>
  <c r="H9" i="4"/>
  <c r="H8" i="4"/>
  <c r="F2" i="4"/>
  <c r="C12" i="4" l="1"/>
  <c r="C8" i="4"/>
  <c r="C11" i="4"/>
  <c r="C7" i="4"/>
  <c r="H6" i="4"/>
  <c r="H7" i="4" s="1"/>
  <c r="H12" i="4" s="1"/>
  <c r="H13" i="4" s="1"/>
  <c r="B5" i="4" s="1"/>
  <c r="C13" i="4"/>
  <c r="H3" i="4"/>
  <c r="H4" i="4"/>
  <c r="C10" i="4"/>
  <c r="D12" i="4"/>
  <c r="C9" i="4"/>
  <c r="H5" i="4"/>
  <c r="B4" i="4" s="1"/>
  <c r="C4" i="4" l="1"/>
  <c r="D9" i="4" s="1"/>
  <c r="C6" i="4"/>
  <c r="D13" i="4"/>
  <c r="D8" i="4"/>
  <c r="C5" i="4"/>
  <c r="D10" i="4" l="1"/>
  <c r="D11" i="4" l="1"/>
  <c r="D4" i="4" s="1"/>
  <c r="E4" i="4" s="1"/>
  <c r="C29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Windows User</author>
  </authors>
  <commentList>
    <comment ref="A9" authorId="0" shapeId="0" xr:uid="{00000000-0006-0000-0000-000001000000}">
      <text>
        <r>
          <rPr>
            <b/>
            <sz val="9"/>
            <color indexed="81"/>
            <rFont val="Tahoma"/>
            <family val="2"/>
          </rPr>
          <t>SACHIN:</t>
        </r>
        <r>
          <rPr>
            <sz val="9"/>
            <color indexed="81"/>
            <rFont val="Tahoma"/>
            <family val="2"/>
          </rPr>
          <t xml:space="preserve">
As per CC</t>
        </r>
      </text>
    </comment>
    <comment ref="C9" authorId="0" shapeId="0" xr:uid="{00000000-0006-0000-0000-000002000000}">
      <text>
        <r>
          <rPr>
            <b/>
            <sz val="9"/>
            <color indexed="81"/>
            <rFont val="Tahoma"/>
            <family val="2"/>
          </rPr>
          <t>Take address from CC</t>
        </r>
      </text>
    </comment>
    <comment ref="C21" authorId="0" shapeId="0" xr:uid="{00000000-0006-0000-0000-000003000000}">
      <text>
        <r>
          <rPr>
            <b/>
            <sz val="9"/>
            <color indexed="81"/>
            <rFont val="Tahoma"/>
            <family val="2"/>
          </rPr>
          <t>Builder's office address from RERA</t>
        </r>
        <r>
          <rPr>
            <sz val="9"/>
            <color indexed="81"/>
            <rFont val="Tahoma"/>
            <family val="2"/>
          </rPr>
          <t xml:space="preserve">
</t>
        </r>
      </text>
    </comment>
    <comment ref="C24" authorId="0" shapeId="0" xr:uid="{00000000-0006-0000-0000-000004000000}">
      <text>
        <r>
          <rPr>
            <b/>
            <sz val="9"/>
            <color indexed="81"/>
            <rFont val="Tahoma"/>
            <family val="2"/>
          </rPr>
          <t>Provided during initiation</t>
        </r>
        <r>
          <rPr>
            <sz val="9"/>
            <color indexed="81"/>
            <rFont val="Tahoma"/>
            <family val="2"/>
          </rPr>
          <t xml:space="preserve">
</t>
        </r>
      </text>
    </comment>
    <comment ref="C25" authorId="1" shapeId="0" xr:uid="{00000000-0006-0000-0000-000005000000}">
      <text>
        <r>
          <rPr>
            <b/>
            <sz val="11"/>
            <color indexed="81"/>
            <rFont val="Tahoma"/>
            <family val="2"/>
          </rPr>
          <t xml:space="preserve">Authority
</t>
        </r>
      </text>
    </comment>
    <comment ref="C26" authorId="0" shapeId="0" xr:uid="{00000000-0006-0000-0000-000006000000}">
      <text>
        <r>
          <rPr>
            <b/>
            <sz val="9"/>
            <color indexed="81"/>
            <rFont val="Tahoma"/>
            <family val="2"/>
          </rPr>
          <t>Apartments or 
Apartments + Shops</t>
        </r>
      </text>
    </comment>
    <comment ref="G28" authorId="0" shapeId="0" xr:uid="{00000000-0006-0000-0000-000007000000}">
      <text>
        <r>
          <rPr>
            <b/>
            <sz val="9"/>
            <color indexed="81"/>
            <rFont val="Tahoma"/>
            <family val="2"/>
          </rPr>
          <t>15% of Total No of Flats</t>
        </r>
        <r>
          <rPr>
            <sz val="9"/>
            <color indexed="81"/>
            <rFont val="Tahoma"/>
            <family val="2"/>
          </rPr>
          <t xml:space="preserve">
</t>
        </r>
      </text>
    </comment>
    <comment ref="E32" authorId="0" shapeId="0" xr:uid="{00000000-0006-0000-0000-000008000000}">
      <text>
        <r>
          <rPr>
            <b/>
            <sz val="9"/>
            <color indexed="81"/>
            <rFont val="Tahoma"/>
            <family val="2"/>
          </rPr>
          <t>If Sale deed is provided</t>
        </r>
        <r>
          <rPr>
            <sz val="9"/>
            <color indexed="81"/>
            <rFont val="Tahoma"/>
            <family val="2"/>
          </rPr>
          <t xml:space="preserve">
</t>
        </r>
      </text>
    </comment>
    <comment ref="F32" authorId="0" shapeId="0" xr:uid="{00000000-0006-0000-0000-000009000000}">
      <text>
        <r>
          <rPr>
            <b/>
            <sz val="9"/>
            <color indexed="81"/>
            <rFont val="Tahoma"/>
            <family val="2"/>
          </rPr>
          <t>If Sale deed is provided</t>
        </r>
        <r>
          <rPr>
            <sz val="9"/>
            <color indexed="81"/>
            <rFont val="Tahoma"/>
            <family val="2"/>
          </rPr>
          <t xml:space="preserve">
</t>
        </r>
      </text>
    </comment>
    <comment ref="G32" authorId="0" shapeId="0" xr:uid="{00000000-0006-0000-0000-00000A000000}">
      <text>
        <r>
          <rPr>
            <b/>
            <sz val="9"/>
            <color indexed="81"/>
            <rFont val="Tahoma"/>
            <family val="2"/>
          </rPr>
          <t>If Sale deed is provided</t>
        </r>
        <r>
          <rPr>
            <sz val="9"/>
            <color indexed="81"/>
            <rFont val="Tahoma"/>
            <family val="2"/>
          </rPr>
          <t xml:space="preserve">
</t>
        </r>
      </text>
    </comment>
    <comment ref="H32" authorId="0" shapeId="0" xr:uid="{00000000-0006-0000-0000-00000B000000}">
      <text>
        <r>
          <rPr>
            <b/>
            <sz val="9"/>
            <color indexed="81"/>
            <rFont val="Tahoma"/>
            <family val="2"/>
          </rPr>
          <t>If Sale deed is provided</t>
        </r>
        <r>
          <rPr>
            <sz val="9"/>
            <color indexed="81"/>
            <rFont val="Tahoma"/>
            <family val="2"/>
          </rPr>
          <t xml:space="preserve">
</t>
        </r>
      </text>
    </comment>
    <comment ref="C47" authorId="0" shapeId="0" xr:uid="{00000000-0006-0000-0000-00000C000000}">
      <text>
        <r>
          <rPr>
            <b/>
            <sz val="9"/>
            <color indexed="81"/>
            <rFont val="Tahoma"/>
            <family val="2"/>
          </rPr>
          <t>height should also be mentioned</t>
        </r>
      </text>
    </comment>
    <comment ref="C60" authorId="0" shapeId="0" xr:uid="{00000000-0006-0000-0000-00000D000000}">
      <text>
        <r>
          <rPr>
            <b/>
            <sz val="9"/>
            <color indexed="81"/>
            <rFont val="Tahoma"/>
            <family val="2"/>
          </rPr>
          <t>RERA Start date</t>
        </r>
      </text>
    </comment>
    <comment ref="H78" authorId="0" shapeId="0" xr:uid="{00000000-0006-0000-0000-00000E000000}">
      <text>
        <r>
          <rPr>
            <b/>
            <sz val="9"/>
            <color indexed="81"/>
            <rFont val="Tahoma"/>
            <family val="2"/>
          </rPr>
          <t>if multiple buildings are in project and are connected internally</t>
        </r>
      </text>
    </comment>
    <comment ref="C80" authorId="0" shapeId="0" xr:uid="{00000000-0006-0000-0000-00000F000000}">
      <text>
        <r>
          <rPr>
            <b/>
            <sz val="9"/>
            <color indexed="81"/>
            <rFont val="Tahoma"/>
            <family val="2"/>
          </rPr>
          <t>AAC Block or Brick</t>
        </r>
      </text>
    </comment>
    <comment ref="H82" authorId="0" shapeId="0" xr:uid="{00000000-0006-0000-0000-000010000000}">
      <text>
        <r>
          <rPr>
            <b/>
            <sz val="9"/>
            <color indexed="81"/>
            <rFont val="Tahoma"/>
            <family val="2"/>
          </rPr>
          <t>If present on slopy area</t>
        </r>
        <r>
          <rPr>
            <sz val="9"/>
            <color indexed="81"/>
            <rFont val="Tahoma"/>
            <family val="2"/>
          </rPr>
          <t xml:space="preserve">
</t>
        </r>
      </text>
    </comment>
  </commentList>
</comments>
</file>

<file path=xl/sharedStrings.xml><?xml version="1.0" encoding="utf-8"?>
<sst xmlns="http://schemas.openxmlformats.org/spreadsheetml/2006/main" count="519" uniqueCount="309">
  <si>
    <t>Name of the project</t>
  </si>
  <si>
    <t xml:space="preserve">Address </t>
  </si>
  <si>
    <t>Name of the builder / developer</t>
  </si>
  <si>
    <t xml:space="preserve">Office address (agreement) </t>
  </si>
  <si>
    <t>Builder Bank Details</t>
  </si>
  <si>
    <t>Contact No.</t>
  </si>
  <si>
    <t>Village</t>
  </si>
  <si>
    <t>Other HFC's Approval / Funding</t>
  </si>
  <si>
    <t>No. of Tenements / Units in Project</t>
  </si>
  <si>
    <t>Verification of the schedule of the property</t>
  </si>
  <si>
    <t>Sale deed</t>
  </si>
  <si>
    <t>Physical on site</t>
  </si>
  <si>
    <t>North</t>
  </si>
  <si>
    <t>South</t>
  </si>
  <si>
    <t>East</t>
  </si>
  <si>
    <t>West</t>
  </si>
  <si>
    <t>Verification of survey No. (Title document)</t>
  </si>
  <si>
    <t xml:space="preserve">Approach road </t>
  </si>
  <si>
    <t>Yes/No</t>
  </si>
  <si>
    <t>Layout approval if applicable</t>
  </si>
  <si>
    <t>Building height / No. of Floors</t>
  </si>
  <si>
    <t>NA / Land conversion</t>
  </si>
  <si>
    <t>CONSTRUCTION PROGRESS</t>
  </si>
  <si>
    <t>Baseline start date</t>
  </si>
  <si>
    <t>Baseline finish date</t>
  </si>
  <si>
    <t>General comment on progress</t>
  </si>
  <si>
    <t>QUALITY/NDMC Parameters</t>
  </si>
  <si>
    <t>Type of Structure</t>
  </si>
  <si>
    <t>Expansion Joint Available</t>
  </si>
  <si>
    <t>Mortar Type</t>
  </si>
  <si>
    <t>Flood Prone Area</t>
  </si>
  <si>
    <t>Masonry Type</t>
  </si>
  <si>
    <t>Projected Parts Available</t>
  </si>
  <si>
    <t>Footing Type</t>
  </si>
  <si>
    <t>Fire Exit Available</t>
  </si>
  <si>
    <t>Soil Type</t>
  </si>
  <si>
    <t>Ground Slope &gt;20%</t>
  </si>
  <si>
    <t>Concrete Grade</t>
  </si>
  <si>
    <t>Ground Slope Vulnerable to land slide</t>
  </si>
  <si>
    <t>Steel Grade</t>
  </si>
  <si>
    <t>Soil liquefiable</t>
  </si>
  <si>
    <t>Cyclone Zone-Wind speed (m/s)</t>
  </si>
  <si>
    <t>Coastal regulatory Zone</t>
  </si>
  <si>
    <t>Seismic Zone</t>
  </si>
  <si>
    <t>Environment exposure condition</t>
  </si>
  <si>
    <t>BUILDING / BLOCK - Configuration Details</t>
  </si>
  <si>
    <t>Floors</t>
  </si>
  <si>
    <t>REMARKS ON RECOMMENDATION</t>
  </si>
  <si>
    <t>RERA No.-</t>
  </si>
  <si>
    <t>Cement &amp; Sand</t>
  </si>
  <si>
    <t>RCC</t>
  </si>
  <si>
    <t>Yes</t>
  </si>
  <si>
    <t>No</t>
  </si>
  <si>
    <t>Moderate</t>
  </si>
  <si>
    <t>III</t>
  </si>
  <si>
    <t>1BHK</t>
  </si>
  <si>
    <t>Progress %</t>
  </si>
  <si>
    <t>Construction details:</t>
  </si>
  <si>
    <t>Basement</t>
  </si>
  <si>
    <t>Ground</t>
  </si>
  <si>
    <t>Podium</t>
  </si>
  <si>
    <t>Type of Work</t>
  </si>
  <si>
    <t>Slab/Floor</t>
  </si>
  <si>
    <t>Complition %</t>
  </si>
  <si>
    <t>Piling Work in process</t>
  </si>
  <si>
    <t>Excavation</t>
  </si>
  <si>
    <t>Excavation in process</t>
  </si>
  <si>
    <t>Plinth</t>
  </si>
  <si>
    <t>Excavation Completed</t>
  </si>
  <si>
    <t>RCC (Including podiums)</t>
  </si>
  <si>
    <t>Footing in Process</t>
  </si>
  <si>
    <t>Brickwork</t>
  </si>
  <si>
    <t>Footing Completed</t>
  </si>
  <si>
    <t>Internal Plaster</t>
  </si>
  <si>
    <t>Basement 1</t>
  </si>
  <si>
    <t>Ext. Plaster &amp; Plumbing</t>
  </si>
  <si>
    <t>Basement 2</t>
  </si>
  <si>
    <t>Flooring &amp; Fitting</t>
  </si>
  <si>
    <t>Basement 3</t>
  </si>
  <si>
    <t>Painting &amp; Wooden</t>
  </si>
  <si>
    <t>Basement 4</t>
  </si>
  <si>
    <t>Building Common Amenities</t>
  </si>
  <si>
    <t>Plinth in process</t>
  </si>
  <si>
    <t>Possession</t>
  </si>
  <si>
    <t>Plinth completed</t>
  </si>
  <si>
    <t xml:space="preserve">APF Valuation Report </t>
  </si>
  <si>
    <t>Approved Plan</t>
  </si>
  <si>
    <t>Location of the project 
Municipal Limit :</t>
  </si>
  <si>
    <t>Project Type
(Apartments/Plot/ Combined)</t>
  </si>
  <si>
    <t>Geo Coordinates</t>
  </si>
  <si>
    <t>Landmark</t>
  </si>
  <si>
    <t>None</t>
  </si>
  <si>
    <t>No of Wings / Buildings</t>
  </si>
  <si>
    <t>Description</t>
  </si>
  <si>
    <t xml:space="preserve">Approval Detail : Plan approval </t>
  </si>
  <si>
    <t>Total land area of the project in Sq. Mt.</t>
  </si>
  <si>
    <t>Permissible FSI</t>
  </si>
  <si>
    <t>Permissible TDR/Paid FSI</t>
  </si>
  <si>
    <t>Total FSI availaible for the project</t>
  </si>
  <si>
    <t>Total Approved Builtup area of the project (Sq.Mt)</t>
  </si>
  <si>
    <t>Building plan approvals - Approval No :</t>
  </si>
  <si>
    <t>Project Details</t>
  </si>
  <si>
    <t xml:space="preserve">Name of Valuation Agency </t>
  </si>
  <si>
    <t>Date of
Initiation</t>
  </si>
  <si>
    <t>Date &amp; Time of Site Visit</t>
  </si>
  <si>
    <t>Date of Report
Release</t>
  </si>
  <si>
    <t xml:space="preserve">Branch Name/ID </t>
  </si>
  <si>
    <t>Name of the person met at site &amp; Contact No</t>
  </si>
  <si>
    <t>V.S.JADON &amp; CO VALUERS LLP</t>
  </si>
  <si>
    <t>Builder Office Verified</t>
  </si>
  <si>
    <t>Name of the authority :</t>
  </si>
  <si>
    <t>Reference No :</t>
  </si>
  <si>
    <t xml:space="preserve"> Building No.4 = G + 3rd Floor</t>
  </si>
  <si>
    <t xml:space="preserve">Speed of Construction is Average. </t>
  </si>
  <si>
    <t>Recommended Rates of the Property :</t>
  </si>
  <si>
    <t>Recommended rate of the flat Per Sq. Ft. ( on Saleable area)</t>
  </si>
  <si>
    <t>Recommended of Parking ( If Available)</t>
  </si>
  <si>
    <t>Name of Engineer Visited the property</t>
  </si>
  <si>
    <t xml:space="preserve">Authorized Signatory
Name &amp; Seal of the agency
                                               </t>
  </si>
  <si>
    <t>Photographs Of Property :</t>
  </si>
  <si>
    <t xml:space="preserve">Google Map : </t>
  </si>
  <si>
    <t>Isolated Footing</t>
  </si>
  <si>
    <t>FE415</t>
  </si>
  <si>
    <t>Connectivity</t>
  </si>
  <si>
    <t>Exposure Limit
(Proposed)</t>
  </si>
  <si>
    <t>1st Floor</t>
  </si>
  <si>
    <t>2nd Floor</t>
  </si>
  <si>
    <t>44 meter per sec</t>
  </si>
  <si>
    <t>Alluvial Soil</t>
  </si>
  <si>
    <t>Total Permissible Builtup area of the project (Sq.Mt)</t>
  </si>
  <si>
    <r>
      <t>Remark (</t>
    </r>
    <r>
      <rPr>
        <sz val="10"/>
        <color rgb="FF000000"/>
        <rFont val="Times New Roman"/>
        <family val="1"/>
      </rPr>
      <t>Flat configuration /Bungalows, etc.)</t>
    </r>
  </si>
  <si>
    <t>Plot area mentioned in the sale deed (As per 7/12)</t>
  </si>
  <si>
    <t>Plot area mentioned in the approved drg. on which FSI/FAR calculations computed (Net Plot Area)</t>
  </si>
  <si>
    <t>Stage of construction</t>
  </si>
  <si>
    <t>Building No.1</t>
  </si>
  <si>
    <t>Taluka</t>
  </si>
  <si>
    <t>District</t>
  </si>
  <si>
    <t>Pincode</t>
  </si>
  <si>
    <t>Geo Link</t>
  </si>
  <si>
    <t xml:space="preserve">Stage of construction: </t>
  </si>
  <si>
    <t>All work Completed. OC Received.</t>
  </si>
  <si>
    <t>Project Progress %</t>
  </si>
  <si>
    <t>AAC Block/ Brick</t>
  </si>
  <si>
    <t>M20</t>
  </si>
  <si>
    <t>Saleable Area Sq.Ft.
Loading:</t>
  </si>
  <si>
    <t>Layout Of Property :</t>
  </si>
  <si>
    <t>Office No. 1031, Wing J, Akshar Business Park, Plot No. 03 Sector 25, Near APMC Market, Vashi, Navi Mumbai, Maharashtra 400703 TEL: 022-46090378/79/80                                                                       
E mail : vsjcapf@gmail.com. Web site : www.vsjadon.com</t>
  </si>
  <si>
    <t xml:space="preserve">Latitude, Longitude   </t>
  </si>
  <si>
    <t>Road</t>
  </si>
  <si>
    <t>City</t>
  </si>
  <si>
    <t>CTS No</t>
  </si>
  <si>
    <t xml:space="preserve">Thane </t>
  </si>
  <si>
    <t>Palghar</t>
  </si>
  <si>
    <t>Mumbai</t>
  </si>
  <si>
    <t>Raigad</t>
  </si>
  <si>
    <t>Pune</t>
  </si>
  <si>
    <t>Thane</t>
  </si>
  <si>
    <t>Mokhada</t>
  </si>
  <si>
    <t>Andheri</t>
  </si>
  <si>
    <t>Alibag</t>
  </si>
  <si>
    <t>Pune City</t>
  </si>
  <si>
    <t>Shahpur</t>
  </si>
  <si>
    <t>Talasari</t>
  </si>
  <si>
    <t>Borivali</t>
  </si>
  <si>
    <t>Panvel</t>
  </si>
  <si>
    <t>Haveli</t>
  </si>
  <si>
    <t>Kalyan</t>
  </si>
  <si>
    <t>Vasai</t>
  </si>
  <si>
    <t>Kurla</t>
  </si>
  <si>
    <t>Uran</t>
  </si>
  <si>
    <t>Khed</t>
  </si>
  <si>
    <t>Bhiwandi</t>
  </si>
  <si>
    <t>Vikramgad</t>
  </si>
  <si>
    <t>Karjat</t>
  </si>
  <si>
    <t>Baramati</t>
  </si>
  <si>
    <t>Ulhasnagar</t>
  </si>
  <si>
    <t>Khalapur</t>
  </si>
  <si>
    <t>Junnar</t>
  </si>
  <si>
    <t>Ambernath</t>
  </si>
  <si>
    <t>Dahanu</t>
  </si>
  <si>
    <t>Pen</t>
  </si>
  <si>
    <t>Shirur</t>
  </si>
  <si>
    <t>Murbad</t>
  </si>
  <si>
    <t>Wada</t>
  </si>
  <si>
    <t>Sudhagad</t>
  </si>
  <si>
    <t>Indapur</t>
  </si>
  <si>
    <t>Mahad</t>
  </si>
  <si>
    <t>Daund</t>
  </si>
  <si>
    <t>Roha</t>
  </si>
  <si>
    <t>Mawal</t>
  </si>
  <si>
    <t>Mangaon</t>
  </si>
  <si>
    <t>Ambegaon</t>
  </si>
  <si>
    <t>Poladpur</t>
  </si>
  <si>
    <t>Purandhar</t>
  </si>
  <si>
    <t>Mahasala</t>
  </si>
  <si>
    <t>Bhor</t>
  </si>
  <si>
    <t>Shriwardhan</t>
  </si>
  <si>
    <t>Mulshi</t>
  </si>
  <si>
    <t>Murud</t>
  </si>
  <si>
    <t>Velhe</t>
  </si>
  <si>
    <t>Commercial Area Details :</t>
  </si>
  <si>
    <t>Building &amp; Wing</t>
  </si>
  <si>
    <t>No. of Units</t>
  </si>
  <si>
    <t>Total Carpet Area</t>
  </si>
  <si>
    <t>Total Saleable Area</t>
  </si>
  <si>
    <t>Wing A</t>
  </si>
  <si>
    <t>Total</t>
  </si>
  <si>
    <t>Residential Area Details :</t>
  </si>
  <si>
    <t>Wing B</t>
  </si>
  <si>
    <t>Grand Total</t>
  </si>
  <si>
    <t>Approved No. of Floor</t>
  </si>
  <si>
    <t>Proposed No. of Floor</t>
  </si>
  <si>
    <t>Ground Floor</t>
  </si>
  <si>
    <t>Flat No.
(Approved
Plan)</t>
  </si>
  <si>
    <t>Flat No. (Sale Plan)</t>
  </si>
  <si>
    <t>Carpet area</t>
  </si>
  <si>
    <t>Fungible area</t>
  </si>
  <si>
    <t>Gross Carpet area</t>
  </si>
  <si>
    <t>Attached Terrace area</t>
  </si>
  <si>
    <t>Attached Loft area</t>
  </si>
  <si>
    <t>Shop</t>
  </si>
  <si>
    <t>Shop No.
(Approved
Plan)</t>
  </si>
  <si>
    <t>Shop No. (Sale Plan)</t>
  </si>
  <si>
    <t>AAC block or Bricks, Cement bags, aggregate, Sand, etc found on site in average quantity.</t>
  </si>
  <si>
    <t xml:space="preserve">Labours found on site at the time of visit. </t>
  </si>
  <si>
    <t>We considered Carpet area as per Approved Plan.</t>
  </si>
  <si>
    <t>We have considered rate by verifying it from market inquire.</t>
  </si>
  <si>
    <t>Recommended rate should be considered as all inclusive rate if other charges are not mentioned. (Excluding GST &amp; other government Taxes)</t>
  </si>
  <si>
    <t>Car parking is subjected to authentic documentation.</t>
  </si>
  <si>
    <t>We considered  Saleable area  as per our calculation. Loading</t>
  </si>
  <si>
    <t xml:space="preserve">Date </t>
  </si>
  <si>
    <t>Other statutory permissions</t>
  </si>
  <si>
    <t>NA</t>
  </si>
  <si>
    <t xml:space="preserve">Fire Noc No
Valid Up to: </t>
  </si>
  <si>
    <t xml:space="preserve">Environmental Clearance Certificate (EC) No
Valid Up for: </t>
  </si>
  <si>
    <t xml:space="preserve">Airport Noc No
Valid Up for: </t>
  </si>
  <si>
    <t xml:space="preserve">Valid upto Dated </t>
  </si>
  <si>
    <t xml:space="preserve">Site Elevation (AMSL) = 
Permissible Top Elevation (AMSL) = </t>
  </si>
  <si>
    <t xml:space="preserve">Date - - Valid For one Year
Area - </t>
  </si>
  <si>
    <t>``</t>
  </si>
  <si>
    <t>Validity &amp; Area mentioned:</t>
  </si>
  <si>
    <t>Mahindra Rural Housing Finance - Thane</t>
  </si>
  <si>
    <t>Mr. Amol Ghorpade 9320090407</t>
  </si>
  <si>
    <t>Neovalley Kaveri Wing A</t>
  </si>
  <si>
    <t>15 (PT)</t>
  </si>
  <si>
    <t>Kanjur</t>
  </si>
  <si>
    <t>Bhandup (W)</t>
  </si>
  <si>
    <t>Sai Hill Road</t>
  </si>
  <si>
    <t>P51800026955</t>
  </si>
  <si>
    <t>Saidarshan CHS</t>
  </si>
  <si>
    <t>https://maps.app.goo.gl/e69WyNzTdNdd8kUh7</t>
  </si>
  <si>
    <t>702, 7th Floor, Marathon Max, Mulund Goregaon link Road, near Bhandup Sonapur Signal, Mulund West, Kurla, Mumbai 400080</t>
  </si>
  <si>
    <t>HDFC BANK
IFSC Code - HDFC0000652</t>
  </si>
  <si>
    <t>Slum Rehabilitation Authority (SRA)</t>
  </si>
  <si>
    <t>Apartments</t>
  </si>
  <si>
    <t>6.00M. W Existing Road/ 9.15 M.W. Road (Sanctioned)</t>
  </si>
  <si>
    <t>Adj CTS No. 21/Adj CTS No. 15</t>
  </si>
  <si>
    <t>CTS 14 (PT)</t>
  </si>
  <si>
    <t>CTS No. 11</t>
  </si>
  <si>
    <t>Slum</t>
  </si>
  <si>
    <t>Survey No. 124(part), Present Survey No. 124/5, CTS No. 15(Part)</t>
  </si>
  <si>
    <t>Yes, Approx 19ft</t>
  </si>
  <si>
    <t>1. 0.085km from Shree Saraswati Vidya Mandir
2. 0.65km from Bright Angels English School
3. 0.55km from Sudhanshu Multi Speciality Hospital &amp; ICCU
4. 0.85km from Bhandup Criti Care Hospital
5. 0.45km from Geeta Super Market
6. 3.5km from DMart
7. 0.9km from Vihar Lake
8. 0.28km from Shrimant Icchapurti  Maha Ganpati Devasthan
9. 0.75km from Sarvodaya Nagar (Bhandup West) Bus stop
10. 2.2km from Bhandup Railway Station</t>
  </si>
  <si>
    <t>Construction/Building Permission
Valid Upto</t>
  </si>
  <si>
    <t xml:space="preserve">NA
</t>
  </si>
  <si>
    <t>SIA/MH/MIS/267933/2022</t>
  </si>
  <si>
    <t>FB/NR/RVI/214
Building No. 2 Wing A = Stilt + 1st to 22nd Floors (Height = 69.95m)
Building No. 2 Wing B = B (Pt) + Stilt + 1st to 22nd Floor (Height = 69.95m)
Building No. 2 Wing C = G + 1st to 2nd Floor (Height = 11.70m)</t>
  </si>
  <si>
    <t xml:space="preserve">Details of Residential in Building   </t>
  </si>
  <si>
    <t>Building No.2  Kaveri (Wing A)</t>
  </si>
  <si>
    <t>Ground Floor For Entrance Lobby, Meter Room &amp; Parking</t>
  </si>
  <si>
    <t>1st Floor For Residential &amp; Fitness Center</t>
  </si>
  <si>
    <t>Fitnesss Center</t>
  </si>
  <si>
    <t>Void</t>
  </si>
  <si>
    <t>MP Room</t>
  </si>
  <si>
    <t>RERA Carpet area</t>
  </si>
  <si>
    <t>2nd &amp; 3rd Floor</t>
  </si>
  <si>
    <t>4th Floor</t>
  </si>
  <si>
    <t>5th to 6th Floor</t>
  </si>
  <si>
    <t>Refuge Area</t>
  </si>
  <si>
    <t>7th &amp; 14th Floor (Part Refuge Area)</t>
  </si>
  <si>
    <t>8th to 13th, 15th to 20th Floor</t>
  </si>
  <si>
    <t>21st Floor (Part Refuge Area)</t>
  </si>
  <si>
    <t>We considered Gross carpet area = Net carpet.</t>
  </si>
  <si>
    <t>Building 02 (Sale) Wing A =  Stilt + 1st to 22nd Floor</t>
  </si>
  <si>
    <t>Sale Building No. 2 Wing A = Stilt + 1st + 22nd Floor</t>
  </si>
  <si>
    <t>22nd Floor</t>
  </si>
  <si>
    <t>Flat</t>
  </si>
  <si>
    <t>01 Building</t>
  </si>
  <si>
    <t>S/PVT/0118/20140630/AP/S
This CC is re-endorsed and Further extended to Sale Wing 'A' from Stilt + 1st to 17th upper floors with brick-work &amp; plasterand 18th to  21st upper floors for R.C.C. framed structure as per appreved
amended IOA dtd. 10/02/2025.</t>
  </si>
  <si>
    <t>M/s Nexzone Fiscal Services Pvt Ltd</t>
  </si>
  <si>
    <t>22/07/2025 at 12:25PM</t>
  </si>
  <si>
    <t>Mr Yogesh (Site Engineer) 9702554612</t>
  </si>
  <si>
    <t xml:space="preserve">Construction work is in process at the time of Visit.
Construction work was not active at the time of Visit. (labour Not found)
All work completed. Wait for OC / OC received.
Work not yet Started.
</t>
  </si>
  <si>
    <t>On Site, we meet Mr Yogesh (Site Engineer) 9702554612</t>
  </si>
  <si>
    <t>19.150492,72.926400</t>
  </si>
  <si>
    <t>Building 2 Kaveri Wing A =  Stilt + 1st to 22nd Floor (Height = 74.90m upto OHT)</t>
  </si>
  <si>
    <t>S/PVT/0118/20140630/AP/S</t>
  </si>
  <si>
    <t>CTS No = 15 (Pt)
Net Plot Area = 3861.28 Sq.mt
TBUA = 31537.39 Sq.mt
Sale Building No. 2 (Wing A &amp; B) = Stilt + 1st to 22nd upper Floors</t>
  </si>
  <si>
    <t>Partially Use For School (Wing C)</t>
  </si>
  <si>
    <t>Terrace Area For School (Wing C)</t>
  </si>
  <si>
    <t>Terrace Area Below For School  (Wing C)</t>
  </si>
  <si>
    <t>Mr. Nainesh Tambe</t>
  </si>
  <si>
    <t>Flats = 22, M.P Room = 247</t>
  </si>
  <si>
    <t>5,00,000/-</t>
  </si>
  <si>
    <t>12900 Axis</t>
  </si>
  <si>
    <t xml:space="preserve">IndexTAP </t>
  </si>
  <si>
    <t>10500-11000</t>
  </si>
  <si>
    <t>YesB 11500</t>
  </si>
  <si>
    <t>As per the approved plans dated 10/02/2025, Wing A Flat Nos. 1, 2, 13 &amp; 14 are partially used for School area from Gr + 1st to 6th Floor. And School area is mentioned in approved plans as Wing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</si>
</sst>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8" x14ac:knownFonts="1">
    <font>
      <sz val="11"/>
      <color theme="1"/>
      <name val="Calibri"/>
      <family val="2"/>
      <scheme val="minor"/>
    </font>
    <font>
      <b/>
      <sz val="10"/>
      <color theme="1"/>
      <name val="Times New Roman"/>
      <family val="1"/>
    </font>
    <font>
      <sz val="11"/>
      <color theme="1"/>
      <name val="Calibri"/>
      <family val="2"/>
      <scheme val="minor"/>
    </font>
    <font>
      <b/>
      <sz val="11"/>
      <color theme="1"/>
      <name val="Times New Roman"/>
      <family val="1"/>
    </font>
    <font>
      <sz val="10"/>
      <color theme="1"/>
      <name val="Calibri"/>
      <family val="2"/>
      <scheme val="minor"/>
    </font>
    <font>
      <sz val="10"/>
      <color rgb="FF000000"/>
      <name val="Times New Roman"/>
      <family val="1"/>
    </font>
    <font>
      <sz val="10"/>
      <color theme="1"/>
      <name val="Times New Roman"/>
      <family val="1"/>
    </font>
    <font>
      <b/>
      <sz val="10"/>
      <name val="Times New Roman"/>
      <family val="1"/>
    </font>
    <font>
      <sz val="10"/>
      <name val="Times New Roman"/>
      <family val="1"/>
    </font>
    <font>
      <b/>
      <sz val="10"/>
      <color rgb="FF000000"/>
      <name val="Times New Roman"/>
      <family val="1"/>
    </font>
    <font>
      <b/>
      <sz val="11"/>
      <color rgb="FF000000"/>
      <name val="Times New Roman"/>
      <family val="1"/>
    </font>
    <font>
      <sz val="10"/>
      <color rgb="FFFF0000"/>
      <name val="Times New Roman"/>
      <family val="1"/>
    </font>
    <font>
      <b/>
      <sz val="10"/>
      <color rgb="FFFF0000"/>
      <name val="Times New Roman"/>
      <family val="1"/>
    </font>
    <font>
      <sz val="10"/>
      <color rgb="FFE3F2F3"/>
      <name val="Times New Roman"/>
      <family val="1"/>
    </font>
    <font>
      <sz val="9"/>
      <color indexed="81"/>
      <name val="Tahoma"/>
      <family val="2"/>
    </font>
    <font>
      <b/>
      <sz val="9"/>
      <color indexed="81"/>
      <name val="Tahoma"/>
      <family val="2"/>
    </font>
    <font>
      <b/>
      <sz val="11"/>
      <color indexed="81"/>
      <name val="Tahoma"/>
      <family val="2"/>
    </font>
    <font>
      <u/>
      <sz val="11"/>
      <color theme="10"/>
      <name val="Calibri"/>
      <family val="2"/>
      <scheme val="minor"/>
    </font>
  </fonts>
  <fills count="6">
    <fill>
      <patternFill patternType="none"/>
    </fill>
    <fill>
      <patternFill patternType="gray125"/>
    </fill>
    <fill>
      <patternFill patternType="solid">
        <fgColor theme="8" tint="0.59999389629810485"/>
        <bgColor indexed="64"/>
      </patternFill>
    </fill>
    <fill>
      <patternFill patternType="solid">
        <fgColor rgb="FFE3F2F3"/>
        <bgColor indexed="64"/>
      </patternFill>
    </fill>
    <fill>
      <patternFill patternType="solid">
        <fgColor rgb="FFE5EEF1"/>
        <bgColor indexed="64"/>
      </patternFill>
    </fill>
    <fill>
      <patternFill patternType="solid">
        <fgColor theme="8" tint="0.79998168889431442"/>
        <bgColor indexed="64"/>
      </patternFill>
    </fill>
  </fills>
  <borders count="41">
    <border>
      <left/>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xf numFmtId="0" fontId="2" fillId="0" borderId="0"/>
    <xf numFmtId="9" fontId="2" fillId="0" borderId="0" applyFont="0" applyFill="0" applyBorder="0" applyAlignment="0" applyProtection="0"/>
    <xf numFmtId="0" fontId="17" fillId="0" borderId="0" applyNumberFormat="0" applyFill="0" applyBorder="0" applyAlignment="0" applyProtection="0"/>
  </cellStyleXfs>
  <cellXfs count="300">
    <xf numFmtId="0" fontId="0" fillId="0" borderId="0" xfId="0"/>
    <xf numFmtId="0" fontId="5" fillId="0" borderId="0" xfId="0" applyFont="1" applyProtection="1">
      <protection hidden="1"/>
    </xf>
    <xf numFmtId="0" fontId="8" fillId="4" borderId="5" xfId="1" applyFont="1" applyFill="1" applyBorder="1" applyAlignment="1" applyProtection="1">
      <alignment horizontal="center" vertical="top" wrapText="1"/>
      <protection locked="0"/>
    </xf>
    <xf numFmtId="0" fontId="8" fillId="4" borderId="4" xfId="1" applyFont="1" applyFill="1" applyBorder="1" applyAlignment="1" applyProtection="1">
      <alignment horizontal="center" vertical="top" wrapText="1"/>
      <protection locked="0"/>
    </xf>
    <xf numFmtId="0" fontId="8" fillId="4" borderId="4" xfId="1" applyFont="1" applyFill="1" applyBorder="1" applyAlignment="1" applyProtection="1">
      <alignment horizontal="center" wrapText="1"/>
      <protection locked="0"/>
    </xf>
    <xf numFmtId="1" fontId="8" fillId="4" borderId="4" xfId="1" applyNumberFormat="1" applyFont="1" applyFill="1" applyBorder="1" applyAlignment="1" applyProtection="1">
      <alignment horizontal="center" wrapText="1"/>
      <protection locked="0"/>
    </xf>
    <xf numFmtId="0" fontId="6" fillId="0" borderId="0" xfId="0" applyFont="1"/>
    <xf numFmtId="0" fontId="8" fillId="2" borderId="4" xfId="1" applyFont="1" applyFill="1" applyBorder="1" applyAlignment="1" applyProtection="1">
      <alignment horizontal="center" vertical="center"/>
      <protection locked="0"/>
    </xf>
    <xf numFmtId="0" fontId="8" fillId="2" borderId="6" xfId="1" applyFont="1" applyFill="1" applyBorder="1" applyAlignment="1" applyProtection="1">
      <alignment horizontal="center" vertical="center"/>
      <protection locked="0"/>
    </xf>
    <xf numFmtId="0" fontId="8" fillId="2" borderId="16" xfId="1" applyFont="1" applyFill="1" applyBorder="1" applyAlignment="1" applyProtection="1">
      <alignment horizontal="center" vertical="center"/>
      <protection locked="0"/>
    </xf>
    <xf numFmtId="0" fontId="8" fillId="2" borderId="17" xfId="1" applyFont="1" applyFill="1" applyBorder="1" applyAlignment="1" applyProtection="1">
      <alignment horizontal="center" vertical="center"/>
      <protection locked="0"/>
    </xf>
    <xf numFmtId="0" fontId="1" fillId="2" borderId="4" xfId="0" applyFont="1" applyFill="1" applyBorder="1" applyAlignment="1">
      <alignment horizontal="left" vertical="center" wrapText="1"/>
    </xf>
    <xf numFmtId="0" fontId="1" fillId="2" borderId="4" xfId="0" applyFont="1" applyFill="1" applyBorder="1" applyAlignment="1">
      <alignment horizontal="left" vertical="center"/>
    </xf>
    <xf numFmtId="0" fontId="9" fillId="3" borderId="4" xfId="0" applyFont="1" applyFill="1" applyBorder="1" applyAlignment="1">
      <alignment horizontal="left" vertical="top" wrapText="1"/>
    </xf>
    <xf numFmtId="0" fontId="9" fillId="2" borderId="4" xfId="0" applyFont="1" applyFill="1" applyBorder="1" applyAlignment="1">
      <alignment horizontal="center" vertical="top" wrapText="1"/>
    </xf>
    <xf numFmtId="0" fontId="5" fillId="3" borderId="4" xfId="0" applyFont="1" applyFill="1" applyBorder="1" applyAlignment="1">
      <alignment horizontal="center" vertical="center" wrapText="1"/>
    </xf>
    <xf numFmtId="0" fontId="5" fillId="3" borderId="4" xfId="0" applyFont="1" applyFill="1" applyBorder="1" applyAlignment="1">
      <alignment horizontal="center" vertical="center"/>
    </xf>
    <xf numFmtId="1" fontId="5" fillId="3" borderId="4" xfId="0" applyNumberFormat="1" applyFont="1" applyFill="1" applyBorder="1" applyAlignment="1">
      <alignment horizontal="center" vertical="center"/>
    </xf>
    <xf numFmtId="0" fontId="7" fillId="3" borderId="4" xfId="0" applyFont="1" applyFill="1" applyBorder="1" applyAlignment="1">
      <alignment horizontal="center" vertical="center" wrapText="1"/>
    </xf>
    <xf numFmtId="0" fontId="9" fillId="2" borderId="14" xfId="0" applyFont="1" applyFill="1" applyBorder="1" applyAlignment="1">
      <alignment horizontal="center" vertical="top" wrapText="1"/>
    </xf>
    <xf numFmtId="9" fontId="9" fillId="2" borderId="13" xfId="0" applyNumberFormat="1" applyFont="1" applyFill="1" applyBorder="1" applyAlignment="1">
      <alignment horizontal="center" vertical="top" wrapText="1"/>
    </xf>
    <xf numFmtId="0" fontId="8" fillId="4" borderId="7" xfId="1" applyFont="1" applyFill="1" applyBorder="1" applyAlignment="1" applyProtection="1">
      <alignment horizontal="center" vertical="top" wrapText="1"/>
      <protection locked="0"/>
    </xf>
    <xf numFmtId="9" fontId="8" fillId="4" borderId="7" xfId="1" applyNumberFormat="1" applyFont="1" applyFill="1" applyBorder="1" applyAlignment="1" applyProtection="1">
      <alignment horizontal="center" vertical="center" wrapText="1"/>
      <protection hidden="1"/>
    </xf>
    <xf numFmtId="0" fontId="8" fillId="2" borderId="14" xfId="1" applyFont="1" applyFill="1" applyBorder="1" applyAlignment="1" applyProtection="1">
      <alignment horizontal="center" vertical="center"/>
      <protection locked="0"/>
    </xf>
    <xf numFmtId="0" fontId="8" fillId="4" borderId="14" xfId="1" applyFont="1" applyFill="1" applyBorder="1" applyAlignment="1" applyProtection="1">
      <alignment horizontal="center" vertical="top" wrapText="1"/>
      <protection locked="0"/>
    </xf>
    <xf numFmtId="9" fontId="8" fillId="4" borderId="26" xfId="1" applyNumberFormat="1" applyFont="1" applyFill="1" applyBorder="1" applyAlignment="1" applyProtection="1">
      <alignment horizontal="center" vertical="center"/>
      <protection hidden="1"/>
    </xf>
    <xf numFmtId="9" fontId="13" fillId="4" borderId="14" xfId="1" applyNumberFormat="1" applyFont="1" applyFill="1" applyBorder="1" applyAlignment="1" applyProtection="1">
      <alignment horizontal="left" vertical="center"/>
      <protection hidden="1"/>
    </xf>
    <xf numFmtId="9" fontId="13" fillId="4" borderId="26" xfId="1" applyNumberFormat="1" applyFont="1" applyFill="1" applyBorder="1" applyAlignment="1" applyProtection="1">
      <alignment horizontal="left" vertical="center"/>
      <protection hidden="1"/>
    </xf>
    <xf numFmtId="0" fontId="6" fillId="0" borderId="24" xfId="1" applyFont="1" applyBorder="1"/>
    <xf numFmtId="0" fontId="5" fillId="0" borderId="19" xfId="0" applyFont="1" applyBorder="1" applyProtection="1">
      <protection hidden="1"/>
    </xf>
    <xf numFmtId="1" fontId="4" fillId="0" borderId="19" xfId="0" applyNumberFormat="1" applyFont="1" applyBorder="1"/>
    <xf numFmtId="1" fontId="4" fillId="0" borderId="19" xfId="0" applyNumberFormat="1" applyFont="1" applyBorder="1" applyAlignment="1">
      <alignment horizontal="right"/>
    </xf>
    <xf numFmtId="1" fontId="4" fillId="0" borderId="22" xfId="0" applyNumberFormat="1" applyFont="1" applyBorder="1"/>
    <xf numFmtId="0" fontId="5" fillId="0" borderId="25" xfId="0" applyFont="1" applyBorder="1" applyProtection="1">
      <protection hidden="1"/>
    </xf>
    <xf numFmtId="0" fontId="5" fillId="0" borderId="21" xfId="0" applyFont="1" applyBorder="1" applyProtection="1">
      <protection hidden="1"/>
    </xf>
    <xf numFmtId="0" fontId="8" fillId="4" borderId="11" xfId="1" applyFont="1" applyFill="1" applyBorder="1" applyAlignment="1" applyProtection="1">
      <alignment horizontal="center" vertical="top" wrapText="1"/>
      <protection locked="0"/>
    </xf>
    <xf numFmtId="0" fontId="8" fillId="4" borderId="12" xfId="1" applyFont="1" applyFill="1" applyBorder="1" applyAlignment="1" applyProtection="1">
      <alignment horizontal="center" wrapText="1"/>
      <protection locked="0"/>
    </xf>
    <xf numFmtId="9" fontId="8" fillId="4" borderId="27" xfId="1" applyNumberFormat="1" applyFont="1" applyFill="1" applyBorder="1" applyAlignment="1" applyProtection="1">
      <alignment horizontal="center" vertical="center" wrapText="1"/>
      <protection hidden="1"/>
    </xf>
    <xf numFmtId="9" fontId="13" fillId="4" borderId="28" xfId="1" applyNumberFormat="1" applyFont="1" applyFill="1" applyBorder="1" applyAlignment="1" applyProtection="1">
      <alignment horizontal="left" vertical="center"/>
      <protection hidden="1"/>
    </xf>
    <xf numFmtId="0" fontId="6" fillId="2" borderId="16" xfId="1" applyFont="1" applyFill="1" applyBorder="1" applyAlignment="1" applyProtection="1">
      <alignment horizontal="center" vertical="center"/>
      <protection locked="0"/>
    </xf>
    <xf numFmtId="0" fontId="6" fillId="2" borderId="17" xfId="1" applyFont="1" applyFill="1" applyBorder="1" applyAlignment="1" applyProtection="1">
      <alignment horizontal="center" vertical="center"/>
      <protection locked="0"/>
    </xf>
    <xf numFmtId="0" fontId="6" fillId="0" borderId="30" xfId="1" applyFont="1" applyBorder="1" applyProtection="1">
      <protection hidden="1"/>
    </xf>
    <xf numFmtId="0" fontId="6" fillId="0" borderId="31" xfId="1" applyFont="1" applyBorder="1" applyProtection="1">
      <protection hidden="1"/>
    </xf>
    <xf numFmtId="0" fontId="6" fillId="2" borderId="4" xfId="1" applyFont="1" applyFill="1" applyBorder="1" applyAlignment="1" applyProtection="1">
      <alignment horizontal="center" vertical="center"/>
      <protection locked="0"/>
    </xf>
    <xf numFmtId="0" fontId="6" fillId="2" borderId="6" xfId="1" applyFont="1" applyFill="1" applyBorder="1" applyAlignment="1" applyProtection="1">
      <alignment horizontal="center" vertical="center"/>
      <protection locked="0"/>
    </xf>
    <xf numFmtId="0" fontId="6" fillId="0" borderId="0" xfId="1" applyFont="1" applyProtection="1">
      <protection hidden="1"/>
    </xf>
    <xf numFmtId="0" fontId="6" fillId="0" borderId="3" xfId="1" applyFont="1" applyBorder="1" applyProtection="1">
      <protection hidden="1"/>
    </xf>
    <xf numFmtId="0" fontId="6" fillId="3" borderId="4" xfId="1" applyFont="1" applyFill="1" applyBorder="1" applyAlignment="1" applyProtection="1">
      <alignment horizontal="center" vertical="top" wrapText="1"/>
      <protection locked="0"/>
    </xf>
    <xf numFmtId="0" fontId="6" fillId="0" borderId="3" xfId="1" applyFont="1" applyBorder="1"/>
    <xf numFmtId="0" fontId="6" fillId="3" borderId="4" xfId="1" applyFont="1" applyFill="1" applyBorder="1" applyAlignment="1" applyProtection="1">
      <alignment horizontal="center" wrapText="1"/>
      <protection locked="0"/>
    </xf>
    <xf numFmtId="9" fontId="6" fillId="3" borderId="4" xfId="1" applyNumberFormat="1" applyFont="1" applyFill="1" applyBorder="1" applyAlignment="1" applyProtection="1">
      <alignment horizontal="center" vertical="center" wrapText="1"/>
      <protection hidden="1"/>
    </xf>
    <xf numFmtId="0" fontId="5" fillId="0" borderId="3" xfId="0" applyFont="1" applyBorder="1" applyProtection="1">
      <protection hidden="1"/>
    </xf>
    <xf numFmtId="1" fontId="6" fillId="3" borderId="4" xfId="1" applyNumberFormat="1" applyFont="1" applyFill="1" applyBorder="1" applyAlignment="1" applyProtection="1">
      <alignment horizontal="center" wrapText="1"/>
      <protection locked="0"/>
    </xf>
    <xf numFmtId="1" fontId="6" fillId="0" borderId="3" xfId="0" applyNumberFormat="1" applyFont="1" applyBorder="1"/>
    <xf numFmtId="1" fontId="6" fillId="0" borderId="3" xfId="0" applyNumberFormat="1" applyFont="1" applyBorder="1" applyAlignment="1">
      <alignment horizontal="right"/>
    </xf>
    <xf numFmtId="0" fontId="6" fillId="3" borderId="12" xfId="1" applyFont="1" applyFill="1" applyBorder="1" applyAlignment="1" applyProtection="1">
      <alignment horizontal="center" wrapText="1"/>
      <protection locked="0"/>
    </xf>
    <xf numFmtId="9" fontId="6" fillId="3" borderId="12" xfId="1" applyNumberFormat="1" applyFont="1" applyFill="1" applyBorder="1" applyAlignment="1" applyProtection="1">
      <alignment horizontal="center" vertical="center" wrapText="1"/>
      <protection hidden="1"/>
    </xf>
    <xf numFmtId="0" fontId="5" fillId="0" borderId="2" xfId="0" applyFont="1" applyBorder="1" applyProtection="1">
      <protection hidden="1"/>
    </xf>
    <xf numFmtId="1" fontId="6" fillId="0" borderId="1" xfId="0" applyNumberFormat="1" applyFont="1" applyBorder="1"/>
    <xf numFmtId="0" fontId="0" fillId="0" borderId="4" xfId="0" applyBorder="1" applyAlignment="1">
      <alignment horizontal="center" vertical="center"/>
    </xf>
    <xf numFmtId="0" fontId="1" fillId="3" borderId="4" xfId="0" applyFont="1" applyFill="1" applyBorder="1" applyAlignment="1">
      <alignment horizontal="left" vertical="top"/>
    </xf>
    <xf numFmtId="0" fontId="1" fillId="3" borderId="5" xfId="0" applyFont="1" applyFill="1" applyBorder="1" applyAlignment="1">
      <alignment horizontal="left" vertical="top"/>
    </xf>
    <xf numFmtId="0" fontId="7" fillId="3" borderId="8" xfId="0" applyFont="1" applyFill="1" applyBorder="1" applyAlignment="1">
      <alignment vertical="top" wrapText="1"/>
    </xf>
    <xf numFmtId="0" fontId="7" fillId="3" borderId="10" xfId="0" applyFont="1" applyFill="1" applyBorder="1" applyAlignment="1">
      <alignment vertical="top" wrapText="1"/>
    </xf>
    <xf numFmtId="0" fontId="9" fillId="2" borderId="4" xfId="0" applyFont="1" applyFill="1" applyBorder="1" applyAlignment="1">
      <alignment vertical="top" wrapText="1"/>
    </xf>
    <xf numFmtId="14" fontId="5" fillId="3" borderId="4" xfId="0" applyNumberFormat="1" applyFont="1" applyFill="1" applyBorder="1" applyAlignment="1">
      <alignment horizontal="left" vertical="top" wrapText="1"/>
    </xf>
    <xf numFmtId="0" fontId="8" fillId="3" borderId="4" xfId="0" applyFont="1" applyFill="1" applyBorder="1" applyAlignment="1">
      <alignment vertical="center"/>
    </xf>
    <xf numFmtId="9" fontId="12" fillId="2" borderId="13" xfId="2" applyFont="1" applyFill="1" applyBorder="1" applyAlignment="1" applyProtection="1">
      <alignment horizontal="center" vertical="top" wrapText="1"/>
      <protection locked="0"/>
    </xf>
    <xf numFmtId="9" fontId="9" fillId="2" borderId="20" xfId="0" applyNumberFormat="1" applyFont="1" applyFill="1" applyBorder="1" applyAlignment="1">
      <alignment horizontal="center" vertical="top" wrapText="1"/>
    </xf>
    <xf numFmtId="0" fontId="9" fillId="2" borderId="29" xfId="0" applyFont="1" applyFill="1" applyBorder="1" applyAlignment="1">
      <alignment horizontal="center" vertical="top" wrapText="1"/>
    </xf>
    <xf numFmtId="0" fontId="5" fillId="2" borderId="4" xfId="0" applyFont="1" applyFill="1" applyBorder="1" applyAlignment="1">
      <alignment horizontal="center" vertical="center" wrapText="1"/>
    </xf>
    <xf numFmtId="0" fontId="1" fillId="0" borderId="0" xfId="0" applyFont="1"/>
    <xf numFmtId="0" fontId="6" fillId="3" borderId="4" xfId="0" applyFont="1" applyFill="1" applyBorder="1" applyAlignment="1">
      <alignment horizontal="center" vertical="center" wrapText="1"/>
    </xf>
    <xf numFmtId="9" fontId="1" fillId="2" borderId="13" xfId="2" applyFont="1" applyFill="1" applyBorder="1" applyAlignment="1" applyProtection="1">
      <alignment horizontal="center" vertical="top" wrapText="1"/>
      <protection locked="0"/>
    </xf>
    <xf numFmtId="1" fontId="6" fillId="0" borderId="0" xfId="0" applyNumberFormat="1" applyFont="1"/>
    <xf numFmtId="0" fontId="11" fillId="0" borderId="0" xfId="0" applyFont="1" applyAlignment="1">
      <alignment wrapText="1"/>
    </xf>
    <xf numFmtId="0" fontId="12" fillId="0" borderId="0" xfId="0" applyFont="1" applyAlignment="1">
      <alignment vertical="center"/>
    </xf>
    <xf numFmtId="9" fontId="1" fillId="3" borderId="8" xfId="0" applyNumberFormat="1" applyFont="1" applyFill="1" applyBorder="1" applyAlignment="1">
      <alignment horizontal="left" vertical="top" wrapText="1"/>
    </xf>
    <xf numFmtId="0" fontId="5" fillId="3" borderId="7" xfId="0" applyFont="1" applyFill="1" applyBorder="1" applyAlignment="1">
      <alignment horizontal="center" vertical="center"/>
    </xf>
    <xf numFmtId="0" fontId="5" fillId="3" borderId="10" xfId="0" applyFont="1" applyFill="1" applyBorder="1" applyAlignment="1">
      <alignment horizontal="center" vertical="center"/>
    </xf>
    <xf numFmtId="1" fontId="5" fillId="5" borderId="7" xfId="0" applyNumberFormat="1" applyFont="1" applyFill="1" applyBorder="1" applyAlignment="1">
      <alignment horizontal="center" vertical="center" wrapText="1"/>
    </xf>
    <xf numFmtId="1" fontId="5" fillId="5" borderId="10" xfId="0" applyNumberFormat="1"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12" fillId="0" borderId="18" xfId="0" applyFont="1" applyBorder="1" applyAlignment="1">
      <alignment horizontal="center" vertical="top" wrapText="1"/>
    </xf>
    <xf numFmtId="0" fontId="12" fillId="0" borderId="0" xfId="0" applyFont="1" applyAlignment="1">
      <alignment horizontal="center" vertical="top"/>
    </xf>
    <xf numFmtId="0" fontId="9" fillId="3" borderId="4" xfId="0" applyFont="1" applyFill="1" applyBorder="1" applyAlignment="1">
      <alignment horizontal="center" vertical="center" wrapText="1"/>
    </xf>
    <xf numFmtId="0" fontId="5" fillId="3" borderId="8" xfId="0" applyFont="1" applyFill="1" applyBorder="1" applyAlignment="1">
      <alignment horizontal="center" vertical="center"/>
    </xf>
    <xf numFmtId="0" fontId="5" fillId="3" borderId="29" xfId="0" applyFont="1" applyFill="1" applyBorder="1" applyAlignment="1">
      <alignment horizontal="center" vertical="center"/>
    </xf>
    <xf numFmtId="0" fontId="5" fillId="3" borderId="25" xfId="0" applyFont="1" applyFill="1" applyBorder="1" applyAlignment="1">
      <alignment horizontal="center" vertical="center"/>
    </xf>
    <xf numFmtId="0" fontId="5" fillId="3" borderId="24"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22" xfId="0" applyFont="1" applyFill="1" applyBorder="1" applyAlignment="1">
      <alignment horizontal="center" vertical="center"/>
    </xf>
    <xf numFmtId="1" fontId="5" fillId="3" borderId="29" xfId="0" applyNumberFormat="1" applyFont="1" applyFill="1" applyBorder="1" applyAlignment="1">
      <alignment horizontal="center" vertical="center"/>
    </xf>
    <xf numFmtId="1" fontId="5" fillId="3" borderId="25" xfId="0" applyNumberFormat="1" applyFont="1" applyFill="1" applyBorder="1" applyAlignment="1">
      <alignment horizontal="center" vertical="center"/>
    </xf>
    <xf numFmtId="1" fontId="5" fillId="3" borderId="24" xfId="0" applyNumberFormat="1" applyFont="1" applyFill="1" applyBorder="1" applyAlignment="1">
      <alignment horizontal="center" vertical="center"/>
    </xf>
    <xf numFmtId="1" fontId="5" fillId="3" borderId="18" xfId="0" applyNumberFormat="1" applyFont="1" applyFill="1" applyBorder="1" applyAlignment="1">
      <alignment horizontal="center" vertical="center"/>
    </xf>
    <xf numFmtId="1" fontId="5" fillId="3" borderId="0" xfId="0" applyNumberFormat="1" applyFont="1" applyFill="1" applyAlignment="1">
      <alignment horizontal="center" vertical="center"/>
    </xf>
    <xf numFmtId="1" fontId="5" fillId="3" borderId="19" xfId="0" applyNumberFormat="1" applyFont="1" applyFill="1" applyBorder="1" applyAlignment="1">
      <alignment horizontal="center" vertical="center"/>
    </xf>
    <xf numFmtId="1" fontId="5" fillId="3" borderId="20" xfId="0" applyNumberFormat="1" applyFont="1" applyFill="1" applyBorder="1" applyAlignment="1">
      <alignment horizontal="center" vertical="center"/>
    </xf>
    <xf numFmtId="1" fontId="5" fillId="3" borderId="21" xfId="0" applyNumberFormat="1" applyFont="1" applyFill="1" applyBorder="1" applyAlignment="1">
      <alignment horizontal="center" vertical="center"/>
    </xf>
    <xf numFmtId="1" fontId="5" fillId="3" borderId="22" xfId="0" applyNumberFormat="1" applyFont="1" applyFill="1" applyBorder="1" applyAlignment="1">
      <alignment horizontal="center" vertical="center"/>
    </xf>
    <xf numFmtId="0" fontId="5" fillId="3" borderId="18" xfId="0" applyFont="1" applyFill="1" applyBorder="1" applyAlignment="1">
      <alignment horizontal="center" vertical="center"/>
    </xf>
    <xf numFmtId="0" fontId="5" fillId="3" borderId="0" xfId="0" applyFont="1" applyFill="1" applyAlignment="1">
      <alignment horizontal="center" vertical="center"/>
    </xf>
    <xf numFmtId="0" fontId="5" fillId="3" borderId="19" xfId="0" applyFont="1" applyFill="1" applyBorder="1" applyAlignment="1">
      <alignment horizontal="center" vertical="center"/>
    </xf>
    <xf numFmtId="0" fontId="8" fillId="3" borderId="4" xfId="0" applyFont="1" applyFill="1" applyBorder="1" applyAlignment="1">
      <alignment horizontal="left" vertical="center" wrapText="1"/>
    </xf>
    <xf numFmtId="0" fontId="8" fillId="3" borderId="4" xfId="0" applyFont="1" applyFill="1" applyBorder="1" applyAlignment="1">
      <alignment horizontal="left" vertical="center"/>
    </xf>
    <xf numFmtId="0" fontId="9" fillId="2" borderId="14" xfId="0" applyFont="1" applyFill="1" applyBorder="1" applyAlignment="1">
      <alignment horizontal="center" vertical="top" wrapText="1"/>
    </xf>
    <xf numFmtId="0" fontId="9" fillId="2" borderId="13" xfId="0" applyFont="1" applyFill="1" applyBorder="1" applyAlignment="1">
      <alignment horizontal="center" vertical="top" wrapText="1"/>
    </xf>
    <xf numFmtId="0" fontId="12" fillId="2" borderId="14" xfId="0" applyFont="1" applyFill="1" applyBorder="1" applyAlignment="1">
      <alignment horizontal="center" vertical="top" wrapText="1"/>
    </xf>
    <xf numFmtId="0" fontId="12" fillId="2" borderId="13" xfId="0" applyFont="1" applyFill="1" applyBorder="1" applyAlignment="1">
      <alignment horizontal="center" vertical="top" wrapText="1"/>
    </xf>
    <xf numFmtId="0" fontId="9" fillId="2" borderId="4" xfId="0" applyFont="1" applyFill="1" applyBorder="1" applyAlignment="1">
      <alignment horizontal="center" vertical="center" wrapText="1"/>
    </xf>
    <xf numFmtId="1" fontId="5" fillId="5" borderId="4" xfId="0" applyNumberFormat="1" applyFont="1" applyFill="1" applyBorder="1" applyAlignment="1">
      <alignment horizontal="center" vertical="center" wrapText="1"/>
    </xf>
    <xf numFmtId="0" fontId="5" fillId="5" borderId="4" xfId="0" applyFont="1" applyFill="1" applyBorder="1" applyAlignment="1">
      <alignment horizontal="center" vertical="center" wrapText="1"/>
    </xf>
    <xf numFmtId="1" fontId="9" fillId="5" borderId="4" xfId="0" applyNumberFormat="1" applyFont="1" applyFill="1" applyBorder="1" applyAlignment="1">
      <alignment horizontal="center" vertical="center" wrapText="1"/>
    </xf>
    <xf numFmtId="0" fontId="9" fillId="5" borderId="4"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9" fillId="2" borderId="7" xfId="0" applyFont="1" applyFill="1" applyBorder="1" applyAlignment="1">
      <alignment horizontal="left" vertical="center" wrapText="1"/>
    </xf>
    <xf numFmtId="0" fontId="9" fillId="2" borderId="8" xfId="0" applyFont="1" applyFill="1" applyBorder="1" applyAlignment="1">
      <alignment horizontal="left" vertical="center" wrapText="1"/>
    </xf>
    <xf numFmtId="0" fontId="9" fillId="2" borderId="10" xfId="0" applyFont="1" applyFill="1" applyBorder="1" applyAlignment="1">
      <alignment horizontal="left" vertical="center" wrapText="1"/>
    </xf>
    <xf numFmtId="0" fontId="9" fillId="2" borderId="7"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1" fillId="3" borderId="7" xfId="0" applyFont="1" applyFill="1" applyBorder="1" applyAlignment="1">
      <alignment horizontal="left" vertical="top" wrapText="1"/>
    </xf>
    <xf numFmtId="0" fontId="1" fillId="3" borderId="8" xfId="0" applyFont="1" applyFill="1" applyBorder="1" applyAlignment="1">
      <alignment horizontal="left" vertical="top" wrapText="1"/>
    </xf>
    <xf numFmtId="0" fontId="1" fillId="3" borderId="10" xfId="0" applyFont="1" applyFill="1" applyBorder="1" applyAlignment="1">
      <alignment horizontal="left" vertical="top" wrapText="1"/>
    </xf>
    <xf numFmtId="0" fontId="7" fillId="3" borderId="18" xfId="0" applyFont="1" applyFill="1" applyBorder="1" applyAlignment="1">
      <alignment horizontal="left" vertical="top" wrapText="1"/>
    </xf>
    <xf numFmtId="0" fontId="7" fillId="3" borderId="0" xfId="0" applyFont="1" applyFill="1" applyAlignment="1">
      <alignment horizontal="left" vertical="top" wrapText="1"/>
    </xf>
    <xf numFmtId="0" fontId="7" fillId="3" borderId="19" xfId="0" applyFont="1" applyFill="1" applyBorder="1" applyAlignment="1">
      <alignment horizontal="left" vertical="top" wrapText="1"/>
    </xf>
    <xf numFmtId="0" fontId="7" fillId="3" borderId="20" xfId="0" applyFont="1" applyFill="1" applyBorder="1" applyAlignment="1">
      <alignment horizontal="left" vertical="top" wrapText="1"/>
    </xf>
    <xf numFmtId="0" fontId="7" fillId="3" borderId="21" xfId="0" applyFont="1" applyFill="1" applyBorder="1" applyAlignment="1">
      <alignment horizontal="left" vertical="top" wrapText="1"/>
    </xf>
    <xf numFmtId="0" fontId="7" fillId="3" borderId="22" xfId="0" applyFont="1" applyFill="1" applyBorder="1" applyAlignment="1">
      <alignment horizontal="left" vertical="top" wrapText="1"/>
    </xf>
    <xf numFmtId="0" fontId="9" fillId="3" borderId="7"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10" xfId="0" applyFont="1" applyFill="1" applyBorder="1" applyAlignment="1">
      <alignment horizontal="left" vertical="center" wrapText="1"/>
    </xf>
    <xf numFmtId="0" fontId="7" fillId="3" borderId="7"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7" fillId="3" borderId="29" xfId="0" applyFont="1" applyFill="1" applyBorder="1" applyAlignment="1">
      <alignment horizontal="left" vertical="top" wrapText="1"/>
    </xf>
    <xf numFmtId="0" fontId="7" fillId="3" borderId="25" xfId="0" applyFont="1" applyFill="1" applyBorder="1" applyAlignment="1">
      <alignment horizontal="left" vertical="top" wrapText="1"/>
    </xf>
    <xf numFmtId="0" fontId="7" fillId="3" borderId="24" xfId="0" applyFont="1" applyFill="1" applyBorder="1" applyAlignment="1">
      <alignment horizontal="left" vertical="top" wrapText="1"/>
    </xf>
    <xf numFmtId="0" fontId="1" fillId="2" borderId="14" xfId="0" applyFont="1" applyFill="1" applyBorder="1" applyAlignment="1">
      <alignment horizontal="center" vertical="top" wrapText="1"/>
    </xf>
    <xf numFmtId="0" fontId="1" fillId="2" borderId="13" xfId="0" applyFont="1" applyFill="1" applyBorder="1" applyAlignment="1">
      <alignment horizontal="center" vertical="top" wrapText="1"/>
    </xf>
    <xf numFmtId="0" fontId="9" fillId="3" borderId="13"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9" fillId="5" borderId="10" xfId="0" applyFont="1" applyFill="1" applyBorder="1" applyAlignment="1">
      <alignment horizontal="center" vertical="center" wrapText="1"/>
    </xf>
    <xf numFmtId="1" fontId="9" fillId="5" borderId="29" xfId="0" applyNumberFormat="1" applyFont="1" applyFill="1" applyBorder="1" applyAlignment="1">
      <alignment horizontal="center" vertical="center" wrapText="1"/>
    </xf>
    <xf numFmtId="0" fontId="9" fillId="5" borderId="24" xfId="0" applyFont="1" applyFill="1" applyBorder="1" applyAlignment="1">
      <alignment horizontal="center" vertical="center" wrapText="1"/>
    </xf>
    <xf numFmtId="1" fontId="9" fillId="2" borderId="38" xfId="0" applyNumberFormat="1" applyFont="1" applyFill="1" applyBorder="1" applyAlignment="1">
      <alignment horizontal="center" vertical="center" wrapText="1"/>
    </xf>
    <xf numFmtId="0" fontId="9" fillId="2" borderId="39"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36" xfId="0" applyFont="1" applyFill="1" applyBorder="1" applyAlignment="1">
      <alignment horizontal="center" vertical="center" wrapText="1"/>
    </xf>
    <xf numFmtId="0" fontId="9" fillId="2" borderId="37" xfId="0" applyFont="1" applyFill="1" applyBorder="1" applyAlignment="1">
      <alignment horizontal="center" vertical="center" wrapText="1"/>
    </xf>
    <xf numFmtId="9" fontId="6" fillId="3" borderId="4" xfId="0" applyNumberFormat="1" applyFont="1" applyFill="1" applyBorder="1" applyAlignment="1">
      <alignment horizontal="center"/>
    </xf>
    <xf numFmtId="0" fontId="1" fillId="3" borderId="4" xfId="1" applyFont="1" applyFill="1" applyBorder="1" applyAlignment="1" applyProtection="1">
      <alignment horizontal="left" vertical="top" wrapText="1"/>
      <protection locked="0"/>
    </xf>
    <xf numFmtId="0" fontId="1" fillId="3" borderId="6" xfId="1" applyFont="1" applyFill="1" applyBorder="1" applyAlignment="1" applyProtection="1">
      <alignment horizontal="left" vertical="top" wrapText="1"/>
      <protection locked="0"/>
    </xf>
    <xf numFmtId="0" fontId="6" fillId="3" borderId="5" xfId="1" applyFont="1" applyFill="1" applyBorder="1" applyAlignment="1" applyProtection="1">
      <alignment horizontal="center" vertical="top" wrapText="1"/>
      <protection locked="0"/>
    </xf>
    <xf numFmtId="0" fontId="6" fillId="3" borderId="4" xfId="1" applyFont="1" applyFill="1" applyBorder="1" applyAlignment="1" applyProtection="1">
      <alignment horizontal="center" vertical="top" wrapText="1"/>
      <protection locked="0"/>
    </xf>
    <xf numFmtId="0" fontId="7" fillId="2" borderId="14" xfId="1" applyFont="1" applyFill="1" applyBorder="1" applyAlignment="1" applyProtection="1">
      <alignment horizontal="center" vertical="top" wrapText="1"/>
      <protection locked="0"/>
    </xf>
    <xf numFmtId="14" fontId="6" fillId="3" borderId="7" xfId="0" applyNumberFormat="1" applyFont="1" applyFill="1" applyBorder="1" applyAlignment="1">
      <alignment horizontal="center" vertical="center"/>
    </xf>
    <xf numFmtId="14" fontId="6" fillId="3" borderId="10" xfId="0" applyNumberFormat="1" applyFont="1" applyFill="1" applyBorder="1" applyAlignment="1">
      <alignment horizontal="center" vertical="center"/>
    </xf>
    <xf numFmtId="0" fontId="6" fillId="3" borderId="10"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10" xfId="0" applyFont="1" applyFill="1" applyBorder="1" applyAlignment="1">
      <alignment horizontal="center" vertical="center"/>
    </xf>
    <xf numFmtId="9" fontId="6" fillId="3" borderId="12" xfId="0" applyNumberFormat="1" applyFont="1" applyFill="1" applyBorder="1" applyAlignment="1">
      <alignment horizontal="center"/>
    </xf>
    <xf numFmtId="0" fontId="9" fillId="2" borderId="7" xfId="0" applyFont="1" applyFill="1" applyBorder="1" applyAlignment="1">
      <alignment horizontal="left" vertical="top" wrapText="1"/>
    </xf>
    <xf numFmtId="0" fontId="9" fillId="2" borderId="10" xfId="0" applyFont="1" applyFill="1" applyBorder="1" applyAlignment="1">
      <alignment horizontal="left" vertical="top" wrapText="1"/>
    </xf>
    <xf numFmtId="0" fontId="9" fillId="3" borderId="7" xfId="0" applyFont="1" applyFill="1" applyBorder="1" applyAlignment="1">
      <alignment horizontal="center" vertical="top" wrapText="1"/>
    </xf>
    <xf numFmtId="0" fontId="9" fillId="3" borderId="10" xfId="0" applyFont="1" applyFill="1" applyBorder="1" applyAlignment="1">
      <alignment horizontal="center" vertical="top" wrapText="1"/>
    </xf>
    <xf numFmtId="0" fontId="5" fillId="3" borderId="7"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10" xfId="0" applyFont="1" applyFill="1" applyBorder="1" applyAlignment="1">
      <alignment horizontal="left" vertical="center" wrapText="1"/>
    </xf>
    <xf numFmtId="0" fontId="5" fillId="3" borderId="7" xfId="0" applyFont="1" applyFill="1" applyBorder="1" applyAlignment="1">
      <alignment horizontal="left" vertical="top" wrapText="1"/>
    </xf>
    <xf numFmtId="0" fontId="5" fillId="3" borderId="8" xfId="0" applyFont="1" applyFill="1" applyBorder="1" applyAlignment="1">
      <alignment horizontal="left" vertical="top" wrapText="1"/>
    </xf>
    <xf numFmtId="0" fontId="5" fillId="3" borderId="10" xfId="0" applyFont="1" applyFill="1" applyBorder="1" applyAlignment="1">
      <alignment horizontal="left" vertical="top" wrapText="1"/>
    </xf>
    <xf numFmtId="0" fontId="1" fillId="2" borderId="33" xfId="1" applyFont="1" applyFill="1" applyBorder="1" applyAlignment="1" applyProtection="1">
      <alignment horizontal="left" vertical="top" wrapText="1"/>
      <protection locked="0"/>
    </xf>
    <xf numFmtId="0" fontId="1" fillId="2" borderId="30" xfId="1" applyFont="1" applyFill="1" applyBorder="1" applyAlignment="1" applyProtection="1">
      <alignment horizontal="left" vertical="top" wrapText="1"/>
      <protection locked="0"/>
    </xf>
    <xf numFmtId="0" fontId="1" fillId="2" borderId="34" xfId="1" applyFont="1" applyFill="1" applyBorder="1" applyAlignment="1" applyProtection="1">
      <alignment horizontal="left" vertical="top" wrapText="1"/>
      <protection locked="0"/>
    </xf>
    <xf numFmtId="0" fontId="1" fillId="2" borderId="35" xfId="1" applyFont="1" applyFill="1" applyBorder="1" applyAlignment="1" applyProtection="1">
      <alignment horizontal="left" vertical="top" wrapText="1"/>
      <protection locked="0"/>
    </xf>
    <xf numFmtId="0" fontId="1" fillId="2" borderId="21" xfId="1" applyFont="1" applyFill="1" applyBorder="1" applyAlignment="1" applyProtection="1">
      <alignment horizontal="left" vertical="top" wrapText="1"/>
      <protection locked="0"/>
    </xf>
    <xf numFmtId="0" fontId="1" fillId="2" borderId="22" xfId="1" applyFont="1" applyFill="1" applyBorder="1" applyAlignment="1" applyProtection="1">
      <alignment horizontal="left" vertical="top" wrapText="1"/>
      <protection locked="0"/>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1" fillId="2" borderId="29" xfId="0" applyFont="1" applyFill="1" applyBorder="1" applyAlignment="1">
      <alignment horizontal="left" vertical="top" wrapText="1"/>
    </xf>
    <xf numFmtId="0" fontId="1" fillId="2" borderId="24" xfId="0" applyFont="1" applyFill="1" applyBorder="1" applyAlignment="1">
      <alignment horizontal="left" vertical="top" wrapText="1"/>
    </xf>
    <xf numFmtId="0" fontId="1" fillId="2" borderId="20" xfId="0" applyFont="1" applyFill="1" applyBorder="1" applyAlignment="1">
      <alignment horizontal="left" vertical="top" wrapText="1"/>
    </xf>
    <xf numFmtId="0" fontId="1" fillId="2" borderId="22" xfId="0" applyFont="1" applyFill="1" applyBorder="1" applyAlignment="1">
      <alignment horizontal="left" vertical="top" wrapText="1"/>
    </xf>
    <xf numFmtId="0" fontId="12" fillId="2" borderId="29" xfId="0" applyFont="1" applyFill="1" applyBorder="1" applyAlignment="1">
      <alignment horizontal="left" vertical="top" wrapText="1"/>
    </xf>
    <xf numFmtId="0" fontId="12" fillId="2" borderId="24" xfId="0" applyFont="1" applyFill="1" applyBorder="1" applyAlignment="1">
      <alignment horizontal="left" vertical="top" wrapText="1"/>
    </xf>
    <xf numFmtId="0" fontId="12" fillId="2" borderId="18" xfId="0" applyFont="1" applyFill="1" applyBorder="1" applyAlignment="1">
      <alignment horizontal="left" vertical="top" wrapText="1"/>
    </xf>
    <xf numFmtId="0" fontId="12" fillId="2" borderId="19" xfId="0" applyFont="1" applyFill="1" applyBorder="1" applyAlignment="1">
      <alignment horizontal="left" vertical="top" wrapText="1"/>
    </xf>
    <xf numFmtId="0" fontId="12" fillId="2" borderId="20" xfId="0" applyFont="1" applyFill="1" applyBorder="1" applyAlignment="1">
      <alignment horizontal="left" vertical="top" wrapText="1"/>
    </xf>
    <xf numFmtId="0" fontId="12" fillId="2" borderId="22" xfId="0" applyFont="1" applyFill="1" applyBorder="1" applyAlignment="1">
      <alignment horizontal="left" vertical="top" wrapText="1"/>
    </xf>
    <xf numFmtId="0" fontId="5" fillId="3" borderId="29"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8" fillId="3" borderId="7" xfId="0" applyFont="1" applyFill="1" applyBorder="1" applyAlignment="1">
      <alignment horizontal="left" vertical="center"/>
    </xf>
    <xf numFmtId="0" fontId="8" fillId="3" borderId="10" xfId="0" applyFont="1" applyFill="1" applyBorder="1" applyAlignment="1">
      <alignment horizontal="left" vertical="center"/>
    </xf>
    <xf numFmtId="0" fontId="5" fillId="3" borderId="4" xfId="0" applyFont="1" applyFill="1" applyBorder="1" applyAlignment="1">
      <alignment horizontal="left" vertical="top" wrapText="1"/>
    </xf>
    <xf numFmtId="0" fontId="6" fillId="3" borderId="4" xfId="0" applyFont="1" applyFill="1" applyBorder="1" applyAlignment="1">
      <alignment horizontal="center" vertical="center"/>
    </xf>
    <xf numFmtId="0" fontId="6" fillId="3" borderId="7" xfId="0" applyFont="1" applyFill="1" applyBorder="1" applyAlignment="1">
      <alignment horizontal="left" vertical="center"/>
    </xf>
    <xf numFmtId="0" fontId="6" fillId="3" borderId="8" xfId="0" applyFont="1" applyFill="1" applyBorder="1" applyAlignment="1">
      <alignment horizontal="left" vertical="center"/>
    </xf>
    <xf numFmtId="0" fontId="6" fillId="3" borderId="10" xfId="0" applyFont="1" applyFill="1" applyBorder="1" applyAlignment="1">
      <alignment horizontal="left" vertical="center"/>
    </xf>
    <xf numFmtId="164" fontId="6" fillId="3" borderId="4" xfId="1" applyNumberFormat="1" applyFont="1" applyFill="1" applyBorder="1" applyAlignment="1" applyProtection="1">
      <alignment horizontal="left" vertical="center" wrapText="1"/>
      <protection locked="0"/>
    </xf>
    <xf numFmtId="22" fontId="6" fillId="3" borderId="4" xfId="0" applyNumberFormat="1" applyFont="1" applyFill="1" applyBorder="1" applyAlignment="1">
      <alignment horizontal="left" vertical="center" wrapText="1"/>
    </xf>
    <xf numFmtId="164" fontId="8" fillId="3" borderId="4" xfId="1" applyNumberFormat="1" applyFont="1" applyFill="1" applyBorder="1" applyAlignment="1" applyProtection="1">
      <alignment horizontal="left" vertical="center" wrapText="1"/>
      <protection locked="0"/>
    </xf>
    <xf numFmtId="0" fontId="9" fillId="2" borderId="7" xfId="0" applyFont="1" applyFill="1" applyBorder="1" applyAlignment="1">
      <alignment horizontal="center" vertical="top" wrapText="1"/>
    </xf>
    <xf numFmtId="0" fontId="9" fillId="2" borderId="10" xfId="0" applyFont="1" applyFill="1" applyBorder="1" applyAlignment="1">
      <alignment horizontal="center" vertical="top" wrapText="1"/>
    </xf>
    <xf numFmtId="0" fontId="1" fillId="2" borderId="7" xfId="0" applyFont="1" applyFill="1" applyBorder="1" applyAlignment="1">
      <alignment horizontal="left" vertical="top" wrapText="1"/>
    </xf>
    <xf numFmtId="0" fontId="1" fillId="2" borderId="10" xfId="0" applyFont="1" applyFill="1" applyBorder="1" applyAlignment="1">
      <alignment horizontal="left" vertical="top" wrapText="1"/>
    </xf>
    <xf numFmtId="0" fontId="9" fillId="2" borderId="29" xfId="0" applyFont="1" applyFill="1" applyBorder="1" applyAlignment="1">
      <alignment horizontal="left" vertical="top" wrapText="1"/>
    </xf>
    <xf numFmtId="0" fontId="9" fillId="2" borderId="24" xfId="0" applyFont="1" applyFill="1" applyBorder="1" applyAlignment="1">
      <alignment horizontal="left" vertical="top" wrapText="1"/>
    </xf>
    <xf numFmtId="0" fontId="9" fillId="2" borderId="18" xfId="0" applyFont="1" applyFill="1" applyBorder="1" applyAlignment="1">
      <alignment horizontal="left" vertical="top" wrapText="1"/>
    </xf>
    <xf numFmtId="0" fontId="9" fillId="2" borderId="19" xfId="0" applyFont="1" applyFill="1" applyBorder="1" applyAlignment="1">
      <alignment horizontal="left" vertical="top" wrapText="1"/>
    </xf>
    <xf numFmtId="0" fontId="9" fillId="2" borderId="20" xfId="0" applyFont="1" applyFill="1" applyBorder="1" applyAlignment="1">
      <alignment horizontal="left" vertical="top" wrapText="1"/>
    </xf>
    <xf numFmtId="0" fontId="9" fillId="2" borderId="22" xfId="0" applyFont="1" applyFill="1" applyBorder="1" applyAlignment="1">
      <alignment horizontal="left" vertical="top" wrapText="1"/>
    </xf>
    <xf numFmtId="0" fontId="5" fillId="3" borderId="4" xfId="0" applyFont="1" applyFill="1" applyBorder="1" applyAlignment="1">
      <alignment vertical="top"/>
    </xf>
    <xf numFmtId="0" fontId="1" fillId="2" borderId="7"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5" fillId="3" borderId="4" xfId="0" applyFont="1" applyFill="1" applyBorder="1" applyAlignment="1">
      <alignment horizontal="center" vertical="center" wrapText="1"/>
    </xf>
    <xf numFmtId="0" fontId="5" fillId="3" borderId="7" xfId="0" applyFont="1" applyFill="1" applyBorder="1" applyAlignment="1">
      <alignment horizontal="center" vertical="top" wrapText="1"/>
    </xf>
    <xf numFmtId="0" fontId="5" fillId="3" borderId="8" xfId="0" applyFont="1" applyFill="1" applyBorder="1" applyAlignment="1">
      <alignment horizontal="center" vertical="top" wrapText="1"/>
    </xf>
    <xf numFmtId="0" fontId="5" fillId="3" borderId="10" xfId="0" applyFont="1" applyFill="1" applyBorder="1" applyAlignment="1">
      <alignment horizontal="center" vertical="top"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6" fillId="3" borderId="11" xfId="1" applyFont="1" applyFill="1" applyBorder="1" applyAlignment="1" applyProtection="1">
      <alignment horizontal="center" vertical="top" wrapText="1"/>
      <protection locked="0"/>
    </xf>
    <xf numFmtId="0" fontId="6" fillId="3" borderId="12" xfId="1" applyFont="1" applyFill="1" applyBorder="1" applyAlignment="1" applyProtection="1">
      <alignment horizontal="center" vertical="top" wrapText="1"/>
      <protection locked="0"/>
    </xf>
    <xf numFmtId="0" fontId="9" fillId="2" borderId="20"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6" fillId="3" borderId="4" xfId="0" applyFont="1" applyFill="1" applyBorder="1" applyAlignment="1">
      <alignment horizontal="center"/>
    </xf>
    <xf numFmtId="1" fontId="9" fillId="2" borderId="37" xfId="0" applyNumberFormat="1" applyFont="1" applyFill="1" applyBorder="1" applyAlignment="1">
      <alignment horizontal="center" vertical="center" wrapText="1"/>
    </xf>
    <xf numFmtId="1" fontId="9" fillId="2" borderId="40" xfId="0" applyNumberFormat="1" applyFont="1" applyFill="1" applyBorder="1" applyAlignment="1">
      <alignment horizontal="center" vertical="center" wrapText="1"/>
    </xf>
    <xf numFmtId="0" fontId="5" fillId="3" borderId="8" xfId="0" applyFont="1" applyFill="1" applyBorder="1" applyAlignment="1">
      <alignment horizontal="left" vertical="top"/>
    </xf>
    <xf numFmtId="0" fontId="5" fillId="3" borderId="10" xfId="0" applyFont="1" applyFill="1" applyBorder="1" applyAlignment="1">
      <alignment horizontal="left" vertical="top"/>
    </xf>
    <xf numFmtId="0" fontId="9" fillId="2" borderId="29" xfId="0" applyFont="1" applyFill="1" applyBorder="1" applyAlignment="1">
      <alignment horizontal="left" vertical="center" wrapText="1"/>
    </xf>
    <xf numFmtId="0" fontId="9" fillId="2" borderId="24" xfId="0" applyFont="1" applyFill="1" applyBorder="1" applyAlignment="1">
      <alignment horizontal="left" vertical="center" wrapText="1"/>
    </xf>
    <xf numFmtId="0" fontId="9" fillId="2" borderId="18" xfId="0" applyFont="1" applyFill="1" applyBorder="1" applyAlignment="1">
      <alignment horizontal="left" vertical="center" wrapText="1"/>
    </xf>
    <xf numFmtId="0" fontId="9" fillId="2" borderId="19" xfId="0" applyFont="1" applyFill="1" applyBorder="1" applyAlignment="1">
      <alignment horizontal="left" vertical="center" wrapText="1"/>
    </xf>
    <xf numFmtId="0" fontId="9" fillId="2" borderId="20" xfId="0" applyFont="1" applyFill="1" applyBorder="1" applyAlignment="1">
      <alignment horizontal="left" vertical="center" wrapText="1"/>
    </xf>
    <xf numFmtId="0" fontId="9" fillId="2" borderId="22" xfId="0" applyFont="1" applyFill="1" applyBorder="1" applyAlignment="1">
      <alignment horizontal="left" vertical="center" wrapText="1"/>
    </xf>
    <xf numFmtId="0" fontId="7" fillId="2" borderId="7" xfId="0" applyFont="1" applyFill="1" applyBorder="1" applyAlignment="1">
      <alignment vertical="top" wrapText="1"/>
    </xf>
    <xf numFmtId="0" fontId="7" fillId="2" borderId="10" xfId="0" applyFont="1" applyFill="1" applyBorder="1" applyAlignment="1">
      <alignment vertical="top" wrapText="1"/>
    </xf>
    <xf numFmtId="0" fontId="6" fillId="3" borderId="4" xfId="1" applyFont="1" applyFill="1" applyBorder="1" applyAlignment="1" applyProtection="1">
      <alignment horizontal="center" vertical="center" wrapText="1"/>
      <protection locked="0"/>
    </xf>
    <xf numFmtId="0" fontId="6" fillId="3" borderId="6" xfId="1" applyFont="1" applyFill="1" applyBorder="1" applyAlignment="1" applyProtection="1">
      <alignment horizontal="center" vertical="center" wrapText="1"/>
      <protection locked="0"/>
    </xf>
    <xf numFmtId="9" fontId="6" fillId="3" borderId="4" xfId="1" applyNumberFormat="1" applyFont="1" applyFill="1" applyBorder="1" applyAlignment="1" applyProtection="1">
      <alignment horizontal="center" vertical="center" wrapText="1"/>
      <protection hidden="1"/>
    </xf>
    <xf numFmtId="9" fontId="6" fillId="3" borderId="6" xfId="1" applyNumberFormat="1" applyFont="1" applyFill="1" applyBorder="1" applyAlignment="1" applyProtection="1">
      <alignment horizontal="center" vertical="center" wrapText="1"/>
      <protection hidden="1"/>
    </xf>
    <xf numFmtId="9" fontId="6" fillId="3" borderId="12" xfId="1" applyNumberFormat="1" applyFont="1" applyFill="1" applyBorder="1" applyAlignment="1" applyProtection="1">
      <alignment horizontal="center" vertical="center" wrapText="1"/>
      <protection hidden="1"/>
    </xf>
    <xf numFmtId="9" fontId="6" fillId="3" borderId="32" xfId="1" applyNumberFormat="1" applyFont="1" applyFill="1" applyBorder="1" applyAlignment="1" applyProtection="1">
      <alignment horizontal="center" vertical="center" wrapText="1"/>
      <protection hidden="1"/>
    </xf>
    <xf numFmtId="0" fontId="6" fillId="3" borderId="13" xfId="0" applyFont="1" applyFill="1" applyBorder="1" applyAlignment="1">
      <alignment horizontal="left" vertical="center"/>
    </xf>
    <xf numFmtId="0" fontId="9" fillId="2" borderId="13" xfId="0" applyFont="1" applyFill="1" applyBorder="1" applyAlignment="1">
      <alignment horizontal="center" vertical="center" wrapText="1"/>
    </xf>
    <xf numFmtId="0" fontId="1" fillId="2" borderId="4" xfId="0" applyFont="1" applyFill="1" applyBorder="1" applyAlignment="1">
      <alignment horizontal="center" vertical="top" wrapText="1"/>
    </xf>
    <xf numFmtId="0" fontId="1" fillId="2" borderId="4" xfId="0" applyFont="1" applyFill="1" applyBorder="1" applyAlignment="1">
      <alignment horizontal="center" vertical="top"/>
    </xf>
    <xf numFmtId="0" fontId="5" fillId="3" borderId="4" xfId="0" applyFont="1" applyFill="1" applyBorder="1" applyAlignment="1">
      <alignment vertical="top" wrapText="1"/>
    </xf>
    <xf numFmtId="0" fontId="5" fillId="3" borderId="4" xfId="0" applyFont="1" applyFill="1" applyBorder="1" applyAlignment="1">
      <alignment horizontal="left" vertical="top"/>
    </xf>
    <xf numFmtId="0" fontId="6" fillId="3" borderId="4" xfId="0" applyFont="1" applyFill="1" applyBorder="1" applyAlignment="1">
      <alignment horizontal="left" vertical="top"/>
    </xf>
    <xf numFmtId="0" fontId="8" fillId="3" borderId="4" xfId="0" applyFont="1" applyFill="1" applyBorder="1" applyAlignment="1">
      <alignment horizontal="left" vertical="top" wrapText="1"/>
    </xf>
    <xf numFmtId="0" fontId="3" fillId="2" borderId="4" xfId="0" applyFont="1" applyFill="1" applyBorder="1" applyAlignment="1">
      <alignment horizontal="center" vertical="center"/>
    </xf>
    <xf numFmtId="0" fontId="6" fillId="3" borderId="4" xfId="0" applyFont="1" applyFill="1" applyBorder="1" applyAlignment="1">
      <alignment vertical="top" wrapText="1"/>
    </xf>
    <xf numFmtId="0" fontId="10" fillId="3" borderId="4" xfId="0" applyFont="1" applyFill="1" applyBorder="1" applyAlignment="1">
      <alignment vertical="top" wrapText="1"/>
    </xf>
    <xf numFmtId="0" fontId="17" fillId="3" borderId="7" xfId="3" applyFill="1" applyBorder="1" applyAlignment="1">
      <alignment horizontal="left" vertical="top" wrapText="1"/>
    </xf>
    <xf numFmtId="0" fontId="8" fillId="3" borderId="4" xfId="0" applyFont="1" applyFill="1" applyBorder="1" applyAlignment="1">
      <alignment horizontal="left" vertical="top"/>
    </xf>
    <xf numFmtId="0" fontId="9" fillId="2" borderId="4" xfId="0" applyFont="1" applyFill="1" applyBorder="1" applyAlignment="1">
      <alignment horizontal="left" vertical="top" wrapText="1"/>
    </xf>
    <xf numFmtId="1" fontId="6" fillId="3" borderId="4" xfId="0" applyNumberFormat="1" applyFont="1" applyFill="1" applyBorder="1" applyAlignment="1">
      <alignment horizontal="left" vertical="top"/>
    </xf>
    <xf numFmtId="0" fontId="5" fillId="3" borderId="4" xfId="0" applyFont="1" applyFill="1" applyBorder="1" applyAlignment="1">
      <alignment horizontal="left" vertical="center" wrapText="1"/>
    </xf>
    <xf numFmtId="0" fontId="8" fillId="3" borderId="4" xfId="0" applyFont="1" applyFill="1" applyBorder="1" applyAlignment="1">
      <alignment horizontal="center" vertical="center"/>
    </xf>
    <xf numFmtId="0" fontId="9" fillId="2" borderId="4" xfId="0" applyFont="1" applyFill="1" applyBorder="1" applyAlignment="1">
      <alignment horizontal="center" vertical="top" wrapText="1"/>
    </xf>
    <xf numFmtId="0" fontId="5" fillId="3" borderId="4" xfId="0" applyFont="1" applyFill="1" applyBorder="1" applyAlignment="1">
      <alignment horizontal="left" vertical="center"/>
    </xf>
    <xf numFmtId="0" fontId="11" fillId="3" borderId="4" xfId="0" applyFont="1" applyFill="1" applyBorder="1" applyAlignment="1">
      <alignment horizontal="left" vertical="center"/>
    </xf>
    <xf numFmtId="0" fontId="6" fillId="3" borderId="4" xfId="0" applyFont="1" applyFill="1" applyBorder="1" applyAlignment="1">
      <alignment horizontal="left" vertical="top" wrapText="1"/>
    </xf>
    <xf numFmtId="2" fontId="6" fillId="3" borderId="4" xfId="0" applyNumberFormat="1" applyFont="1" applyFill="1" applyBorder="1" applyAlignment="1">
      <alignment horizontal="center" vertical="center"/>
    </xf>
    <xf numFmtId="0" fontId="6" fillId="3" borderId="4" xfId="0" applyFont="1" applyFill="1" applyBorder="1" applyAlignment="1">
      <alignment horizontal="left" vertical="center"/>
    </xf>
    <xf numFmtId="0" fontId="9" fillId="3" borderId="7"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7" fillId="2" borderId="15" xfId="1" applyFont="1" applyFill="1" applyBorder="1" applyAlignment="1" applyProtection="1">
      <alignment horizontal="left" vertical="top" wrapText="1"/>
      <protection locked="0"/>
    </xf>
    <xf numFmtId="0" fontId="7" fillId="2" borderId="16" xfId="1" applyFont="1" applyFill="1" applyBorder="1" applyAlignment="1" applyProtection="1">
      <alignment horizontal="left" vertical="top" wrapText="1"/>
      <protection locked="0"/>
    </xf>
    <xf numFmtId="0" fontId="7" fillId="2" borderId="5" xfId="1" applyFont="1" applyFill="1" applyBorder="1" applyAlignment="1" applyProtection="1">
      <alignment horizontal="left" vertical="top" wrapText="1"/>
      <protection locked="0"/>
    </xf>
    <xf numFmtId="0" fontId="7" fillId="2" borderId="4" xfId="1" applyFont="1" applyFill="1" applyBorder="1" applyAlignment="1" applyProtection="1">
      <alignment horizontal="left" vertical="top" wrapText="1"/>
      <protection locked="0"/>
    </xf>
    <xf numFmtId="0" fontId="8" fillId="4" borderId="8" xfId="1" applyFont="1" applyFill="1" applyBorder="1" applyAlignment="1" applyProtection="1">
      <alignment horizontal="center" vertical="center" wrapText="1"/>
      <protection locked="0"/>
    </xf>
    <xf numFmtId="0" fontId="8" fillId="4" borderId="9" xfId="1" applyFont="1" applyFill="1" applyBorder="1" applyAlignment="1" applyProtection="1">
      <alignment horizontal="center" vertical="center" wrapText="1"/>
      <protection locked="0"/>
    </xf>
    <xf numFmtId="9" fontId="8" fillId="4" borderId="25" xfId="1" applyNumberFormat="1" applyFont="1" applyFill="1" applyBorder="1" applyAlignment="1" applyProtection="1">
      <alignment horizontal="center" vertical="center" wrapText="1"/>
      <protection hidden="1"/>
    </xf>
    <xf numFmtId="9" fontId="8" fillId="4" borderId="23" xfId="1" applyNumberFormat="1" applyFont="1" applyFill="1" applyBorder="1" applyAlignment="1" applyProtection="1">
      <alignment horizontal="center" vertical="center" wrapText="1"/>
      <protection hidden="1"/>
    </xf>
    <xf numFmtId="9" fontId="8" fillId="4" borderId="0" xfId="1" applyNumberFormat="1" applyFont="1" applyFill="1" applyAlignment="1" applyProtection="1">
      <alignment horizontal="center" vertical="center" wrapText="1"/>
      <protection hidden="1"/>
    </xf>
    <xf numFmtId="9" fontId="8" fillId="4" borderId="3" xfId="1" applyNumberFormat="1" applyFont="1" applyFill="1" applyBorder="1" applyAlignment="1" applyProtection="1">
      <alignment horizontal="center" vertical="center" wrapText="1"/>
      <protection hidden="1"/>
    </xf>
    <xf numFmtId="9" fontId="8" fillId="4" borderId="2" xfId="1" applyNumberFormat="1" applyFont="1" applyFill="1" applyBorder="1" applyAlignment="1" applyProtection="1">
      <alignment horizontal="center" vertical="center" wrapText="1"/>
      <protection hidden="1"/>
    </xf>
    <xf numFmtId="9" fontId="8" fillId="4" borderId="1" xfId="1" applyNumberFormat="1" applyFont="1" applyFill="1" applyBorder="1" applyAlignment="1" applyProtection="1">
      <alignment horizontal="center" vertical="center" wrapText="1"/>
      <protection hidden="1"/>
    </xf>
  </cellXfs>
  <cellStyles count="4">
    <cellStyle name="Hyperlink" xfId="3" builtinId="8"/>
    <cellStyle name="Normal" xfId="0" builtinId="0"/>
    <cellStyle name="Normal 3" xfId="1" xr:uid="{00000000-0005-0000-0000-000001000000}"/>
    <cellStyle name="Percent" xfId="2" builtinId="5"/>
  </cellStyles>
  <dxfs count="0"/>
  <tableStyles count="0" defaultTableStyle="TableStyleMedium2" defaultPivotStyle="PivotStyleLight16"/>
  <colors>
    <mruColors>
      <color rgb="FFE3F2F3"/>
      <color rgb="FFE5EEF1"/>
      <color rgb="FFBBDDBD"/>
      <color rgb="FFE1F5E7"/>
      <color rgb="FFF2FCDA"/>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jpe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pn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1.png"/></Relationships>
</file>

<file path=xl/drawings/drawing1.xml><?xml version="1.0" encoding="utf-8"?>
<xdr:wsDr xmlns:xdr="http://schemas.openxmlformats.org/drawingml/2006/spreadsheetDrawing" xmlns:a="http://schemas.openxmlformats.org/drawingml/2006/main">
  <xdr:twoCellAnchor editAs="oneCell">
    <xdr:from>
      <xdr:col>9</xdr:col>
      <xdr:colOff>99392</xdr:colOff>
      <xdr:row>46</xdr:row>
      <xdr:rowOff>41411</xdr:rowOff>
    </xdr:from>
    <xdr:to>
      <xdr:col>12</xdr:col>
      <xdr:colOff>573460</xdr:colOff>
      <xdr:row>47</xdr:row>
      <xdr:rowOff>887564</xdr:rowOff>
    </xdr:to>
    <xdr:pic>
      <xdr:nvPicPr>
        <xdr:cNvPr id="2" name="Picture 1">
          <a:extLst>
            <a:ext uri="{FF2B5EF4-FFF2-40B4-BE49-F238E27FC236}">
              <a16:creationId xmlns:a16="http://schemas.microsoft.com/office/drawing/2014/main" id="{4192AC27-6757-4853-9258-71AC6E7E78B8}"/>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7802218" y="13533781"/>
          <a:ext cx="2880000" cy="1252000"/>
        </a:xfrm>
        <a:prstGeom prst="rect">
          <a:avLst/>
        </a:prstGeom>
      </xdr:spPr>
    </xdr:pic>
    <xdr:clientData/>
  </xdr:twoCellAnchor>
  <xdr:twoCellAnchor editAs="oneCell">
    <xdr:from>
      <xdr:col>8</xdr:col>
      <xdr:colOff>82827</xdr:colOff>
      <xdr:row>53</xdr:row>
      <xdr:rowOff>132522</xdr:rowOff>
    </xdr:from>
    <xdr:to>
      <xdr:col>12</xdr:col>
      <xdr:colOff>331143</xdr:colOff>
      <xdr:row>54</xdr:row>
      <xdr:rowOff>281239</xdr:rowOff>
    </xdr:to>
    <xdr:pic>
      <xdr:nvPicPr>
        <xdr:cNvPr id="3" name="Picture 2">
          <a:extLst>
            <a:ext uri="{FF2B5EF4-FFF2-40B4-BE49-F238E27FC236}">
              <a16:creationId xmlns:a16="http://schemas.microsoft.com/office/drawing/2014/main" id="{45B3339F-C88F-426A-8366-BA8F8D98E154}"/>
            </a:ext>
          </a:extLst>
        </xdr:cNvPr>
        <xdr:cNvPicPr>
          <a:picLocks noChangeAspect="1"/>
        </xdr:cNvPicPr>
      </xdr:nvPicPr>
      <xdr:blipFill>
        <a:blip xmlns:r="http://schemas.openxmlformats.org/officeDocument/2006/relationships" r:embed="rId2"/>
        <a:stretch>
          <a:fillRect/>
        </a:stretch>
      </xdr:blipFill>
      <xdr:spPr>
        <a:xfrm>
          <a:off x="6858001" y="15877761"/>
          <a:ext cx="3581900" cy="314369"/>
        </a:xfrm>
        <a:prstGeom prst="rect">
          <a:avLst/>
        </a:prstGeom>
      </xdr:spPr>
    </xdr:pic>
    <xdr:clientData/>
  </xdr:twoCellAnchor>
  <xdr:twoCellAnchor editAs="oneCell">
    <xdr:from>
      <xdr:col>10</xdr:col>
      <xdr:colOff>41412</xdr:colOff>
      <xdr:row>54</xdr:row>
      <xdr:rowOff>472109</xdr:rowOff>
    </xdr:from>
    <xdr:to>
      <xdr:col>14</xdr:col>
      <xdr:colOff>469760</xdr:colOff>
      <xdr:row>68</xdr:row>
      <xdr:rowOff>52999</xdr:rowOff>
    </xdr:to>
    <xdr:pic>
      <xdr:nvPicPr>
        <xdr:cNvPr id="4" name="Picture 3">
          <a:extLst>
            <a:ext uri="{FF2B5EF4-FFF2-40B4-BE49-F238E27FC236}">
              <a16:creationId xmlns:a16="http://schemas.microsoft.com/office/drawing/2014/main" id="{3C43066D-0380-4F7E-B2DE-FFE4EEC6F384}"/>
            </a:ext>
          </a:extLst>
        </xdr:cNvPr>
        <xdr:cNvPicPr>
          <a:picLocks noChangeAspect="1"/>
        </xdr:cNvPicPr>
      </xdr:nvPicPr>
      <xdr:blipFill>
        <a:blip xmlns:r="http://schemas.openxmlformats.org/officeDocument/2006/relationships" r:embed="rId3"/>
        <a:stretch>
          <a:fillRect/>
        </a:stretch>
      </xdr:blipFill>
      <xdr:spPr>
        <a:xfrm>
          <a:off x="8357151" y="16383000"/>
          <a:ext cx="2880000" cy="2372129"/>
        </a:xfrm>
        <a:prstGeom prst="rect">
          <a:avLst/>
        </a:prstGeom>
      </xdr:spPr>
    </xdr:pic>
    <xdr:clientData/>
  </xdr:twoCellAnchor>
  <xdr:twoCellAnchor editAs="oneCell">
    <xdr:from>
      <xdr:col>12</xdr:col>
      <xdr:colOff>248478</xdr:colOff>
      <xdr:row>47</xdr:row>
      <xdr:rowOff>952501</xdr:rowOff>
    </xdr:from>
    <xdr:to>
      <xdr:col>17</xdr:col>
      <xdr:colOff>63913</xdr:colOff>
      <xdr:row>52</xdr:row>
      <xdr:rowOff>315969</xdr:rowOff>
    </xdr:to>
    <xdr:pic>
      <xdr:nvPicPr>
        <xdr:cNvPr id="5" name="Picture 4">
          <a:extLst>
            <a:ext uri="{FF2B5EF4-FFF2-40B4-BE49-F238E27FC236}">
              <a16:creationId xmlns:a16="http://schemas.microsoft.com/office/drawing/2014/main" id="{42DD0914-FEFC-49C8-AAB2-21DC95905AD7}"/>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9790043" y="14850718"/>
          <a:ext cx="2880000" cy="905690"/>
        </a:xfrm>
        <a:prstGeom prst="rect">
          <a:avLst/>
        </a:prstGeom>
      </xdr:spPr>
    </xdr:pic>
    <xdr:clientData/>
  </xdr:twoCellAnchor>
  <xdr:twoCellAnchor editAs="oneCell">
    <xdr:from>
      <xdr:col>8</xdr:col>
      <xdr:colOff>115956</xdr:colOff>
      <xdr:row>47</xdr:row>
      <xdr:rowOff>919372</xdr:rowOff>
    </xdr:from>
    <xdr:to>
      <xdr:col>11</xdr:col>
      <xdr:colOff>275285</xdr:colOff>
      <xdr:row>52</xdr:row>
      <xdr:rowOff>416818</xdr:rowOff>
    </xdr:to>
    <xdr:pic>
      <xdr:nvPicPr>
        <xdr:cNvPr id="6" name="Picture 5">
          <a:extLst>
            <a:ext uri="{FF2B5EF4-FFF2-40B4-BE49-F238E27FC236}">
              <a16:creationId xmlns:a16="http://schemas.microsoft.com/office/drawing/2014/main" id="{435EBDAE-2549-431C-BD3D-37CC52610A9D}"/>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6891130" y="14817589"/>
          <a:ext cx="2880000" cy="1039668"/>
        </a:xfrm>
        <a:prstGeom prst="rect">
          <a:avLst/>
        </a:prstGeom>
      </xdr:spPr>
    </xdr:pic>
    <xdr:clientData/>
  </xdr:twoCellAnchor>
  <xdr:twoCellAnchor>
    <xdr:from>
      <xdr:col>2</xdr:col>
      <xdr:colOff>23842</xdr:colOff>
      <xdr:row>348</xdr:row>
      <xdr:rowOff>49696</xdr:rowOff>
    </xdr:from>
    <xdr:to>
      <xdr:col>5</xdr:col>
      <xdr:colOff>480704</xdr:colOff>
      <xdr:row>370</xdr:row>
      <xdr:rowOff>20588</xdr:rowOff>
    </xdr:to>
    <xdr:grpSp>
      <xdr:nvGrpSpPr>
        <xdr:cNvPr id="7" name="Group 6">
          <a:extLst>
            <a:ext uri="{FF2B5EF4-FFF2-40B4-BE49-F238E27FC236}">
              <a16:creationId xmlns:a16="http://schemas.microsoft.com/office/drawing/2014/main" id="{29394E24-A8C3-40F3-8CEC-BEC402875586}"/>
            </a:ext>
          </a:extLst>
        </xdr:cNvPr>
        <xdr:cNvGrpSpPr/>
      </xdr:nvGrpSpPr>
      <xdr:grpSpPr>
        <a:xfrm>
          <a:off x="1667112" y="56908148"/>
          <a:ext cx="3100670" cy="3615240"/>
          <a:chOff x="1770030" y="1205188"/>
          <a:chExt cx="3041036" cy="3615240"/>
        </a:xfrm>
      </xdr:grpSpPr>
      <xdr:pic>
        <xdr:nvPicPr>
          <xdr:cNvPr id="18" name="Picture 17">
            <a:extLst>
              <a:ext uri="{FF2B5EF4-FFF2-40B4-BE49-F238E27FC236}">
                <a16:creationId xmlns:a16="http://schemas.microsoft.com/office/drawing/2014/main" id="{36FC0CFA-0E85-4BBE-ADDE-F28774369331}"/>
              </a:ext>
            </a:extLst>
          </xdr:cNvPr>
          <xdr:cNvPicPr>
            <a:picLocks noChangeAspect="1"/>
          </xdr:cNvPicPr>
        </xdr:nvPicPr>
        <xdr:blipFill>
          <a:blip xmlns:r="http://schemas.openxmlformats.org/officeDocument/2006/relationships" r:embed="rId6"/>
          <a:stretch>
            <a:fillRect/>
          </a:stretch>
        </xdr:blipFill>
        <xdr:spPr>
          <a:xfrm>
            <a:off x="1770030" y="1220428"/>
            <a:ext cx="3041036" cy="3600000"/>
          </a:xfrm>
          <a:prstGeom prst="rect">
            <a:avLst/>
          </a:prstGeom>
          <a:ln>
            <a:solidFill>
              <a:schemeClr val="tx1"/>
            </a:solidFill>
          </a:ln>
        </xdr:spPr>
      </xdr:pic>
      <xdr:sp macro="" textlink="">
        <xdr:nvSpPr>
          <xdr:cNvPr id="19" name="Rectangle 18">
            <a:extLst>
              <a:ext uri="{FF2B5EF4-FFF2-40B4-BE49-F238E27FC236}">
                <a16:creationId xmlns:a16="http://schemas.microsoft.com/office/drawing/2014/main" id="{678638B3-7CDF-4009-AB05-A1510CA22C2B}"/>
              </a:ext>
            </a:extLst>
          </xdr:cNvPr>
          <xdr:cNvSpPr/>
        </xdr:nvSpPr>
        <xdr:spPr>
          <a:xfrm>
            <a:off x="2819400" y="1470660"/>
            <a:ext cx="472440" cy="4572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0" name="Rectangle 19">
            <a:extLst>
              <a:ext uri="{FF2B5EF4-FFF2-40B4-BE49-F238E27FC236}">
                <a16:creationId xmlns:a16="http://schemas.microsoft.com/office/drawing/2014/main" id="{761B2EB6-387F-4FB9-A27C-49A9B7680BA0}"/>
              </a:ext>
            </a:extLst>
          </xdr:cNvPr>
          <xdr:cNvSpPr/>
        </xdr:nvSpPr>
        <xdr:spPr>
          <a:xfrm>
            <a:off x="2270760" y="1623060"/>
            <a:ext cx="548640" cy="4572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1" name="Rectangle 20">
            <a:extLst>
              <a:ext uri="{FF2B5EF4-FFF2-40B4-BE49-F238E27FC236}">
                <a16:creationId xmlns:a16="http://schemas.microsoft.com/office/drawing/2014/main" id="{F2905FD0-6FD8-4ABC-ACED-7890619115BF}"/>
              </a:ext>
            </a:extLst>
          </xdr:cNvPr>
          <xdr:cNvSpPr/>
        </xdr:nvSpPr>
        <xdr:spPr>
          <a:xfrm>
            <a:off x="3304693" y="1531620"/>
            <a:ext cx="177647" cy="4572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2" name="TextBox 24">
            <a:extLst>
              <a:ext uri="{FF2B5EF4-FFF2-40B4-BE49-F238E27FC236}">
                <a16:creationId xmlns:a16="http://schemas.microsoft.com/office/drawing/2014/main" id="{4FF31E53-D9A3-4F34-B021-5CA7E6E74028}"/>
              </a:ext>
            </a:extLst>
          </xdr:cNvPr>
          <xdr:cNvSpPr txBox="1"/>
        </xdr:nvSpPr>
        <xdr:spPr>
          <a:xfrm>
            <a:off x="2581418" y="1205188"/>
            <a:ext cx="723275"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FF0000"/>
                </a:solidFill>
              </a:rPr>
              <a:t>Wing A</a:t>
            </a:r>
            <a:endParaRPr lang="en-IN" sz="1400" b="1">
              <a:solidFill>
                <a:srgbClr val="FF0000"/>
              </a:solidFill>
            </a:endParaRPr>
          </a:p>
        </xdr:txBody>
      </xdr:sp>
      <xdr:sp macro="" textlink="">
        <xdr:nvSpPr>
          <xdr:cNvPr id="23" name="TextBox 25">
            <a:extLst>
              <a:ext uri="{FF2B5EF4-FFF2-40B4-BE49-F238E27FC236}">
                <a16:creationId xmlns:a16="http://schemas.microsoft.com/office/drawing/2014/main" id="{93C4E06A-C11C-4D8F-B0BD-3DC4733B2EE7}"/>
              </a:ext>
            </a:extLst>
          </xdr:cNvPr>
          <xdr:cNvSpPr txBox="1"/>
        </xdr:nvSpPr>
        <xdr:spPr>
          <a:xfrm>
            <a:off x="2187450" y="2026130"/>
            <a:ext cx="601447" cy="26161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100" b="1">
                <a:solidFill>
                  <a:srgbClr val="FF0000"/>
                </a:solidFill>
              </a:rPr>
              <a:t>Wing B</a:t>
            </a:r>
            <a:endParaRPr lang="en-IN" sz="1100" b="1">
              <a:solidFill>
                <a:srgbClr val="FF0000"/>
              </a:solidFill>
            </a:endParaRPr>
          </a:p>
        </xdr:txBody>
      </xdr:sp>
      <xdr:sp macro="" textlink="">
        <xdr:nvSpPr>
          <xdr:cNvPr id="24" name="TextBox 26">
            <a:extLst>
              <a:ext uri="{FF2B5EF4-FFF2-40B4-BE49-F238E27FC236}">
                <a16:creationId xmlns:a16="http://schemas.microsoft.com/office/drawing/2014/main" id="{E86E3E67-74D0-40F2-9786-7DCBEBD35B2D}"/>
              </a:ext>
            </a:extLst>
          </xdr:cNvPr>
          <xdr:cNvSpPr txBox="1"/>
        </xdr:nvSpPr>
        <xdr:spPr>
          <a:xfrm>
            <a:off x="3141273" y="1969334"/>
            <a:ext cx="645949" cy="43678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100" b="1">
                <a:solidFill>
                  <a:srgbClr val="FF0000"/>
                </a:solidFill>
              </a:rPr>
              <a:t>Wing C (School)</a:t>
            </a:r>
            <a:endParaRPr lang="en-IN" sz="1100" b="1">
              <a:solidFill>
                <a:srgbClr val="FF0000"/>
              </a:solidFill>
            </a:endParaRPr>
          </a:p>
        </xdr:txBody>
      </xdr:sp>
      <xdr:sp macro="" textlink="">
        <xdr:nvSpPr>
          <xdr:cNvPr id="25" name="Arrow: Right 24">
            <a:extLst>
              <a:ext uri="{FF2B5EF4-FFF2-40B4-BE49-F238E27FC236}">
                <a16:creationId xmlns:a16="http://schemas.microsoft.com/office/drawing/2014/main" id="{A3BA04C0-1A73-4566-ABC9-AF24C08EE1B4}"/>
              </a:ext>
            </a:extLst>
          </xdr:cNvPr>
          <xdr:cNvSpPr/>
        </xdr:nvSpPr>
        <xdr:spPr>
          <a:xfrm rot="20443502">
            <a:off x="2648755" y="3873623"/>
            <a:ext cx="274320" cy="167640"/>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6" name="TextBox 28">
            <a:extLst>
              <a:ext uri="{FF2B5EF4-FFF2-40B4-BE49-F238E27FC236}">
                <a16:creationId xmlns:a16="http://schemas.microsoft.com/office/drawing/2014/main" id="{D21AC349-6200-4721-A6CC-3C74E9607EFB}"/>
              </a:ext>
            </a:extLst>
          </xdr:cNvPr>
          <xdr:cNvSpPr txBox="1"/>
        </xdr:nvSpPr>
        <xdr:spPr>
          <a:xfrm>
            <a:off x="2378207" y="3897137"/>
            <a:ext cx="333746"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N</a:t>
            </a:r>
            <a:endParaRPr lang="en-IN" b="1"/>
          </a:p>
        </xdr:txBody>
      </xdr:sp>
    </xdr:grpSp>
    <xdr:clientData/>
  </xdr:twoCellAnchor>
  <xdr:twoCellAnchor>
    <xdr:from>
      <xdr:col>1</xdr:col>
      <xdr:colOff>66261</xdr:colOff>
      <xdr:row>372</xdr:row>
      <xdr:rowOff>15715</xdr:rowOff>
    </xdr:from>
    <xdr:to>
      <xdr:col>6</xdr:col>
      <xdr:colOff>560202</xdr:colOff>
      <xdr:row>389</xdr:row>
      <xdr:rowOff>91989</xdr:rowOff>
    </xdr:to>
    <xdr:grpSp>
      <xdr:nvGrpSpPr>
        <xdr:cNvPr id="8" name="Group 7">
          <a:extLst>
            <a:ext uri="{FF2B5EF4-FFF2-40B4-BE49-F238E27FC236}">
              <a16:creationId xmlns:a16="http://schemas.microsoft.com/office/drawing/2014/main" id="{D34C9C97-E5DF-449C-BE87-94B5A7262403}"/>
            </a:ext>
          </a:extLst>
        </xdr:cNvPr>
        <xdr:cNvGrpSpPr/>
      </xdr:nvGrpSpPr>
      <xdr:grpSpPr>
        <a:xfrm>
          <a:off x="887896" y="60849819"/>
          <a:ext cx="4840654" cy="2892361"/>
          <a:chOff x="1358263" y="5153443"/>
          <a:chExt cx="4742919" cy="2892361"/>
        </a:xfrm>
      </xdr:grpSpPr>
      <xdr:pic>
        <xdr:nvPicPr>
          <xdr:cNvPr id="9" name="Picture 8">
            <a:extLst>
              <a:ext uri="{FF2B5EF4-FFF2-40B4-BE49-F238E27FC236}">
                <a16:creationId xmlns:a16="http://schemas.microsoft.com/office/drawing/2014/main" id="{6C827FD5-BAC6-4171-A728-57E2B4E01038}"/>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1358263" y="5153443"/>
            <a:ext cx="4742919" cy="2880000"/>
          </a:xfrm>
          <a:prstGeom prst="rect">
            <a:avLst/>
          </a:prstGeom>
          <a:ln>
            <a:solidFill>
              <a:schemeClr val="tx1"/>
            </a:solidFill>
          </a:ln>
        </xdr:spPr>
      </xdr:pic>
      <xdr:sp macro="" textlink="">
        <xdr:nvSpPr>
          <xdr:cNvPr id="10" name="Rectangle 9">
            <a:extLst>
              <a:ext uri="{FF2B5EF4-FFF2-40B4-BE49-F238E27FC236}">
                <a16:creationId xmlns:a16="http://schemas.microsoft.com/office/drawing/2014/main" id="{4BDD100E-44EE-410A-8B92-3E9FFADEEA64}"/>
              </a:ext>
            </a:extLst>
          </xdr:cNvPr>
          <xdr:cNvSpPr/>
        </xdr:nvSpPr>
        <xdr:spPr>
          <a:xfrm>
            <a:off x="3429000" y="5724525"/>
            <a:ext cx="1147763" cy="1033463"/>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1" name="Rectangle 10">
            <a:extLst>
              <a:ext uri="{FF2B5EF4-FFF2-40B4-BE49-F238E27FC236}">
                <a16:creationId xmlns:a16="http://schemas.microsoft.com/office/drawing/2014/main" id="{F26BF480-BCAD-4C37-879A-D1D5746683B1}"/>
              </a:ext>
            </a:extLst>
          </xdr:cNvPr>
          <xdr:cNvSpPr/>
        </xdr:nvSpPr>
        <xdr:spPr>
          <a:xfrm>
            <a:off x="1696878" y="6056480"/>
            <a:ext cx="1684497" cy="113806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2" name="Rectangle 11">
            <a:extLst>
              <a:ext uri="{FF2B5EF4-FFF2-40B4-BE49-F238E27FC236}">
                <a16:creationId xmlns:a16="http://schemas.microsoft.com/office/drawing/2014/main" id="{585B3D28-0D51-46CF-856E-D4C1BFE765F6}"/>
              </a:ext>
            </a:extLst>
          </xdr:cNvPr>
          <xdr:cNvSpPr/>
        </xdr:nvSpPr>
        <xdr:spPr>
          <a:xfrm>
            <a:off x="4573825" y="5672223"/>
            <a:ext cx="636350" cy="108576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3" name="TextBox 33">
            <a:extLst>
              <a:ext uri="{FF2B5EF4-FFF2-40B4-BE49-F238E27FC236}">
                <a16:creationId xmlns:a16="http://schemas.microsoft.com/office/drawing/2014/main" id="{5E895367-F9C1-4CDF-B9D7-54F97CCA7931}"/>
              </a:ext>
            </a:extLst>
          </xdr:cNvPr>
          <xdr:cNvSpPr txBox="1"/>
        </xdr:nvSpPr>
        <xdr:spPr>
          <a:xfrm>
            <a:off x="3639775" y="5416748"/>
            <a:ext cx="723275"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FF0000"/>
                </a:solidFill>
              </a:rPr>
              <a:t>Wing A</a:t>
            </a:r>
            <a:endParaRPr lang="en-IN" sz="1400" b="1">
              <a:solidFill>
                <a:srgbClr val="FF0000"/>
              </a:solidFill>
            </a:endParaRPr>
          </a:p>
        </xdr:txBody>
      </xdr:sp>
      <xdr:sp macro="" textlink="">
        <xdr:nvSpPr>
          <xdr:cNvPr id="14" name="TextBox 34">
            <a:extLst>
              <a:ext uri="{FF2B5EF4-FFF2-40B4-BE49-F238E27FC236}">
                <a16:creationId xmlns:a16="http://schemas.microsoft.com/office/drawing/2014/main" id="{6ABFEF41-0D8D-4BBF-922B-6861B7BE103F}"/>
              </a:ext>
            </a:extLst>
          </xdr:cNvPr>
          <xdr:cNvSpPr txBox="1"/>
        </xdr:nvSpPr>
        <xdr:spPr>
          <a:xfrm>
            <a:off x="2238700" y="5778994"/>
            <a:ext cx="723275"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FF0000"/>
                </a:solidFill>
              </a:rPr>
              <a:t>Wing B</a:t>
            </a:r>
            <a:endParaRPr lang="en-IN" sz="1400" b="1">
              <a:solidFill>
                <a:srgbClr val="FF0000"/>
              </a:solidFill>
            </a:endParaRPr>
          </a:p>
        </xdr:txBody>
      </xdr:sp>
      <xdr:sp macro="" textlink="">
        <xdr:nvSpPr>
          <xdr:cNvPr id="15" name="TextBox 35">
            <a:extLst>
              <a:ext uri="{FF2B5EF4-FFF2-40B4-BE49-F238E27FC236}">
                <a16:creationId xmlns:a16="http://schemas.microsoft.com/office/drawing/2014/main" id="{373C6416-5CFF-46F6-A62F-3716C737AEAF}"/>
              </a:ext>
            </a:extLst>
          </xdr:cNvPr>
          <xdr:cNvSpPr txBox="1"/>
        </xdr:nvSpPr>
        <xdr:spPr>
          <a:xfrm>
            <a:off x="4573825" y="5374065"/>
            <a:ext cx="723275"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FF0000"/>
                </a:solidFill>
              </a:rPr>
              <a:t>Wing C</a:t>
            </a:r>
            <a:endParaRPr lang="en-IN" sz="1400" b="1">
              <a:solidFill>
                <a:srgbClr val="FF0000"/>
              </a:solidFill>
            </a:endParaRPr>
          </a:p>
        </xdr:txBody>
      </xdr:sp>
      <xdr:sp macro="" textlink="">
        <xdr:nvSpPr>
          <xdr:cNvPr id="16" name="Arrow: Right 15">
            <a:extLst>
              <a:ext uri="{FF2B5EF4-FFF2-40B4-BE49-F238E27FC236}">
                <a16:creationId xmlns:a16="http://schemas.microsoft.com/office/drawing/2014/main" id="{28713E54-B2D0-439A-A313-E4C56284849A}"/>
              </a:ext>
            </a:extLst>
          </xdr:cNvPr>
          <xdr:cNvSpPr/>
        </xdr:nvSpPr>
        <xdr:spPr>
          <a:xfrm rot="20443502">
            <a:off x="3127888" y="7652958"/>
            <a:ext cx="274320" cy="167640"/>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7" name="TextBox 39">
            <a:extLst>
              <a:ext uri="{FF2B5EF4-FFF2-40B4-BE49-F238E27FC236}">
                <a16:creationId xmlns:a16="http://schemas.microsoft.com/office/drawing/2014/main" id="{F9302B99-E48E-4AC3-B1CF-C92988F4B33A}"/>
              </a:ext>
            </a:extLst>
          </xdr:cNvPr>
          <xdr:cNvSpPr txBox="1"/>
        </xdr:nvSpPr>
        <xdr:spPr>
          <a:xfrm>
            <a:off x="2857340" y="7676472"/>
            <a:ext cx="333746"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N</a:t>
            </a:r>
            <a:endParaRPr lang="en-IN" b="1"/>
          </a:p>
        </xdr:txBody>
      </xdr:sp>
    </xdr:grpSp>
    <xdr:clientData/>
  </xdr:twoCellAnchor>
  <xdr:twoCellAnchor editAs="oneCell">
    <xdr:from>
      <xdr:col>2</xdr:col>
      <xdr:colOff>11615</xdr:colOff>
      <xdr:row>419</xdr:row>
      <xdr:rowOff>6564</xdr:rowOff>
    </xdr:from>
    <xdr:to>
      <xdr:col>5</xdr:col>
      <xdr:colOff>751212</xdr:colOff>
      <xdr:row>434</xdr:row>
      <xdr:rowOff>163382</xdr:rowOff>
    </xdr:to>
    <xdr:pic>
      <xdr:nvPicPr>
        <xdr:cNvPr id="27" name="Picture 26">
          <a:extLst>
            <a:ext uri="{FF2B5EF4-FFF2-40B4-BE49-F238E27FC236}">
              <a16:creationId xmlns:a16="http://schemas.microsoft.com/office/drawing/2014/main" id="{38C14B6C-345E-4510-8673-4BDA5C1B2790}"/>
            </a:ext>
          </a:extLst>
        </xdr:cNvPr>
        <xdr:cNvPicPr>
          <a:picLocks noChangeAspect="1"/>
        </xdr:cNvPicPr>
      </xdr:nvPicPr>
      <xdr:blipFill rotWithShape="1">
        <a:blip xmlns:r="http://schemas.openxmlformats.org/officeDocument/2006/relationships" r:embed="rId8" cstate="screen">
          <a:extLst>
            <a:ext uri="{28A0092B-C50C-407E-A947-70E740481C1C}">
              <a14:useLocalDpi xmlns:a14="http://schemas.microsoft.com/office/drawing/2010/main"/>
            </a:ext>
          </a:extLst>
        </a:blip>
        <a:srcRect/>
        <a:stretch/>
      </xdr:blipFill>
      <xdr:spPr>
        <a:xfrm>
          <a:off x="1618441" y="66002390"/>
          <a:ext cx="3323771" cy="2641600"/>
        </a:xfrm>
        <a:prstGeom prst="rect">
          <a:avLst/>
        </a:prstGeom>
        <a:ln>
          <a:solidFill>
            <a:schemeClr val="tx1"/>
          </a:solidFill>
        </a:ln>
      </xdr:spPr>
    </xdr:pic>
    <xdr:clientData/>
  </xdr:twoCellAnchor>
  <xdr:twoCellAnchor>
    <xdr:from>
      <xdr:col>1</xdr:col>
      <xdr:colOff>124239</xdr:colOff>
      <xdr:row>399</xdr:row>
      <xdr:rowOff>91109</xdr:rowOff>
    </xdr:from>
    <xdr:to>
      <xdr:col>6</xdr:col>
      <xdr:colOff>580611</xdr:colOff>
      <xdr:row>417</xdr:row>
      <xdr:rowOff>4971</xdr:rowOff>
    </xdr:to>
    <xdr:grpSp>
      <xdr:nvGrpSpPr>
        <xdr:cNvPr id="28" name="Group 27">
          <a:extLst>
            <a:ext uri="{FF2B5EF4-FFF2-40B4-BE49-F238E27FC236}">
              <a16:creationId xmlns:a16="http://schemas.microsoft.com/office/drawing/2014/main" id="{79AAF64E-8AA2-44D1-AFC7-ED8FF3AE578A}"/>
            </a:ext>
          </a:extLst>
        </xdr:cNvPr>
        <xdr:cNvGrpSpPr/>
      </xdr:nvGrpSpPr>
      <xdr:grpSpPr>
        <a:xfrm>
          <a:off x="945874" y="65397822"/>
          <a:ext cx="4803085" cy="2895601"/>
          <a:chOff x="1476375" y="971549"/>
          <a:chExt cx="4705350" cy="2895601"/>
        </a:xfrm>
      </xdr:grpSpPr>
      <xdr:pic>
        <xdr:nvPicPr>
          <xdr:cNvPr id="29" name="Picture 28">
            <a:extLst>
              <a:ext uri="{FF2B5EF4-FFF2-40B4-BE49-F238E27FC236}">
                <a16:creationId xmlns:a16="http://schemas.microsoft.com/office/drawing/2014/main" id="{B1E0C127-4EFA-4971-9EB9-5E7C69F13A44}"/>
              </a:ext>
            </a:extLst>
          </xdr:cNvPr>
          <xdr:cNvPicPr>
            <a:picLocks noChangeAspect="1"/>
          </xdr:cNvPicPr>
        </xdr:nvPicPr>
        <xdr:blipFill rotWithShape="1">
          <a:blip xmlns:r="http://schemas.openxmlformats.org/officeDocument/2006/relationships" r:embed="rId9" cstate="screen">
            <a:extLst>
              <a:ext uri="{28A0092B-C50C-407E-A947-70E740481C1C}">
                <a14:useLocalDpi xmlns:a14="http://schemas.microsoft.com/office/drawing/2010/main"/>
              </a:ext>
            </a:extLst>
          </a:blip>
          <a:srcRect/>
          <a:stretch/>
        </xdr:blipFill>
        <xdr:spPr>
          <a:xfrm>
            <a:off x="1476375" y="971549"/>
            <a:ext cx="4705350" cy="2895601"/>
          </a:xfrm>
          <a:prstGeom prst="rect">
            <a:avLst/>
          </a:prstGeom>
          <a:ln>
            <a:solidFill>
              <a:schemeClr val="tx1"/>
            </a:solidFill>
          </a:ln>
        </xdr:spPr>
      </xdr:pic>
      <xdr:sp macro="" textlink="">
        <xdr:nvSpPr>
          <xdr:cNvPr id="30" name="Rectangle 29">
            <a:extLst>
              <a:ext uri="{FF2B5EF4-FFF2-40B4-BE49-F238E27FC236}">
                <a16:creationId xmlns:a16="http://schemas.microsoft.com/office/drawing/2014/main" id="{7548D316-7A6D-41FC-BFC0-3042454E18F2}"/>
              </a:ext>
            </a:extLst>
          </xdr:cNvPr>
          <xdr:cNvSpPr/>
        </xdr:nvSpPr>
        <xdr:spPr>
          <a:xfrm rot="896065">
            <a:off x="2852381" y="1299297"/>
            <a:ext cx="1627161" cy="1948808"/>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31" name="TextBox 46">
            <a:extLst>
              <a:ext uri="{FF2B5EF4-FFF2-40B4-BE49-F238E27FC236}">
                <a16:creationId xmlns:a16="http://schemas.microsoft.com/office/drawing/2014/main" id="{AF200BA8-55F4-4DA2-B8C5-496DAEBB76E5}"/>
              </a:ext>
            </a:extLst>
          </xdr:cNvPr>
          <xdr:cNvSpPr txBox="1"/>
        </xdr:nvSpPr>
        <xdr:spPr>
          <a:xfrm>
            <a:off x="2914378" y="1732436"/>
            <a:ext cx="647934" cy="27699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solidFill>
                  <a:srgbClr val="FFFF00"/>
                </a:solidFill>
              </a:rPr>
              <a:t>Wing A</a:t>
            </a:r>
            <a:endParaRPr lang="en-IN" sz="1200" b="1">
              <a:solidFill>
                <a:srgbClr val="FFFF00"/>
              </a:solidFill>
            </a:endParaRPr>
          </a:p>
        </xdr:txBody>
      </xdr:sp>
      <xdr:sp macro="" textlink="">
        <xdr:nvSpPr>
          <xdr:cNvPr id="32" name="TextBox 47">
            <a:extLst>
              <a:ext uri="{FF2B5EF4-FFF2-40B4-BE49-F238E27FC236}">
                <a16:creationId xmlns:a16="http://schemas.microsoft.com/office/drawing/2014/main" id="{445B030E-9AA6-458B-BBA9-E9EC10613FC4}"/>
              </a:ext>
            </a:extLst>
          </xdr:cNvPr>
          <xdr:cNvSpPr txBox="1"/>
        </xdr:nvSpPr>
        <xdr:spPr>
          <a:xfrm>
            <a:off x="3331991" y="2843572"/>
            <a:ext cx="647934" cy="27699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solidFill>
                  <a:srgbClr val="FFFF00"/>
                </a:solidFill>
              </a:rPr>
              <a:t>Wing B</a:t>
            </a:r>
            <a:endParaRPr lang="en-IN" sz="1200" b="1">
              <a:solidFill>
                <a:srgbClr val="FFFF00"/>
              </a:solidFill>
            </a:endParaRPr>
          </a:p>
        </xdr:txBody>
      </xdr:sp>
      <xdr:sp macro="" textlink="">
        <xdr:nvSpPr>
          <xdr:cNvPr id="33" name="TextBox 48">
            <a:extLst>
              <a:ext uri="{FF2B5EF4-FFF2-40B4-BE49-F238E27FC236}">
                <a16:creationId xmlns:a16="http://schemas.microsoft.com/office/drawing/2014/main" id="{4A3E0BD5-F0AE-4270-BB83-55BDBA046C80}"/>
              </a:ext>
            </a:extLst>
          </xdr:cNvPr>
          <xdr:cNvSpPr txBox="1"/>
        </xdr:nvSpPr>
        <xdr:spPr>
          <a:xfrm>
            <a:off x="3829050" y="1455437"/>
            <a:ext cx="902170" cy="27699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solidFill>
                  <a:srgbClr val="7030A0"/>
                </a:solidFill>
              </a:rPr>
              <a:t>Rehab bldg</a:t>
            </a:r>
            <a:endParaRPr lang="en-IN" sz="1200" b="1">
              <a:solidFill>
                <a:srgbClr val="7030A0"/>
              </a:solidFill>
            </a:endParaRPr>
          </a:p>
        </xdr:txBody>
      </xdr:sp>
      <xdr:sp macro="" textlink="">
        <xdr:nvSpPr>
          <xdr:cNvPr id="34" name="TextBox 51">
            <a:extLst>
              <a:ext uri="{FF2B5EF4-FFF2-40B4-BE49-F238E27FC236}">
                <a16:creationId xmlns:a16="http://schemas.microsoft.com/office/drawing/2014/main" id="{B18975DB-DA93-476A-936F-0741895DEF65}"/>
              </a:ext>
            </a:extLst>
          </xdr:cNvPr>
          <xdr:cNvSpPr txBox="1"/>
        </xdr:nvSpPr>
        <xdr:spPr>
          <a:xfrm>
            <a:off x="1894900" y="1086105"/>
            <a:ext cx="1200521" cy="92333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FF00"/>
                </a:solidFill>
              </a:rPr>
              <a:t>Marathon </a:t>
            </a:r>
          </a:p>
          <a:p>
            <a:r>
              <a:rPr lang="en-US" b="1">
                <a:solidFill>
                  <a:srgbClr val="FFFF00"/>
                </a:solidFill>
              </a:rPr>
              <a:t>NeoValley </a:t>
            </a:r>
          </a:p>
          <a:p>
            <a:r>
              <a:rPr lang="en-US" b="1">
                <a:solidFill>
                  <a:srgbClr val="FFFF00"/>
                </a:solidFill>
              </a:rPr>
              <a:t>Kaveri</a:t>
            </a:r>
            <a:endParaRPr lang="en-IN" b="1">
              <a:solidFill>
                <a:srgbClr val="FFFF00"/>
              </a:solidFill>
            </a:endParaRPr>
          </a:p>
        </xdr:txBody>
      </xdr:sp>
    </xdr:grpSp>
    <xdr:clientData/>
  </xdr:twoCellAnchor>
  <xdr:twoCellAnchor editAs="oneCell">
    <xdr:from>
      <xdr:col>8</xdr:col>
      <xdr:colOff>173934</xdr:colOff>
      <xdr:row>31</xdr:row>
      <xdr:rowOff>66260</xdr:rowOff>
    </xdr:from>
    <xdr:to>
      <xdr:col>12</xdr:col>
      <xdr:colOff>416509</xdr:colOff>
      <xdr:row>37</xdr:row>
      <xdr:rowOff>122477</xdr:rowOff>
    </xdr:to>
    <xdr:pic>
      <xdr:nvPicPr>
        <xdr:cNvPr id="35" name="Picture 34">
          <a:extLst>
            <a:ext uri="{FF2B5EF4-FFF2-40B4-BE49-F238E27FC236}">
              <a16:creationId xmlns:a16="http://schemas.microsoft.com/office/drawing/2014/main" id="{0FB96171-9A0B-43A0-A796-095C5A77B6EA}"/>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6949108" y="8357151"/>
          <a:ext cx="3576159" cy="2160000"/>
        </a:xfrm>
        <a:prstGeom prst="rect">
          <a:avLst/>
        </a:prstGeom>
      </xdr:spPr>
    </xdr:pic>
    <xdr:clientData/>
  </xdr:twoCellAnchor>
  <xdr:twoCellAnchor editAs="oneCell">
    <xdr:from>
      <xdr:col>8</xdr:col>
      <xdr:colOff>828261</xdr:colOff>
      <xdr:row>41</xdr:row>
      <xdr:rowOff>161677</xdr:rowOff>
    </xdr:from>
    <xdr:to>
      <xdr:col>12</xdr:col>
      <xdr:colOff>595190</xdr:colOff>
      <xdr:row>46</xdr:row>
      <xdr:rowOff>337216</xdr:rowOff>
    </xdr:to>
    <xdr:pic>
      <xdr:nvPicPr>
        <xdr:cNvPr id="36" name="Picture 35">
          <a:extLst>
            <a:ext uri="{FF2B5EF4-FFF2-40B4-BE49-F238E27FC236}">
              <a16:creationId xmlns:a16="http://schemas.microsoft.com/office/drawing/2014/main" id="{08849523-B055-4D16-94A4-6AD45F9F46FE}"/>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7777701" y="12978517"/>
          <a:ext cx="3173069" cy="1082319"/>
        </a:xfrm>
        <a:prstGeom prst="rect">
          <a:avLst/>
        </a:prstGeom>
      </xdr:spPr>
    </xdr:pic>
    <xdr:clientData/>
  </xdr:twoCellAnchor>
  <xdr:twoCellAnchor editAs="oneCell">
    <xdr:from>
      <xdr:col>8</xdr:col>
      <xdr:colOff>240195</xdr:colOff>
      <xdr:row>6</xdr:row>
      <xdr:rowOff>82826</xdr:rowOff>
    </xdr:from>
    <xdr:to>
      <xdr:col>11</xdr:col>
      <xdr:colOff>399524</xdr:colOff>
      <xdr:row>7</xdr:row>
      <xdr:rowOff>306767</xdr:rowOff>
    </xdr:to>
    <xdr:pic>
      <xdr:nvPicPr>
        <xdr:cNvPr id="37" name="Picture 36">
          <a:extLst>
            <a:ext uri="{FF2B5EF4-FFF2-40B4-BE49-F238E27FC236}">
              <a16:creationId xmlns:a16="http://schemas.microsoft.com/office/drawing/2014/main" id="{E516261A-9D7D-4A2A-99E5-A1EF04CFC842}"/>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7015369" y="1938130"/>
          <a:ext cx="2880000" cy="432000"/>
        </a:xfrm>
        <a:prstGeom prst="rect">
          <a:avLst/>
        </a:prstGeom>
      </xdr:spPr>
    </xdr:pic>
    <xdr:clientData/>
  </xdr:twoCellAnchor>
  <xdr:twoCellAnchor editAs="oneCell">
    <xdr:from>
      <xdr:col>8</xdr:col>
      <xdr:colOff>248478</xdr:colOff>
      <xdr:row>22</xdr:row>
      <xdr:rowOff>182218</xdr:rowOff>
    </xdr:from>
    <xdr:to>
      <xdr:col>12</xdr:col>
      <xdr:colOff>514894</xdr:colOff>
      <xdr:row>27</xdr:row>
      <xdr:rowOff>60652</xdr:rowOff>
    </xdr:to>
    <xdr:pic>
      <xdr:nvPicPr>
        <xdr:cNvPr id="38" name="Picture 37">
          <a:extLst>
            <a:ext uri="{FF2B5EF4-FFF2-40B4-BE49-F238E27FC236}">
              <a16:creationId xmlns:a16="http://schemas.microsoft.com/office/drawing/2014/main" id="{6314F49C-572A-46B6-BFEB-C30243EF4037}"/>
            </a:ext>
          </a:extLst>
        </xdr:cNvPr>
        <xdr:cNvPicPr>
          <a:picLocks noChangeAspect="1"/>
        </xdr:cNvPicPr>
      </xdr:nvPicPr>
      <xdr:blipFill>
        <a:blip xmlns:r="http://schemas.openxmlformats.org/officeDocument/2006/relationships" r:embed="rId13"/>
        <a:stretch>
          <a:fillRect/>
        </a:stretch>
      </xdr:blipFill>
      <xdr:spPr>
        <a:xfrm>
          <a:off x="7023652" y="5358848"/>
          <a:ext cx="3600000" cy="1800000"/>
        </a:xfrm>
        <a:prstGeom prst="rect">
          <a:avLst/>
        </a:prstGeom>
      </xdr:spPr>
    </xdr:pic>
    <xdr:clientData/>
  </xdr:twoCellAnchor>
  <xdr:twoCellAnchor>
    <xdr:from>
      <xdr:col>0</xdr:col>
      <xdr:colOff>588067</xdr:colOff>
      <xdr:row>296</xdr:row>
      <xdr:rowOff>82827</xdr:rowOff>
    </xdr:from>
    <xdr:to>
      <xdr:col>7</xdr:col>
      <xdr:colOff>289561</xdr:colOff>
      <xdr:row>343</xdr:row>
      <xdr:rowOff>121921</xdr:rowOff>
    </xdr:to>
    <xdr:grpSp>
      <xdr:nvGrpSpPr>
        <xdr:cNvPr id="39" name="Group 38">
          <a:extLst>
            <a:ext uri="{FF2B5EF4-FFF2-40B4-BE49-F238E27FC236}">
              <a16:creationId xmlns:a16="http://schemas.microsoft.com/office/drawing/2014/main" id="{AE2F67F4-BFC6-4522-82C5-B279F2954FA1}"/>
            </a:ext>
          </a:extLst>
        </xdr:cNvPr>
        <xdr:cNvGrpSpPr/>
      </xdr:nvGrpSpPr>
      <xdr:grpSpPr>
        <a:xfrm>
          <a:off x="588067" y="48333992"/>
          <a:ext cx="5751111" cy="7824746"/>
          <a:chOff x="526207" y="266700"/>
          <a:chExt cx="5667474" cy="8250600"/>
        </a:xfrm>
      </xdr:grpSpPr>
      <xdr:grpSp>
        <xdr:nvGrpSpPr>
          <xdr:cNvPr id="40" name="Group 39">
            <a:extLst>
              <a:ext uri="{FF2B5EF4-FFF2-40B4-BE49-F238E27FC236}">
                <a16:creationId xmlns:a16="http://schemas.microsoft.com/office/drawing/2014/main" id="{DB0499E7-222B-46E6-A500-6E00848889D7}"/>
              </a:ext>
            </a:extLst>
          </xdr:cNvPr>
          <xdr:cNvGrpSpPr/>
        </xdr:nvGrpSpPr>
        <xdr:grpSpPr>
          <a:xfrm>
            <a:off x="526207" y="266700"/>
            <a:ext cx="5667474" cy="8250600"/>
            <a:chOff x="526207" y="266700"/>
            <a:chExt cx="5667474" cy="8250600"/>
          </a:xfrm>
        </xdr:grpSpPr>
        <xdr:pic>
          <xdr:nvPicPr>
            <xdr:cNvPr id="48" name="Picture 47">
              <a:extLst>
                <a:ext uri="{FF2B5EF4-FFF2-40B4-BE49-F238E27FC236}">
                  <a16:creationId xmlns:a16="http://schemas.microsoft.com/office/drawing/2014/main" id="{89C25A48-6880-4ED7-989C-7F2313FAEB5A}"/>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526207" y="266700"/>
              <a:ext cx="2707531" cy="3600000"/>
            </a:xfrm>
            <a:prstGeom prst="rect">
              <a:avLst/>
            </a:prstGeom>
            <a:ln>
              <a:solidFill>
                <a:schemeClr val="tx1"/>
              </a:solidFill>
            </a:ln>
          </xdr:spPr>
        </xdr:pic>
        <xdr:pic>
          <xdr:nvPicPr>
            <xdr:cNvPr id="49" name="Picture 48">
              <a:extLst>
                <a:ext uri="{FF2B5EF4-FFF2-40B4-BE49-F238E27FC236}">
                  <a16:creationId xmlns:a16="http://schemas.microsoft.com/office/drawing/2014/main" id="{350DA180-3EED-406B-BD57-B69EE33E9A9B}"/>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3429000" y="266700"/>
              <a:ext cx="2707531" cy="3600000"/>
            </a:xfrm>
            <a:prstGeom prst="rect">
              <a:avLst/>
            </a:prstGeom>
            <a:ln>
              <a:solidFill>
                <a:schemeClr val="tx1"/>
              </a:solidFill>
            </a:ln>
          </xdr:spPr>
        </xdr:pic>
        <xdr:pic>
          <xdr:nvPicPr>
            <xdr:cNvPr id="50" name="Picture 49">
              <a:extLst>
                <a:ext uri="{FF2B5EF4-FFF2-40B4-BE49-F238E27FC236}">
                  <a16:creationId xmlns:a16="http://schemas.microsoft.com/office/drawing/2014/main" id="{F11E8DA7-A491-42A8-A7B8-B4B3898114D7}"/>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545257" y="4013401"/>
              <a:ext cx="1759895" cy="2340000"/>
            </a:xfrm>
            <a:prstGeom prst="rect">
              <a:avLst/>
            </a:prstGeom>
            <a:ln>
              <a:solidFill>
                <a:schemeClr val="tx1"/>
              </a:solidFill>
            </a:ln>
          </xdr:spPr>
        </xdr:pic>
        <xdr:pic>
          <xdr:nvPicPr>
            <xdr:cNvPr id="51" name="Picture 50">
              <a:extLst>
                <a:ext uri="{FF2B5EF4-FFF2-40B4-BE49-F238E27FC236}">
                  <a16:creationId xmlns:a16="http://schemas.microsoft.com/office/drawing/2014/main" id="{003AF1D2-FD5D-4E66-9C79-8B83119B8049}"/>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1797494" y="6537300"/>
              <a:ext cx="1489142" cy="1980000"/>
            </a:xfrm>
            <a:prstGeom prst="rect">
              <a:avLst/>
            </a:prstGeom>
            <a:ln>
              <a:solidFill>
                <a:schemeClr val="tx1"/>
              </a:solidFill>
            </a:ln>
          </xdr:spPr>
        </xdr:pic>
        <xdr:pic>
          <xdr:nvPicPr>
            <xdr:cNvPr id="52" name="Picture 51">
              <a:extLst>
                <a:ext uri="{FF2B5EF4-FFF2-40B4-BE49-F238E27FC236}">
                  <a16:creationId xmlns:a16="http://schemas.microsoft.com/office/drawing/2014/main" id="{E264834D-16F3-492D-8C76-CDC68C884436}"/>
                </a:ext>
              </a:extLst>
            </xdr:cNvPr>
            <xdr:cNvPicPr>
              <a:picLocks noChangeAspect="1"/>
            </xdr:cNvPicPr>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xfrm>
              <a:off x="3429000" y="6537300"/>
              <a:ext cx="1489142" cy="1980000"/>
            </a:xfrm>
            <a:prstGeom prst="rect">
              <a:avLst/>
            </a:prstGeom>
            <a:ln>
              <a:solidFill>
                <a:schemeClr val="tx1"/>
              </a:solidFill>
            </a:ln>
          </xdr:spPr>
        </xdr:pic>
        <xdr:pic>
          <xdr:nvPicPr>
            <xdr:cNvPr id="53" name="Picture 52">
              <a:extLst>
                <a:ext uri="{FF2B5EF4-FFF2-40B4-BE49-F238E27FC236}">
                  <a16:creationId xmlns:a16="http://schemas.microsoft.com/office/drawing/2014/main" id="{092DE8D6-B377-4721-97FB-717D62C31988}"/>
                </a:ext>
              </a:extLst>
            </xdr:cNvPr>
            <xdr:cNvPicPr>
              <a:picLocks noChangeAspect="1"/>
            </xdr:cNvPicPr>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xfrm>
              <a:off x="4433785" y="4032000"/>
              <a:ext cx="1759896" cy="2340000"/>
            </a:xfrm>
            <a:prstGeom prst="rect">
              <a:avLst/>
            </a:prstGeom>
            <a:ln>
              <a:solidFill>
                <a:schemeClr val="tx1"/>
              </a:solidFill>
            </a:ln>
          </xdr:spPr>
        </xdr:pic>
        <xdr:pic>
          <xdr:nvPicPr>
            <xdr:cNvPr id="54" name="Picture 53">
              <a:extLst>
                <a:ext uri="{FF2B5EF4-FFF2-40B4-BE49-F238E27FC236}">
                  <a16:creationId xmlns:a16="http://schemas.microsoft.com/office/drawing/2014/main" id="{9BBC8769-2D94-4BAD-832E-DA78C265EE6B}"/>
                </a:ext>
              </a:extLst>
            </xdr:cNvPr>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xfrm>
              <a:off x="2490086" y="4032000"/>
              <a:ext cx="1759895" cy="2340000"/>
            </a:xfrm>
            <a:prstGeom prst="rect">
              <a:avLst/>
            </a:prstGeom>
            <a:ln>
              <a:solidFill>
                <a:schemeClr val="tx1"/>
              </a:solidFill>
            </a:ln>
          </xdr:spPr>
        </xdr:pic>
      </xdr:grpSp>
      <xdr:sp macro="" textlink="">
        <xdr:nvSpPr>
          <xdr:cNvPr id="41" name="TextBox 18">
            <a:extLst>
              <a:ext uri="{FF2B5EF4-FFF2-40B4-BE49-F238E27FC236}">
                <a16:creationId xmlns:a16="http://schemas.microsoft.com/office/drawing/2014/main" id="{5E50A5FB-9CED-46ED-B404-F34C2D4FB044}"/>
              </a:ext>
            </a:extLst>
          </xdr:cNvPr>
          <xdr:cNvSpPr txBox="1"/>
        </xdr:nvSpPr>
        <xdr:spPr>
          <a:xfrm>
            <a:off x="1418027" y="2838450"/>
            <a:ext cx="1260281" cy="52322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800" b="1">
                <a:solidFill>
                  <a:srgbClr val="FF0000"/>
                </a:solidFill>
              </a:rPr>
              <a:t>Wing A</a:t>
            </a:r>
            <a:endParaRPr lang="en-IN" sz="2800" b="1">
              <a:solidFill>
                <a:srgbClr val="FF0000"/>
              </a:solidFill>
            </a:endParaRPr>
          </a:p>
        </xdr:txBody>
      </xdr:sp>
      <xdr:sp macro="" textlink="">
        <xdr:nvSpPr>
          <xdr:cNvPr id="42" name="TextBox 19">
            <a:extLst>
              <a:ext uri="{FF2B5EF4-FFF2-40B4-BE49-F238E27FC236}">
                <a16:creationId xmlns:a16="http://schemas.microsoft.com/office/drawing/2014/main" id="{A52FDB37-E1C1-4A65-9A18-CEB768E1B4B1}"/>
              </a:ext>
            </a:extLst>
          </xdr:cNvPr>
          <xdr:cNvSpPr txBox="1"/>
        </xdr:nvSpPr>
        <xdr:spPr>
          <a:xfrm>
            <a:off x="4918142" y="2705100"/>
            <a:ext cx="1260281" cy="52322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800" b="1">
                <a:solidFill>
                  <a:srgbClr val="FF0000"/>
                </a:solidFill>
              </a:rPr>
              <a:t>Wing A</a:t>
            </a:r>
            <a:endParaRPr lang="en-IN" sz="2800" b="1">
              <a:solidFill>
                <a:srgbClr val="FF0000"/>
              </a:solidFill>
            </a:endParaRPr>
          </a:p>
        </xdr:txBody>
      </xdr:sp>
      <xdr:sp macro="" textlink="">
        <xdr:nvSpPr>
          <xdr:cNvPr id="43" name="TextBox 20">
            <a:extLst>
              <a:ext uri="{FF2B5EF4-FFF2-40B4-BE49-F238E27FC236}">
                <a16:creationId xmlns:a16="http://schemas.microsoft.com/office/drawing/2014/main" id="{51B43A4C-49F1-4589-A41E-FDDE5F38B18B}"/>
              </a:ext>
            </a:extLst>
          </xdr:cNvPr>
          <xdr:cNvSpPr txBox="1"/>
        </xdr:nvSpPr>
        <xdr:spPr>
          <a:xfrm>
            <a:off x="795063" y="5693531"/>
            <a:ext cx="1260281" cy="52322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800" b="1">
                <a:solidFill>
                  <a:srgbClr val="FF0000"/>
                </a:solidFill>
              </a:rPr>
              <a:t>Wing A</a:t>
            </a:r>
            <a:endParaRPr lang="en-IN" sz="2800" b="1">
              <a:solidFill>
                <a:srgbClr val="FF0000"/>
              </a:solidFill>
            </a:endParaRPr>
          </a:p>
        </xdr:txBody>
      </xdr:sp>
      <xdr:sp macro="" textlink="">
        <xdr:nvSpPr>
          <xdr:cNvPr id="44" name="TextBox 21">
            <a:extLst>
              <a:ext uri="{FF2B5EF4-FFF2-40B4-BE49-F238E27FC236}">
                <a16:creationId xmlns:a16="http://schemas.microsoft.com/office/drawing/2014/main" id="{0FA5CB83-D8FA-4672-8888-EDDA149D18D3}"/>
              </a:ext>
            </a:extLst>
          </xdr:cNvPr>
          <xdr:cNvSpPr txBox="1"/>
        </xdr:nvSpPr>
        <xdr:spPr>
          <a:xfrm>
            <a:off x="716005" y="365090"/>
            <a:ext cx="941283" cy="40011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b="1">
                <a:solidFill>
                  <a:srgbClr val="FF0000"/>
                </a:solidFill>
              </a:rPr>
              <a:t>Wing B</a:t>
            </a:r>
            <a:endParaRPr lang="en-IN" sz="2000" b="1">
              <a:solidFill>
                <a:srgbClr val="FF0000"/>
              </a:solidFill>
            </a:endParaRPr>
          </a:p>
        </xdr:txBody>
      </xdr:sp>
      <xdr:sp macro="" textlink="">
        <xdr:nvSpPr>
          <xdr:cNvPr id="45" name="TextBox 22">
            <a:extLst>
              <a:ext uri="{FF2B5EF4-FFF2-40B4-BE49-F238E27FC236}">
                <a16:creationId xmlns:a16="http://schemas.microsoft.com/office/drawing/2014/main" id="{7B915AC7-6928-43CF-B56B-24F4471105C2}"/>
              </a:ext>
            </a:extLst>
          </xdr:cNvPr>
          <xdr:cNvSpPr txBox="1"/>
        </xdr:nvSpPr>
        <xdr:spPr>
          <a:xfrm>
            <a:off x="3530540" y="298445"/>
            <a:ext cx="941283" cy="40011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b="1">
                <a:solidFill>
                  <a:srgbClr val="FF0000"/>
                </a:solidFill>
              </a:rPr>
              <a:t>Wing B</a:t>
            </a:r>
            <a:endParaRPr lang="en-IN" sz="2000" b="1">
              <a:solidFill>
                <a:srgbClr val="FF0000"/>
              </a:solidFill>
            </a:endParaRPr>
          </a:p>
        </xdr:txBody>
      </xdr:sp>
      <xdr:sp macro="" textlink="">
        <xdr:nvSpPr>
          <xdr:cNvPr id="46" name="TextBox 23">
            <a:extLst>
              <a:ext uri="{FF2B5EF4-FFF2-40B4-BE49-F238E27FC236}">
                <a16:creationId xmlns:a16="http://schemas.microsoft.com/office/drawing/2014/main" id="{52A2F84F-64BA-492B-AC48-7D90938A5B41}"/>
              </a:ext>
            </a:extLst>
          </xdr:cNvPr>
          <xdr:cNvSpPr txBox="1"/>
        </xdr:nvSpPr>
        <xdr:spPr>
          <a:xfrm>
            <a:off x="2402441" y="4171890"/>
            <a:ext cx="941283" cy="40011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b="1">
                <a:solidFill>
                  <a:srgbClr val="FF0000"/>
                </a:solidFill>
              </a:rPr>
              <a:t>Wing B</a:t>
            </a:r>
            <a:endParaRPr lang="en-IN" sz="2000" b="1">
              <a:solidFill>
                <a:srgbClr val="FF0000"/>
              </a:solidFill>
            </a:endParaRPr>
          </a:p>
        </xdr:txBody>
      </xdr:sp>
      <xdr:sp macro="" textlink="">
        <xdr:nvSpPr>
          <xdr:cNvPr id="47" name="TextBox 24">
            <a:extLst>
              <a:ext uri="{FF2B5EF4-FFF2-40B4-BE49-F238E27FC236}">
                <a16:creationId xmlns:a16="http://schemas.microsoft.com/office/drawing/2014/main" id="{DC3FDC89-B2F9-4153-A7DE-A76C4A15408D}"/>
              </a:ext>
            </a:extLst>
          </xdr:cNvPr>
          <xdr:cNvSpPr txBox="1"/>
        </xdr:nvSpPr>
        <xdr:spPr>
          <a:xfrm>
            <a:off x="3136036" y="5854485"/>
            <a:ext cx="952505" cy="40011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b="1">
                <a:solidFill>
                  <a:srgbClr val="FF0000"/>
                </a:solidFill>
              </a:rPr>
              <a:t>Wing A</a:t>
            </a:r>
            <a:endParaRPr lang="en-IN" sz="2000" b="1">
              <a:solidFill>
                <a:srgbClr val="FF0000"/>
              </a:solidFill>
            </a:endParaRP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e69WyNzTdNdd8kUh7"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444"/>
  <sheetViews>
    <sheetView tabSelected="1" view="pageBreakPreview" topLeftCell="A281" zoomScale="115" zoomScaleNormal="115" zoomScaleSheetLayoutView="115" workbookViewId="0">
      <selection activeCell="K289" sqref="K289"/>
    </sheetView>
  </sheetViews>
  <sheetFormatPr defaultColWidth="9.109375" defaultRowHeight="13.2" x14ac:dyDescent="0.25"/>
  <cols>
    <col min="1" max="2" width="12" style="6" customWidth="1"/>
    <col min="3" max="8" width="12.88671875" style="6" customWidth="1"/>
    <col min="9" max="9" width="13.88671875" style="6" customWidth="1"/>
    <col min="10" max="10" width="17.5546875" style="6" customWidth="1"/>
    <col min="11" max="16384" width="9.109375" style="6"/>
  </cols>
  <sheetData>
    <row r="1" spans="1:20" ht="41.25" customHeight="1" x14ac:dyDescent="0.25">
      <c r="A1" s="263" t="s">
        <v>146</v>
      </c>
      <c r="B1" s="263"/>
      <c r="C1" s="264"/>
      <c r="D1" s="264"/>
      <c r="E1" s="264"/>
      <c r="F1" s="264"/>
      <c r="G1" s="264"/>
      <c r="H1" s="264"/>
      <c r="I1" s="84"/>
      <c r="J1" s="85"/>
      <c r="K1" s="85"/>
      <c r="L1" s="85"/>
    </row>
    <row r="2" spans="1:20" ht="13.8" x14ac:dyDescent="0.25">
      <c r="A2" s="269" t="s">
        <v>85</v>
      </c>
      <c r="B2" s="269"/>
      <c r="C2" s="269"/>
      <c r="D2" s="269"/>
      <c r="E2" s="269"/>
      <c r="F2" s="269"/>
      <c r="G2" s="269"/>
      <c r="H2" s="269"/>
    </row>
    <row r="3" spans="1:20" ht="26.4" x14ac:dyDescent="0.25">
      <c r="A3" s="12" t="s">
        <v>102</v>
      </c>
      <c r="B3" s="12"/>
      <c r="C3" s="212" t="s">
        <v>108</v>
      </c>
      <c r="D3" s="213"/>
      <c r="E3" s="214"/>
      <c r="F3" s="11" t="s">
        <v>103</v>
      </c>
      <c r="G3" s="215">
        <v>45854</v>
      </c>
      <c r="H3" s="215"/>
    </row>
    <row r="4" spans="1:20" ht="26.4" x14ac:dyDescent="0.25">
      <c r="A4" s="12" t="s">
        <v>106</v>
      </c>
      <c r="B4" s="12"/>
      <c r="C4" s="212" t="s">
        <v>241</v>
      </c>
      <c r="D4" s="213"/>
      <c r="E4" s="214"/>
      <c r="F4" s="11" t="s">
        <v>104</v>
      </c>
      <c r="G4" s="216" t="s">
        <v>290</v>
      </c>
      <c r="H4" s="216"/>
    </row>
    <row r="5" spans="1:20" ht="39.6" x14ac:dyDescent="0.25">
      <c r="A5" s="229" t="s">
        <v>107</v>
      </c>
      <c r="B5" s="230"/>
      <c r="C5" s="212" t="s">
        <v>291</v>
      </c>
      <c r="D5" s="213"/>
      <c r="E5" s="214"/>
      <c r="F5" s="11" t="s">
        <v>105</v>
      </c>
      <c r="G5" s="217" t="str">
        <f ca="1">TEXT(TODAY(),"DD/MM/YYYY")</f>
        <v>28/07/2025</v>
      </c>
      <c r="H5" s="217"/>
    </row>
    <row r="6" spans="1:20" ht="13.8" x14ac:dyDescent="0.25">
      <c r="A6" s="269" t="s">
        <v>101</v>
      </c>
      <c r="B6" s="269"/>
      <c r="C6" s="269"/>
      <c r="D6" s="269"/>
      <c r="E6" s="269"/>
      <c r="F6" s="269"/>
      <c r="G6" s="269"/>
      <c r="H6" s="269"/>
    </row>
    <row r="7" spans="1:20" ht="15.6" customHeight="1" x14ac:dyDescent="0.25">
      <c r="A7" s="173" t="s">
        <v>0</v>
      </c>
      <c r="B7" s="174"/>
      <c r="C7" s="271" t="s">
        <v>243</v>
      </c>
      <c r="D7" s="271"/>
      <c r="E7" s="271"/>
      <c r="F7" s="271"/>
      <c r="G7" s="271"/>
      <c r="H7" s="271"/>
    </row>
    <row r="8" spans="1:20" ht="25.5" customHeight="1" x14ac:dyDescent="0.25">
      <c r="A8" s="173" t="s">
        <v>1</v>
      </c>
      <c r="B8" s="174"/>
      <c r="C8" s="265" t="str">
        <f>CONCATENATE((IF(OR(C7="",C7="NA"),"",C7)),", ",(IF(OR(A9="",A9="NA"),"",A9)),".",(IF(OR(C9="",C9="NA"),"",C9)),", near ",(IF(OR(C17="",C17="NA"),"",C17)),", ",(IF(OR(C11="",C11="NA"),"",C11)),", ",(IF(OR(C10="",C10="NA"),"",C10)),", ",(IF(OR(C12="",C12="NA"),"",C12)),", ",(IF(OR(C13="",C13="NA"),"",C13)),", ",(IF(OR(C14="",C14="NA"),"",C14))," - ",(IF(OR(C15="",C15="NA"),"",C15)),".")</f>
        <v>Neovalley Kaveri Wing A, CTS No.15 (PT), near Saidarshan CHS, Sai Hill Road, Kanjur, Bhandup (W), Kurla, Mumbai - 400078.</v>
      </c>
      <c r="D8" s="265"/>
      <c r="E8" s="265"/>
      <c r="F8" s="265"/>
      <c r="G8" s="265"/>
      <c r="H8" s="265"/>
      <c r="P8" s="59" t="s">
        <v>151</v>
      </c>
      <c r="Q8" s="59" t="s">
        <v>152</v>
      </c>
      <c r="R8" s="59" t="s">
        <v>153</v>
      </c>
      <c r="S8" s="59" t="s">
        <v>154</v>
      </c>
      <c r="T8" s="59" t="s">
        <v>155</v>
      </c>
    </row>
    <row r="9" spans="1:20" ht="14.4" x14ac:dyDescent="0.25">
      <c r="A9" s="173" t="s">
        <v>150</v>
      </c>
      <c r="B9" s="174"/>
      <c r="C9" s="265" t="s">
        <v>244</v>
      </c>
      <c r="D9" s="265"/>
      <c r="E9" s="265"/>
      <c r="F9" s="265"/>
      <c r="G9" s="265"/>
      <c r="H9" s="265"/>
      <c r="P9" s="59" t="s">
        <v>156</v>
      </c>
      <c r="Q9" s="59" t="s">
        <v>157</v>
      </c>
      <c r="R9" s="59" t="s">
        <v>158</v>
      </c>
      <c r="S9" s="59" t="s">
        <v>159</v>
      </c>
      <c r="T9" s="59" t="s">
        <v>160</v>
      </c>
    </row>
    <row r="10" spans="1:20" ht="14.4" x14ac:dyDescent="0.25">
      <c r="A10" s="173" t="s">
        <v>6</v>
      </c>
      <c r="B10" s="174"/>
      <c r="C10" s="228" t="s">
        <v>245</v>
      </c>
      <c r="D10" s="228"/>
      <c r="E10" s="228"/>
      <c r="F10" s="228"/>
      <c r="G10" s="228"/>
      <c r="H10" s="228"/>
      <c r="P10" s="59" t="s">
        <v>161</v>
      </c>
      <c r="Q10" s="59" t="s">
        <v>162</v>
      </c>
      <c r="R10" s="59" t="s">
        <v>163</v>
      </c>
      <c r="S10" s="59" t="s">
        <v>164</v>
      </c>
      <c r="T10" s="59" t="s">
        <v>165</v>
      </c>
    </row>
    <row r="11" spans="1:20" ht="14.4" x14ac:dyDescent="0.25">
      <c r="A11" s="173" t="s">
        <v>148</v>
      </c>
      <c r="B11" s="174"/>
      <c r="C11" s="228" t="s">
        <v>247</v>
      </c>
      <c r="D11" s="228"/>
      <c r="E11" s="228"/>
      <c r="F11" s="228"/>
      <c r="G11" s="228"/>
      <c r="H11" s="228"/>
      <c r="P11" s="59" t="s">
        <v>166</v>
      </c>
      <c r="Q11" s="59" t="s">
        <v>167</v>
      </c>
      <c r="R11" s="59" t="s">
        <v>168</v>
      </c>
      <c r="S11" s="59" t="s">
        <v>169</v>
      </c>
      <c r="T11" s="59" t="s">
        <v>170</v>
      </c>
    </row>
    <row r="12" spans="1:20" ht="14.4" x14ac:dyDescent="0.25">
      <c r="A12" s="173" t="s">
        <v>149</v>
      </c>
      <c r="B12" s="174"/>
      <c r="C12" s="228" t="s">
        <v>246</v>
      </c>
      <c r="D12" s="228"/>
      <c r="E12" s="228"/>
      <c r="F12" s="228"/>
      <c r="G12" s="228"/>
      <c r="H12" s="228"/>
      <c r="P12" s="59" t="s">
        <v>171</v>
      </c>
      <c r="Q12" s="59" t="s">
        <v>172</v>
      </c>
      <c r="R12" s="59" t="s">
        <v>153</v>
      </c>
      <c r="S12" s="59" t="s">
        <v>173</v>
      </c>
      <c r="T12" s="59" t="s">
        <v>174</v>
      </c>
    </row>
    <row r="13" spans="1:20" ht="14.4" x14ac:dyDescent="0.25">
      <c r="A13" s="173" t="s">
        <v>135</v>
      </c>
      <c r="B13" s="174"/>
      <c r="C13" s="228" t="s">
        <v>168</v>
      </c>
      <c r="D13" s="228"/>
      <c r="E13" s="228"/>
      <c r="F13" s="228"/>
      <c r="G13" s="228"/>
      <c r="H13" s="228"/>
      <c r="P13" s="59" t="s">
        <v>175</v>
      </c>
      <c r="Q13" s="59" t="s">
        <v>152</v>
      </c>
      <c r="R13" s="59"/>
      <c r="S13" s="59" t="s">
        <v>176</v>
      </c>
      <c r="T13" s="59" t="s">
        <v>177</v>
      </c>
    </row>
    <row r="14" spans="1:20" ht="14.4" x14ac:dyDescent="0.25">
      <c r="A14" s="173" t="s">
        <v>136</v>
      </c>
      <c r="B14" s="174"/>
      <c r="C14" s="228" t="s">
        <v>153</v>
      </c>
      <c r="D14" s="228"/>
      <c r="E14" s="228"/>
      <c r="F14" s="228"/>
      <c r="G14" s="228"/>
      <c r="H14" s="228"/>
      <c r="P14" s="59" t="s">
        <v>178</v>
      </c>
      <c r="Q14" s="59" t="s">
        <v>179</v>
      </c>
      <c r="R14" s="59"/>
      <c r="S14" s="59" t="s">
        <v>180</v>
      </c>
      <c r="T14" s="59" t="s">
        <v>181</v>
      </c>
    </row>
    <row r="15" spans="1:20" ht="14.4" x14ac:dyDescent="0.25">
      <c r="A15" s="173" t="s">
        <v>137</v>
      </c>
      <c r="B15" s="174"/>
      <c r="C15" s="266">
        <v>400078</v>
      </c>
      <c r="D15" s="266"/>
      <c r="E15" s="266"/>
      <c r="F15" s="266"/>
      <c r="G15" s="266"/>
      <c r="H15" s="266"/>
      <c r="P15" s="59" t="s">
        <v>182</v>
      </c>
      <c r="Q15" s="59" t="s">
        <v>183</v>
      </c>
      <c r="R15" s="59"/>
      <c r="S15" s="59" t="s">
        <v>184</v>
      </c>
      <c r="T15" s="59" t="s">
        <v>185</v>
      </c>
    </row>
    <row r="16" spans="1:20" ht="14.4" x14ac:dyDescent="0.25">
      <c r="A16" s="173" t="s">
        <v>48</v>
      </c>
      <c r="B16" s="174"/>
      <c r="C16" s="265" t="s">
        <v>248</v>
      </c>
      <c r="D16" s="265"/>
      <c r="E16" s="265"/>
      <c r="F16" s="265"/>
      <c r="G16" s="265"/>
      <c r="H16" s="265"/>
      <c r="P16" s="59"/>
      <c r="Q16" s="59"/>
      <c r="R16" s="59"/>
      <c r="S16" s="59" t="s">
        <v>186</v>
      </c>
      <c r="T16" s="59" t="s">
        <v>187</v>
      </c>
    </row>
    <row r="17" spans="1:20" ht="14.4" x14ac:dyDescent="0.25">
      <c r="A17" s="173" t="s">
        <v>90</v>
      </c>
      <c r="B17" s="174"/>
      <c r="C17" s="268" t="s">
        <v>249</v>
      </c>
      <c r="D17" s="268"/>
      <c r="E17" s="268"/>
      <c r="F17" s="268"/>
      <c r="G17" s="268"/>
      <c r="H17" s="268"/>
      <c r="P17" s="59"/>
      <c r="Q17" s="59"/>
      <c r="R17" s="59"/>
      <c r="S17" s="59" t="s">
        <v>188</v>
      </c>
      <c r="T17" s="59" t="s">
        <v>189</v>
      </c>
    </row>
    <row r="18" spans="1:20" ht="14.4" x14ac:dyDescent="0.25">
      <c r="A18" s="173" t="s">
        <v>89</v>
      </c>
      <c r="B18" s="174"/>
      <c r="C18" s="232" t="s">
        <v>147</v>
      </c>
      <c r="D18" s="233"/>
      <c r="E18" s="234"/>
      <c r="F18" s="232" t="s">
        <v>294</v>
      </c>
      <c r="G18" s="233"/>
      <c r="H18" s="234"/>
      <c r="P18" s="59"/>
      <c r="Q18" s="59"/>
      <c r="R18" s="59"/>
      <c r="S18" s="59" t="s">
        <v>190</v>
      </c>
      <c r="T18" s="59" t="s">
        <v>191</v>
      </c>
    </row>
    <row r="19" spans="1:20" ht="14.4" x14ac:dyDescent="0.25">
      <c r="A19" s="173" t="s">
        <v>138</v>
      </c>
      <c r="B19" s="174"/>
      <c r="C19" s="272" t="s">
        <v>250</v>
      </c>
      <c r="D19" s="181"/>
      <c r="E19" s="181"/>
      <c r="F19" s="181"/>
      <c r="G19" s="181"/>
      <c r="H19" s="182"/>
      <c r="P19" s="59"/>
      <c r="Q19" s="59"/>
      <c r="R19" s="59"/>
      <c r="S19" s="59" t="s">
        <v>192</v>
      </c>
      <c r="T19" s="59" t="s">
        <v>193</v>
      </c>
    </row>
    <row r="20" spans="1:20" ht="14.4" x14ac:dyDescent="0.25">
      <c r="A20" s="173" t="s">
        <v>2</v>
      </c>
      <c r="B20" s="174"/>
      <c r="C20" s="265" t="s">
        <v>289</v>
      </c>
      <c r="D20" s="265"/>
      <c r="E20" s="265"/>
      <c r="F20" s="265"/>
      <c r="G20" s="265"/>
      <c r="H20" s="265"/>
      <c r="P20" s="59"/>
      <c r="Q20" s="59"/>
      <c r="R20" s="59"/>
      <c r="S20" s="59" t="s">
        <v>194</v>
      </c>
      <c r="T20" s="59" t="s">
        <v>195</v>
      </c>
    </row>
    <row r="21" spans="1:20" ht="27" customHeight="1" x14ac:dyDescent="0.25">
      <c r="A21" s="173" t="s">
        <v>3</v>
      </c>
      <c r="B21" s="174"/>
      <c r="C21" s="270" t="s">
        <v>251</v>
      </c>
      <c r="D21" s="270"/>
      <c r="E21" s="270"/>
      <c r="F21" s="270"/>
      <c r="G21" s="270"/>
      <c r="H21" s="270"/>
      <c r="P21" s="59"/>
      <c r="Q21" s="59"/>
      <c r="R21" s="59"/>
      <c r="S21" s="59" t="s">
        <v>196</v>
      </c>
      <c r="T21" s="59" t="s">
        <v>197</v>
      </c>
    </row>
    <row r="22" spans="1:20" ht="15" customHeight="1" x14ac:dyDescent="0.25">
      <c r="A22" s="173" t="s">
        <v>109</v>
      </c>
      <c r="B22" s="174"/>
      <c r="C22" s="266" t="s">
        <v>52</v>
      </c>
      <c r="D22" s="266"/>
      <c r="E22" s="266"/>
      <c r="F22" s="266"/>
      <c r="G22" s="266"/>
      <c r="H22" s="266"/>
      <c r="P22" s="59"/>
      <c r="Q22" s="59"/>
      <c r="R22" s="59"/>
      <c r="S22" s="59" t="s">
        <v>198</v>
      </c>
      <c r="T22" s="59" t="s">
        <v>199</v>
      </c>
    </row>
    <row r="23" spans="1:20" ht="26.25" customHeight="1" x14ac:dyDescent="0.25">
      <c r="A23" s="173" t="s">
        <v>4</v>
      </c>
      <c r="B23" s="174"/>
      <c r="C23" s="265" t="s">
        <v>252</v>
      </c>
      <c r="D23" s="228"/>
      <c r="E23" s="228"/>
      <c r="F23" s="228"/>
      <c r="G23" s="228"/>
      <c r="H23" s="228"/>
    </row>
    <row r="24" spans="1:20" x14ac:dyDescent="0.25">
      <c r="A24" s="173" t="s">
        <v>5</v>
      </c>
      <c r="B24" s="174"/>
      <c r="C24" s="228" t="s">
        <v>242</v>
      </c>
      <c r="D24" s="228"/>
      <c r="E24" s="228"/>
      <c r="F24" s="228" t="s">
        <v>242</v>
      </c>
      <c r="G24" s="228"/>
      <c r="H24" s="228"/>
    </row>
    <row r="25" spans="1:20" ht="27.75" customHeight="1" x14ac:dyDescent="0.25">
      <c r="A25" s="173" t="s">
        <v>87</v>
      </c>
      <c r="B25" s="174"/>
      <c r="C25" s="228" t="s">
        <v>253</v>
      </c>
      <c r="D25" s="228"/>
      <c r="E25" s="228"/>
      <c r="F25" s="228"/>
      <c r="G25" s="228"/>
      <c r="H25" s="228"/>
    </row>
    <row r="26" spans="1:20" ht="45.75" customHeight="1" x14ac:dyDescent="0.25">
      <c r="A26" s="220" t="s">
        <v>88</v>
      </c>
      <c r="B26" s="221"/>
      <c r="C26" s="267" t="s">
        <v>254</v>
      </c>
      <c r="D26" s="267"/>
      <c r="E26" s="267"/>
      <c r="F26" s="267"/>
      <c r="G26" s="267"/>
      <c r="H26" s="267"/>
    </row>
    <row r="27" spans="1:20" ht="39.6" x14ac:dyDescent="0.25">
      <c r="A27" s="173" t="s">
        <v>92</v>
      </c>
      <c r="B27" s="174"/>
      <c r="C27" s="210" t="s">
        <v>287</v>
      </c>
      <c r="D27" s="210"/>
      <c r="E27" s="210"/>
      <c r="F27" s="13" t="s">
        <v>7</v>
      </c>
      <c r="G27" s="273" t="s">
        <v>91</v>
      </c>
      <c r="H27" s="273"/>
    </row>
    <row r="28" spans="1:20" ht="39.6" x14ac:dyDescent="0.25">
      <c r="A28" s="173" t="s">
        <v>8</v>
      </c>
      <c r="B28" s="174"/>
      <c r="C28" s="273" t="s">
        <v>302</v>
      </c>
      <c r="D28" s="273"/>
      <c r="E28" s="273"/>
      <c r="F28" s="13" t="s">
        <v>124</v>
      </c>
      <c r="G28" s="275">
        <f>0.15*269</f>
        <v>40.35</v>
      </c>
      <c r="H28" s="275"/>
    </row>
    <row r="29" spans="1:20" ht="28.5" customHeight="1" x14ac:dyDescent="0.25">
      <c r="A29" s="173" t="s">
        <v>210</v>
      </c>
      <c r="B29" s="174"/>
      <c r="C29" s="180" t="s">
        <v>283</v>
      </c>
      <c r="D29" s="181"/>
      <c r="E29" s="245"/>
      <c r="F29" s="245"/>
      <c r="G29" s="245"/>
      <c r="H29" s="246"/>
    </row>
    <row r="30" spans="1:20" ht="27" customHeight="1" x14ac:dyDescent="0.25">
      <c r="A30" s="173" t="s">
        <v>211</v>
      </c>
      <c r="B30" s="174"/>
      <c r="C30" s="180" t="s">
        <v>283</v>
      </c>
      <c r="D30" s="181"/>
      <c r="E30" s="245"/>
      <c r="F30" s="245"/>
      <c r="G30" s="245"/>
      <c r="H30" s="246"/>
    </row>
    <row r="31" spans="1:20" ht="12.75" customHeight="1" x14ac:dyDescent="0.25">
      <c r="A31" s="222" t="s">
        <v>9</v>
      </c>
      <c r="B31" s="223"/>
      <c r="C31" s="218" t="s">
        <v>93</v>
      </c>
      <c r="D31" s="219"/>
      <c r="E31" s="14" t="s">
        <v>12</v>
      </c>
      <c r="F31" s="14" t="s">
        <v>13</v>
      </c>
      <c r="G31" s="14" t="s">
        <v>14</v>
      </c>
      <c r="H31" s="14" t="s">
        <v>15</v>
      </c>
    </row>
    <row r="32" spans="1:20" ht="12.75" customHeight="1" x14ac:dyDescent="0.25">
      <c r="A32" s="224"/>
      <c r="B32" s="225"/>
      <c r="C32" s="175" t="s">
        <v>10</v>
      </c>
      <c r="D32" s="176"/>
      <c r="E32" s="15" t="s">
        <v>232</v>
      </c>
      <c r="F32" s="15" t="s">
        <v>232</v>
      </c>
      <c r="G32" s="15" t="s">
        <v>232</v>
      </c>
      <c r="H32" s="15" t="s">
        <v>232</v>
      </c>
    </row>
    <row r="33" spans="1:9" ht="58.5" customHeight="1" x14ac:dyDescent="0.25">
      <c r="A33" s="224"/>
      <c r="B33" s="225"/>
      <c r="C33" s="175" t="s">
        <v>86</v>
      </c>
      <c r="D33" s="176"/>
      <c r="E33" s="15" t="s">
        <v>255</v>
      </c>
      <c r="F33" s="15" t="s">
        <v>256</v>
      </c>
      <c r="G33" s="16" t="s">
        <v>257</v>
      </c>
      <c r="H33" s="16" t="s">
        <v>258</v>
      </c>
    </row>
    <row r="34" spans="1:9" ht="12.75" customHeight="1" x14ac:dyDescent="0.25">
      <c r="A34" s="226"/>
      <c r="B34" s="227"/>
      <c r="C34" s="175" t="s">
        <v>11</v>
      </c>
      <c r="D34" s="176"/>
      <c r="E34" s="15" t="s">
        <v>247</v>
      </c>
      <c r="F34" s="15" t="s">
        <v>259</v>
      </c>
      <c r="G34" s="15" t="s">
        <v>259</v>
      </c>
      <c r="H34" s="15" t="s">
        <v>259</v>
      </c>
    </row>
    <row r="35" spans="1:9" ht="29.25" customHeight="1" x14ac:dyDescent="0.25">
      <c r="A35" s="173" t="s">
        <v>16</v>
      </c>
      <c r="B35" s="174"/>
      <c r="C35" s="276" t="s">
        <v>260</v>
      </c>
      <c r="D35" s="276"/>
      <c r="E35" s="276"/>
      <c r="F35" s="276"/>
      <c r="G35" s="276"/>
      <c r="H35" s="276"/>
    </row>
    <row r="36" spans="1:9" ht="38.25" customHeight="1" x14ac:dyDescent="0.25">
      <c r="A36" s="173" t="s">
        <v>131</v>
      </c>
      <c r="B36" s="174"/>
      <c r="C36" s="126">
        <v>4072</v>
      </c>
      <c r="D36" s="127"/>
      <c r="E36" s="274" t="s">
        <v>132</v>
      </c>
      <c r="F36" s="274"/>
      <c r="G36" s="277">
        <v>3861.28</v>
      </c>
      <c r="H36" s="277"/>
    </row>
    <row r="37" spans="1:9" x14ac:dyDescent="0.25">
      <c r="A37" s="173" t="s">
        <v>17</v>
      </c>
      <c r="B37" s="174"/>
      <c r="C37" s="283" t="s">
        <v>261</v>
      </c>
      <c r="D37" s="283"/>
      <c r="E37" s="283"/>
      <c r="F37" s="283"/>
      <c r="G37" s="283"/>
      <c r="H37" s="283"/>
    </row>
    <row r="38" spans="1:9" ht="133.5" customHeight="1" x14ac:dyDescent="0.25">
      <c r="A38" s="173" t="s">
        <v>123</v>
      </c>
      <c r="B38" s="174"/>
      <c r="C38" s="281" t="s">
        <v>262</v>
      </c>
      <c r="D38" s="281"/>
      <c r="E38" s="267"/>
      <c r="F38" s="267"/>
      <c r="G38" s="267"/>
      <c r="H38" s="267"/>
      <c r="I38" s="75">
        <f>2.9*22+5.7</f>
        <v>69.5</v>
      </c>
    </row>
    <row r="39" spans="1:9" x14ac:dyDescent="0.25">
      <c r="A39" s="278" t="s">
        <v>94</v>
      </c>
      <c r="B39" s="278"/>
      <c r="C39" s="278"/>
      <c r="D39" s="278"/>
      <c r="E39" s="278"/>
      <c r="F39" s="278"/>
      <c r="G39" s="278"/>
      <c r="H39" s="278"/>
    </row>
    <row r="40" spans="1:9" ht="12.75" customHeight="1" x14ac:dyDescent="0.25">
      <c r="A40" s="247" t="s">
        <v>19</v>
      </c>
      <c r="B40" s="248"/>
      <c r="C40" s="279" t="s">
        <v>95</v>
      </c>
      <c r="D40" s="279"/>
      <c r="E40" s="279"/>
      <c r="F40" s="279"/>
      <c r="G40" s="211">
        <v>3861.28</v>
      </c>
      <c r="H40" s="211"/>
      <c r="I40" s="6">
        <f>G45/G40</f>
        <v>3.1630158911034685</v>
      </c>
    </row>
    <row r="41" spans="1:9" x14ac:dyDescent="0.25">
      <c r="A41" s="249"/>
      <c r="B41" s="250"/>
      <c r="C41" s="279" t="s">
        <v>96</v>
      </c>
      <c r="D41" s="279"/>
      <c r="E41" s="279"/>
      <c r="F41" s="279"/>
      <c r="G41" s="211">
        <v>3.16</v>
      </c>
      <c r="H41" s="211"/>
    </row>
    <row r="42" spans="1:9" x14ac:dyDescent="0.25">
      <c r="A42" s="249"/>
      <c r="B42" s="250"/>
      <c r="C42" s="279" t="s">
        <v>97</v>
      </c>
      <c r="D42" s="279"/>
      <c r="E42" s="279"/>
      <c r="F42" s="279"/>
      <c r="G42" s="282">
        <f>G45/G40-G41</f>
        <v>3.0158911034683378E-3</v>
      </c>
      <c r="H42" s="282"/>
    </row>
    <row r="43" spans="1:9" x14ac:dyDescent="0.25">
      <c r="A43" s="249"/>
      <c r="B43" s="250"/>
      <c r="C43" s="279" t="s">
        <v>98</v>
      </c>
      <c r="D43" s="279"/>
      <c r="E43" s="279"/>
      <c r="F43" s="279"/>
      <c r="G43" s="282">
        <f>G41+G42</f>
        <v>3.1630158911034685</v>
      </c>
      <c r="H43" s="282"/>
    </row>
    <row r="44" spans="1:9" ht="13.2" hidden="1" customHeight="1" x14ac:dyDescent="0.25">
      <c r="A44" s="249"/>
      <c r="B44" s="250"/>
      <c r="C44" s="280" t="s">
        <v>129</v>
      </c>
      <c r="D44" s="280"/>
      <c r="E44" s="280"/>
      <c r="F44" s="280"/>
      <c r="G44" s="211">
        <f>G40*G43</f>
        <v>12213.29</v>
      </c>
      <c r="H44" s="211"/>
    </row>
    <row r="45" spans="1:9" x14ac:dyDescent="0.25">
      <c r="A45" s="251"/>
      <c r="B45" s="252"/>
      <c r="C45" s="279" t="s">
        <v>99</v>
      </c>
      <c r="D45" s="279"/>
      <c r="E45" s="279"/>
      <c r="F45" s="279"/>
      <c r="G45" s="211">
        <v>12213.29</v>
      </c>
      <c r="H45" s="211"/>
    </row>
    <row r="46" spans="1:9" ht="32.25" customHeight="1" x14ac:dyDescent="0.25">
      <c r="A46" s="173" t="s">
        <v>100</v>
      </c>
      <c r="B46" s="174"/>
      <c r="C46" s="177" t="s">
        <v>296</v>
      </c>
      <c r="D46" s="178"/>
      <c r="E46" s="178"/>
      <c r="F46" s="179"/>
      <c r="G46" s="64" t="s">
        <v>230</v>
      </c>
      <c r="H46" s="65">
        <v>45698</v>
      </c>
    </row>
    <row r="47" spans="1:9" ht="32.25" customHeight="1" x14ac:dyDescent="0.25">
      <c r="A47" s="173" t="s">
        <v>20</v>
      </c>
      <c r="B47" s="174"/>
      <c r="C47" s="106" t="s">
        <v>295</v>
      </c>
      <c r="D47" s="106"/>
      <c r="E47" s="107"/>
      <c r="F47" s="107"/>
      <c r="G47" s="107"/>
      <c r="H47" s="107"/>
      <c r="I47" s="76"/>
    </row>
    <row r="48" spans="1:9" ht="81.599999999999994" customHeight="1" x14ac:dyDescent="0.25">
      <c r="A48" s="220" t="s">
        <v>263</v>
      </c>
      <c r="B48" s="221"/>
      <c r="C48" s="180" t="s">
        <v>288</v>
      </c>
      <c r="D48" s="181"/>
      <c r="E48" s="181"/>
      <c r="F48" s="182"/>
      <c r="G48" s="64" t="s">
        <v>230</v>
      </c>
      <c r="H48" s="65">
        <v>45733</v>
      </c>
      <c r="I48" s="71"/>
    </row>
    <row r="49" spans="1:12" x14ac:dyDescent="0.25">
      <c r="A49" s="247" t="s">
        <v>21</v>
      </c>
      <c r="B49" s="248"/>
      <c r="C49" s="189" t="s">
        <v>110</v>
      </c>
      <c r="D49" s="191"/>
      <c r="E49" s="107" t="s">
        <v>232</v>
      </c>
      <c r="F49" s="107"/>
      <c r="G49" s="107"/>
      <c r="H49" s="107"/>
    </row>
    <row r="50" spans="1:12" x14ac:dyDescent="0.25">
      <c r="A50" s="249"/>
      <c r="B50" s="250"/>
      <c r="C50" s="189" t="s">
        <v>111</v>
      </c>
      <c r="D50" s="191"/>
      <c r="E50" s="208" t="s">
        <v>232</v>
      </c>
      <c r="F50" s="209"/>
      <c r="G50" s="64" t="s">
        <v>230</v>
      </c>
      <c r="H50" s="66" t="s">
        <v>232</v>
      </c>
      <c r="J50" s="6" t="s">
        <v>239</v>
      </c>
    </row>
    <row r="51" spans="1:12" x14ac:dyDescent="0.25">
      <c r="A51" s="251"/>
      <c r="B51" s="252"/>
      <c r="C51" s="189" t="s">
        <v>240</v>
      </c>
      <c r="D51" s="79"/>
      <c r="E51" s="268" t="s">
        <v>264</v>
      </c>
      <c r="F51" s="273"/>
      <c r="G51" s="273"/>
      <c r="H51" s="273"/>
      <c r="I51" s="106" t="s">
        <v>238</v>
      </c>
      <c r="J51" s="107"/>
      <c r="K51" s="107"/>
      <c r="L51" s="107"/>
    </row>
    <row r="52" spans="1:12" hidden="1" x14ac:dyDescent="0.25">
      <c r="A52" s="121" t="s">
        <v>231</v>
      </c>
      <c r="B52" s="123"/>
      <c r="C52" s="189"/>
      <c r="D52" s="190"/>
      <c r="E52" s="190"/>
      <c r="F52" s="190"/>
      <c r="G52" s="190"/>
      <c r="H52" s="191"/>
    </row>
    <row r="53" spans="1:12" ht="41.4" customHeight="1" x14ac:dyDescent="0.25">
      <c r="A53" s="253" t="s">
        <v>233</v>
      </c>
      <c r="B53" s="254"/>
      <c r="C53" s="180" t="s">
        <v>266</v>
      </c>
      <c r="D53" s="181"/>
      <c r="E53" s="181"/>
      <c r="F53" s="182"/>
      <c r="G53" s="64" t="s">
        <v>230</v>
      </c>
      <c r="H53" s="65">
        <v>44651</v>
      </c>
    </row>
    <row r="54" spans="1:12" x14ac:dyDescent="0.25">
      <c r="A54" s="192" t="s">
        <v>234</v>
      </c>
      <c r="B54" s="193"/>
      <c r="C54" s="177" t="s">
        <v>265</v>
      </c>
      <c r="D54" s="178"/>
      <c r="E54" s="178"/>
      <c r="F54" s="179"/>
      <c r="G54" s="64" t="s">
        <v>230</v>
      </c>
      <c r="H54" s="65">
        <v>44780</v>
      </c>
    </row>
    <row r="55" spans="1:12" ht="65.25" customHeight="1" x14ac:dyDescent="0.25">
      <c r="A55" s="194"/>
      <c r="B55" s="195"/>
      <c r="C55" s="177" t="s">
        <v>297</v>
      </c>
      <c r="D55" s="178"/>
      <c r="E55" s="178"/>
      <c r="F55" s="178"/>
      <c r="G55" s="178"/>
      <c r="H55" s="179"/>
    </row>
    <row r="56" spans="1:12" hidden="1" x14ac:dyDescent="0.25">
      <c r="A56" s="196" t="s">
        <v>235</v>
      </c>
      <c r="B56" s="197"/>
      <c r="C56" s="202"/>
      <c r="D56" s="203"/>
      <c r="E56" s="203"/>
      <c r="F56" s="204"/>
      <c r="G56" s="64" t="s">
        <v>230</v>
      </c>
      <c r="H56" s="65"/>
    </row>
    <row r="57" spans="1:12" ht="25.5" hidden="1" customHeight="1" x14ac:dyDescent="0.25">
      <c r="A57" s="198"/>
      <c r="B57" s="199"/>
      <c r="C57" s="205"/>
      <c r="D57" s="206"/>
      <c r="E57" s="206"/>
      <c r="F57" s="207"/>
      <c r="G57" s="64" t="s">
        <v>236</v>
      </c>
      <c r="H57" s="65"/>
    </row>
    <row r="58" spans="1:12" ht="25.5" hidden="1" customHeight="1" x14ac:dyDescent="0.25">
      <c r="A58" s="200"/>
      <c r="B58" s="201"/>
      <c r="C58" s="177" t="s">
        <v>237</v>
      </c>
      <c r="D58" s="178"/>
      <c r="E58" s="178"/>
      <c r="F58" s="179"/>
      <c r="G58" s="64"/>
      <c r="H58" s="65"/>
    </row>
    <row r="59" spans="1:12" ht="13.8" thickBot="1" x14ac:dyDescent="0.3">
      <c r="A59" s="112" t="s">
        <v>22</v>
      </c>
      <c r="B59" s="112"/>
      <c r="C59" s="112"/>
      <c r="D59" s="112"/>
      <c r="E59" s="112"/>
      <c r="F59" s="112"/>
      <c r="G59" s="112"/>
      <c r="H59" s="112"/>
    </row>
    <row r="60" spans="1:12" ht="12.75" customHeight="1" x14ac:dyDescent="0.25">
      <c r="A60" s="121" t="s">
        <v>23</v>
      </c>
      <c r="B60" s="123"/>
      <c r="C60" s="167">
        <v>44142</v>
      </c>
      <c r="D60" s="169"/>
      <c r="E60" s="121" t="s">
        <v>24</v>
      </c>
      <c r="F60" s="123"/>
      <c r="G60" s="167">
        <v>46568</v>
      </c>
      <c r="H60" s="168"/>
      <c r="I60" s="41" t="str">
        <f ca="1">(IF(G66&gt;99%,"All work completed. Please provide OC.",IF(G66&gt;89.8%,"Plinth, RCC, Brick, Plaster, Flooring, Painting work Completed. Finishing work is in process.",IF(G66&lt;94%,(IF(E66=0,"Work not yet Started.",IF(F66=25%,"Piling work in process",IF(F66=50%,"Excavation work in process",IF(F66=100%,"Excavation work Completed. ","0")))&amp;(IF(E67=0%,"",IF(E67=J66,"Footing work is process",IF(E67=J67,"Footing work Completed",IF(E67=J68,"1st Basement Completed",IF(E67=J69,"1st &amp; 2nd Basement Completed",IF(E67=J70,"1st to 3rd Basement Completed",IF(E67=J71,"1st to 4th Basement Completed",IF(E67=J72,"Plinth work is process",IF(E67=J73,"Plinth work completed","0")))))))))))&amp;(IF(E68=(F63+G63+H63),", RCC Slab",IF(E68&gt;0,", RCC upto "&amp;E68&amp;" Slab",""))&amp;(IF(E69=H63,", Brickwork",IF(E69&gt;0,", Brickwork upto "&amp;E69&amp;" Floor",""))&amp;(IF(E70=H63,", Internal Plaster",IF(E70&gt;0,", Internal Plaster upto "&amp;E70&amp;" Floor",""))&amp;(IF(E71=H63,", External Plaster",IF(E71&gt;0,", External Plaster upto "&amp;E71&amp;" Floor",""))&amp;(IF(E72=H63,", Flooring",IF(E72&gt;0,", Flooring upto "&amp;E72&amp;" Floor",""))&amp;(IF(E73=H63,", Painting",IF(E73&gt;0,", Painting upto "&amp;E73&amp;" Floor",""))&amp;(IF(E74&gt;0,", Finishing upto "&amp;E74&amp;" Floor","")&amp;(IF(E68&gt;0.5," Completed",""))))))))))))))</f>
        <v>Excavation work Completed. Plinth work completed, RCC upto 5 Slab, Brickwork upto 3 Floor Completed</v>
      </c>
      <c r="J60" s="42"/>
    </row>
    <row r="61" spans="1:12" ht="13.8" thickBot="1" x14ac:dyDescent="0.3">
      <c r="A61" s="166" t="s">
        <v>57</v>
      </c>
      <c r="B61" s="166"/>
      <c r="C61" s="166"/>
      <c r="D61" s="166"/>
      <c r="E61" s="166"/>
      <c r="F61" s="166"/>
      <c r="G61" s="166"/>
      <c r="H61" s="166"/>
      <c r="I61" s="45"/>
      <c r="J61" s="46"/>
    </row>
    <row r="62" spans="1:12" ht="26.25" customHeight="1" x14ac:dyDescent="0.25">
      <c r="A62" s="183" t="s">
        <v>284</v>
      </c>
      <c r="B62" s="184"/>
      <c r="C62" s="184"/>
      <c r="D62" s="185"/>
      <c r="E62" s="39" t="s">
        <v>58</v>
      </c>
      <c r="F62" s="39" t="s">
        <v>59</v>
      </c>
      <c r="G62" s="39" t="s">
        <v>60</v>
      </c>
      <c r="H62" s="40" t="s">
        <v>46</v>
      </c>
      <c r="I62" s="45" t="s">
        <v>140</v>
      </c>
      <c r="J62" s="46"/>
    </row>
    <row r="63" spans="1:12" x14ac:dyDescent="0.25">
      <c r="A63" s="186"/>
      <c r="B63" s="187"/>
      <c r="C63" s="187"/>
      <c r="D63" s="188"/>
      <c r="E63" s="43">
        <v>0</v>
      </c>
      <c r="F63" s="43">
        <v>1</v>
      </c>
      <c r="G63" s="43">
        <v>0</v>
      </c>
      <c r="H63" s="44">
        <f ca="1">--TRIM(RIGHT(SUBSTITUTE(LEFT(A62,_xlfn.AGGREGATE(16,6,FIND({0,1,2,3,4,5,6,7,8,9},A62,ROW(INDIRECT("1:"&amp;LEN(A62)))),1))," ",REPT(" ",LEN(A62))),LEN(A62)))</f>
        <v>22</v>
      </c>
      <c r="I63" s="1" t="s">
        <v>64</v>
      </c>
      <c r="J63" s="48">
        <f ca="1">H63*25%</f>
        <v>5.5</v>
      </c>
    </row>
    <row r="64" spans="1:12" ht="15" customHeight="1" x14ac:dyDescent="0.25">
      <c r="A64" s="61" t="s">
        <v>139</v>
      </c>
      <c r="B64" s="60"/>
      <c r="C64" s="162" t="str">
        <f ca="1">I60</f>
        <v>Excavation work Completed. Plinth work completed, RCC upto 5 Slab, Brickwork upto 3 Floor Completed</v>
      </c>
      <c r="D64" s="162"/>
      <c r="E64" s="162"/>
      <c r="F64" s="162"/>
      <c r="G64" s="162"/>
      <c r="H64" s="163"/>
      <c r="I64" s="1" t="s">
        <v>66</v>
      </c>
      <c r="J64" s="51">
        <f ca="1">H63*50%</f>
        <v>11</v>
      </c>
    </row>
    <row r="65" spans="1:10" ht="15" customHeight="1" x14ac:dyDescent="0.25">
      <c r="A65" s="164" t="s">
        <v>61</v>
      </c>
      <c r="B65" s="165"/>
      <c r="C65" s="242" t="s">
        <v>141</v>
      </c>
      <c r="D65" s="242"/>
      <c r="E65" s="47" t="s">
        <v>62</v>
      </c>
      <c r="F65" s="47" t="s">
        <v>63</v>
      </c>
      <c r="G65" s="255" t="s">
        <v>56</v>
      </c>
      <c r="H65" s="256"/>
      <c r="I65" s="1" t="s">
        <v>68</v>
      </c>
      <c r="J65" s="51">
        <f ca="1">H63</f>
        <v>22</v>
      </c>
    </row>
    <row r="66" spans="1:10" ht="15" customHeight="1" x14ac:dyDescent="0.25">
      <c r="A66" s="164" t="s">
        <v>65</v>
      </c>
      <c r="B66" s="165"/>
      <c r="C66" s="161">
        <v>0</v>
      </c>
      <c r="D66" s="161"/>
      <c r="E66" s="49">
        <f ca="1">J65</f>
        <v>22</v>
      </c>
      <c r="F66" s="50">
        <f ca="1">((100/H63)*E66)/100</f>
        <v>1.0000000000000002</v>
      </c>
      <c r="G66" s="257">
        <f ca="1">(((E67/H63*10)+(40/(F63+G63+H63)*E68)+(15/(H63)*E69)+(5/(H63)*E70)+(5/H63*E71)+(10/H63*E72)+(5/H63*E73)+(5/H63*E74)+(5/H63*E75))/100)</f>
        <v>0.20741106719367589</v>
      </c>
      <c r="H66" s="258"/>
      <c r="I66" s="1" t="s">
        <v>70</v>
      </c>
      <c r="J66" s="53">
        <f ca="1">(IF(E63&gt;1,(H63/(E63+2)),H63/4))</f>
        <v>5.5</v>
      </c>
    </row>
    <row r="67" spans="1:10" ht="15" customHeight="1" x14ac:dyDescent="0.25">
      <c r="A67" s="164" t="s">
        <v>67</v>
      </c>
      <c r="B67" s="165"/>
      <c r="C67" s="161">
        <v>0.1</v>
      </c>
      <c r="D67" s="161"/>
      <c r="E67" s="52">
        <f ca="1">J73</f>
        <v>22</v>
      </c>
      <c r="F67" s="50">
        <f ca="1">((100/H63)*E67)/100</f>
        <v>1.0000000000000002</v>
      </c>
      <c r="G67" s="257"/>
      <c r="H67" s="258"/>
      <c r="I67" s="1" t="s">
        <v>72</v>
      </c>
      <c r="J67" s="53">
        <f ca="1">(IF(E63&gt;1,(H63/(E63+2)+J66),H63/4+J66))</f>
        <v>11</v>
      </c>
    </row>
    <row r="68" spans="1:10" ht="15" customHeight="1" x14ac:dyDescent="0.25">
      <c r="A68" s="164" t="s">
        <v>69</v>
      </c>
      <c r="B68" s="165"/>
      <c r="C68" s="161">
        <v>0.4</v>
      </c>
      <c r="D68" s="161"/>
      <c r="E68" s="52">
        <v>5</v>
      </c>
      <c r="F68" s="50">
        <f ca="1">((100/(F63+G63+H63))*E68)/100</f>
        <v>0.21739130434782608</v>
      </c>
      <c r="G68" s="257"/>
      <c r="H68" s="258"/>
      <c r="I68" s="1" t="s">
        <v>74</v>
      </c>
      <c r="J68" s="53">
        <f>(IF(E63&gt;1,(H63/(E63+2)+J67),0))</f>
        <v>0</v>
      </c>
    </row>
    <row r="69" spans="1:10" ht="15" customHeight="1" x14ac:dyDescent="0.25">
      <c r="A69" s="164" t="s">
        <v>71</v>
      </c>
      <c r="B69" s="165"/>
      <c r="C69" s="161">
        <v>0.15</v>
      </c>
      <c r="D69" s="161"/>
      <c r="E69" s="49">
        <v>3</v>
      </c>
      <c r="F69" s="50">
        <f ca="1">((100/H63)*E69)/100</f>
        <v>0.13636363636363635</v>
      </c>
      <c r="G69" s="257"/>
      <c r="H69" s="258"/>
      <c r="I69" s="1" t="s">
        <v>76</v>
      </c>
      <c r="J69" s="53">
        <f>(IF(E63&gt;2,(H63/(E63+2)+J68),0))</f>
        <v>0</v>
      </c>
    </row>
    <row r="70" spans="1:10" ht="15" customHeight="1" x14ac:dyDescent="0.25">
      <c r="A70" s="164" t="s">
        <v>73</v>
      </c>
      <c r="B70" s="165"/>
      <c r="C70" s="161">
        <v>0.05</v>
      </c>
      <c r="D70" s="161"/>
      <c r="E70" s="49">
        <v>0</v>
      </c>
      <c r="F70" s="50">
        <f ca="1">((100/H63)*E70)/100</f>
        <v>0</v>
      </c>
      <c r="G70" s="257"/>
      <c r="H70" s="258"/>
      <c r="I70" s="1" t="s">
        <v>78</v>
      </c>
      <c r="J70" s="54">
        <f>(IF(E63&gt;3,(H63/(E63+2)+J69),0))</f>
        <v>0</v>
      </c>
    </row>
    <row r="71" spans="1:10" ht="15" customHeight="1" x14ac:dyDescent="0.25">
      <c r="A71" s="164" t="s">
        <v>75</v>
      </c>
      <c r="B71" s="165"/>
      <c r="C71" s="161">
        <v>0.05</v>
      </c>
      <c r="D71" s="161"/>
      <c r="E71" s="49">
        <v>0</v>
      </c>
      <c r="F71" s="50">
        <f ca="1">((100/(H63))*E71)/100</f>
        <v>0</v>
      </c>
      <c r="G71" s="257"/>
      <c r="H71" s="258"/>
      <c r="I71" s="1" t="s">
        <v>80</v>
      </c>
      <c r="J71" s="53">
        <f>(IF(E63&gt;4,(H63/(E63+2)+J70),0))</f>
        <v>0</v>
      </c>
    </row>
    <row r="72" spans="1:10" ht="15" customHeight="1" x14ac:dyDescent="0.25">
      <c r="A72" s="164" t="s">
        <v>77</v>
      </c>
      <c r="B72" s="165"/>
      <c r="C72" s="161">
        <v>0.1</v>
      </c>
      <c r="D72" s="161"/>
      <c r="E72" s="49">
        <v>0</v>
      </c>
      <c r="F72" s="50">
        <f ca="1">((100/H63)*E72)/100</f>
        <v>0</v>
      </c>
      <c r="G72" s="257"/>
      <c r="H72" s="258"/>
      <c r="I72" s="1" t="s">
        <v>82</v>
      </c>
      <c r="J72" s="53">
        <f ca="1">(IF(E63=1,(H63/(E63+3)+J67),IF(E63=0,(H63/4+J67),IF(E63&gt;1,0))))</f>
        <v>16.5</v>
      </c>
    </row>
    <row r="73" spans="1:10" ht="15.75" customHeight="1" thickBot="1" x14ac:dyDescent="0.3">
      <c r="A73" s="164" t="s">
        <v>79</v>
      </c>
      <c r="B73" s="165"/>
      <c r="C73" s="161">
        <v>0.05</v>
      </c>
      <c r="D73" s="161"/>
      <c r="E73" s="49">
        <v>0</v>
      </c>
      <c r="F73" s="50">
        <f ca="1">((100/H63)*E73)/100</f>
        <v>0</v>
      </c>
      <c r="G73" s="257"/>
      <c r="H73" s="258"/>
      <c r="I73" s="57" t="s">
        <v>84</v>
      </c>
      <c r="J73" s="58">
        <f ca="1">(IF(E63&gt;1.5,(H63/(E63+2)+J67+MAX(0,J68-J67)+MAX(0,J69-J68)+MAX(0,J70-J69)+MAX(0,J71-J70)+MAX(0,J72-J71)),IF(E63=1,(H63/(E63+3)+J72),IF(E63=0,H63/4+J72))))</f>
        <v>22</v>
      </c>
    </row>
    <row r="74" spans="1:10" ht="28.5" customHeight="1" x14ac:dyDescent="0.25">
      <c r="A74" s="164" t="s">
        <v>81</v>
      </c>
      <c r="B74" s="165"/>
      <c r="C74" s="161">
        <v>0.05</v>
      </c>
      <c r="D74" s="161"/>
      <c r="E74" s="49">
        <v>0</v>
      </c>
      <c r="F74" s="50">
        <f ca="1">((100/(H63))*E74)/100</f>
        <v>0</v>
      </c>
      <c r="G74" s="257"/>
      <c r="H74" s="258"/>
    </row>
    <row r="75" spans="1:10" ht="13.8" thickBot="1" x14ac:dyDescent="0.3">
      <c r="A75" s="238" t="s">
        <v>83</v>
      </c>
      <c r="B75" s="239"/>
      <c r="C75" s="172">
        <v>0.05</v>
      </c>
      <c r="D75" s="172"/>
      <c r="E75" s="55">
        <v>0</v>
      </c>
      <c r="F75" s="56">
        <f ca="1">((100/(H63))*E75)/100</f>
        <v>0</v>
      </c>
      <c r="G75" s="259"/>
      <c r="H75" s="260"/>
    </row>
    <row r="76" spans="1:10" x14ac:dyDescent="0.25">
      <c r="A76" s="240" t="s">
        <v>25</v>
      </c>
      <c r="B76" s="241"/>
      <c r="C76" s="261" t="s">
        <v>113</v>
      </c>
      <c r="D76" s="261"/>
      <c r="E76" s="261"/>
      <c r="F76" s="261"/>
      <c r="G76" s="261"/>
      <c r="H76" s="261"/>
    </row>
    <row r="77" spans="1:10" x14ac:dyDescent="0.25">
      <c r="A77" s="112" t="s">
        <v>26</v>
      </c>
      <c r="B77" s="112"/>
      <c r="C77" s="112"/>
      <c r="D77" s="112"/>
      <c r="E77" s="112"/>
      <c r="F77" s="112"/>
      <c r="G77" s="112"/>
      <c r="H77" s="112"/>
    </row>
    <row r="78" spans="1:10" x14ac:dyDescent="0.25">
      <c r="A78" s="170" t="s">
        <v>27</v>
      </c>
      <c r="B78" s="171"/>
      <c r="C78" s="117" t="s">
        <v>50</v>
      </c>
      <c r="D78" s="118"/>
      <c r="E78" s="231" t="s">
        <v>28</v>
      </c>
      <c r="F78" s="231"/>
      <c r="G78" s="15" t="s">
        <v>18</v>
      </c>
      <c r="H78" s="72" t="s">
        <v>51</v>
      </c>
    </row>
    <row r="79" spans="1:10" x14ac:dyDescent="0.25">
      <c r="A79" s="170" t="s">
        <v>29</v>
      </c>
      <c r="B79" s="171"/>
      <c r="C79" s="117" t="s">
        <v>49</v>
      </c>
      <c r="D79" s="118"/>
      <c r="E79" s="231" t="s">
        <v>30</v>
      </c>
      <c r="F79" s="231"/>
      <c r="G79" s="15" t="s">
        <v>18</v>
      </c>
      <c r="H79" s="72" t="s">
        <v>52</v>
      </c>
    </row>
    <row r="80" spans="1:10" x14ac:dyDescent="0.25">
      <c r="A80" s="170" t="s">
        <v>31</v>
      </c>
      <c r="B80" s="171"/>
      <c r="C80" s="117" t="s">
        <v>142</v>
      </c>
      <c r="D80" s="118"/>
      <c r="E80" s="231" t="s">
        <v>32</v>
      </c>
      <c r="F80" s="231"/>
      <c r="G80" s="15" t="s">
        <v>18</v>
      </c>
      <c r="H80" s="72" t="s">
        <v>52</v>
      </c>
    </row>
    <row r="81" spans="1:8" x14ac:dyDescent="0.25">
      <c r="A81" s="170" t="s">
        <v>33</v>
      </c>
      <c r="B81" s="171"/>
      <c r="C81" s="117" t="s">
        <v>121</v>
      </c>
      <c r="D81" s="118"/>
      <c r="E81" s="231" t="s">
        <v>34</v>
      </c>
      <c r="F81" s="231"/>
      <c r="G81" s="15" t="s">
        <v>18</v>
      </c>
      <c r="H81" s="72" t="s">
        <v>51</v>
      </c>
    </row>
    <row r="82" spans="1:8" x14ac:dyDescent="0.25">
      <c r="A82" s="170" t="s">
        <v>35</v>
      </c>
      <c r="B82" s="171"/>
      <c r="C82" s="117" t="s">
        <v>128</v>
      </c>
      <c r="D82" s="118"/>
      <c r="E82" s="231" t="s">
        <v>36</v>
      </c>
      <c r="F82" s="231"/>
      <c r="G82" s="15" t="s">
        <v>18</v>
      </c>
      <c r="H82" s="72" t="s">
        <v>52</v>
      </c>
    </row>
    <row r="83" spans="1:8" ht="38.25" customHeight="1" x14ac:dyDescent="0.25">
      <c r="A83" s="170" t="s">
        <v>37</v>
      </c>
      <c r="B83" s="171"/>
      <c r="C83" s="119" t="s">
        <v>143</v>
      </c>
      <c r="D83" s="120"/>
      <c r="E83" s="231" t="s">
        <v>38</v>
      </c>
      <c r="F83" s="231"/>
      <c r="G83" s="15" t="s">
        <v>18</v>
      </c>
      <c r="H83" s="72" t="s">
        <v>52</v>
      </c>
    </row>
    <row r="84" spans="1:8" x14ac:dyDescent="0.25">
      <c r="A84" s="170" t="s">
        <v>39</v>
      </c>
      <c r="B84" s="171"/>
      <c r="C84" s="119" t="s">
        <v>122</v>
      </c>
      <c r="D84" s="120"/>
      <c r="E84" s="231" t="s">
        <v>40</v>
      </c>
      <c r="F84" s="231"/>
      <c r="G84" s="15" t="s">
        <v>18</v>
      </c>
      <c r="H84" s="72" t="s">
        <v>52</v>
      </c>
    </row>
    <row r="85" spans="1:8" x14ac:dyDescent="0.25">
      <c r="A85" s="124" t="s">
        <v>41</v>
      </c>
      <c r="B85" s="125"/>
      <c r="C85" s="119" t="s">
        <v>127</v>
      </c>
      <c r="D85" s="120"/>
      <c r="E85" s="112" t="s">
        <v>42</v>
      </c>
      <c r="F85" s="112"/>
      <c r="G85" s="286" t="s">
        <v>52</v>
      </c>
      <c r="H85" s="286"/>
    </row>
    <row r="86" spans="1:8" ht="25.5" customHeight="1" x14ac:dyDescent="0.25">
      <c r="A86" s="124" t="s">
        <v>43</v>
      </c>
      <c r="B86" s="125"/>
      <c r="C86" s="284" t="s">
        <v>54</v>
      </c>
      <c r="D86" s="285"/>
      <c r="E86" s="112" t="s">
        <v>44</v>
      </c>
      <c r="F86" s="112"/>
      <c r="G86" s="231" t="s">
        <v>53</v>
      </c>
      <c r="H86" s="231"/>
    </row>
    <row r="87" spans="1:8" hidden="1" x14ac:dyDescent="0.25">
      <c r="A87" s="235" t="s">
        <v>200</v>
      </c>
      <c r="B87" s="236"/>
      <c r="C87" s="236"/>
      <c r="D87" s="236"/>
      <c r="E87" s="236"/>
      <c r="F87" s="236"/>
      <c r="G87" s="236"/>
      <c r="H87" s="237"/>
    </row>
    <row r="88" spans="1:8" hidden="1" x14ac:dyDescent="0.25">
      <c r="A88" s="112" t="s">
        <v>201</v>
      </c>
      <c r="B88" s="112"/>
      <c r="C88" s="124" t="s">
        <v>202</v>
      </c>
      <c r="D88" s="125"/>
      <c r="E88" s="112" t="s">
        <v>203</v>
      </c>
      <c r="F88" s="112"/>
      <c r="G88" s="112" t="s">
        <v>204</v>
      </c>
      <c r="H88" s="112"/>
    </row>
    <row r="89" spans="1:8" hidden="1" x14ac:dyDescent="0.25">
      <c r="A89" s="157" t="s">
        <v>205</v>
      </c>
      <c r="B89" s="157"/>
      <c r="C89" s="149"/>
      <c r="D89" s="150"/>
      <c r="E89" s="113"/>
      <c r="F89" s="114"/>
      <c r="G89" s="113"/>
      <c r="H89" s="114"/>
    </row>
    <row r="90" spans="1:8" hidden="1" x14ac:dyDescent="0.25">
      <c r="A90" s="112" t="s">
        <v>206</v>
      </c>
      <c r="B90" s="112"/>
      <c r="C90" s="151">
        <f>SUM(C89)</f>
        <v>0</v>
      </c>
      <c r="D90" s="152"/>
      <c r="E90" s="115">
        <f>SUM(E89)</f>
        <v>0</v>
      </c>
      <c r="F90" s="116"/>
      <c r="G90" s="115">
        <f>SUM(G89)</f>
        <v>0</v>
      </c>
      <c r="H90" s="116"/>
    </row>
    <row r="91" spans="1:8" x14ac:dyDescent="0.25">
      <c r="A91" s="112" t="s">
        <v>207</v>
      </c>
      <c r="B91" s="112"/>
      <c r="C91" s="112"/>
      <c r="D91" s="112"/>
      <c r="E91" s="112"/>
      <c r="F91" s="112"/>
      <c r="G91" s="112"/>
      <c r="H91" s="112"/>
    </row>
    <row r="92" spans="1:8" x14ac:dyDescent="0.25">
      <c r="A92" s="112" t="s">
        <v>201</v>
      </c>
      <c r="B92" s="112"/>
      <c r="C92" s="124" t="s">
        <v>202</v>
      </c>
      <c r="D92" s="125"/>
      <c r="E92" s="112" t="s">
        <v>203</v>
      </c>
      <c r="F92" s="112"/>
      <c r="G92" s="112" t="s">
        <v>204</v>
      </c>
      <c r="H92" s="112"/>
    </row>
    <row r="93" spans="1:8" ht="12.75" customHeight="1" x14ac:dyDescent="0.25">
      <c r="A93" s="82" t="s">
        <v>205</v>
      </c>
      <c r="B93" s="70" t="s">
        <v>273</v>
      </c>
      <c r="C93" s="80">
        <f>COUNT(D124:D126)+COUNT(D139:D141,D143:D148)*2+COUNT(D154:D156,D158:D163)+COUNT(D169:D171,D173:D178)*2+COUNT(D186,D188:D195)*2+COUNT(D197:D201,D203:D210)*12+COUNT(D212:D214,D216,D218:D225)+COUNT(D227:D231,D233:D240)</f>
        <v>247</v>
      </c>
      <c r="D93" s="81"/>
      <c r="E93" s="80">
        <f t="shared" ref="E93" si="0">SUM(F124:F126)+SUM(F139:F141,F143:F148)*2+SUM(F154:F156,F158:F163)+SUM(F169:F171,F173:F178)*2+SUM(F186,F188:F195)*2+SUM(F197:F201,F203:F210)*12+SUM(F212:F214,F216,F218:F225)+SUM(F227:F231,F233:F240)</f>
        <v>49310.529840000003</v>
      </c>
      <c r="F93" s="81"/>
      <c r="G93" s="80">
        <f t="shared" ref="G93" si="1">SUM(H124:H126)+SUM(H139:H141,H143:H148)*2+SUM(H154:H156,H158:H163)+SUM(H169:H171,H173:H178)*2+SUM(H186,H188:H195)*2+SUM(H197:H201,H203:H210)*12+SUM(H212:H214,H216,H218:H225)+SUM(H227:H231,H233:H240)</f>
        <v>73965.79475999999</v>
      </c>
      <c r="H93" s="81"/>
    </row>
    <row r="94" spans="1:8" ht="13.8" thickBot="1" x14ac:dyDescent="0.3">
      <c r="A94" s="83"/>
      <c r="B94" s="70" t="s">
        <v>286</v>
      </c>
      <c r="C94" s="80">
        <f>COUNT(D127)+COUNT(D142)*2+COUNT(D157)+COUNT(D172)*2+COUNT(D187)*2+COUNT(D202)*12+COUNT(D217)+COUNT(D232)</f>
        <v>22</v>
      </c>
      <c r="D94" s="81"/>
      <c r="E94" s="80">
        <f t="shared" ref="E94" si="2">SUM(F127)+SUM(F142)*2+SUM(F157)+SUM(F172)*2+SUM(F187)*2+SUM(F202)*12+SUM(F217)+SUM(F232)</f>
        <v>7104.24</v>
      </c>
      <c r="F94" s="81"/>
      <c r="G94" s="80">
        <f t="shared" ref="G94" si="3">SUM(H127)+SUM(H142)*2+SUM(H157)+SUM(H172)*2+SUM(H187)*2+SUM(H202)*12+SUM(H217)+SUM(H232)</f>
        <v>10656.359999999997</v>
      </c>
      <c r="H94" s="81"/>
    </row>
    <row r="95" spans="1:8" hidden="1" x14ac:dyDescent="0.25">
      <c r="A95" s="157" t="s">
        <v>208</v>
      </c>
      <c r="B95" s="157"/>
      <c r="C95" s="149"/>
      <c r="D95" s="150"/>
      <c r="E95" s="113"/>
      <c r="F95" s="113"/>
      <c r="G95" s="113"/>
      <c r="H95" s="113"/>
    </row>
    <row r="96" spans="1:8" ht="15.75" hidden="1" customHeight="1" x14ac:dyDescent="0.25">
      <c r="A96" s="158" t="s">
        <v>206</v>
      </c>
      <c r="B96" s="158"/>
      <c r="C96" s="153">
        <f>SUM(C93:D95)</f>
        <v>269</v>
      </c>
      <c r="D96" s="154"/>
      <c r="E96" s="153">
        <f t="shared" ref="E96" si="4">SUM(E93:F95)</f>
        <v>56414.769840000001</v>
      </c>
      <c r="F96" s="154"/>
      <c r="G96" s="153">
        <f t="shared" ref="G96" si="5">SUM(G93:H95)</f>
        <v>84622.15475999999</v>
      </c>
      <c r="H96" s="154"/>
    </row>
    <row r="97" spans="1:8" ht="13.8" thickBot="1" x14ac:dyDescent="0.3">
      <c r="A97" s="159" t="s">
        <v>209</v>
      </c>
      <c r="B97" s="160"/>
      <c r="C97" s="155">
        <f>C90+C96</f>
        <v>269</v>
      </c>
      <c r="D97" s="156"/>
      <c r="E97" s="243">
        <f>E90+E96</f>
        <v>56414.769840000001</v>
      </c>
      <c r="F97" s="243"/>
      <c r="G97" s="243">
        <f>G90+G96</f>
        <v>84622.15475999999</v>
      </c>
      <c r="H97" s="244"/>
    </row>
    <row r="98" spans="1:8" x14ac:dyDescent="0.25">
      <c r="A98" s="262" t="s">
        <v>45</v>
      </c>
      <c r="B98" s="262"/>
      <c r="C98" s="262"/>
      <c r="D98" s="262"/>
      <c r="E98" s="262"/>
      <c r="F98" s="262"/>
      <c r="G98" s="262"/>
      <c r="H98" s="262"/>
    </row>
    <row r="99" spans="1:8" x14ac:dyDescent="0.25">
      <c r="A99" s="112" t="s">
        <v>267</v>
      </c>
      <c r="B99" s="112"/>
      <c r="C99" s="112"/>
      <c r="D99" s="112"/>
      <c r="E99" s="112"/>
      <c r="F99" s="112"/>
      <c r="G99" s="112"/>
      <c r="H99" s="112"/>
    </row>
    <row r="100" spans="1:8" ht="39.6" hidden="1" x14ac:dyDescent="0.25">
      <c r="A100" s="108" t="s">
        <v>221</v>
      </c>
      <c r="B100" s="110" t="s">
        <v>222</v>
      </c>
      <c r="C100" s="108" t="s">
        <v>130</v>
      </c>
      <c r="D100" s="110" t="s">
        <v>215</v>
      </c>
      <c r="E100" s="110" t="s">
        <v>219</v>
      </c>
      <c r="F100" s="108" t="s">
        <v>217</v>
      </c>
      <c r="G100" s="19" t="s">
        <v>218</v>
      </c>
      <c r="H100" s="19" t="s">
        <v>144</v>
      </c>
    </row>
    <row r="101" spans="1:8" hidden="1" x14ac:dyDescent="0.25">
      <c r="A101" s="109"/>
      <c r="B101" s="111"/>
      <c r="C101" s="109"/>
      <c r="D101" s="111"/>
      <c r="E101" s="111"/>
      <c r="F101" s="109"/>
      <c r="G101" s="20"/>
      <c r="H101" s="67">
        <v>0.5</v>
      </c>
    </row>
    <row r="102" spans="1:8" hidden="1" x14ac:dyDescent="0.25">
      <c r="A102" s="86" t="s">
        <v>134</v>
      </c>
      <c r="B102" s="86"/>
      <c r="C102" s="86"/>
      <c r="D102" s="86"/>
      <c r="E102" s="86"/>
      <c r="F102" s="86"/>
      <c r="G102" s="86"/>
      <c r="H102" s="86"/>
    </row>
    <row r="103" spans="1:8" hidden="1" x14ac:dyDescent="0.25">
      <c r="A103" s="86" t="s">
        <v>212</v>
      </c>
      <c r="B103" s="86"/>
      <c r="C103" s="86"/>
      <c r="D103" s="86"/>
      <c r="E103" s="86"/>
      <c r="F103" s="86"/>
      <c r="G103" s="86"/>
      <c r="H103" s="86"/>
    </row>
    <row r="104" spans="1:8" hidden="1" x14ac:dyDescent="0.25">
      <c r="A104" s="78">
        <v>1</v>
      </c>
      <c r="B104" s="79"/>
      <c r="C104" s="16" t="s">
        <v>220</v>
      </c>
      <c r="D104" s="16"/>
      <c r="E104" s="16"/>
      <c r="F104" s="17">
        <f>D104+(IF(E104&lt;201,E104,IF(E104&lt;301,E104/2,E104/3)))</f>
        <v>0</v>
      </c>
      <c r="G104" s="17">
        <v>0</v>
      </c>
      <c r="H104" s="16">
        <f t="shared" ref="H104:H115" si="6">F104*(($H$101)+1)+(IF(G104&lt;101,G104,IF(G104&lt;201,G104/2,IF(G104&lt;=301,G104/3,G104/4))))</f>
        <v>0</v>
      </c>
    </row>
    <row r="105" spans="1:8" hidden="1" x14ac:dyDescent="0.25">
      <c r="A105" s="78">
        <f>A104+1</f>
        <v>2</v>
      </c>
      <c r="B105" s="79"/>
      <c r="C105" s="16" t="s">
        <v>220</v>
      </c>
      <c r="D105" s="16"/>
      <c r="E105" s="16"/>
      <c r="F105" s="17">
        <f t="shared" ref="F105:F115" si="7">D105+(IF(E105&lt;201,E105,IF(E105&lt;301,E105/2,E105/3)))</f>
        <v>0</v>
      </c>
      <c r="G105" s="17">
        <v>0</v>
      </c>
      <c r="H105" s="16">
        <f t="shared" si="6"/>
        <v>0</v>
      </c>
    </row>
    <row r="106" spans="1:8" hidden="1" x14ac:dyDescent="0.25">
      <c r="A106" s="78">
        <f t="shared" ref="A106:A115" si="8">A105+1</f>
        <v>3</v>
      </c>
      <c r="B106" s="79"/>
      <c r="C106" s="16" t="s">
        <v>220</v>
      </c>
      <c r="D106" s="16"/>
      <c r="E106" s="16"/>
      <c r="F106" s="17">
        <f t="shared" si="7"/>
        <v>0</v>
      </c>
      <c r="G106" s="17">
        <v>0</v>
      </c>
      <c r="H106" s="16">
        <f t="shared" si="6"/>
        <v>0</v>
      </c>
    </row>
    <row r="107" spans="1:8" hidden="1" x14ac:dyDescent="0.25">
      <c r="A107" s="78">
        <f t="shared" si="8"/>
        <v>4</v>
      </c>
      <c r="B107" s="79"/>
      <c r="C107" s="16" t="s">
        <v>220</v>
      </c>
      <c r="D107" s="16"/>
      <c r="E107" s="16"/>
      <c r="F107" s="17">
        <f t="shared" si="7"/>
        <v>0</v>
      </c>
      <c r="G107" s="17">
        <v>0</v>
      </c>
      <c r="H107" s="16">
        <f t="shared" si="6"/>
        <v>0</v>
      </c>
    </row>
    <row r="108" spans="1:8" hidden="1" x14ac:dyDescent="0.25">
      <c r="A108" s="78">
        <f t="shared" si="8"/>
        <v>5</v>
      </c>
      <c r="B108" s="79"/>
      <c r="C108" s="16" t="s">
        <v>220</v>
      </c>
      <c r="D108" s="16"/>
      <c r="E108" s="16"/>
      <c r="F108" s="17">
        <f t="shared" si="7"/>
        <v>0</v>
      </c>
      <c r="G108" s="17">
        <v>0</v>
      </c>
      <c r="H108" s="16">
        <f t="shared" si="6"/>
        <v>0</v>
      </c>
    </row>
    <row r="109" spans="1:8" hidden="1" x14ac:dyDescent="0.25">
      <c r="A109" s="78">
        <f t="shared" si="8"/>
        <v>6</v>
      </c>
      <c r="B109" s="79"/>
      <c r="C109" s="16" t="s">
        <v>220</v>
      </c>
      <c r="D109" s="16"/>
      <c r="E109" s="16"/>
      <c r="F109" s="17">
        <f t="shared" si="7"/>
        <v>0</v>
      </c>
      <c r="G109" s="17">
        <v>0</v>
      </c>
      <c r="H109" s="16">
        <f t="shared" si="6"/>
        <v>0</v>
      </c>
    </row>
    <row r="110" spans="1:8" hidden="1" x14ac:dyDescent="0.25">
      <c r="A110" s="78">
        <f t="shared" si="8"/>
        <v>7</v>
      </c>
      <c r="B110" s="79"/>
      <c r="C110" s="16" t="s">
        <v>220</v>
      </c>
      <c r="D110" s="16"/>
      <c r="E110" s="16"/>
      <c r="F110" s="17">
        <f t="shared" si="7"/>
        <v>0</v>
      </c>
      <c r="G110" s="17">
        <v>0</v>
      </c>
      <c r="H110" s="16">
        <f t="shared" si="6"/>
        <v>0</v>
      </c>
    </row>
    <row r="111" spans="1:8" hidden="1" x14ac:dyDescent="0.25">
      <c r="A111" s="78">
        <f t="shared" si="8"/>
        <v>8</v>
      </c>
      <c r="B111" s="79"/>
      <c r="C111" s="16" t="s">
        <v>220</v>
      </c>
      <c r="D111" s="16"/>
      <c r="E111" s="16"/>
      <c r="F111" s="17">
        <f t="shared" si="7"/>
        <v>0</v>
      </c>
      <c r="G111" s="17">
        <v>0</v>
      </c>
      <c r="H111" s="16">
        <f t="shared" si="6"/>
        <v>0</v>
      </c>
    </row>
    <row r="112" spans="1:8" hidden="1" x14ac:dyDescent="0.25">
      <c r="A112" s="78">
        <f t="shared" si="8"/>
        <v>9</v>
      </c>
      <c r="B112" s="79"/>
      <c r="C112" s="16" t="s">
        <v>220</v>
      </c>
      <c r="D112" s="16"/>
      <c r="E112" s="16"/>
      <c r="F112" s="17">
        <f t="shared" si="7"/>
        <v>0</v>
      </c>
      <c r="G112" s="17">
        <v>0</v>
      </c>
      <c r="H112" s="16">
        <f t="shared" si="6"/>
        <v>0</v>
      </c>
    </row>
    <row r="113" spans="1:9" hidden="1" x14ac:dyDescent="0.25">
      <c r="A113" s="78">
        <f t="shared" si="8"/>
        <v>10</v>
      </c>
      <c r="B113" s="79"/>
      <c r="C113" s="16" t="s">
        <v>220</v>
      </c>
      <c r="D113" s="16"/>
      <c r="E113" s="16"/>
      <c r="F113" s="17">
        <f t="shared" si="7"/>
        <v>0</v>
      </c>
      <c r="G113" s="17">
        <v>0</v>
      </c>
      <c r="H113" s="16">
        <f t="shared" si="6"/>
        <v>0</v>
      </c>
    </row>
    <row r="114" spans="1:9" hidden="1" x14ac:dyDescent="0.25">
      <c r="A114" s="78">
        <f t="shared" si="8"/>
        <v>11</v>
      </c>
      <c r="B114" s="79"/>
      <c r="C114" s="16" t="s">
        <v>220</v>
      </c>
      <c r="D114" s="16"/>
      <c r="E114" s="16"/>
      <c r="F114" s="17">
        <f t="shared" si="7"/>
        <v>0</v>
      </c>
      <c r="G114" s="17">
        <v>0</v>
      </c>
      <c r="H114" s="16">
        <f t="shared" si="6"/>
        <v>0</v>
      </c>
    </row>
    <row r="115" spans="1:9" hidden="1" x14ac:dyDescent="0.25">
      <c r="A115" s="78">
        <f t="shared" si="8"/>
        <v>12</v>
      </c>
      <c r="B115" s="79"/>
      <c r="C115" s="16" t="s">
        <v>220</v>
      </c>
      <c r="D115" s="16"/>
      <c r="E115" s="16"/>
      <c r="F115" s="17">
        <f t="shared" si="7"/>
        <v>0</v>
      </c>
      <c r="G115" s="17">
        <v>0</v>
      </c>
      <c r="H115" s="16">
        <f t="shared" si="6"/>
        <v>0</v>
      </c>
    </row>
    <row r="116" spans="1:9" hidden="1" x14ac:dyDescent="0.25">
      <c r="A116" s="78"/>
      <c r="B116" s="87"/>
      <c r="C116" s="87"/>
      <c r="D116" s="87"/>
      <c r="E116" s="87"/>
      <c r="F116" s="87"/>
      <c r="G116" s="87"/>
      <c r="H116" s="79"/>
    </row>
    <row r="117" spans="1:9" ht="39.6" x14ac:dyDescent="0.25">
      <c r="A117" s="108" t="s">
        <v>213</v>
      </c>
      <c r="B117" s="146" t="s">
        <v>214</v>
      </c>
      <c r="C117" s="108" t="s">
        <v>130</v>
      </c>
      <c r="D117" s="146" t="s">
        <v>274</v>
      </c>
      <c r="E117" s="146" t="s">
        <v>216</v>
      </c>
      <c r="F117" s="108" t="s">
        <v>217</v>
      </c>
      <c r="G117" s="69" t="s">
        <v>218</v>
      </c>
      <c r="H117" s="19" t="s">
        <v>144</v>
      </c>
      <c r="I117" s="17">
        <v>10.763999999999999</v>
      </c>
    </row>
    <row r="118" spans="1:9" x14ac:dyDescent="0.25">
      <c r="A118" s="109"/>
      <c r="B118" s="147"/>
      <c r="C118" s="109"/>
      <c r="D118" s="147"/>
      <c r="E118" s="147"/>
      <c r="F118" s="109"/>
      <c r="G118" s="68"/>
      <c r="H118" s="73">
        <v>0.5</v>
      </c>
    </row>
    <row r="119" spans="1:9" x14ac:dyDescent="0.25">
      <c r="A119" s="86" t="s">
        <v>268</v>
      </c>
      <c r="B119" s="86"/>
      <c r="C119" s="86"/>
      <c r="D119" s="86"/>
      <c r="E119" s="86"/>
      <c r="F119" s="86"/>
      <c r="G119" s="86"/>
      <c r="H119" s="148"/>
    </row>
    <row r="120" spans="1:9" x14ac:dyDescent="0.25">
      <c r="A120" s="86" t="s">
        <v>269</v>
      </c>
      <c r="B120" s="86"/>
      <c r="C120" s="86"/>
      <c r="D120" s="86"/>
      <c r="E120" s="86"/>
      <c r="F120" s="86"/>
      <c r="G120" s="86"/>
      <c r="H120" s="86"/>
    </row>
    <row r="121" spans="1:9" x14ac:dyDescent="0.25">
      <c r="A121" s="86" t="s">
        <v>270</v>
      </c>
      <c r="B121" s="86"/>
      <c r="C121" s="86"/>
      <c r="D121" s="86"/>
      <c r="E121" s="86"/>
      <c r="F121" s="86"/>
      <c r="G121" s="86"/>
      <c r="H121" s="86"/>
      <c r="I121" s="6">
        <v>1</v>
      </c>
    </row>
    <row r="122" spans="1:9" x14ac:dyDescent="0.25">
      <c r="A122" s="78">
        <v>1</v>
      </c>
      <c r="B122" s="79"/>
      <c r="C122" s="88" t="s">
        <v>298</v>
      </c>
      <c r="D122" s="89"/>
      <c r="E122" s="89"/>
      <c r="F122" s="89"/>
      <c r="G122" s="89"/>
      <c r="H122" s="90"/>
    </row>
    <row r="123" spans="1:9" x14ac:dyDescent="0.25">
      <c r="A123" s="78">
        <v>2</v>
      </c>
      <c r="B123" s="79"/>
      <c r="C123" s="91"/>
      <c r="D123" s="92"/>
      <c r="E123" s="92"/>
      <c r="F123" s="92"/>
      <c r="G123" s="92"/>
      <c r="H123" s="93"/>
    </row>
    <row r="124" spans="1:9" x14ac:dyDescent="0.25">
      <c r="A124" s="78">
        <v>3</v>
      </c>
      <c r="B124" s="79"/>
      <c r="C124" s="16" t="s">
        <v>273</v>
      </c>
      <c r="D124" s="17">
        <f>(17)*10.764</f>
        <v>182.988</v>
      </c>
      <c r="E124" s="16">
        <v>0</v>
      </c>
      <c r="F124" s="17">
        <f>D124+E124</f>
        <v>182.988</v>
      </c>
      <c r="G124" s="17">
        <v>0</v>
      </c>
      <c r="H124" s="17">
        <f>F124*(($H$118)+1)+(IF(G124&lt;101,G124,IF(G124&lt;201,G124/2,IF(G124&lt;=301,G124/3,G124/4))))</f>
        <v>274.48199999999997</v>
      </c>
    </row>
    <row r="125" spans="1:9" x14ac:dyDescent="0.25">
      <c r="A125" s="78">
        <f>A124+1</f>
        <v>4</v>
      </c>
      <c r="B125" s="79"/>
      <c r="C125" s="16" t="s">
        <v>273</v>
      </c>
      <c r="D125" s="17">
        <f>(19.6)*10.764</f>
        <v>210.9744</v>
      </c>
      <c r="E125" s="16">
        <v>0</v>
      </c>
      <c r="F125" s="17">
        <f t="shared" ref="F125:F127" si="9">D125+E125</f>
        <v>210.9744</v>
      </c>
      <c r="G125" s="17">
        <v>0</v>
      </c>
      <c r="H125" s="17">
        <f>F125*(($H$118)+1)+(IF(G125&lt;101,G125,IF(G125&lt;201,G125/2,IF(G125&lt;=301,G125/3,G125/4))))</f>
        <v>316.46159999999998</v>
      </c>
    </row>
    <row r="126" spans="1:9" x14ac:dyDescent="0.25">
      <c r="A126" s="78">
        <f t="shared" ref="A126:A127" si="10">A125+1</f>
        <v>5</v>
      </c>
      <c r="B126" s="79"/>
      <c r="C126" s="16" t="s">
        <v>273</v>
      </c>
      <c r="D126" s="17">
        <f>(19.6)*10.764</f>
        <v>210.9744</v>
      </c>
      <c r="E126" s="16">
        <v>0</v>
      </c>
      <c r="F126" s="17">
        <f t="shared" si="9"/>
        <v>210.9744</v>
      </c>
      <c r="G126" s="17">
        <v>0</v>
      </c>
      <c r="H126" s="17">
        <f t="shared" ref="H126:H127" si="11">F126*(($H$118)+1)+(IF(G126&lt;101,G126,IF(G126&lt;201,G126/2,IF(G126&lt;=301,G126/3,G126/4))))</f>
        <v>316.46159999999998</v>
      </c>
    </row>
    <row r="127" spans="1:9" x14ac:dyDescent="0.25">
      <c r="A127" s="78">
        <f t="shared" si="10"/>
        <v>6</v>
      </c>
      <c r="B127" s="79"/>
      <c r="C127" s="16" t="s">
        <v>55</v>
      </c>
      <c r="D127" s="17">
        <f>(30)*10.764</f>
        <v>322.91999999999996</v>
      </c>
      <c r="E127" s="16">
        <v>0</v>
      </c>
      <c r="F127" s="17">
        <f t="shared" si="9"/>
        <v>322.91999999999996</v>
      </c>
      <c r="G127" s="17">
        <v>0</v>
      </c>
      <c r="H127" s="17">
        <f t="shared" si="11"/>
        <v>484.37999999999994</v>
      </c>
    </row>
    <row r="128" spans="1:9" x14ac:dyDescent="0.25">
      <c r="A128" s="78">
        <v>7</v>
      </c>
      <c r="B128" s="79"/>
      <c r="C128" s="88" t="s">
        <v>271</v>
      </c>
      <c r="D128" s="89"/>
      <c r="E128" s="89"/>
      <c r="F128" s="89"/>
      <c r="G128" s="89"/>
      <c r="H128" s="90"/>
    </row>
    <row r="129" spans="1:9" x14ac:dyDescent="0.25">
      <c r="A129" s="78">
        <f>A128+1</f>
        <v>8</v>
      </c>
      <c r="B129" s="79"/>
      <c r="C129" s="91"/>
      <c r="D129" s="92"/>
      <c r="E129" s="92"/>
      <c r="F129" s="92"/>
      <c r="G129" s="92"/>
      <c r="H129" s="93"/>
    </row>
    <row r="130" spans="1:9" x14ac:dyDescent="0.25">
      <c r="A130" s="78">
        <f>A129+1</f>
        <v>9</v>
      </c>
      <c r="B130" s="79"/>
      <c r="C130" s="88" t="s">
        <v>272</v>
      </c>
      <c r="D130" s="89"/>
      <c r="E130" s="89"/>
      <c r="F130" s="89"/>
      <c r="G130" s="89"/>
      <c r="H130" s="90"/>
    </row>
    <row r="131" spans="1:9" x14ac:dyDescent="0.25">
      <c r="A131" s="78">
        <f t="shared" ref="A131:A135" si="12">A130+1</f>
        <v>10</v>
      </c>
      <c r="B131" s="79"/>
      <c r="C131" s="103"/>
      <c r="D131" s="104"/>
      <c r="E131" s="104"/>
      <c r="F131" s="104"/>
      <c r="G131" s="104"/>
      <c r="H131" s="105"/>
    </row>
    <row r="132" spans="1:9" x14ac:dyDescent="0.25">
      <c r="A132" s="78">
        <f t="shared" si="12"/>
        <v>11</v>
      </c>
      <c r="B132" s="79"/>
      <c r="C132" s="103"/>
      <c r="D132" s="104"/>
      <c r="E132" s="104"/>
      <c r="F132" s="104"/>
      <c r="G132" s="104"/>
      <c r="H132" s="105"/>
    </row>
    <row r="133" spans="1:9" x14ac:dyDescent="0.25">
      <c r="A133" s="78">
        <f t="shared" si="12"/>
        <v>12</v>
      </c>
      <c r="B133" s="79"/>
      <c r="C133" s="91"/>
      <c r="D133" s="92"/>
      <c r="E133" s="92"/>
      <c r="F133" s="92"/>
      <c r="G133" s="92"/>
      <c r="H133" s="93"/>
    </row>
    <row r="134" spans="1:9" x14ac:dyDescent="0.25">
      <c r="A134" s="78">
        <f t="shared" si="12"/>
        <v>13</v>
      </c>
      <c r="B134" s="79"/>
      <c r="C134" s="88" t="s">
        <v>298</v>
      </c>
      <c r="D134" s="89"/>
      <c r="E134" s="89"/>
      <c r="F134" s="89"/>
      <c r="G134" s="89"/>
      <c r="H134" s="90"/>
    </row>
    <row r="135" spans="1:9" x14ac:dyDescent="0.25">
      <c r="A135" s="78">
        <f t="shared" si="12"/>
        <v>14</v>
      </c>
      <c r="B135" s="79"/>
      <c r="C135" s="91"/>
      <c r="D135" s="92"/>
      <c r="E135" s="92"/>
      <c r="F135" s="92"/>
      <c r="G135" s="92"/>
      <c r="H135" s="93"/>
    </row>
    <row r="136" spans="1:9" x14ac:dyDescent="0.25">
      <c r="A136" s="86" t="s">
        <v>275</v>
      </c>
      <c r="B136" s="86"/>
      <c r="C136" s="86"/>
      <c r="D136" s="86"/>
      <c r="E136" s="86"/>
      <c r="F136" s="86"/>
      <c r="G136" s="86"/>
      <c r="H136" s="86"/>
      <c r="I136" s="6">
        <v>2</v>
      </c>
    </row>
    <row r="137" spans="1:9" x14ac:dyDescent="0.25">
      <c r="A137" s="78">
        <v>1</v>
      </c>
      <c r="B137" s="79"/>
      <c r="C137" s="88" t="s">
        <v>298</v>
      </c>
      <c r="D137" s="89"/>
      <c r="E137" s="89"/>
      <c r="F137" s="89"/>
      <c r="G137" s="89"/>
      <c r="H137" s="90"/>
    </row>
    <row r="138" spans="1:9" x14ac:dyDescent="0.25">
      <c r="A138" s="78">
        <v>2</v>
      </c>
      <c r="B138" s="79"/>
      <c r="C138" s="91"/>
      <c r="D138" s="92"/>
      <c r="E138" s="92"/>
      <c r="F138" s="92"/>
      <c r="G138" s="92"/>
      <c r="H138" s="93"/>
    </row>
    <row r="139" spans="1:9" x14ac:dyDescent="0.25">
      <c r="A139" s="78">
        <v>3</v>
      </c>
      <c r="B139" s="79"/>
      <c r="C139" s="16" t="s">
        <v>273</v>
      </c>
      <c r="D139" s="17">
        <f>(17)*10.764</f>
        <v>182.988</v>
      </c>
      <c r="E139" s="16">
        <v>0</v>
      </c>
      <c r="F139" s="17">
        <f>D139+E139</f>
        <v>182.988</v>
      </c>
      <c r="G139" s="17">
        <v>0</v>
      </c>
      <c r="H139" s="17">
        <f>F139*(($H$118)+1)+(IF(G139&lt;101,G139,IF(G139&lt;201,G139/2,IF(G139&lt;=301,G139/3,G139/4))))</f>
        <v>274.48199999999997</v>
      </c>
    </row>
    <row r="140" spans="1:9" x14ac:dyDescent="0.25">
      <c r="A140" s="78">
        <f>A139+1</f>
        <v>4</v>
      </c>
      <c r="B140" s="79"/>
      <c r="C140" s="16" t="s">
        <v>273</v>
      </c>
      <c r="D140" s="17">
        <f>(19.6)*10.764</f>
        <v>210.9744</v>
      </c>
      <c r="E140" s="16">
        <v>0</v>
      </c>
      <c r="F140" s="17">
        <f t="shared" ref="F140:F147" si="13">D140+E140</f>
        <v>210.9744</v>
      </c>
      <c r="G140" s="17">
        <v>0</v>
      </c>
      <c r="H140" s="17">
        <f t="shared" ref="H140:H147" si="14">F140*(($H$118)+1)+(IF(G140&lt;101,G140,IF(G140&lt;201,G140/2,IF(G140&lt;=301,G140/3,G140/4))))</f>
        <v>316.46159999999998</v>
      </c>
    </row>
    <row r="141" spans="1:9" x14ac:dyDescent="0.25">
      <c r="A141" s="78">
        <f t="shared" ref="A141:A150" si="15">A140+1</f>
        <v>5</v>
      </c>
      <c r="B141" s="79"/>
      <c r="C141" s="16" t="s">
        <v>273</v>
      </c>
      <c r="D141" s="17">
        <f>(19.6)*10.764</f>
        <v>210.9744</v>
      </c>
      <c r="E141" s="16">
        <v>0</v>
      </c>
      <c r="F141" s="17">
        <f t="shared" si="13"/>
        <v>210.9744</v>
      </c>
      <c r="G141" s="17">
        <v>0</v>
      </c>
      <c r="H141" s="17">
        <f t="shared" si="14"/>
        <v>316.46159999999998</v>
      </c>
    </row>
    <row r="142" spans="1:9" x14ac:dyDescent="0.25">
      <c r="A142" s="78">
        <f t="shared" si="15"/>
        <v>6</v>
      </c>
      <c r="B142" s="79"/>
      <c r="C142" s="16" t="s">
        <v>55</v>
      </c>
      <c r="D142" s="17">
        <f>(30)*10.764</f>
        <v>322.91999999999996</v>
      </c>
      <c r="E142" s="16">
        <v>0</v>
      </c>
      <c r="F142" s="17">
        <f t="shared" si="13"/>
        <v>322.91999999999996</v>
      </c>
      <c r="G142" s="17">
        <v>0</v>
      </c>
      <c r="H142" s="17">
        <f t="shared" si="14"/>
        <v>484.37999999999994</v>
      </c>
    </row>
    <row r="143" spans="1:9" x14ac:dyDescent="0.25">
      <c r="A143" s="78">
        <f t="shared" si="15"/>
        <v>7</v>
      </c>
      <c r="B143" s="79"/>
      <c r="C143" s="16" t="s">
        <v>273</v>
      </c>
      <c r="D143" s="17">
        <f>(15.24)*10.764</f>
        <v>164.04335999999998</v>
      </c>
      <c r="E143" s="16">
        <v>0</v>
      </c>
      <c r="F143" s="17">
        <f t="shared" si="13"/>
        <v>164.04335999999998</v>
      </c>
      <c r="G143" s="17">
        <v>0</v>
      </c>
      <c r="H143" s="17">
        <f t="shared" si="14"/>
        <v>246.06503999999995</v>
      </c>
    </row>
    <row r="144" spans="1:9" x14ac:dyDescent="0.25">
      <c r="A144" s="78">
        <f t="shared" si="15"/>
        <v>8</v>
      </c>
      <c r="B144" s="79"/>
      <c r="C144" s="16" t="s">
        <v>273</v>
      </c>
      <c r="D144" s="17">
        <f>(22.02)*10.764</f>
        <v>237.02327999999997</v>
      </c>
      <c r="E144" s="16">
        <v>0</v>
      </c>
      <c r="F144" s="17">
        <f t="shared" si="13"/>
        <v>237.02327999999997</v>
      </c>
      <c r="G144" s="17">
        <v>0</v>
      </c>
      <c r="H144" s="17">
        <f t="shared" si="14"/>
        <v>355.53491999999994</v>
      </c>
    </row>
    <row r="145" spans="1:9" x14ac:dyDescent="0.25">
      <c r="A145" s="78">
        <f t="shared" si="15"/>
        <v>9</v>
      </c>
      <c r="B145" s="79"/>
      <c r="C145" s="16" t="s">
        <v>273</v>
      </c>
      <c r="D145" s="17">
        <f>(17)*10.764</f>
        <v>182.988</v>
      </c>
      <c r="E145" s="16">
        <v>0</v>
      </c>
      <c r="F145" s="17">
        <f t="shared" si="13"/>
        <v>182.988</v>
      </c>
      <c r="G145" s="17">
        <v>0</v>
      </c>
      <c r="H145" s="17">
        <f t="shared" si="14"/>
        <v>274.48199999999997</v>
      </c>
    </row>
    <row r="146" spans="1:9" x14ac:dyDescent="0.25">
      <c r="A146" s="78">
        <f t="shared" si="15"/>
        <v>10</v>
      </c>
      <c r="B146" s="79"/>
      <c r="C146" s="16" t="s">
        <v>273</v>
      </c>
      <c r="D146" s="17">
        <f>(19.6)*10.764</f>
        <v>210.9744</v>
      </c>
      <c r="E146" s="16">
        <v>0</v>
      </c>
      <c r="F146" s="17">
        <f t="shared" si="13"/>
        <v>210.9744</v>
      </c>
      <c r="G146" s="17">
        <v>0</v>
      </c>
      <c r="H146" s="17">
        <f t="shared" si="14"/>
        <v>316.46159999999998</v>
      </c>
    </row>
    <row r="147" spans="1:9" x14ac:dyDescent="0.25">
      <c r="A147" s="78">
        <f t="shared" si="15"/>
        <v>11</v>
      </c>
      <c r="B147" s="79"/>
      <c r="C147" s="16" t="s">
        <v>273</v>
      </c>
      <c r="D147" s="17">
        <f>(19.6)*10.764</f>
        <v>210.9744</v>
      </c>
      <c r="E147" s="16">
        <v>0</v>
      </c>
      <c r="F147" s="17">
        <f t="shared" si="13"/>
        <v>210.9744</v>
      </c>
      <c r="G147" s="17">
        <v>0</v>
      </c>
      <c r="H147" s="17">
        <f t="shared" si="14"/>
        <v>316.46159999999998</v>
      </c>
    </row>
    <row r="148" spans="1:9" x14ac:dyDescent="0.25">
      <c r="A148" s="78">
        <f t="shared" si="15"/>
        <v>12</v>
      </c>
      <c r="B148" s="79"/>
      <c r="C148" s="16" t="s">
        <v>273</v>
      </c>
      <c r="D148" s="17">
        <f>(17)*10.764</f>
        <v>182.988</v>
      </c>
      <c r="E148" s="16">
        <v>0</v>
      </c>
      <c r="F148" s="17">
        <f t="shared" ref="F148" si="16">D148+E148</f>
        <v>182.988</v>
      </c>
      <c r="G148" s="17">
        <v>0</v>
      </c>
      <c r="H148" s="17">
        <f t="shared" ref="H148" si="17">F148*(($H$118)+1)+(IF(G148&lt;101,G148,IF(G148&lt;201,G148/2,IF(G148&lt;=301,G148/3,G148/4))))</f>
        <v>274.48199999999997</v>
      </c>
    </row>
    <row r="149" spans="1:9" x14ac:dyDescent="0.25">
      <c r="A149" s="78">
        <f t="shared" si="15"/>
        <v>13</v>
      </c>
      <c r="B149" s="79"/>
      <c r="C149" s="88" t="s">
        <v>298</v>
      </c>
      <c r="D149" s="89"/>
      <c r="E149" s="89"/>
      <c r="F149" s="89"/>
      <c r="G149" s="89"/>
      <c r="H149" s="90"/>
    </row>
    <row r="150" spans="1:9" x14ac:dyDescent="0.25">
      <c r="A150" s="78">
        <f t="shared" si="15"/>
        <v>14</v>
      </c>
      <c r="B150" s="79"/>
      <c r="C150" s="91"/>
      <c r="D150" s="92"/>
      <c r="E150" s="92"/>
      <c r="F150" s="92"/>
      <c r="G150" s="92"/>
      <c r="H150" s="93"/>
    </row>
    <row r="151" spans="1:9" x14ac:dyDescent="0.25">
      <c r="A151" s="86" t="s">
        <v>276</v>
      </c>
      <c r="B151" s="86"/>
      <c r="C151" s="86"/>
      <c r="D151" s="86"/>
      <c r="E151" s="86"/>
      <c r="F151" s="86"/>
      <c r="G151" s="86"/>
      <c r="H151" s="86"/>
      <c r="I151" s="6">
        <v>1</v>
      </c>
    </row>
    <row r="152" spans="1:9" x14ac:dyDescent="0.25">
      <c r="A152" s="78">
        <v>1</v>
      </c>
      <c r="B152" s="79"/>
      <c r="C152" s="88" t="s">
        <v>299</v>
      </c>
      <c r="D152" s="89"/>
      <c r="E152" s="89"/>
      <c r="F152" s="89"/>
      <c r="G152" s="89"/>
      <c r="H152" s="90"/>
    </row>
    <row r="153" spans="1:9" x14ac:dyDescent="0.25">
      <c r="A153" s="78">
        <v>2</v>
      </c>
      <c r="B153" s="79"/>
      <c r="C153" s="91"/>
      <c r="D153" s="92"/>
      <c r="E153" s="92"/>
      <c r="F153" s="92"/>
      <c r="G153" s="92"/>
      <c r="H153" s="93"/>
    </row>
    <row r="154" spans="1:9" x14ac:dyDescent="0.25">
      <c r="A154" s="78">
        <v>3</v>
      </c>
      <c r="B154" s="79"/>
      <c r="C154" s="16" t="s">
        <v>273</v>
      </c>
      <c r="D154" s="17">
        <f>(17)*10.764</f>
        <v>182.988</v>
      </c>
      <c r="E154" s="16">
        <v>0</v>
      </c>
      <c r="F154" s="17">
        <f>D154+E154</f>
        <v>182.988</v>
      </c>
      <c r="G154" s="17">
        <v>0</v>
      </c>
      <c r="H154" s="17">
        <f>F154*(($H$118)+1)+(IF(G154&lt;101,G154,IF(G154&lt;201,G154/2,IF(G154&lt;=301,G154/3,G154/4))))</f>
        <v>274.48199999999997</v>
      </c>
    </row>
    <row r="155" spans="1:9" x14ac:dyDescent="0.25">
      <c r="A155" s="78">
        <f>A154+1</f>
        <v>4</v>
      </c>
      <c r="B155" s="79"/>
      <c r="C155" s="16" t="s">
        <v>273</v>
      </c>
      <c r="D155" s="17">
        <f>(19.6)*10.764</f>
        <v>210.9744</v>
      </c>
      <c r="E155" s="16">
        <v>0</v>
      </c>
      <c r="F155" s="17">
        <f t="shared" ref="F155:F163" si="18">D155+E155</f>
        <v>210.9744</v>
      </c>
      <c r="G155" s="17">
        <v>0</v>
      </c>
      <c r="H155" s="17">
        <f t="shared" ref="H155:H163" si="19">F155*(($H$118)+1)+(IF(G155&lt;101,G155,IF(G155&lt;201,G155/2,IF(G155&lt;=301,G155/3,G155/4))))</f>
        <v>316.46159999999998</v>
      </c>
    </row>
    <row r="156" spans="1:9" x14ac:dyDescent="0.25">
      <c r="A156" s="78">
        <f t="shared" ref="A156:A165" si="20">A155+1</f>
        <v>5</v>
      </c>
      <c r="B156" s="79"/>
      <c r="C156" s="16" t="s">
        <v>273</v>
      </c>
      <c r="D156" s="17">
        <f>(19.6)*10.764</f>
        <v>210.9744</v>
      </c>
      <c r="E156" s="16">
        <v>0</v>
      </c>
      <c r="F156" s="17">
        <f t="shared" si="18"/>
        <v>210.9744</v>
      </c>
      <c r="G156" s="17">
        <v>0</v>
      </c>
      <c r="H156" s="17">
        <f t="shared" si="19"/>
        <v>316.46159999999998</v>
      </c>
    </row>
    <row r="157" spans="1:9" x14ac:dyDescent="0.25">
      <c r="A157" s="78">
        <f t="shared" si="20"/>
        <v>6</v>
      </c>
      <c r="B157" s="79"/>
      <c r="C157" s="16" t="s">
        <v>55</v>
      </c>
      <c r="D157" s="17">
        <f>(30)*10.764</f>
        <v>322.91999999999996</v>
      </c>
      <c r="E157" s="16">
        <v>0</v>
      </c>
      <c r="F157" s="17">
        <f t="shared" si="18"/>
        <v>322.91999999999996</v>
      </c>
      <c r="G157" s="17">
        <v>0</v>
      </c>
      <c r="H157" s="17">
        <f t="shared" si="19"/>
        <v>484.37999999999994</v>
      </c>
    </row>
    <row r="158" spans="1:9" x14ac:dyDescent="0.25">
      <c r="A158" s="78">
        <f t="shared" si="20"/>
        <v>7</v>
      </c>
      <c r="B158" s="79"/>
      <c r="C158" s="16" t="s">
        <v>273</v>
      </c>
      <c r="D158" s="17">
        <f>(15.24)*10.764</f>
        <v>164.04335999999998</v>
      </c>
      <c r="E158" s="16">
        <v>0</v>
      </c>
      <c r="F158" s="17">
        <f t="shared" si="18"/>
        <v>164.04335999999998</v>
      </c>
      <c r="G158" s="17">
        <v>0</v>
      </c>
      <c r="H158" s="17">
        <f t="shared" si="19"/>
        <v>246.06503999999995</v>
      </c>
    </row>
    <row r="159" spans="1:9" x14ac:dyDescent="0.25">
      <c r="A159" s="78">
        <f t="shared" si="20"/>
        <v>8</v>
      </c>
      <c r="B159" s="79"/>
      <c r="C159" s="16" t="s">
        <v>273</v>
      </c>
      <c r="D159" s="17">
        <f>(22.02)*10.764</f>
        <v>237.02327999999997</v>
      </c>
      <c r="E159" s="16">
        <v>0</v>
      </c>
      <c r="F159" s="17">
        <f t="shared" si="18"/>
        <v>237.02327999999997</v>
      </c>
      <c r="G159" s="17">
        <v>0</v>
      </c>
      <c r="H159" s="17">
        <f t="shared" si="19"/>
        <v>355.53491999999994</v>
      </c>
    </row>
    <row r="160" spans="1:9" x14ac:dyDescent="0.25">
      <c r="A160" s="78">
        <f t="shared" si="20"/>
        <v>9</v>
      </c>
      <c r="B160" s="79"/>
      <c r="C160" s="16" t="s">
        <v>273</v>
      </c>
      <c r="D160" s="17">
        <f>(17)*10.764</f>
        <v>182.988</v>
      </c>
      <c r="E160" s="16">
        <v>0</v>
      </c>
      <c r="F160" s="17">
        <f t="shared" si="18"/>
        <v>182.988</v>
      </c>
      <c r="G160" s="17">
        <v>0</v>
      </c>
      <c r="H160" s="17">
        <f t="shared" si="19"/>
        <v>274.48199999999997</v>
      </c>
    </row>
    <row r="161" spans="1:9" x14ac:dyDescent="0.25">
      <c r="A161" s="78">
        <f t="shared" si="20"/>
        <v>10</v>
      </c>
      <c r="B161" s="79"/>
      <c r="C161" s="16" t="s">
        <v>273</v>
      </c>
      <c r="D161" s="17">
        <f>(19.6)*10.764</f>
        <v>210.9744</v>
      </c>
      <c r="E161" s="16">
        <v>0</v>
      </c>
      <c r="F161" s="17">
        <f t="shared" si="18"/>
        <v>210.9744</v>
      </c>
      <c r="G161" s="17">
        <v>0</v>
      </c>
      <c r="H161" s="17">
        <f t="shared" si="19"/>
        <v>316.46159999999998</v>
      </c>
    </row>
    <row r="162" spans="1:9" x14ac:dyDescent="0.25">
      <c r="A162" s="78">
        <f t="shared" si="20"/>
        <v>11</v>
      </c>
      <c r="B162" s="79"/>
      <c r="C162" s="16" t="s">
        <v>273</v>
      </c>
      <c r="D162" s="17">
        <f>(19.6)*10.764</f>
        <v>210.9744</v>
      </c>
      <c r="E162" s="16">
        <v>0</v>
      </c>
      <c r="F162" s="17">
        <f t="shared" si="18"/>
        <v>210.9744</v>
      </c>
      <c r="G162" s="17">
        <v>0</v>
      </c>
      <c r="H162" s="17">
        <f t="shared" si="19"/>
        <v>316.46159999999998</v>
      </c>
    </row>
    <row r="163" spans="1:9" x14ac:dyDescent="0.25">
      <c r="A163" s="78">
        <f t="shared" si="20"/>
        <v>12</v>
      </c>
      <c r="B163" s="79"/>
      <c r="C163" s="16" t="s">
        <v>273</v>
      </c>
      <c r="D163" s="17">
        <f>(17)*10.764</f>
        <v>182.988</v>
      </c>
      <c r="E163" s="16">
        <v>0</v>
      </c>
      <c r="F163" s="17">
        <f t="shared" si="18"/>
        <v>182.988</v>
      </c>
      <c r="G163" s="17">
        <v>0</v>
      </c>
      <c r="H163" s="17">
        <f t="shared" si="19"/>
        <v>274.48199999999997</v>
      </c>
    </row>
    <row r="164" spans="1:9" x14ac:dyDescent="0.25">
      <c r="A164" s="78">
        <f t="shared" si="20"/>
        <v>13</v>
      </c>
      <c r="B164" s="79"/>
      <c r="C164" s="88" t="s">
        <v>299</v>
      </c>
      <c r="D164" s="89"/>
      <c r="E164" s="89"/>
      <c r="F164" s="89"/>
      <c r="G164" s="89"/>
      <c r="H164" s="90"/>
    </row>
    <row r="165" spans="1:9" x14ac:dyDescent="0.25">
      <c r="A165" s="78">
        <f t="shared" si="20"/>
        <v>14</v>
      </c>
      <c r="B165" s="79"/>
      <c r="C165" s="91"/>
      <c r="D165" s="92"/>
      <c r="E165" s="92"/>
      <c r="F165" s="92"/>
      <c r="G165" s="92"/>
      <c r="H165" s="93"/>
    </row>
    <row r="166" spans="1:9" x14ac:dyDescent="0.25">
      <c r="A166" s="86" t="s">
        <v>277</v>
      </c>
      <c r="B166" s="86"/>
      <c r="C166" s="86"/>
      <c r="D166" s="86"/>
      <c r="E166" s="86"/>
      <c r="F166" s="86"/>
      <c r="G166" s="86"/>
      <c r="H166" s="86"/>
      <c r="I166" s="6">
        <v>2</v>
      </c>
    </row>
    <row r="167" spans="1:9" x14ac:dyDescent="0.25">
      <c r="A167" s="78">
        <v>1</v>
      </c>
      <c r="B167" s="79"/>
      <c r="C167" s="88" t="s">
        <v>300</v>
      </c>
      <c r="D167" s="89"/>
      <c r="E167" s="89"/>
      <c r="F167" s="89"/>
      <c r="G167" s="89"/>
      <c r="H167" s="90"/>
    </row>
    <row r="168" spans="1:9" x14ac:dyDescent="0.25">
      <c r="A168" s="78">
        <v>2</v>
      </c>
      <c r="B168" s="79"/>
      <c r="C168" s="91"/>
      <c r="D168" s="92"/>
      <c r="E168" s="92"/>
      <c r="F168" s="92"/>
      <c r="G168" s="92"/>
      <c r="H168" s="93"/>
    </row>
    <row r="169" spans="1:9" x14ac:dyDescent="0.25">
      <c r="A169" s="78">
        <v>3</v>
      </c>
      <c r="B169" s="79"/>
      <c r="C169" s="16" t="s">
        <v>273</v>
      </c>
      <c r="D169" s="17">
        <f>(17)*10.764</f>
        <v>182.988</v>
      </c>
      <c r="E169" s="16">
        <v>0</v>
      </c>
      <c r="F169" s="17">
        <f>D169+E169</f>
        <v>182.988</v>
      </c>
      <c r="G169" s="17">
        <v>0</v>
      </c>
      <c r="H169" s="17">
        <f>F169*(($H$118)+1)+(IF(G169&lt;101,G169,IF(G169&lt;201,G169/2,IF(G169&lt;=301,G169/3,G169/4))))</f>
        <v>274.48199999999997</v>
      </c>
      <c r="I169" s="74">
        <f>2.675*5.1+1.1*2.45</f>
        <v>16.337499999999999</v>
      </c>
    </row>
    <row r="170" spans="1:9" x14ac:dyDescent="0.25">
      <c r="A170" s="78">
        <f>A169+1</f>
        <v>4</v>
      </c>
      <c r="B170" s="79"/>
      <c r="C170" s="16" t="s">
        <v>273</v>
      </c>
      <c r="D170" s="17">
        <f>(19.6)*10.764</f>
        <v>210.9744</v>
      </c>
      <c r="E170" s="16">
        <v>0</v>
      </c>
      <c r="F170" s="17">
        <f t="shared" ref="F170:F178" si="21">D170+E170</f>
        <v>210.9744</v>
      </c>
      <c r="G170" s="17">
        <v>0</v>
      </c>
      <c r="H170" s="17">
        <f t="shared" ref="H170:H178" si="22">F170*(($H$118)+1)+(IF(G170&lt;101,G170,IF(G170&lt;201,G170/2,IF(G170&lt;=301,G170/3,G170/4))))</f>
        <v>316.46159999999998</v>
      </c>
    </row>
    <row r="171" spans="1:9" x14ac:dyDescent="0.25">
      <c r="A171" s="78">
        <f t="shared" ref="A171:A180" si="23">A170+1</f>
        <v>5</v>
      </c>
      <c r="B171" s="79"/>
      <c r="C171" s="16" t="s">
        <v>273</v>
      </c>
      <c r="D171" s="17">
        <f>(19.6)*10.764</f>
        <v>210.9744</v>
      </c>
      <c r="E171" s="16">
        <v>0</v>
      </c>
      <c r="F171" s="17">
        <f t="shared" si="21"/>
        <v>210.9744</v>
      </c>
      <c r="G171" s="17">
        <v>0</v>
      </c>
      <c r="H171" s="17">
        <f t="shared" si="22"/>
        <v>316.46159999999998</v>
      </c>
    </row>
    <row r="172" spans="1:9" x14ac:dyDescent="0.25">
      <c r="A172" s="78">
        <f t="shared" si="23"/>
        <v>6</v>
      </c>
      <c r="B172" s="79"/>
      <c r="C172" s="16" t="s">
        <v>55</v>
      </c>
      <c r="D172" s="17">
        <f>(30)*10.764</f>
        <v>322.91999999999996</v>
      </c>
      <c r="E172" s="16">
        <v>0</v>
      </c>
      <c r="F172" s="17">
        <f t="shared" si="21"/>
        <v>322.91999999999996</v>
      </c>
      <c r="G172" s="17">
        <v>0</v>
      </c>
      <c r="H172" s="17">
        <f t="shared" si="22"/>
        <v>484.37999999999994</v>
      </c>
      <c r="I172" s="74">
        <f>2.75*4.25+1.8*2.6+2.75*2.6+1.175*1.9+1.8+1.5*0.55</f>
        <v>28.375</v>
      </c>
    </row>
    <row r="173" spans="1:9" x14ac:dyDescent="0.25">
      <c r="A173" s="78">
        <f t="shared" si="23"/>
        <v>7</v>
      </c>
      <c r="B173" s="79"/>
      <c r="C173" s="16" t="s">
        <v>273</v>
      </c>
      <c r="D173" s="17">
        <f>(15.24)*10.764</f>
        <v>164.04335999999998</v>
      </c>
      <c r="E173" s="16">
        <v>0</v>
      </c>
      <c r="F173" s="17">
        <f t="shared" si="21"/>
        <v>164.04335999999998</v>
      </c>
      <c r="G173" s="17">
        <v>0</v>
      </c>
      <c r="H173" s="17">
        <f t="shared" si="22"/>
        <v>246.06503999999995</v>
      </c>
    </row>
    <row r="174" spans="1:9" x14ac:dyDescent="0.25">
      <c r="A174" s="78">
        <f t="shared" si="23"/>
        <v>8</v>
      </c>
      <c r="B174" s="79"/>
      <c r="C174" s="16" t="s">
        <v>273</v>
      </c>
      <c r="D174" s="17">
        <f>(22.02)*10.764</f>
        <v>237.02327999999997</v>
      </c>
      <c r="E174" s="16">
        <v>0</v>
      </c>
      <c r="F174" s="17">
        <f t="shared" si="21"/>
        <v>237.02327999999997</v>
      </c>
      <c r="G174" s="17">
        <v>0</v>
      </c>
      <c r="H174" s="17">
        <f t="shared" si="22"/>
        <v>355.53491999999994</v>
      </c>
    </row>
    <row r="175" spans="1:9" x14ac:dyDescent="0.25">
      <c r="A175" s="78">
        <f t="shared" si="23"/>
        <v>9</v>
      </c>
      <c r="B175" s="79"/>
      <c r="C175" s="16" t="s">
        <v>273</v>
      </c>
      <c r="D175" s="17">
        <f>(17)*10.764</f>
        <v>182.988</v>
      </c>
      <c r="E175" s="16">
        <v>0</v>
      </c>
      <c r="F175" s="17">
        <f t="shared" si="21"/>
        <v>182.988</v>
      </c>
      <c r="G175" s="17">
        <v>0</v>
      </c>
      <c r="H175" s="17">
        <f t="shared" si="22"/>
        <v>274.48199999999997</v>
      </c>
    </row>
    <row r="176" spans="1:9" x14ac:dyDescent="0.25">
      <c r="A176" s="78">
        <f t="shared" si="23"/>
        <v>10</v>
      </c>
      <c r="B176" s="79"/>
      <c r="C176" s="16" t="s">
        <v>273</v>
      </c>
      <c r="D176" s="17">
        <f>(19.6)*10.764</f>
        <v>210.9744</v>
      </c>
      <c r="E176" s="16">
        <v>0</v>
      </c>
      <c r="F176" s="17">
        <f t="shared" si="21"/>
        <v>210.9744</v>
      </c>
      <c r="G176" s="17">
        <v>0</v>
      </c>
      <c r="H176" s="17">
        <f t="shared" si="22"/>
        <v>316.46159999999998</v>
      </c>
    </row>
    <row r="177" spans="1:9" x14ac:dyDescent="0.25">
      <c r="A177" s="78">
        <f t="shared" si="23"/>
        <v>11</v>
      </c>
      <c r="B177" s="79"/>
      <c r="C177" s="16" t="s">
        <v>273</v>
      </c>
      <c r="D177" s="17">
        <f>(19.6)*10.764</f>
        <v>210.9744</v>
      </c>
      <c r="E177" s="16">
        <v>0</v>
      </c>
      <c r="F177" s="17">
        <f t="shared" si="21"/>
        <v>210.9744</v>
      </c>
      <c r="G177" s="17">
        <v>0</v>
      </c>
      <c r="H177" s="17">
        <f t="shared" si="22"/>
        <v>316.46159999999998</v>
      </c>
    </row>
    <row r="178" spans="1:9" x14ac:dyDescent="0.25">
      <c r="A178" s="78">
        <f t="shared" si="23"/>
        <v>12</v>
      </c>
      <c r="B178" s="79"/>
      <c r="C178" s="16" t="s">
        <v>273</v>
      </c>
      <c r="D178" s="17">
        <f>(17)*10.764</f>
        <v>182.988</v>
      </c>
      <c r="E178" s="16">
        <v>0</v>
      </c>
      <c r="F178" s="17">
        <f t="shared" si="21"/>
        <v>182.988</v>
      </c>
      <c r="G178" s="17">
        <v>0</v>
      </c>
      <c r="H178" s="17">
        <f t="shared" si="22"/>
        <v>274.48199999999997</v>
      </c>
    </row>
    <row r="179" spans="1:9" x14ac:dyDescent="0.25">
      <c r="A179" s="78">
        <f t="shared" si="23"/>
        <v>13</v>
      </c>
      <c r="B179" s="79"/>
      <c r="C179" s="88" t="s">
        <v>300</v>
      </c>
      <c r="D179" s="89"/>
      <c r="E179" s="89"/>
      <c r="F179" s="89"/>
      <c r="G179" s="89"/>
      <c r="H179" s="90"/>
    </row>
    <row r="180" spans="1:9" x14ac:dyDescent="0.25">
      <c r="A180" s="78">
        <f t="shared" si="23"/>
        <v>14</v>
      </c>
      <c r="B180" s="79"/>
      <c r="C180" s="91"/>
      <c r="D180" s="92"/>
      <c r="E180" s="92"/>
      <c r="F180" s="92"/>
      <c r="G180" s="92"/>
      <c r="H180" s="93"/>
    </row>
    <row r="181" spans="1:9" x14ac:dyDescent="0.25">
      <c r="A181" s="86" t="s">
        <v>279</v>
      </c>
      <c r="B181" s="86"/>
      <c r="C181" s="86"/>
      <c r="D181" s="86"/>
      <c r="E181" s="86"/>
      <c r="F181" s="86"/>
      <c r="G181" s="86"/>
      <c r="H181" s="86"/>
      <c r="I181" s="6">
        <v>2</v>
      </c>
    </row>
    <row r="182" spans="1:9" ht="15" customHeight="1" x14ac:dyDescent="0.25">
      <c r="A182" s="78">
        <v>1</v>
      </c>
      <c r="B182" s="79"/>
      <c r="C182" s="94" t="s">
        <v>278</v>
      </c>
      <c r="D182" s="95"/>
      <c r="E182" s="95"/>
      <c r="F182" s="95"/>
      <c r="G182" s="95"/>
      <c r="H182" s="96"/>
    </row>
    <row r="183" spans="1:9" x14ac:dyDescent="0.25">
      <c r="A183" s="78">
        <f>A182+1</f>
        <v>2</v>
      </c>
      <c r="B183" s="79"/>
      <c r="C183" s="97"/>
      <c r="D183" s="98"/>
      <c r="E183" s="98"/>
      <c r="F183" s="98"/>
      <c r="G183" s="98"/>
      <c r="H183" s="99"/>
    </row>
    <row r="184" spans="1:9" x14ac:dyDescent="0.25">
      <c r="A184" s="78">
        <f t="shared" ref="A184:A193" si="24">A183+1</f>
        <v>3</v>
      </c>
      <c r="B184" s="79"/>
      <c r="C184" s="97"/>
      <c r="D184" s="98"/>
      <c r="E184" s="98"/>
      <c r="F184" s="98"/>
      <c r="G184" s="98"/>
      <c r="H184" s="99"/>
    </row>
    <row r="185" spans="1:9" x14ac:dyDescent="0.25">
      <c r="A185" s="78">
        <f t="shared" si="24"/>
        <v>4</v>
      </c>
      <c r="B185" s="79"/>
      <c r="C185" s="100"/>
      <c r="D185" s="101"/>
      <c r="E185" s="101"/>
      <c r="F185" s="101"/>
      <c r="G185" s="101"/>
      <c r="H185" s="102"/>
    </row>
    <row r="186" spans="1:9" x14ac:dyDescent="0.25">
      <c r="A186" s="78">
        <f t="shared" si="24"/>
        <v>5</v>
      </c>
      <c r="B186" s="79"/>
      <c r="C186" s="16" t="s">
        <v>273</v>
      </c>
      <c r="D186" s="17">
        <f>(19.6)*10.764</f>
        <v>210.9744</v>
      </c>
      <c r="E186" s="16">
        <v>0</v>
      </c>
      <c r="F186" s="17">
        <f t="shared" ref="F186" si="25">D186+E186</f>
        <v>210.9744</v>
      </c>
      <c r="G186" s="17">
        <v>0</v>
      </c>
      <c r="H186" s="17">
        <f>F186*(($H$118)+1)+(IF(G186&lt;101,G186,IF(G186&lt;201,G186/2,IF(G186&lt;=301,G186/3,G186/4))))</f>
        <v>316.46159999999998</v>
      </c>
    </row>
    <row r="187" spans="1:9" x14ac:dyDescent="0.25">
      <c r="A187" s="78">
        <f t="shared" si="24"/>
        <v>6</v>
      </c>
      <c r="B187" s="79"/>
      <c r="C187" s="16" t="s">
        <v>55</v>
      </c>
      <c r="D187" s="17">
        <f>(30)*10.764</f>
        <v>322.91999999999996</v>
      </c>
      <c r="E187" s="16">
        <v>0</v>
      </c>
      <c r="F187" s="17">
        <f t="shared" ref="F187:F193" si="26">D187+E187</f>
        <v>322.91999999999996</v>
      </c>
      <c r="G187" s="17">
        <v>0</v>
      </c>
      <c r="H187" s="17">
        <f t="shared" ref="H187:H193" si="27">F187*(($H$118)+1)+(IF(G187&lt;101,G187,IF(G187&lt;201,G187/2,IF(G187&lt;=301,G187/3,G187/4))))</f>
        <v>484.37999999999994</v>
      </c>
    </row>
    <row r="188" spans="1:9" x14ac:dyDescent="0.25">
      <c r="A188" s="78">
        <f t="shared" si="24"/>
        <v>7</v>
      </c>
      <c r="B188" s="79"/>
      <c r="C188" s="16" t="s">
        <v>273</v>
      </c>
      <c r="D188" s="17">
        <f>(15.24)*10.764</f>
        <v>164.04335999999998</v>
      </c>
      <c r="E188" s="16">
        <v>0</v>
      </c>
      <c r="F188" s="17">
        <f t="shared" si="26"/>
        <v>164.04335999999998</v>
      </c>
      <c r="G188" s="17">
        <v>0</v>
      </c>
      <c r="H188" s="17">
        <f t="shared" si="27"/>
        <v>246.06503999999995</v>
      </c>
    </row>
    <row r="189" spans="1:9" x14ac:dyDescent="0.25">
      <c r="A189" s="78">
        <f t="shared" si="24"/>
        <v>8</v>
      </c>
      <c r="B189" s="79"/>
      <c r="C189" s="16" t="s">
        <v>273</v>
      </c>
      <c r="D189" s="17">
        <f>(22.02)*10.764</f>
        <v>237.02327999999997</v>
      </c>
      <c r="E189" s="16">
        <v>0</v>
      </c>
      <c r="F189" s="17">
        <f t="shared" si="26"/>
        <v>237.02327999999997</v>
      </c>
      <c r="G189" s="17">
        <v>0</v>
      </c>
      <c r="H189" s="17">
        <f t="shared" si="27"/>
        <v>355.53491999999994</v>
      </c>
    </row>
    <row r="190" spans="1:9" x14ac:dyDescent="0.25">
      <c r="A190" s="78">
        <f t="shared" si="24"/>
        <v>9</v>
      </c>
      <c r="B190" s="79"/>
      <c r="C190" s="16" t="s">
        <v>273</v>
      </c>
      <c r="D190" s="17">
        <f>(17)*10.764</f>
        <v>182.988</v>
      </c>
      <c r="E190" s="16">
        <v>0</v>
      </c>
      <c r="F190" s="17">
        <f t="shared" si="26"/>
        <v>182.988</v>
      </c>
      <c r="G190" s="17">
        <v>0</v>
      </c>
      <c r="H190" s="17">
        <f t="shared" si="27"/>
        <v>274.48199999999997</v>
      </c>
    </row>
    <row r="191" spans="1:9" x14ac:dyDescent="0.25">
      <c r="A191" s="78">
        <f t="shared" si="24"/>
        <v>10</v>
      </c>
      <c r="B191" s="79"/>
      <c r="C191" s="16" t="s">
        <v>273</v>
      </c>
      <c r="D191" s="17">
        <f>(19.6)*10.764</f>
        <v>210.9744</v>
      </c>
      <c r="E191" s="16">
        <v>0</v>
      </c>
      <c r="F191" s="17">
        <f t="shared" si="26"/>
        <v>210.9744</v>
      </c>
      <c r="G191" s="17">
        <v>0</v>
      </c>
      <c r="H191" s="17">
        <f t="shared" si="27"/>
        <v>316.46159999999998</v>
      </c>
    </row>
    <row r="192" spans="1:9" x14ac:dyDescent="0.25">
      <c r="A192" s="78">
        <f t="shared" si="24"/>
        <v>11</v>
      </c>
      <c r="B192" s="79"/>
      <c r="C192" s="16" t="s">
        <v>273</v>
      </c>
      <c r="D192" s="17">
        <f>(19.6)*10.764</f>
        <v>210.9744</v>
      </c>
      <c r="E192" s="16">
        <v>0</v>
      </c>
      <c r="F192" s="17">
        <f t="shared" si="26"/>
        <v>210.9744</v>
      </c>
      <c r="G192" s="17">
        <v>0</v>
      </c>
      <c r="H192" s="17">
        <f t="shared" si="27"/>
        <v>316.46159999999998</v>
      </c>
    </row>
    <row r="193" spans="1:13" x14ac:dyDescent="0.25">
      <c r="A193" s="78">
        <f t="shared" si="24"/>
        <v>12</v>
      </c>
      <c r="B193" s="79"/>
      <c r="C193" s="16" t="s">
        <v>273</v>
      </c>
      <c r="D193" s="17">
        <f>(17)*10.764</f>
        <v>182.988</v>
      </c>
      <c r="E193" s="16">
        <v>0</v>
      </c>
      <c r="F193" s="17">
        <f t="shared" si="26"/>
        <v>182.988</v>
      </c>
      <c r="G193" s="17">
        <v>0</v>
      </c>
      <c r="H193" s="17">
        <f t="shared" si="27"/>
        <v>274.48199999999997</v>
      </c>
    </row>
    <row r="194" spans="1:13" x14ac:dyDescent="0.25">
      <c r="A194" s="78">
        <f t="shared" ref="A194:A195" si="28">A193+1</f>
        <v>13</v>
      </c>
      <c r="B194" s="79"/>
      <c r="C194" s="16" t="s">
        <v>273</v>
      </c>
      <c r="D194" s="17">
        <f>(22.02)*10.764</f>
        <v>237.02327999999997</v>
      </c>
      <c r="E194" s="16">
        <v>0</v>
      </c>
      <c r="F194" s="17">
        <f t="shared" ref="F194:F195" si="29">D194+E194</f>
        <v>237.02327999999997</v>
      </c>
      <c r="G194" s="17">
        <v>0</v>
      </c>
      <c r="H194" s="17">
        <f t="shared" ref="H194:H195" si="30">F194*(($H$118)+1)+(IF(G194&lt;101,G194,IF(G194&lt;201,G194/2,IF(G194&lt;=301,G194/3,G194/4))))</f>
        <v>355.53491999999994</v>
      </c>
    </row>
    <row r="195" spans="1:13" x14ac:dyDescent="0.25">
      <c r="A195" s="78">
        <f t="shared" si="28"/>
        <v>14</v>
      </c>
      <c r="B195" s="79"/>
      <c r="C195" s="16" t="s">
        <v>273</v>
      </c>
      <c r="D195" s="17">
        <f>(15.24)*10.764</f>
        <v>164.04335999999998</v>
      </c>
      <c r="E195" s="16">
        <v>0</v>
      </c>
      <c r="F195" s="17">
        <f t="shared" si="29"/>
        <v>164.04335999999998</v>
      </c>
      <c r="G195" s="17">
        <v>0</v>
      </c>
      <c r="H195" s="17">
        <f t="shared" si="30"/>
        <v>246.06503999999995</v>
      </c>
    </row>
    <row r="196" spans="1:13" x14ac:dyDescent="0.25">
      <c r="A196" s="86" t="s">
        <v>280</v>
      </c>
      <c r="B196" s="86"/>
      <c r="C196" s="86"/>
      <c r="D196" s="86"/>
      <c r="E196" s="86"/>
      <c r="F196" s="86"/>
      <c r="G196" s="86"/>
      <c r="H196" s="86"/>
      <c r="I196" s="6">
        <f>6+6</f>
        <v>12</v>
      </c>
    </row>
    <row r="197" spans="1:13" x14ac:dyDescent="0.25">
      <c r="A197" s="78">
        <v>1</v>
      </c>
      <c r="B197" s="79"/>
      <c r="C197" s="16" t="s">
        <v>273</v>
      </c>
      <c r="D197" s="17">
        <f>(15.24)*10.764</f>
        <v>164.04335999999998</v>
      </c>
      <c r="E197" s="16">
        <v>0</v>
      </c>
      <c r="F197" s="17">
        <f>D197+E197</f>
        <v>164.04335999999998</v>
      </c>
      <c r="G197" s="17">
        <v>0</v>
      </c>
      <c r="H197" s="17">
        <f>F197*(($H$118)+1)+(IF(G197&lt;101,G197,IF(G197&lt;201,G197/2,IF(G197&lt;=301,G197/3,G197/4))))</f>
        <v>246.06503999999995</v>
      </c>
    </row>
    <row r="198" spans="1:13" x14ac:dyDescent="0.25">
      <c r="A198" s="78">
        <f>A197+1</f>
        <v>2</v>
      </c>
      <c r="B198" s="79"/>
      <c r="C198" s="16" t="s">
        <v>273</v>
      </c>
      <c r="D198" s="17">
        <f>(22.02)*10.764</f>
        <v>237.02327999999997</v>
      </c>
      <c r="E198" s="16">
        <v>0</v>
      </c>
      <c r="F198" s="17">
        <f t="shared" ref="F198:F208" si="31">D198+E198</f>
        <v>237.02327999999997</v>
      </c>
      <c r="G198" s="17">
        <v>0</v>
      </c>
      <c r="H198" s="17">
        <f t="shared" ref="H198:H208" si="32">F198*(($H$118)+1)+(IF(G198&lt;101,G198,IF(G198&lt;201,G198/2,IF(G198&lt;=301,G198/3,G198/4))))</f>
        <v>355.53491999999994</v>
      </c>
      <c r="L198" s="6">
        <v>3702000</v>
      </c>
      <c r="M198" s="6">
        <f>L198/H198</f>
        <v>10412.479314268203</v>
      </c>
    </row>
    <row r="199" spans="1:13" x14ac:dyDescent="0.25">
      <c r="A199" s="78">
        <f t="shared" ref="A199:A210" si="33">A198+1</f>
        <v>3</v>
      </c>
      <c r="B199" s="79"/>
      <c r="C199" s="16" t="s">
        <v>273</v>
      </c>
      <c r="D199" s="17">
        <f>(17)*10.764</f>
        <v>182.988</v>
      </c>
      <c r="E199" s="16">
        <v>0</v>
      </c>
      <c r="F199" s="17">
        <f t="shared" si="31"/>
        <v>182.988</v>
      </c>
      <c r="G199" s="17">
        <v>0</v>
      </c>
      <c r="H199" s="17">
        <f t="shared" si="32"/>
        <v>274.48199999999997</v>
      </c>
    </row>
    <row r="200" spans="1:13" x14ac:dyDescent="0.25">
      <c r="A200" s="78">
        <f t="shared" si="33"/>
        <v>4</v>
      </c>
      <c r="B200" s="79"/>
      <c r="C200" s="16" t="s">
        <v>273</v>
      </c>
      <c r="D200" s="17">
        <f>(19.6)*10.764</f>
        <v>210.9744</v>
      </c>
      <c r="E200" s="16">
        <v>0</v>
      </c>
      <c r="F200" s="17">
        <f t="shared" si="31"/>
        <v>210.9744</v>
      </c>
      <c r="G200" s="17">
        <v>0</v>
      </c>
      <c r="H200" s="17">
        <f t="shared" si="32"/>
        <v>316.46159999999998</v>
      </c>
    </row>
    <row r="201" spans="1:13" x14ac:dyDescent="0.25">
      <c r="A201" s="78">
        <f t="shared" si="33"/>
        <v>5</v>
      </c>
      <c r="B201" s="79"/>
      <c r="C201" s="16" t="s">
        <v>273</v>
      </c>
      <c r="D201" s="17">
        <f>(19.6)*10.764</f>
        <v>210.9744</v>
      </c>
      <c r="E201" s="16">
        <v>0</v>
      </c>
      <c r="F201" s="17">
        <f t="shared" si="31"/>
        <v>210.9744</v>
      </c>
      <c r="G201" s="17">
        <v>0</v>
      </c>
      <c r="H201" s="17">
        <f t="shared" si="32"/>
        <v>316.46159999999998</v>
      </c>
    </row>
    <row r="202" spans="1:13" x14ac:dyDescent="0.25">
      <c r="A202" s="78">
        <f t="shared" si="33"/>
        <v>6</v>
      </c>
      <c r="B202" s="79"/>
      <c r="C202" s="16" t="s">
        <v>55</v>
      </c>
      <c r="D202" s="17">
        <f>(30)*10.764</f>
        <v>322.91999999999996</v>
      </c>
      <c r="E202" s="16">
        <v>0</v>
      </c>
      <c r="F202" s="17">
        <f t="shared" si="31"/>
        <v>322.91999999999996</v>
      </c>
      <c r="G202" s="17">
        <v>0</v>
      </c>
      <c r="H202" s="17">
        <f t="shared" si="32"/>
        <v>484.37999999999994</v>
      </c>
      <c r="L202" s="6">
        <v>5150000</v>
      </c>
      <c r="M202" s="6">
        <f>L202/H202</f>
        <v>10632.148313307734</v>
      </c>
    </row>
    <row r="203" spans="1:13" x14ac:dyDescent="0.25">
      <c r="A203" s="78">
        <f t="shared" si="33"/>
        <v>7</v>
      </c>
      <c r="B203" s="79"/>
      <c r="C203" s="16" t="s">
        <v>273</v>
      </c>
      <c r="D203" s="17">
        <f>(15.24)*10.764</f>
        <v>164.04335999999998</v>
      </c>
      <c r="E203" s="16">
        <v>0</v>
      </c>
      <c r="F203" s="17">
        <f t="shared" si="31"/>
        <v>164.04335999999998</v>
      </c>
      <c r="G203" s="17">
        <v>0</v>
      </c>
      <c r="H203" s="17">
        <f t="shared" si="32"/>
        <v>246.06503999999995</v>
      </c>
    </row>
    <row r="204" spans="1:13" x14ac:dyDescent="0.25">
      <c r="A204" s="78">
        <f t="shared" si="33"/>
        <v>8</v>
      </c>
      <c r="B204" s="79"/>
      <c r="C204" s="16" t="s">
        <v>273</v>
      </c>
      <c r="D204" s="17">
        <f>(22.02)*10.764</f>
        <v>237.02327999999997</v>
      </c>
      <c r="E204" s="16">
        <v>0</v>
      </c>
      <c r="F204" s="17">
        <f t="shared" si="31"/>
        <v>237.02327999999997</v>
      </c>
      <c r="G204" s="17">
        <v>0</v>
      </c>
      <c r="H204" s="17">
        <f t="shared" si="32"/>
        <v>355.53491999999994</v>
      </c>
    </row>
    <row r="205" spans="1:13" x14ac:dyDescent="0.25">
      <c r="A205" s="78">
        <f t="shared" si="33"/>
        <v>9</v>
      </c>
      <c r="B205" s="79"/>
      <c r="C205" s="16" t="s">
        <v>273</v>
      </c>
      <c r="D205" s="17">
        <f>(17)*10.764</f>
        <v>182.988</v>
      </c>
      <c r="E205" s="16">
        <v>0</v>
      </c>
      <c r="F205" s="17">
        <f t="shared" si="31"/>
        <v>182.988</v>
      </c>
      <c r="G205" s="17">
        <v>0</v>
      </c>
      <c r="H205" s="17">
        <f t="shared" si="32"/>
        <v>274.48199999999997</v>
      </c>
    </row>
    <row r="206" spans="1:13" x14ac:dyDescent="0.25">
      <c r="A206" s="78">
        <f t="shared" si="33"/>
        <v>10</v>
      </c>
      <c r="B206" s="79"/>
      <c r="C206" s="16" t="s">
        <v>273</v>
      </c>
      <c r="D206" s="17">
        <f>(19.6)*10.764</f>
        <v>210.9744</v>
      </c>
      <c r="E206" s="16">
        <v>0</v>
      </c>
      <c r="F206" s="17">
        <f t="shared" si="31"/>
        <v>210.9744</v>
      </c>
      <c r="G206" s="17">
        <v>0</v>
      </c>
      <c r="H206" s="17">
        <f t="shared" si="32"/>
        <v>316.46159999999998</v>
      </c>
      <c r="L206" s="6">
        <v>3383000</v>
      </c>
      <c r="M206" s="6">
        <f>L206/H206</f>
        <v>10690.080565856964</v>
      </c>
    </row>
    <row r="207" spans="1:13" x14ac:dyDescent="0.25">
      <c r="A207" s="78">
        <f t="shared" si="33"/>
        <v>11</v>
      </c>
      <c r="B207" s="79"/>
      <c r="C207" s="16" t="s">
        <v>273</v>
      </c>
      <c r="D207" s="17">
        <f>(19.6)*10.764</f>
        <v>210.9744</v>
      </c>
      <c r="E207" s="16">
        <v>0</v>
      </c>
      <c r="F207" s="17">
        <f t="shared" si="31"/>
        <v>210.9744</v>
      </c>
      <c r="G207" s="17">
        <v>0</v>
      </c>
      <c r="H207" s="17">
        <f t="shared" si="32"/>
        <v>316.46159999999998</v>
      </c>
    </row>
    <row r="208" spans="1:13" x14ac:dyDescent="0.25">
      <c r="A208" s="78">
        <f t="shared" si="33"/>
        <v>12</v>
      </c>
      <c r="B208" s="79"/>
      <c r="C208" s="16" t="s">
        <v>273</v>
      </c>
      <c r="D208" s="17">
        <f>(17)*10.764</f>
        <v>182.988</v>
      </c>
      <c r="E208" s="16">
        <v>0</v>
      </c>
      <c r="F208" s="17">
        <f t="shared" si="31"/>
        <v>182.988</v>
      </c>
      <c r="G208" s="17">
        <v>0</v>
      </c>
      <c r="H208" s="17">
        <f t="shared" si="32"/>
        <v>274.48199999999997</v>
      </c>
    </row>
    <row r="209" spans="1:15" x14ac:dyDescent="0.25">
      <c r="A209" s="78">
        <f t="shared" si="33"/>
        <v>13</v>
      </c>
      <c r="B209" s="79"/>
      <c r="C209" s="16" t="s">
        <v>273</v>
      </c>
      <c r="D209" s="17">
        <f>(22.02)*10.764</f>
        <v>237.02327999999997</v>
      </c>
      <c r="E209" s="16">
        <v>0</v>
      </c>
      <c r="F209" s="17">
        <f t="shared" ref="F209:F210" si="34">D209+E209</f>
        <v>237.02327999999997</v>
      </c>
      <c r="G209" s="17">
        <v>0</v>
      </c>
      <c r="H209" s="17">
        <f t="shared" ref="H209:H210" si="35">F209*(($H$118)+1)+(IF(G209&lt;101,G209,IF(G209&lt;201,G209/2,IF(G209&lt;=301,G209/3,G209/4))))</f>
        <v>355.53491999999994</v>
      </c>
    </row>
    <row r="210" spans="1:15" x14ac:dyDescent="0.25">
      <c r="A210" s="78">
        <f t="shared" si="33"/>
        <v>14</v>
      </c>
      <c r="B210" s="79"/>
      <c r="C210" s="16" t="s">
        <v>273</v>
      </c>
      <c r="D210" s="17">
        <f>(15.24)*10.764</f>
        <v>164.04335999999998</v>
      </c>
      <c r="E210" s="16">
        <v>0</v>
      </c>
      <c r="F210" s="17">
        <f t="shared" si="34"/>
        <v>164.04335999999998</v>
      </c>
      <c r="G210" s="17">
        <v>0</v>
      </c>
      <c r="H210" s="17">
        <f t="shared" si="35"/>
        <v>246.06503999999995</v>
      </c>
    </row>
    <row r="211" spans="1:15" x14ac:dyDescent="0.25">
      <c r="A211" s="86" t="s">
        <v>281</v>
      </c>
      <c r="B211" s="86"/>
      <c r="C211" s="86"/>
      <c r="D211" s="86"/>
      <c r="E211" s="86"/>
      <c r="F211" s="86"/>
      <c r="G211" s="86"/>
      <c r="H211" s="86"/>
      <c r="I211" s="6">
        <v>1</v>
      </c>
    </row>
    <row r="212" spans="1:15" x14ac:dyDescent="0.25">
      <c r="A212" s="78">
        <v>1</v>
      </c>
      <c r="B212" s="79"/>
      <c r="C212" s="16" t="s">
        <v>273</v>
      </c>
      <c r="D212" s="17">
        <f>(15.24)*10.764</f>
        <v>164.04335999999998</v>
      </c>
      <c r="E212" s="16">
        <v>0</v>
      </c>
      <c r="F212" s="17">
        <f>D212+E212</f>
        <v>164.04335999999998</v>
      </c>
      <c r="G212" s="17">
        <v>0</v>
      </c>
      <c r="H212" s="17">
        <f>F212*(($H$118)+1)+(IF(G212&lt;101,G212,IF(G212&lt;201,G212/2,IF(G212&lt;=301,G212/3,G212/4))))</f>
        <v>246.06503999999995</v>
      </c>
    </row>
    <row r="213" spans="1:15" x14ac:dyDescent="0.25">
      <c r="A213" s="78">
        <f>A212+1</f>
        <v>2</v>
      </c>
      <c r="B213" s="79"/>
      <c r="C213" s="16" t="s">
        <v>273</v>
      </c>
      <c r="D213" s="17">
        <f>(22.02)*10.764</f>
        <v>237.02327999999997</v>
      </c>
      <c r="E213" s="16">
        <v>0</v>
      </c>
      <c r="F213" s="17">
        <f t="shared" ref="F213:F225" si="36">D213+E213</f>
        <v>237.02327999999997</v>
      </c>
      <c r="G213" s="17">
        <v>0</v>
      </c>
      <c r="H213" s="17">
        <f>F213*(($H$118)+1)+(IF(G213&lt;101,G213,IF(G213&lt;201,G213/2,IF(G213&lt;=301,G213/3,G213/4))))</f>
        <v>355.53491999999994</v>
      </c>
    </row>
    <row r="214" spans="1:15" x14ac:dyDescent="0.25">
      <c r="A214" s="78">
        <f t="shared" ref="A214:A225" si="37">A213+1</f>
        <v>3</v>
      </c>
      <c r="B214" s="79"/>
      <c r="C214" s="16" t="s">
        <v>273</v>
      </c>
      <c r="D214" s="17">
        <f>(17)*10.764</f>
        <v>182.988</v>
      </c>
      <c r="E214" s="16">
        <v>0</v>
      </c>
      <c r="F214" s="17">
        <f t="shared" si="36"/>
        <v>182.988</v>
      </c>
      <c r="G214" s="17">
        <v>0</v>
      </c>
      <c r="H214" s="17">
        <f>F214*(($H$118)+1)+(IF(G214&lt;101,G214,IF(G214&lt;201,G214/2,IF(G214&lt;=301,G214/3,G214/4))))</f>
        <v>274.48199999999997</v>
      </c>
    </row>
    <row r="215" spans="1:15" x14ac:dyDescent="0.25">
      <c r="A215" s="78">
        <f t="shared" si="37"/>
        <v>4</v>
      </c>
      <c r="B215" s="79"/>
      <c r="C215" s="78" t="s">
        <v>278</v>
      </c>
      <c r="D215" s="87"/>
      <c r="E215" s="87"/>
      <c r="F215" s="87"/>
      <c r="G215" s="87"/>
      <c r="H215" s="79"/>
    </row>
    <row r="216" spans="1:15" x14ac:dyDescent="0.25">
      <c r="A216" s="78">
        <f t="shared" si="37"/>
        <v>5</v>
      </c>
      <c r="B216" s="79"/>
      <c r="C216" s="16" t="s">
        <v>273</v>
      </c>
      <c r="D216" s="17">
        <f>(19.6)*10.764</f>
        <v>210.9744</v>
      </c>
      <c r="E216" s="16">
        <v>0</v>
      </c>
      <c r="F216" s="17">
        <f t="shared" si="36"/>
        <v>210.9744</v>
      </c>
      <c r="G216" s="17">
        <v>0</v>
      </c>
      <c r="H216" s="17">
        <f t="shared" ref="H216:H225" si="38">F216*(($H$118)+1)+(IF(G216&lt;101,G216,IF(G216&lt;201,G216/2,IF(G216&lt;=301,G216/3,G216/4))))</f>
        <v>316.46159999999998</v>
      </c>
      <c r="N216" s="6">
        <f>3950000/H216</f>
        <v>12481.767140152235</v>
      </c>
    </row>
    <row r="217" spans="1:15" x14ac:dyDescent="0.25">
      <c r="A217" s="78">
        <f t="shared" si="37"/>
        <v>6</v>
      </c>
      <c r="B217" s="79"/>
      <c r="C217" s="16" t="s">
        <v>55</v>
      </c>
      <c r="D217" s="17">
        <f>(30)*10.764</f>
        <v>322.91999999999996</v>
      </c>
      <c r="E217" s="16">
        <v>0</v>
      </c>
      <c r="F217" s="17">
        <f t="shared" si="36"/>
        <v>322.91999999999996</v>
      </c>
      <c r="G217" s="17">
        <v>0</v>
      </c>
      <c r="H217" s="17">
        <f t="shared" si="38"/>
        <v>484.37999999999994</v>
      </c>
      <c r="N217" s="6">
        <f>7950000/H217</f>
        <v>16412.733804038155</v>
      </c>
      <c r="O217" s="6">
        <f>7490000/H217</f>
        <v>15463.066187703871</v>
      </c>
    </row>
    <row r="218" spans="1:15" x14ac:dyDescent="0.25">
      <c r="A218" s="78">
        <f t="shared" si="37"/>
        <v>7</v>
      </c>
      <c r="B218" s="79"/>
      <c r="C218" s="16" t="s">
        <v>273</v>
      </c>
      <c r="D218" s="17">
        <f>(15.24)*10.764</f>
        <v>164.04335999999998</v>
      </c>
      <c r="E218" s="16">
        <v>0</v>
      </c>
      <c r="F218" s="17">
        <f t="shared" si="36"/>
        <v>164.04335999999998</v>
      </c>
      <c r="G218" s="17">
        <v>0</v>
      </c>
      <c r="H218" s="17">
        <f t="shared" si="38"/>
        <v>246.06503999999995</v>
      </c>
      <c r="N218" s="6">
        <f>3950000/H218</f>
        <v>16052.666400720724</v>
      </c>
    </row>
    <row r="219" spans="1:15" x14ac:dyDescent="0.25">
      <c r="A219" s="78">
        <f t="shared" si="37"/>
        <v>8</v>
      </c>
      <c r="B219" s="79"/>
      <c r="C219" s="16" t="s">
        <v>273</v>
      </c>
      <c r="D219" s="17">
        <f>(22.02)*10.764</f>
        <v>237.02327999999997</v>
      </c>
      <c r="E219" s="16">
        <v>0</v>
      </c>
      <c r="F219" s="17">
        <f t="shared" si="36"/>
        <v>237.02327999999997</v>
      </c>
      <c r="G219" s="17">
        <v>0</v>
      </c>
      <c r="H219" s="17">
        <f t="shared" si="38"/>
        <v>355.53491999999994</v>
      </c>
      <c r="N219" s="6">
        <f t="shared" ref="N219:N224" si="39">3950000/H219</f>
        <v>11110.019797774015</v>
      </c>
    </row>
    <row r="220" spans="1:15" x14ac:dyDescent="0.25">
      <c r="A220" s="78">
        <f t="shared" si="37"/>
        <v>9</v>
      </c>
      <c r="B220" s="79"/>
      <c r="C220" s="16" t="s">
        <v>273</v>
      </c>
      <c r="D220" s="17">
        <f>(17)*10.764</f>
        <v>182.988</v>
      </c>
      <c r="E220" s="16">
        <v>0</v>
      </c>
      <c r="F220" s="17">
        <f t="shared" si="36"/>
        <v>182.988</v>
      </c>
      <c r="G220" s="17">
        <v>0</v>
      </c>
      <c r="H220" s="17">
        <f t="shared" si="38"/>
        <v>274.48199999999997</v>
      </c>
      <c r="N220" s="6">
        <f t="shared" si="39"/>
        <v>14390.743290999048</v>
      </c>
    </row>
    <row r="221" spans="1:15" x14ac:dyDescent="0.25">
      <c r="A221" s="78">
        <f t="shared" si="37"/>
        <v>10</v>
      </c>
      <c r="B221" s="79"/>
      <c r="C221" s="16" t="s">
        <v>273</v>
      </c>
      <c r="D221" s="17">
        <f>(19.6)*10.764</f>
        <v>210.9744</v>
      </c>
      <c r="E221" s="16">
        <v>0</v>
      </c>
      <c r="F221" s="17">
        <f t="shared" si="36"/>
        <v>210.9744</v>
      </c>
      <c r="G221" s="17">
        <v>0</v>
      </c>
      <c r="H221" s="17">
        <f t="shared" si="38"/>
        <v>316.46159999999998</v>
      </c>
      <c r="N221" s="6">
        <f t="shared" si="39"/>
        <v>12481.767140152235</v>
      </c>
    </row>
    <row r="222" spans="1:15" x14ac:dyDescent="0.25">
      <c r="A222" s="78">
        <f t="shared" si="37"/>
        <v>11</v>
      </c>
      <c r="B222" s="79"/>
      <c r="C222" s="16" t="s">
        <v>273</v>
      </c>
      <c r="D222" s="17">
        <f>(19.6)*10.764</f>
        <v>210.9744</v>
      </c>
      <c r="E222" s="16">
        <v>0</v>
      </c>
      <c r="F222" s="17">
        <f t="shared" si="36"/>
        <v>210.9744</v>
      </c>
      <c r="G222" s="17">
        <v>0</v>
      </c>
      <c r="H222" s="17">
        <f t="shared" si="38"/>
        <v>316.46159999999998</v>
      </c>
      <c r="N222" s="6">
        <f t="shared" si="39"/>
        <v>12481.767140152235</v>
      </c>
    </row>
    <row r="223" spans="1:15" x14ac:dyDescent="0.25">
      <c r="A223" s="78">
        <f t="shared" si="37"/>
        <v>12</v>
      </c>
      <c r="B223" s="79"/>
      <c r="C223" s="16" t="s">
        <v>273</v>
      </c>
      <c r="D223" s="17">
        <f>(17)*10.764</f>
        <v>182.988</v>
      </c>
      <c r="E223" s="16">
        <v>0</v>
      </c>
      <c r="F223" s="17">
        <f t="shared" si="36"/>
        <v>182.988</v>
      </c>
      <c r="G223" s="17">
        <v>0</v>
      </c>
      <c r="H223" s="17">
        <f t="shared" si="38"/>
        <v>274.48199999999997</v>
      </c>
      <c r="N223" s="6">
        <f t="shared" si="39"/>
        <v>14390.743290999048</v>
      </c>
    </row>
    <row r="224" spans="1:15" x14ac:dyDescent="0.25">
      <c r="A224" s="78">
        <f t="shared" si="37"/>
        <v>13</v>
      </c>
      <c r="B224" s="79"/>
      <c r="C224" s="16" t="s">
        <v>273</v>
      </c>
      <c r="D224" s="17">
        <f>(22.02)*10.764</f>
        <v>237.02327999999997</v>
      </c>
      <c r="E224" s="16">
        <v>0</v>
      </c>
      <c r="F224" s="17">
        <f t="shared" si="36"/>
        <v>237.02327999999997</v>
      </c>
      <c r="G224" s="17">
        <v>0</v>
      </c>
      <c r="H224" s="17">
        <f t="shared" si="38"/>
        <v>355.53491999999994</v>
      </c>
      <c r="N224" s="6">
        <f t="shared" si="39"/>
        <v>11110.019797774015</v>
      </c>
    </row>
    <row r="225" spans="1:9" x14ac:dyDescent="0.25">
      <c r="A225" s="78">
        <f t="shared" si="37"/>
        <v>14</v>
      </c>
      <c r="B225" s="79"/>
      <c r="C225" s="16" t="s">
        <v>273</v>
      </c>
      <c r="D225" s="17">
        <f>(15.24)*10.764</f>
        <v>164.04335999999998</v>
      </c>
      <c r="E225" s="16">
        <v>0</v>
      </c>
      <c r="F225" s="17">
        <f t="shared" si="36"/>
        <v>164.04335999999998</v>
      </c>
      <c r="G225" s="17">
        <v>0</v>
      </c>
      <c r="H225" s="17">
        <f t="shared" si="38"/>
        <v>246.06503999999995</v>
      </c>
    </row>
    <row r="226" spans="1:9" x14ac:dyDescent="0.25">
      <c r="A226" s="86" t="s">
        <v>285</v>
      </c>
      <c r="B226" s="86"/>
      <c r="C226" s="86"/>
      <c r="D226" s="86"/>
      <c r="E226" s="86"/>
      <c r="F226" s="86"/>
      <c r="G226" s="86"/>
      <c r="H226" s="86"/>
      <c r="I226" s="6">
        <v>1</v>
      </c>
    </row>
    <row r="227" spans="1:9" x14ac:dyDescent="0.25">
      <c r="A227" s="78">
        <v>1</v>
      </c>
      <c r="B227" s="79"/>
      <c r="C227" s="16" t="s">
        <v>273</v>
      </c>
      <c r="D227" s="17">
        <f>(15.24)*10.764</f>
        <v>164.04335999999998</v>
      </c>
      <c r="E227" s="16">
        <v>0</v>
      </c>
      <c r="F227" s="17">
        <f>D227+E227</f>
        <v>164.04335999999998</v>
      </c>
      <c r="G227" s="17">
        <v>0</v>
      </c>
      <c r="H227" s="17">
        <f>F227*(($H$118)+1)+(IF(G227&lt;101,G227,IF(G227&lt;201,G227/2,IF(G227&lt;=301,G227/3,G227/4))))</f>
        <v>246.06503999999995</v>
      </c>
    </row>
    <row r="228" spans="1:9" x14ac:dyDescent="0.25">
      <c r="A228" s="78">
        <f>A227+1</f>
        <v>2</v>
      </c>
      <c r="B228" s="79"/>
      <c r="C228" s="16" t="s">
        <v>273</v>
      </c>
      <c r="D228" s="17">
        <f>(22.02)*10.764</f>
        <v>237.02327999999997</v>
      </c>
      <c r="E228" s="16">
        <v>0</v>
      </c>
      <c r="F228" s="17">
        <f t="shared" ref="F228:F238" si="40">D228+E228</f>
        <v>237.02327999999997</v>
      </c>
      <c r="G228" s="17">
        <v>0</v>
      </c>
      <c r="H228" s="17">
        <f t="shared" ref="H228:H238" si="41">F228*(($H$118)+1)+(IF(G228&lt;101,G228,IF(G228&lt;201,G228/2,IF(G228&lt;=301,G228/3,G228/4))))</f>
        <v>355.53491999999994</v>
      </c>
    </row>
    <row r="229" spans="1:9" x14ac:dyDescent="0.25">
      <c r="A229" s="78">
        <f t="shared" ref="A229:A240" si="42">A228+1</f>
        <v>3</v>
      </c>
      <c r="B229" s="79"/>
      <c r="C229" s="16" t="s">
        <v>273</v>
      </c>
      <c r="D229" s="17">
        <f>(17)*10.764</f>
        <v>182.988</v>
      </c>
      <c r="E229" s="16">
        <v>0</v>
      </c>
      <c r="F229" s="17">
        <f t="shared" si="40"/>
        <v>182.988</v>
      </c>
      <c r="G229" s="17">
        <v>0</v>
      </c>
      <c r="H229" s="17">
        <f t="shared" si="41"/>
        <v>274.48199999999997</v>
      </c>
    </row>
    <row r="230" spans="1:9" x14ac:dyDescent="0.25">
      <c r="A230" s="78">
        <f t="shared" si="42"/>
        <v>4</v>
      </c>
      <c r="B230" s="79"/>
      <c r="C230" s="16" t="s">
        <v>273</v>
      </c>
      <c r="D230" s="17">
        <f>(19.6)*10.764</f>
        <v>210.9744</v>
      </c>
      <c r="E230" s="16">
        <v>0</v>
      </c>
      <c r="F230" s="17">
        <f t="shared" si="40"/>
        <v>210.9744</v>
      </c>
      <c r="G230" s="17">
        <v>0</v>
      </c>
      <c r="H230" s="17">
        <f t="shared" si="41"/>
        <v>316.46159999999998</v>
      </c>
    </row>
    <row r="231" spans="1:9" x14ac:dyDescent="0.25">
      <c r="A231" s="78">
        <f t="shared" si="42"/>
        <v>5</v>
      </c>
      <c r="B231" s="79"/>
      <c r="C231" s="16" t="s">
        <v>273</v>
      </c>
      <c r="D231" s="17">
        <f>(19.6)*10.764</f>
        <v>210.9744</v>
      </c>
      <c r="E231" s="16">
        <v>0</v>
      </c>
      <c r="F231" s="17">
        <f t="shared" si="40"/>
        <v>210.9744</v>
      </c>
      <c r="G231" s="17">
        <v>0</v>
      </c>
      <c r="H231" s="17">
        <f t="shared" si="41"/>
        <v>316.46159999999998</v>
      </c>
    </row>
    <row r="232" spans="1:9" x14ac:dyDescent="0.25">
      <c r="A232" s="78">
        <f t="shared" si="42"/>
        <v>6</v>
      </c>
      <c r="B232" s="79"/>
      <c r="C232" s="16" t="s">
        <v>55</v>
      </c>
      <c r="D232" s="17">
        <f>(30)*10.764</f>
        <v>322.91999999999996</v>
      </c>
      <c r="E232" s="16">
        <v>0</v>
      </c>
      <c r="F232" s="17">
        <f t="shared" si="40"/>
        <v>322.91999999999996</v>
      </c>
      <c r="G232" s="17">
        <v>0</v>
      </c>
      <c r="H232" s="17">
        <f t="shared" si="41"/>
        <v>484.37999999999994</v>
      </c>
    </row>
    <row r="233" spans="1:9" x14ac:dyDescent="0.25">
      <c r="A233" s="78">
        <f t="shared" si="42"/>
        <v>7</v>
      </c>
      <c r="B233" s="79"/>
      <c r="C233" s="16" t="s">
        <v>273</v>
      </c>
      <c r="D233" s="17">
        <f>(15.24)*10.764</f>
        <v>164.04335999999998</v>
      </c>
      <c r="E233" s="16">
        <v>0</v>
      </c>
      <c r="F233" s="17">
        <f t="shared" si="40"/>
        <v>164.04335999999998</v>
      </c>
      <c r="G233" s="17">
        <v>0</v>
      </c>
      <c r="H233" s="17">
        <f t="shared" si="41"/>
        <v>246.06503999999995</v>
      </c>
    </row>
    <row r="234" spans="1:9" x14ac:dyDescent="0.25">
      <c r="A234" s="78">
        <f t="shared" si="42"/>
        <v>8</v>
      </c>
      <c r="B234" s="79"/>
      <c r="C234" s="16" t="s">
        <v>273</v>
      </c>
      <c r="D234" s="17">
        <f>(22.02)*10.764</f>
        <v>237.02327999999997</v>
      </c>
      <c r="E234" s="16">
        <v>0</v>
      </c>
      <c r="F234" s="17">
        <f t="shared" si="40"/>
        <v>237.02327999999997</v>
      </c>
      <c r="G234" s="17">
        <v>0</v>
      </c>
      <c r="H234" s="17">
        <f t="shared" si="41"/>
        <v>355.53491999999994</v>
      </c>
    </row>
    <row r="235" spans="1:9" x14ac:dyDescent="0.25">
      <c r="A235" s="78">
        <f t="shared" si="42"/>
        <v>9</v>
      </c>
      <c r="B235" s="79"/>
      <c r="C235" s="16" t="s">
        <v>273</v>
      </c>
      <c r="D235" s="17">
        <f>(17)*10.764</f>
        <v>182.988</v>
      </c>
      <c r="E235" s="16">
        <v>0</v>
      </c>
      <c r="F235" s="17">
        <f t="shared" si="40"/>
        <v>182.988</v>
      </c>
      <c r="G235" s="17">
        <v>0</v>
      </c>
      <c r="H235" s="17">
        <f t="shared" si="41"/>
        <v>274.48199999999997</v>
      </c>
    </row>
    <row r="236" spans="1:9" x14ac:dyDescent="0.25">
      <c r="A236" s="78">
        <f t="shared" si="42"/>
        <v>10</v>
      </c>
      <c r="B236" s="79"/>
      <c r="C236" s="16" t="s">
        <v>273</v>
      </c>
      <c r="D236" s="17">
        <f>(19.6)*10.764</f>
        <v>210.9744</v>
      </c>
      <c r="E236" s="16">
        <v>0</v>
      </c>
      <c r="F236" s="17">
        <f t="shared" si="40"/>
        <v>210.9744</v>
      </c>
      <c r="G236" s="17">
        <v>0</v>
      </c>
      <c r="H236" s="17">
        <f t="shared" si="41"/>
        <v>316.46159999999998</v>
      </c>
    </row>
    <row r="237" spans="1:9" x14ac:dyDescent="0.25">
      <c r="A237" s="78">
        <f t="shared" si="42"/>
        <v>11</v>
      </c>
      <c r="B237" s="79"/>
      <c r="C237" s="16" t="s">
        <v>273</v>
      </c>
      <c r="D237" s="17">
        <f>(19.6)*10.764</f>
        <v>210.9744</v>
      </c>
      <c r="E237" s="16">
        <v>0</v>
      </c>
      <c r="F237" s="17">
        <f t="shared" si="40"/>
        <v>210.9744</v>
      </c>
      <c r="G237" s="17">
        <v>0</v>
      </c>
      <c r="H237" s="17">
        <f t="shared" si="41"/>
        <v>316.46159999999998</v>
      </c>
    </row>
    <row r="238" spans="1:9" x14ac:dyDescent="0.25">
      <c r="A238" s="78">
        <f t="shared" si="42"/>
        <v>12</v>
      </c>
      <c r="B238" s="79"/>
      <c r="C238" s="16" t="s">
        <v>273</v>
      </c>
      <c r="D238" s="17">
        <f>(17)*10.764</f>
        <v>182.988</v>
      </c>
      <c r="E238" s="16">
        <v>0</v>
      </c>
      <c r="F238" s="17">
        <f t="shared" si="40"/>
        <v>182.988</v>
      </c>
      <c r="G238" s="17">
        <v>0</v>
      </c>
      <c r="H238" s="17">
        <f t="shared" si="41"/>
        <v>274.48199999999997</v>
      </c>
    </row>
    <row r="239" spans="1:9" x14ac:dyDescent="0.25">
      <c r="A239" s="78">
        <f t="shared" si="42"/>
        <v>13</v>
      </c>
      <c r="B239" s="79"/>
      <c r="C239" s="16" t="s">
        <v>273</v>
      </c>
      <c r="D239" s="17">
        <f>(22.02)*10.764</f>
        <v>237.02327999999997</v>
      </c>
      <c r="E239" s="16">
        <v>0</v>
      </c>
      <c r="F239" s="17">
        <f t="shared" ref="F239:F240" si="43">D239+E239</f>
        <v>237.02327999999997</v>
      </c>
      <c r="G239" s="17">
        <v>0</v>
      </c>
      <c r="H239" s="17">
        <f t="shared" ref="H239:H240" si="44">F239*(($H$118)+1)+(IF(G239&lt;101,G239,IF(G239&lt;201,G239/2,IF(G239&lt;=301,G239/3,G239/4))))</f>
        <v>355.53491999999994</v>
      </c>
    </row>
    <row r="240" spans="1:9" x14ac:dyDescent="0.25">
      <c r="A240" s="78">
        <f t="shared" si="42"/>
        <v>14</v>
      </c>
      <c r="B240" s="79"/>
      <c r="C240" s="16" t="s">
        <v>273</v>
      </c>
      <c r="D240" s="17">
        <f>(15.24)*10.764</f>
        <v>164.04335999999998</v>
      </c>
      <c r="E240" s="16">
        <v>0</v>
      </c>
      <c r="F240" s="17">
        <f t="shared" si="43"/>
        <v>164.04335999999998</v>
      </c>
      <c r="G240" s="17">
        <v>0</v>
      </c>
      <c r="H240" s="17">
        <f t="shared" si="44"/>
        <v>246.06503999999995</v>
      </c>
    </row>
    <row r="241" spans="1:8" hidden="1" x14ac:dyDescent="0.25">
      <c r="A241" s="86" t="s">
        <v>125</v>
      </c>
      <c r="B241" s="86"/>
      <c r="C241" s="86"/>
      <c r="D241" s="86"/>
      <c r="E241" s="86"/>
      <c r="F241" s="86"/>
      <c r="G241" s="86"/>
      <c r="H241" s="86"/>
    </row>
    <row r="242" spans="1:8" hidden="1" x14ac:dyDescent="0.25">
      <c r="A242" s="78">
        <v>1</v>
      </c>
      <c r="B242" s="79"/>
      <c r="C242" s="16" t="s">
        <v>55</v>
      </c>
      <c r="D242" s="16"/>
      <c r="E242" s="16"/>
      <c r="F242" s="17">
        <f>D242+E242</f>
        <v>0</v>
      </c>
      <c r="G242" s="17">
        <v>0</v>
      </c>
      <c r="H242" s="16">
        <f>F242*(($H$118)+1)+(IF(G242&lt;101,G242,IF(G242&lt;201,G242/2,IF(G242&lt;=301,G242/3,G242/4))))</f>
        <v>0</v>
      </c>
    </row>
    <row r="243" spans="1:8" hidden="1" x14ac:dyDescent="0.25">
      <c r="A243" s="78">
        <f>A242+1</f>
        <v>2</v>
      </c>
      <c r="B243" s="79"/>
      <c r="C243" s="16" t="s">
        <v>55</v>
      </c>
      <c r="D243" s="16"/>
      <c r="E243" s="16"/>
      <c r="F243" s="17">
        <f t="shared" ref="F243:F253" si="45">D243+E243</f>
        <v>0</v>
      </c>
      <c r="G243" s="17">
        <v>0</v>
      </c>
      <c r="H243" s="16">
        <f t="shared" ref="H243:H253" si="46">F243*(($H$118)+1)+(IF(G243&lt;101,G243,IF(G243&lt;201,G243/2,IF(G243&lt;=301,G243/3,G243/4))))</f>
        <v>0</v>
      </c>
    </row>
    <row r="244" spans="1:8" hidden="1" x14ac:dyDescent="0.25">
      <c r="A244" s="78">
        <f t="shared" ref="A244:A253" si="47">A243+1</f>
        <v>3</v>
      </c>
      <c r="B244" s="79"/>
      <c r="C244" s="16" t="s">
        <v>55</v>
      </c>
      <c r="D244" s="16"/>
      <c r="E244" s="16"/>
      <c r="F244" s="17">
        <f t="shared" si="45"/>
        <v>0</v>
      </c>
      <c r="G244" s="17">
        <v>0</v>
      </c>
      <c r="H244" s="16">
        <f t="shared" si="46"/>
        <v>0</v>
      </c>
    </row>
    <row r="245" spans="1:8" hidden="1" x14ac:dyDescent="0.25">
      <c r="A245" s="78">
        <f t="shared" si="47"/>
        <v>4</v>
      </c>
      <c r="B245" s="79"/>
      <c r="C245" s="16" t="s">
        <v>55</v>
      </c>
      <c r="D245" s="16"/>
      <c r="E245" s="16"/>
      <c r="F245" s="17">
        <f t="shared" si="45"/>
        <v>0</v>
      </c>
      <c r="G245" s="17">
        <v>0</v>
      </c>
      <c r="H245" s="16">
        <f t="shared" si="46"/>
        <v>0</v>
      </c>
    </row>
    <row r="246" spans="1:8" hidden="1" x14ac:dyDescent="0.25">
      <c r="A246" s="78">
        <f t="shared" si="47"/>
        <v>5</v>
      </c>
      <c r="B246" s="79"/>
      <c r="C246" s="16" t="s">
        <v>55</v>
      </c>
      <c r="D246" s="16"/>
      <c r="E246" s="16"/>
      <c r="F246" s="17">
        <f t="shared" si="45"/>
        <v>0</v>
      </c>
      <c r="G246" s="17">
        <v>0</v>
      </c>
      <c r="H246" s="16">
        <f t="shared" si="46"/>
        <v>0</v>
      </c>
    </row>
    <row r="247" spans="1:8" hidden="1" x14ac:dyDescent="0.25">
      <c r="A247" s="78">
        <f t="shared" si="47"/>
        <v>6</v>
      </c>
      <c r="B247" s="79"/>
      <c r="C247" s="16" t="s">
        <v>55</v>
      </c>
      <c r="D247" s="16"/>
      <c r="E247" s="16"/>
      <c r="F247" s="17">
        <f t="shared" si="45"/>
        <v>0</v>
      </c>
      <c r="G247" s="17">
        <v>0</v>
      </c>
      <c r="H247" s="16">
        <f t="shared" si="46"/>
        <v>0</v>
      </c>
    </row>
    <row r="248" spans="1:8" hidden="1" x14ac:dyDescent="0.25">
      <c r="A248" s="78">
        <f t="shared" si="47"/>
        <v>7</v>
      </c>
      <c r="B248" s="79"/>
      <c r="C248" s="16" t="s">
        <v>55</v>
      </c>
      <c r="D248" s="16"/>
      <c r="E248" s="16"/>
      <c r="F248" s="17">
        <f t="shared" si="45"/>
        <v>0</v>
      </c>
      <c r="G248" s="17">
        <v>0</v>
      </c>
      <c r="H248" s="16">
        <f t="shared" si="46"/>
        <v>0</v>
      </c>
    </row>
    <row r="249" spans="1:8" hidden="1" x14ac:dyDescent="0.25">
      <c r="A249" s="78">
        <f t="shared" si="47"/>
        <v>8</v>
      </c>
      <c r="B249" s="79"/>
      <c r="C249" s="16" t="s">
        <v>55</v>
      </c>
      <c r="D249" s="16"/>
      <c r="E249" s="16"/>
      <c r="F249" s="17">
        <f t="shared" si="45"/>
        <v>0</v>
      </c>
      <c r="G249" s="17">
        <v>0</v>
      </c>
      <c r="H249" s="16">
        <f t="shared" si="46"/>
        <v>0</v>
      </c>
    </row>
    <row r="250" spans="1:8" hidden="1" x14ac:dyDescent="0.25">
      <c r="A250" s="78">
        <f t="shared" si="47"/>
        <v>9</v>
      </c>
      <c r="B250" s="79"/>
      <c r="C250" s="16" t="s">
        <v>55</v>
      </c>
      <c r="D250" s="16"/>
      <c r="E250" s="16"/>
      <c r="F250" s="17">
        <f t="shared" si="45"/>
        <v>0</v>
      </c>
      <c r="G250" s="17">
        <v>0</v>
      </c>
      <c r="H250" s="16">
        <f t="shared" si="46"/>
        <v>0</v>
      </c>
    </row>
    <row r="251" spans="1:8" hidden="1" x14ac:dyDescent="0.25">
      <c r="A251" s="78">
        <f t="shared" si="47"/>
        <v>10</v>
      </c>
      <c r="B251" s="79"/>
      <c r="C251" s="16" t="s">
        <v>55</v>
      </c>
      <c r="D251" s="16"/>
      <c r="E251" s="16"/>
      <c r="F251" s="17">
        <f t="shared" si="45"/>
        <v>0</v>
      </c>
      <c r="G251" s="17">
        <v>0</v>
      </c>
      <c r="H251" s="16">
        <f t="shared" si="46"/>
        <v>0</v>
      </c>
    </row>
    <row r="252" spans="1:8" hidden="1" x14ac:dyDescent="0.25">
      <c r="A252" s="78">
        <f t="shared" si="47"/>
        <v>11</v>
      </c>
      <c r="B252" s="79"/>
      <c r="C252" s="16" t="s">
        <v>55</v>
      </c>
      <c r="D252" s="16"/>
      <c r="E252" s="16"/>
      <c r="F252" s="17">
        <f t="shared" si="45"/>
        <v>0</v>
      </c>
      <c r="G252" s="17">
        <v>0</v>
      </c>
      <c r="H252" s="16">
        <f t="shared" si="46"/>
        <v>0</v>
      </c>
    </row>
    <row r="253" spans="1:8" hidden="1" x14ac:dyDescent="0.25">
      <c r="A253" s="78">
        <f t="shared" si="47"/>
        <v>12</v>
      </c>
      <c r="B253" s="79"/>
      <c r="C253" s="16" t="s">
        <v>55</v>
      </c>
      <c r="D253" s="16"/>
      <c r="E253" s="16"/>
      <c r="F253" s="17">
        <f t="shared" si="45"/>
        <v>0</v>
      </c>
      <c r="G253" s="17">
        <v>0</v>
      </c>
      <c r="H253" s="16">
        <f t="shared" si="46"/>
        <v>0</v>
      </c>
    </row>
    <row r="254" spans="1:8" hidden="1" x14ac:dyDescent="0.25">
      <c r="A254" s="86" t="s">
        <v>126</v>
      </c>
      <c r="B254" s="86"/>
      <c r="C254" s="86"/>
      <c r="D254" s="86"/>
      <c r="E254" s="86"/>
      <c r="F254" s="86"/>
      <c r="G254" s="86"/>
      <c r="H254" s="86"/>
    </row>
    <row r="255" spans="1:8" hidden="1" x14ac:dyDescent="0.25">
      <c r="A255" s="78">
        <v>1</v>
      </c>
      <c r="B255" s="79"/>
      <c r="C255" s="16" t="s">
        <v>55</v>
      </c>
      <c r="D255" s="16"/>
      <c r="E255" s="16"/>
      <c r="F255" s="17">
        <f>D255+E255</f>
        <v>0</v>
      </c>
      <c r="G255" s="17">
        <v>0</v>
      </c>
      <c r="H255" s="16">
        <f>F255*(($H$118)+1)+(IF(G255&lt;101,G255,IF(G255&lt;201,G255/2,IF(G255&lt;=301,G255/3,G255/4))))</f>
        <v>0</v>
      </c>
    </row>
    <row r="256" spans="1:8" hidden="1" x14ac:dyDescent="0.25">
      <c r="A256" s="78">
        <f>A255+1</f>
        <v>2</v>
      </c>
      <c r="B256" s="79"/>
      <c r="C256" s="16" t="s">
        <v>55</v>
      </c>
      <c r="D256" s="16"/>
      <c r="E256" s="16"/>
      <c r="F256" s="17">
        <f t="shared" ref="F256:F266" si="48">D256+E256</f>
        <v>0</v>
      </c>
      <c r="G256" s="17">
        <v>0</v>
      </c>
      <c r="H256" s="16">
        <f t="shared" ref="H256:H266" si="49">F256*(($H$118)+1)+(IF(G256&lt;101,G256,IF(G256&lt;201,G256/2,IF(G256&lt;=301,G256/3,G256/4))))</f>
        <v>0</v>
      </c>
    </row>
    <row r="257" spans="1:8" hidden="1" x14ac:dyDescent="0.25">
      <c r="A257" s="78">
        <f t="shared" ref="A257:A266" si="50">A256+1</f>
        <v>3</v>
      </c>
      <c r="B257" s="79"/>
      <c r="C257" s="16" t="s">
        <v>55</v>
      </c>
      <c r="D257" s="16"/>
      <c r="E257" s="16"/>
      <c r="F257" s="17">
        <f t="shared" si="48"/>
        <v>0</v>
      </c>
      <c r="G257" s="17">
        <v>0</v>
      </c>
      <c r="H257" s="16">
        <f t="shared" si="49"/>
        <v>0</v>
      </c>
    </row>
    <row r="258" spans="1:8" hidden="1" x14ac:dyDescent="0.25">
      <c r="A258" s="78">
        <f t="shared" si="50"/>
        <v>4</v>
      </c>
      <c r="B258" s="79"/>
      <c r="C258" s="16" t="s">
        <v>55</v>
      </c>
      <c r="D258" s="16"/>
      <c r="E258" s="16"/>
      <c r="F258" s="17">
        <f t="shared" si="48"/>
        <v>0</v>
      </c>
      <c r="G258" s="17">
        <v>0</v>
      </c>
      <c r="H258" s="16">
        <f t="shared" si="49"/>
        <v>0</v>
      </c>
    </row>
    <row r="259" spans="1:8" hidden="1" x14ac:dyDescent="0.25">
      <c r="A259" s="78">
        <f t="shared" si="50"/>
        <v>5</v>
      </c>
      <c r="B259" s="79"/>
      <c r="C259" s="16" t="s">
        <v>55</v>
      </c>
      <c r="D259" s="16"/>
      <c r="E259" s="16"/>
      <c r="F259" s="17">
        <f t="shared" si="48"/>
        <v>0</v>
      </c>
      <c r="G259" s="17">
        <v>0</v>
      </c>
      <c r="H259" s="16">
        <f t="shared" si="49"/>
        <v>0</v>
      </c>
    </row>
    <row r="260" spans="1:8" hidden="1" x14ac:dyDescent="0.25">
      <c r="A260" s="78">
        <f t="shared" si="50"/>
        <v>6</v>
      </c>
      <c r="B260" s="79"/>
      <c r="C260" s="16" t="s">
        <v>55</v>
      </c>
      <c r="D260" s="16"/>
      <c r="E260" s="16"/>
      <c r="F260" s="17">
        <f t="shared" si="48"/>
        <v>0</v>
      </c>
      <c r="G260" s="17">
        <v>0</v>
      </c>
      <c r="H260" s="16">
        <f t="shared" si="49"/>
        <v>0</v>
      </c>
    </row>
    <row r="261" spans="1:8" hidden="1" x14ac:dyDescent="0.25">
      <c r="A261" s="78">
        <f t="shared" si="50"/>
        <v>7</v>
      </c>
      <c r="B261" s="79"/>
      <c r="C261" s="16" t="s">
        <v>55</v>
      </c>
      <c r="D261" s="16"/>
      <c r="E261" s="16"/>
      <c r="F261" s="17">
        <f t="shared" si="48"/>
        <v>0</v>
      </c>
      <c r="G261" s="17">
        <v>0</v>
      </c>
      <c r="H261" s="16">
        <f t="shared" si="49"/>
        <v>0</v>
      </c>
    </row>
    <row r="262" spans="1:8" hidden="1" x14ac:dyDescent="0.25">
      <c r="A262" s="78">
        <f t="shared" si="50"/>
        <v>8</v>
      </c>
      <c r="B262" s="79"/>
      <c r="C262" s="16" t="s">
        <v>55</v>
      </c>
      <c r="D262" s="16"/>
      <c r="E262" s="16"/>
      <c r="F262" s="17">
        <f t="shared" si="48"/>
        <v>0</v>
      </c>
      <c r="G262" s="17">
        <v>0</v>
      </c>
      <c r="H262" s="16">
        <f t="shared" si="49"/>
        <v>0</v>
      </c>
    </row>
    <row r="263" spans="1:8" hidden="1" x14ac:dyDescent="0.25">
      <c r="A263" s="78">
        <f t="shared" si="50"/>
        <v>9</v>
      </c>
      <c r="B263" s="79"/>
      <c r="C263" s="16" t="s">
        <v>55</v>
      </c>
      <c r="D263" s="16"/>
      <c r="E263" s="16"/>
      <c r="F263" s="17">
        <f t="shared" si="48"/>
        <v>0</v>
      </c>
      <c r="G263" s="17">
        <v>0</v>
      </c>
      <c r="H263" s="16">
        <f t="shared" si="49"/>
        <v>0</v>
      </c>
    </row>
    <row r="264" spans="1:8" hidden="1" x14ac:dyDescent="0.25">
      <c r="A264" s="78">
        <f t="shared" si="50"/>
        <v>10</v>
      </c>
      <c r="B264" s="79"/>
      <c r="C264" s="16" t="s">
        <v>55</v>
      </c>
      <c r="D264" s="16"/>
      <c r="E264" s="16"/>
      <c r="F264" s="17">
        <f t="shared" si="48"/>
        <v>0</v>
      </c>
      <c r="G264" s="17">
        <v>0</v>
      </c>
      <c r="H264" s="16">
        <f t="shared" si="49"/>
        <v>0</v>
      </c>
    </row>
    <row r="265" spans="1:8" hidden="1" x14ac:dyDescent="0.25">
      <c r="A265" s="78">
        <f t="shared" si="50"/>
        <v>11</v>
      </c>
      <c r="B265" s="79"/>
      <c r="C265" s="16" t="s">
        <v>55</v>
      </c>
      <c r="D265" s="16"/>
      <c r="E265" s="16"/>
      <c r="F265" s="17">
        <f t="shared" si="48"/>
        <v>0</v>
      </c>
      <c r="G265" s="17">
        <v>0</v>
      </c>
      <c r="H265" s="16">
        <f t="shared" si="49"/>
        <v>0</v>
      </c>
    </row>
    <row r="266" spans="1:8" hidden="1" x14ac:dyDescent="0.25">
      <c r="A266" s="78">
        <f t="shared" si="50"/>
        <v>12</v>
      </c>
      <c r="B266" s="79"/>
      <c r="C266" s="16" t="s">
        <v>55</v>
      </c>
      <c r="D266" s="16"/>
      <c r="E266" s="16"/>
      <c r="F266" s="17">
        <f t="shared" si="48"/>
        <v>0</v>
      </c>
      <c r="G266" s="17">
        <v>0</v>
      </c>
      <c r="H266" s="16">
        <f t="shared" si="49"/>
        <v>0</v>
      </c>
    </row>
    <row r="267" spans="1:8" hidden="1" x14ac:dyDescent="0.25">
      <c r="A267" s="86" t="s">
        <v>126</v>
      </c>
      <c r="B267" s="86"/>
      <c r="C267" s="86"/>
      <c r="D267" s="86"/>
      <c r="E267" s="86"/>
      <c r="F267" s="86"/>
      <c r="G267" s="86"/>
      <c r="H267" s="86"/>
    </row>
    <row r="268" spans="1:8" hidden="1" x14ac:dyDescent="0.25">
      <c r="A268" s="78">
        <v>1</v>
      </c>
      <c r="B268" s="79"/>
      <c r="C268" s="16" t="s">
        <v>55</v>
      </c>
      <c r="D268" s="16"/>
      <c r="E268" s="16"/>
      <c r="F268" s="17">
        <f>D268+E268</f>
        <v>0</v>
      </c>
      <c r="G268" s="17">
        <v>0</v>
      </c>
      <c r="H268" s="16">
        <f>F268*(($H$118)+1)+(IF(G268&lt;101,G268,IF(G268&lt;201,G268/2,IF(G268&lt;=301,G268/3,G268/4))))</f>
        <v>0</v>
      </c>
    </row>
    <row r="269" spans="1:8" hidden="1" x14ac:dyDescent="0.25">
      <c r="A269" s="78">
        <f>A268+1</f>
        <v>2</v>
      </c>
      <c r="B269" s="79"/>
      <c r="C269" s="16" t="s">
        <v>55</v>
      </c>
      <c r="D269" s="16"/>
      <c r="E269" s="16"/>
      <c r="F269" s="17">
        <f t="shared" ref="F269:F279" si="51">D269+E269</f>
        <v>0</v>
      </c>
      <c r="G269" s="17">
        <v>0</v>
      </c>
      <c r="H269" s="16">
        <f t="shared" ref="H269:H279" si="52">F269*(($H$118)+1)+(IF(G269&lt;101,G269,IF(G269&lt;201,G269/2,IF(G269&lt;=301,G269/3,G269/4))))</f>
        <v>0</v>
      </c>
    </row>
    <row r="270" spans="1:8" hidden="1" x14ac:dyDescent="0.25">
      <c r="A270" s="78">
        <f t="shared" ref="A270:A279" si="53">A269+1</f>
        <v>3</v>
      </c>
      <c r="B270" s="79"/>
      <c r="C270" s="16" t="s">
        <v>55</v>
      </c>
      <c r="D270" s="16"/>
      <c r="E270" s="16"/>
      <c r="F270" s="17">
        <f t="shared" si="51"/>
        <v>0</v>
      </c>
      <c r="G270" s="17">
        <v>0</v>
      </c>
      <c r="H270" s="16">
        <f t="shared" si="52"/>
        <v>0</v>
      </c>
    </row>
    <row r="271" spans="1:8" hidden="1" x14ac:dyDescent="0.25">
      <c r="A271" s="78">
        <f t="shared" si="53"/>
        <v>4</v>
      </c>
      <c r="B271" s="79"/>
      <c r="C271" s="16" t="s">
        <v>55</v>
      </c>
      <c r="D271" s="16"/>
      <c r="E271" s="16"/>
      <c r="F271" s="17">
        <f t="shared" si="51"/>
        <v>0</v>
      </c>
      <c r="G271" s="17">
        <v>0</v>
      </c>
      <c r="H271" s="16">
        <f t="shared" si="52"/>
        <v>0</v>
      </c>
    </row>
    <row r="272" spans="1:8" hidden="1" x14ac:dyDescent="0.25">
      <c r="A272" s="78">
        <f t="shared" si="53"/>
        <v>5</v>
      </c>
      <c r="B272" s="79"/>
      <c r="C272" s="16" t="s">
        <v>55</v>
      </c>
      <c r="D272" s="16"/>
      <c r="E272" s="16"/>
      <c r="F272" s="17">
        <f t="shared" si="51"/>
        <v>0</v>
      </c>
      <c r="G272" s="17">
        <v>0</v>
      </c>
      <c r="H272" s="16">
        <f t="shared" si="52"/>
        <v>0</v>
      </c>
    </row>
    <row r="273" spans="1:12" hidden="1" x14ac:dyDescent="0.25">
      <c r="A273" s="78">
        <f t="shared" si="53"/>
        <v>6</v>
      </c>
      <c r="B273" s="79"/>
      <c r="C273" s="16" t="s">
        <v>55</v>
      </c>
      <c r="D273" s="16"/>
      <c r="E273" s="16"/>
      <c r="F273" s="17">
        <f t="shared" si="51"/>
        <v>0</v>
      </c>
      <c r="G273" s="17">
        <v>0</v>
      </c>
      <c r="H273" s="16">
        <f t="shared" si="52"/>
        <v>0</v>
      </c>
    </row>
    <row r="274" spans="1:12" hidden="1" x14ac:dyDescent="0.25">
      <c r="A274" s="78">
        <f t="shared" si="53"/>
        <v>7</v>
      </c>
      <c r="B274" s="79"/>
      <c r="C274" s="16" t="s">
        <v>55</v>
      </c>
      <c r="D274" s="16"/>
      <c r="E274" s="16"/>
      <c r="F274" s="17">
        <f t="shared" si="51"/>
        <v>0</v>
      </c>
      <c r="G274" s="17">
        <v>0</v>
      </c>
      <c r="H274" s="16">
        <f t="shared" si="52"/>
        <v>0</v>
      </c>
    </row>
    <row r="275" spans="1:12" hidden="1" x14ac:dyDescent="0.25">
      <c r="A275" s="78">
        <f t="shared" si="53"/>
        <v>8</v>
      </c>
      <c r="B275" s="79"/>
      <c r="C275" s="16" t="s">
        <v>55</v>
      </c>
      <c r="D275" s="16"/>
      <c r="E275" s="16"/>
      <c r="F275" s="17">
        <f t="shared" si="51"/>
        <v>0</v>
      </c>
      <c r="G275" s="17">
        <v>0</v>
      </c>
      <c r="H275" s="16">
        <f t="shared" si="52"/>
        <v>0</v>
      </c>
    </row>
    <row r="276" spans="1:12" hidden="1" x14ac:dyDescent="0.25">
      <c r="A276" s="78">
        <f t="shared" si="53"/>
        <v>9</v>
      </c>
      <c r="B276" s="79"/>
      <c r="C276" s="16" t="s">
        <v>55</v>
      </c>
      <c r="D276" s="16"/>
      <c r="E276" s="16"/>
      <c r="F276" s="17">
        <f t="shared" si="51"/>
        <v>0</v>
      </c>
      <c r="G276" s="17">
        <v>0</v>
      </c>
      <c r="H276" s="16">
        <f t="shared" si="52"/>
        <v>0</v>
      </c>
    </row>
    <row r="277" spans="1:12" hidden="1" x14ac:dyDescent="0.25">
      <c r="A277" s="78">
        <f t="shared" si="53"/>
        <v>10</v>
      </c>
      <c r="B277" s="79"/>
      <c r="C277" s="16" t="s">
        <v>55</v>
      </c>
      <c r="D277" s="16"/>
      <c r="E277" s="16"/>
      <c r="F277" s="17">
        <f t="shared" si="51"/>
        <v>0</v>
      </c>
      <c r="G277" s="17">
        <v>0</v>
      </c>
      <c r="H277" s="16">
        <f t="shared" si="52"/>
        <v>0</v>
      </c>
    </row>
    <row r="278" spans="1:12" ht="12.75" hidden="1" customHeight="1" x14ac:dyDescent="0.25">
      <c r="A278" s="78">
        <f t="shared" si="53"/>
        <v>11</v>
      </c>
      <c r="B278" s="79"/>
      <c r="C278" s="16" t="s">
        <v>55</v>
      </c>
      <c r="D278" s="16"/>
      <c r="E278" s="16"/>
      <c r="F278" s="17">
        <f t="shared" si="51"/>
        <v>0</v>
      </c>
      <c r="G278" s="17">
        <v>0</v>
      </c>
      <c r="H278" s="16">
        <f t="shared" si="52"/>
        <v>0</v>
      </c>
    </row>
    <row r="279" spans="1:12" ht="14.25" hidden="1" customHeight="1" x14ac:dyDescent="0.25">
      <c r="A279" s="78">
        <f t="shared" si="53"/>
        <v>12</v>
      </c>
      <c r="B279" s="79"/>
      <c r="C279" s="16" t="s">
        <v>55</v>
      </c>
      <c r="D279" s="16"/>
      <c r="E279" s="16"/>
      <c r="F279" s="17">
        <f t="shared" si="51"/>
        <v>0</v>
      </c>
      <c r="G279" s="17">
        <v>0</v>
      </c>
      <c r="H279" s="16">
        <f t="shared" si="52"/>
        <v>0</v>
      </c>
    </row>
    <row r="280" spans="1:12" ht="14.25" customHeight="1" x14ac:dyDescent="0.25">
      <c r="A280" s="112" t="s">
        <v>114</v>
      </c>
      <c r="B280" s="112"/>
      <c r="C280" s="112"/>
      <c r="D280" s="112"/>
      <c r="E280" s="112"/>
      <c r="F280" s="112"/>
      <c r="G280" s="112"/>
      <c r="H280" s="112"/>
    </row>
    <row r="281" spans="1:12" x14ac:dyDescent="0.25">
      <c r="A281" s="137" t="s">
        <v>115</v>
      </c>
      <c r="B281" s="138"/>
      <c r="C281" s="138"/>
      <c r="D281" s="138"/>
      <c r="E281" s="139"/>
      <c r="F281" s="140">
        <v>12000</v>
      </c>
      <c r="G281" s="141"/>
      <c r="H281" s="142"/>
      <c r="I281" s="6" t="s">
        <v>304</v>
      </c>
      <c r="J281" s="6" t="s">
        <v>307</v>
      </c>
      <c r="K281" s="6" t="s">
        <v>305</v>
      </c>
      <c r="L281" s="6" t="s">
        <v>306</v>
      </c>
    </row>
    <row r="282" spans="1:12" x14ac:dyDescent="0.25">
      <c r="A282" s="137" t="s">
        <v>116</v>
      </c>
      <c r="B282" s="138"/>
      <c r="C282" s="138"/>
      <c r="D282" s="138"/>
      <c r="E282" s="139"/>
      <c r="F282" s="140" t="s">
        <v>303</v>
      </c>
      <c r="G282" s="141"/>
      <c r="H282" s="142"/>
    </row>
    <row r="283" spans="1:12" x14ac:dyDescent="0.25">
      <c r="A283" s="112" t="s">
        <v>47</v>
      </c>
      <c r="B283" s="112"/>
      <c r="C283" s="112"/>
      <c r="D283" s="112"/>
      <c r="E283" s="112"/>
      <c r="F283" s="112"/>
      <c r="G283" s="112"/>
      <c r="H283" s="112"/>
    </row>
    <row r="284" spans="1:12" x14ac:dyDescent="0.25">
      <c r="A284" s="18">
        <v>1</v>
      </c>
      <c r="B284" s="128" t="s">
        <v>292</v>
      </c>
      <c r="C284" s="129"/>
      <c r="D284" s="129"/>
      <c r="E284" s="129"/>
      <c r="F284" s="129"/>
      <c r="G284" s="129"/>
      <c r="H284" s="130"/>
    </row>
    <row r="285" spans="1:12" x14ac:dyDescent="0.25">
      <c r="A285" s="18">
        <f t="shared" ref="A285:A294" si="54">A284+1</f>
        <v>2</v>
      </c>
      <c r="B285" s="128" t="s">
        <v>223</v>
      </c>
      <c r="C285" s="129"/>
      <c r="D285" s="129"/>
      <c r="E285" s="129"/>
      <c r="F285" s="129"/>
      <c r="G285" s="129"/>
      <c r="H285" s="130"/>
    </row>
    <row r="286" spans="1:12" x14ac:dyDescent="0.25">
      <c r="A286" s="18">
        <f t="shared" si="54"/>
        <v>3</v>
      </c>
      <c r="B286" s="128" t="s">
        <v>224</v>
      </c>
      <c r="C286" s="129"/>
      <c r="D286" s="129"/>
      <c r="E286" s="129"/>
      <c r="F286" s="129"/>
      <c r="G286" s="129"/>
      <c r="H286" s="130"/>
    </row>
    <row r="287" spans="1:12" ht="12.75" customHeight="1" x14ac:dyDescent="0.25">
      <c r="A287" s="18">
        <f t="shared" si="54"/>
        <v>4</v>
      </c>
      <c r="B287" s="128" t="s">
        <v>225</v>
      </c>
      <c r="C287" s="129"/>
      <c r="D287" s="129"/>
      <c r="E287" s="129"/>
      <c r="F287" s="129"/>
      <c r="G287" s="129"/>
      <c r="H287" s="130"/>
    </row>
    <row r="288" spans="1:12" x14ac:dyDescent="0.25">
      <c r="A288" s="18">
        <f t="shared" si="54"/>
        <v>5</v>
      </c>
      <c r="B288" s="128" t="s">
        <v>282</v>
      </c>
      <c r="C288" s="129"/>
      <c r="D288" s="129"/>
      <c r="E288" s="129"/>
      <c r="F288" s="129"/>
      <c r="G288" s="129"/>
      <c r="H288" s="130"/>
    </row>
    <row r="289" spans="1:8" x14ac:dyDescent="0.25">
      <c r="A289" s="18">
        <f t="shared" si="54"/>
        <v>6</v>
      </c>
      <c r="B289" s="128" t="s">
        <v>229</v>
      </c>
      <c r="C289" s="129"/>
      <c r="D289" s="129"/>
      <c r="E289" s="129"/>
      <c r="F289" s="77">
        <f>H118</f>
        <v>0.5</v>
      </c>
      <c r="G289" s="62"/>
      <c r="H289" s="63"/>
    </row>
    <row r="290" spans="1:8" x14ac:dyDescent="0.25">
      <c r="A290" s="18">
        <f t="shared" si="54"/>
        <v>7</v>
      </c>
      <c r="B290" s="128" t="s">
        <v>226</v>
      </c>
      <c r="C290" s="129"/>
      <c r="D290" s="129"/>
      <c r="E290" s="129"/>
      <c r="F290" s="129"/>
      <c r="G290" s="129"/>
      <c r="H290" s="130"/>
    </row>
    <row r="291" spans="1:8" ht="29.25" customHeight="1" x14ac:dyDescent="0.25">
      <c r="A291" s="18">
        <f t="shared" si="54"/>
        <v>8</v>
      </c>
      <c r="B291" s="128" t="s">
        <v>227</v>
      </c>
      <c r="C291" s="129"/>
      <c r="D291" s="129"/>
      <c r="E291" s="129"/>
      <c r="F291" s="129"/>
      <c r="G291" s="129"/>
      <c r="H291" s="130"/>
    </row>
    <row r="292" spans="1:8" x14ac:dyDescent="0.25">
      <c r="A292" s="18">
        <f t="shared" si="54"/>
        <v>9</v>
      </c>
      <c r="B292" s="128" t="s">
        <v>228</v>
      </c>
      <c r="C292" s="129"/>
      <c r="D292" s="129"/>
      <c r="E292" s="129"/>
      <c r="F292" s="129"/>
      <c r="G292" s="129"/>
      <c r="H292" s="130"/>
    </row>
    <row r="293" spans="1:8" x14ac:dyDescent="0.25">
      <c r="A293" s="18">
        <f t="shared" si="54"/>
        <v>10</v>
      </c>
      <c r="B293" s="128" t="s">
        <v>293</v>
      </c>
      <c r="C293" s="129"/>
      <c r="D293" s="129"/>
      <c r="E293" s="129"/>
      <c r="F293" s="129"/>
      <c r="G293" s="129"/>
      <c r="H293" s="130"/>
    </row>
    <row r="294" spans="1:8" ht="30.6" customHeight="1" x14ac:dyDescent="0.25">
      <c r="A294" s="18">
        <f t="shared" si="54"/>
        <v>11</v>
      </c>
      <c r="B294" s="128" t="s">
        <v>308</v>
      </c>
      <c r="C294" s="129"/>
      <c r="D294" s="129"/>
      <c r="E294" s="129"/>
      <c r="F294" s="129"/>
      <c r="G294" s="129"/>
      <c r="H294" s="130"/>
    </row>
    <row r="295" spans="1:8" x14ac:dyDescent="0.25">
      <c r="A295" s="121" t="s">
        <v>119</v>
      </c>
      <c r="B295" s="123"/>
      <c r="C295" s="121" t="str">
        <f>C7</f>
        <v>Neovalley Kaveri Wing A</v>
      </c>
      <c r="D295" s="122"/>
      <c r="E295" s="122"/>
      <c r="F295" s="122"/>
      <c r="G295" s="122"/>
      <c r="H295" s="123"/>
    </row>
    <row r="296" spans="1:8" x14ac:dyDescent="0.25">
      <c r="A296" s="143"/>
      <c r="B296" s="144"/>
      <c r="C296" s="144"/>
      <c r="D296" s="144"/>
      <c r="E296" s="144"/>
      <c r="F296" s="144"/>
      <c r="G296" s="144"/>
      <c r="H296" s="145"/>
    </row>
    <row r="297" spans="1:8" x14ac:dyDescent="0.25">
      <c r="A297" s="131"/>
      <c r="B297" s="132"/>
      <c r="C297" s="132"/>
      <c r="D297" s="132"/>
      <c r="E297" s="132"/>
      <c r="F297" s="132"/>
      <c r="G297" s="132"/>
      <c r="H297" s="133"/>
    </row>
    <row r="298" spans="1:8" x14ac:dyDescent="0.25">
      <c r="A298" s="131"/>
      <c r="B298" s="132"/>
      <c r="C298" s="132"/>
      <c r="D298" s="132"/>
      <c r="E298" s="132"/>
      <c r="F298" s="132"/>
      <c r="G298" s="132"/>
      <c r="H298" s="133"/>
    </row>
    <row r="299" spans="1:8" x14ac:dyDescent="0.25">
      <c r="A299" s="131"/>
      <c r="B299" s="132"/>
      <c r="C299" s="132"/>
      <c r="D299" s="132"/>
      <c r="E299" s="132"/>
      <c r="F299" s="132"/>
      <c r="G299" s="132"/>
      <c r="H299" s="133"/>
    </row>
    <row r="300" spans="1:8" x14ac:dyDescent="0.25">
      <c r="A300" s="131"/>
      <c r="B300" s="132"/>
      <c r="C300" s="132"/>
      <c r="D300" s="132"/>
      <c r="E300" s="132"/>
      <c r="F300" s="132"/>
      <c r="G300" s="132"/>
      <c r="H300" s="133"/>
    </row>
    <row r="301" spans="1:8" x14ac:dyDescent="0.25">
      <c r="A301" s="131"/>
      <c r="B301" s="132"/>
      <c r="C301" s="132"/>
      <c r="D301" s="132"/>
      <c r="E301" s="132"/>
      <c r="F301" s="132"/>
      <c r="G301" s="132"/>
      <c r="H301" s="133"/>
    </row>
    <row r="302" spans="1:8" x14ac:dyDescent="0.25">
      <c r="A302" s="131"/>
      <c r="B302" s="132"/>
      <c r="C302" s="132"/>
      <c r="D302" s="132"/>
      <c r="E302" s="132"/>
      <c r="F302" s="132"/>
      <c r="G302" s="132"/>
      <c r="H302" s="133"/>
    </row>
    <row r="303" spans="1:8" x14ac:dyDescent="0.25">
      <c r="A303" s="131"/>
      <c r="B303" s="132"/>
      <c r="C303" s="132"/>
      <c r="D303" s="132"/>
      <c r="E303" s="132"/>
      <c r="F303" s="132"/>
      <c r="G303" s="132"/>
      <c r="H303" s="133"/>
    </row>
    <row r="304" spans="1:8" x14ac:dyDescent="0.25">
      <c r="A304" s="131"/>
      <c r="B304" s="132"/>
      <c r="C304" s="132"/>
      <c r="D304" s="132"/>
      <c r="E304" s="132"/>
      <c r="F304" s="132"/>
      <c r="G304" s="132"/>
      <c r="H304" s="133"/>
    </row>
    <row r="305" spans="1:8" x14ac:dyDescent="0.25">
      <c r="A305" s="131"/>
      <c r="B305" s="132"/>
      <c r="C305" s="132"/>
      <c r="D305" s="132"/>
      <c r="E305" s="132"/>
      <c r="F305" s="132"/>
      <c r="G305" s="132"/>
      <c r="H305" s="133"/>
    </row>
    <row r="306" spans="1:8" x14ac:dyDescent="0.25">
      <c r="A306" s="131"/>
      <c r="B306" s="132"/>
      <c r="C306" s="132"/>
      <c r="D306" s="132"/>
      <c r="E306" s="132"/>
      <c r="F306" s="132"/>
      <c r="G306" s="132"/>
      <c r="H306" s="133"/>
    </row>
    <row r="307" spans="1:8" x14ac:dyDescent="0.25">
      <c r="A307" s="131"/>
      <c r="B307" s="132"/>
      <c r="C307" s="132"/>
      <c r="D307" s="132"/>
      <c r="E307" s="132"/>
      <c r="F307" s="132"/>
      <c r="G307" s="132"/>
      <c r="H307" s="133"/>
    </row>
    <row r="308" spans="1:8" x14ac:dyDescent="0.25">
      <c r="A308" s="131"/>
      <c r="B308" s="132"/>
      <c r="C308" s="132"/>
      <c r="D308" s="132"/>
      <c r="E308" s="132"/>
      <c r="F308" s="132"/>
      <c r="G308" s="132"/>
      <c r="H308" s="133"/>
    </row>
    <row r="309" spans="1:8" x14ac:dyDescent="0.25">
      <c r="A309" s="131"/>
      <c r="B309" s="132"/>
      <c r="C309" s="132"/>
      <c r="D309" s="132"/>
      <c r="E309" s="132"/>
      <c r="F309" s="132"/>
      <c r="G309" s="132"/>
      <c r="H309" s="133"/>
    </row>
    <row r="310" spans="1:8" x14ac:dyDescent="0.25">
      <c r="A310" s="131"/>
      <c r="B310" s="132"/>
      <c r="C310" s="132"/>
      <c r="D310" s="132"/>
      <c r="E310" s="132"/>
      <c r="F310" s="132"/>
      <c r="G310" s="132"/>
      <c r="H310" s="133"/>
    </row>
    <row r="311" spans="1:8" x14ac:dyDescent="0.25">
      <c r="A311" s="131"/>
      <c r="B311" s="132"/>
      <c r="C311" s="132"/>
      <c r="D311" s="132"/>
      <c r="E311" s="132"/>
      <c r="F311" s="132"/>
      <c r="G311" s="132"/>
      <c r="H311" s="133"/>
    </row>
    <row r="312" spans="1:8" x14ac:dyDescent="0.25">
      <c r="A312" s="131"/>
      <c r="B312" s="132"/>
      <c r="C312" s="132"/>
      <c r="D312" s="132"/>
      <c r="E312" s="132"/>
      <c r="F312" s="132"/>
      <c r="G312" s="132"/>
      <c r="H312" s="133"/>
    </row>
    <row r="313" spans="1:8" x14ac:dyDescent="0.25">
      <c r="A313" s="131"/>
      <c r="B313" s="132"/>
      <c r="C313" s="132"/>
      <c r="D313" s="132"/>
      <c r="E313" s="132"/>
      <c r="F313" s="132"/>
      <c r="G313" s="132"/>
      <c r="H313" s="133"/>
    </row>
    <row r="314" spans="1:8" x14ac:dyDescent="0.25">
      <c r="A314" s="131"/>
      <c r="B314" s="132"/>
      <c r="C314" s="132"/>
      <c r="D314" s="132"/>
      <c r="E314" s="132"/>
      <c r="F314" s="132"/>
      <c r="G314" s="132"/>
      <c r="H314" s="133"/>
    </row>
    <row r="315" spans="1:8" x14ac:dyDescent="0.25">
      <c r="A315" s="131"/>
      <c r="B315" s="132"/>
      <c r="C315" s="132"/>
      <c r="D315" s="132"/>
      <c r="E315" s="132"/>
      <c r="F315" s="132"/>
      <c r="G315" s="132"/>
      <c r="H315" s="133"/>
    </row>
    <row r="316" spans="1:8" x14ac:dyDescent="0.25">
      <c r="A316" s="131"/>
      <c r="B316" s="132"/>
      <c r="C316" s="132"/>
      <c r="D316" s="132"/>
      <c r="E316" s="132"/>
      <c r="F316" s="132"/>
      <c r="G316" s="132"/>
      <c r="H316" s="133"/>
    </row>
    <row r="317" spans="1:8" x14ac:dyDescent="0.25">
      <c r="A317" s="131"/>
      <c r="B317" s="132"/>
      <c r="C317" s="132"/>
      <c r="D317" s="132"/>
      <c r="E317" s="132"/>
      <c r="F317" s="132"/>
      <c r="G317" s="132"/>
      <c r="H317" s="133"/>
    </row>
    <row r="318" spans="1:8" x14ac:dyDescent="0.25">
      <c r="A318" s="131"/>
      <c r="B318" s="132"/>
      <c r="C318" s="132"/>
      <c r="D318" s="132"/>
      <c r="E318" s="132"/>
      <c r="F318" s="132"/>
      <c r="G318" s="132"/>
      <c r="H318" s="133"/>
    </row>
    <row r="319" spans="1:8" x14ac:dyDescent="0.25">
      <c r="A319" s="131"/>
      <c r="B319" s="132"/>
      <c r="C319" s="132"/>
      <c r="D319" s="132"/>
      <c r="E319" s="132"/>
      <c r="F319" s="132"/>
      <c r="G319" s="132"/>
      <c r="H319" s="133"/>
    </row>
    <row r="320" spans="1:8" x14ac:dyDescent="0.25">
      <c r="A320" s="131"/>
      <c r="B320" s="132"/>
      <c r="C320" s="132"/>
      <c r="D320" s="132"/>
      <c r="E320" s="132"/>
      <c r="F320" s="132"/>
      <c r="G320" s="132"/>
      <c r="H320" s="133"/>
    </row>
    <row r="321" spans="1:8" x14ac:dyDescent="0.25">
      <c r="A321" s="131"/>
      <c r="B321" s="132"/>
      <c r="C321" s="132"/>
      <c r="D321" s="132"/>
      <c r="E321" s="132"/>
      <c r="F321" s="132"/>
      <c r="G321" s="132"/>
      <c r="H321" s="133"/>
    </row>
    <row r="322" spans="1:8" x14ac:dyDescent="0.25">
      <c r="A322" s="131"/>
      <c r="B322" s="132"/>
      <c r="C322" s="132"/>
      <c r="D322" s="132"/>
      <c r="E322" s="132"/>
      <c r="F322" s="132"/>
      <c r="G322" s="132"/>
      <c r="H322" s="133"/>
    </row>
    <row r="323" spans="1:8" x14ac:dyDescent="0.25">
      <c r="A323" s="131"/>
      <c r="B323" s="132"/>
      <c r="C323" s="132"/>
      <c r="D323" s="132"/>
      <c r="E323" s="132"/>
      <c r="F323" s="132"/>
      <c r="G323" s="132"/>
      <c r="H323" s="133"/>
    </row>
    <row r="324" spans="1:8" x14ac:dyDescent="0.25">
      <c r="A324" s="131"/>
      <c r="B324" s="132"/>
      <c r="C324" s="132"/>
      <c r="D324" s="132"/>
      <c r="E324" s="132"/>
      <c r="F324" s="132"/>
      <c r="G324" s="132"/>
      <c r="H324" s="133"/>
    </row>
    <row r="325" spans="1:8" x14ac:dyDescent="0.25">
      <c r="A325" s="131"/>
      <c r="B325" s="132"/>
      <c r="C325" s="132"/>
      <c r="D325" s="132"/>
      <c r="E325" s="132"/>
      <c r="F325" s="132"/>
      <c r="G325" s="132"/>
      <c r="H325" s="133"/>
    </row>
    <row r="326" spans="1:8" x14ac:dyDescent="0.25">
      <c r="A326" s="131"/>
      <c r="B326" s="132"/>
      <c r="C326" s="132"/>
      <c r="D326" s="132"/>
      <c r="E326" s="132"/>
      <c r="F326" s="132"/>
      <c r="G326" s="132"/>
      <c r="H326" s="133"/>
    </row>
    <row r="327" spans="1:8" x14ac:dyDescent="0.25">
      <c r="A327" s="131"/>
      <c r="B327" s="132"/>
      <c r="C327" s="132"/>
      <c r="D327" s="132"/>
      <c r="E327" s="132"/>
      <c r="F327" s="132"/>
      <c r="G327" s="132"/>
      <c r="H327" s="133"/>
    </row>
    <row r="328" spans="1:8" x14ac:dyDescent="0.25">
      <c r="A328" s="131"/>
      <c r="B328" s="132"/>
      <c r="C328" s="132"/>
      <c r="D328" s="132"/>
      <c r="E328" s="132"/>
      <c r="F328" s="132"/>
      <c r="G328" s="132"/>
      <c r="H328" s="133"/>
    </row>
    <row r="329" spans="1:8" x14ac:dyDescent="0.25">
      <c r="A329" s="131"/>
      <c r="B329" s="132"/>
      <c r="C329" s="132"/>
      <c r="D329" s="132"/>
      <c r="E329" s="132"/>
      <c r="F329" s="132"/>
      <c r="G329" s="132"/>
      <c r="H329" s="133"/>
    </row>
    <row r="330" spans="1:8" x14ac:dyDescent="0.25">
      <c r="A330" s="131"/>
      <c r="B330" s="132"/>
      <c r="C330" s="132"/>
      <c r="D330" s="132"/>
      <c r="E330" s="132"/>
      <c r="F330" s="132"/>
      <c r="G330" s="132"/>
      <c r="H330" s="133"/>
    </row>
    <row r="331" spans="1:8" x14ac:dyDescent="0.25">
      <c r="A331" s="131"/>
      <c r="B331" s="132"/>
      <c r="C331" s="132"/>
      <c r="D331" s="132"/>
      <c r="E331" s="132"/>
      <c r="F331" s="132"/>
      <c r="G331" s="132"/>
      <c r="H331" s="133"/>
    </row>
    <row r="332" spans="1:8" x14ac:dyDescent="0.25">
      <c r="A332" s="131"/>
      <c r="B332" s="132"/>
      <c r="C332" s="132"/>
      <c r="D332" s="132"/>
      <c r="E332" s="132"/>
      <c r="F332" s="132"/>
      <c r="G332" s="132"/>
      <c r="H332" s="133"/>
    </row>
    <row r="333" spans="1:8" x14ac:dyDescent="0.25">
      <c r="A333" s="131"/>
      <c r="B333" s="132"/>
      <c r="C333" s="132"/>
      <c r="D333" s="132"/>
      <c r="E333" s="132"/>
      <c r="F333" s="132"/>
      <c r="G333" s="132"/>
      <c r="H333" s="133"/>
    </row>
    <row r="334" spans="1:8" x14ac:dyDescent="0.25">
      <c r="A334" s="131"/>
      <c r="B334" s="132"/>
      <c r="C334" s="132"/>
      <c r="D334" s="132"/>
      <c r="E334" s="132"/>
      <c r="F334" s="132"/>
      <c r="G334" s="132"/>
      <c r="H334" s="133"/>
    </row>
    <row r="335" spans="1:8" x14ac:dyDescent="0.25">
      <c r="A335" s="131"/>
      <c r="B335" s="132"/>
      <c r="C335" s="132"/>
      <c r="D335" s="132"/>
      <c r="E335" s="132"/>
      <c r="F335" s="132"/>
      <c r="G335" s="132"/>
      <c r="H335" s="133"/>
    </row>
    <row r="336" spans="1:8" x14ac:dyDescent="0.25">
      <c r="A336" s="131"/>
      <c r="B336" s="132"/>
      <c r="C336" s="132"/>
      <c r="D336" s="132"/>
      <c r="E336" s="132"/>
      <c r="F336" s="132"/>
      <c r="G336" s="132"/>
      <c r="H336" s="133"/>
    </row>
    <row r="337" spans="1:8" x14ac:dyDescent="0.25">
      <c r="A337" s="131"/>
      <c r="B337" s="132"/>
      <c r="C337" s="132"/>
      <c r="D337" s="132"/>
      <c r="E337" s="132"/>
      <c r="F337" s="132"/>
      <c r="G337" s="132"/>
      <c r="H337" s="133"/>
    </row>
    <row r="338" spans="1:8" x14ac:dyDescent="0.25">
      <c r="A338" s="131"/>
      <c r="B338" s="132"/>
      <c r="C338" s="132"/>
      <c r="D338" s="132"/>
      <c r="E338" s="132"/>
      <c r="F338" s="132"/>
      <c r="G338" s="132"/>
      <c r="H338" s="133"/>
    </row>
    <row r="339" spans="1:8" x14ac:dyDescent="0.25">
      <c r="A339" s="131"/>
      <c r="B339" s="132"/>
      <c r="C339" s="132"/>
      <c r="D339" s="132"/>
      <c r="E339" s="132"/>
      <c r="F339" s="132"/>
      <c r="G339" s="132"/>
      <c r="H339" s="133"/>
    </row>
    <row r="340" spans="1:8" x14ac:dyDescent="0.25">
      <c r="A340" s="131"/>
      <c r="B340" s="132"/>
      <c r="C340" s="132"/>
      <c r="D340" s="132"/>
      <c r="E340" s="132"/>
      <c r="F340" s="132"/>
      <c r="G340" s="132"/>
      <c r="H340" s="133"/>
    </row>
    <row r="341" spans="1:8" x14ac:dyDescent="0.25">
      <c r="A341" s="131"/>
      <c r="B341" s="132"/>
      <c r="C341" s="132"/>
      <c r="D341" s="132"/>
      <c r="E341" s="132"/>
      <c r="F341" s="132"/>
      <c r="G341" s="132"/>
      <c r="H341" s="133"/>
    </row>
    <row r="342" spans="1:8" x14ac:dyDescent="0.25">
      <c r="A342" s="131"/>
      <c r="B342" s="132"/>
      <c r="C342" s="132"/>
      <c r="D342" s="132"/>
      <c r="E342" s="132"/>
      <c r="F342" s="132"/>
      <c r="G342" s="132"/>
      <c r="H342" s="133"/>
    </row>
    <row r="343" spans="1:8" x14ac:dyDescent="0.25">
      <c r="A343" s="131"/>
      <c r="B343" s="132"/>
      <c r="C343" s="132"/>
      <c r="D343" s="132"/>
      <c r="E343" s="132"/>
      <c r="F343" s="132"/>
      <c r="G343" s="132"/>
      <c r="H343" s="133"/>
    </row>
    <row r="344" spans="1:8" x14ac:dyDescent="0.25">
      <c r="A344" s="131"/>
      <c r="B344" s="132"/>
      <c r="C344" s="132"/>
      <c r="D344" s="132"/>
      <c r="E344" s="132"/>
      <c r="F344" s="132"/>
      <c r="G344" s="132"/>
      <c r="H344" s="133"/>
    </row>
    <row r="345" spans="1:8" x14ac:dyDescent="0.25">
      <c r="A345" s="131"/>
      <c r="B345" s="132"/>
      <c r="C345" s="132"/>
      <c r="D345" s="132"/>
      <c r="E345" s="132"/>
      <c r="F345" s="132"/>
      <c r="G345" s="132"/>
      <c r="H345" s="133"/>
    </row>
    <row r="346" spans="1:8" ht="12.75" customHeight="1" x14ac:dyDescent="0.25">
      <c r="A346" s="121" t="s">
        <v>145</v>
      </c>
      <c r="B346" s="123"/>
      <c r="C346" s="121"/>
      <c r="D346" s="122"/>
      <c r="E346" s="122"/>
      <c r="F346" s="122"/>
      <c r="G346" s="122"/>
      <c r="H346" s="123"/>
    </row>
    <row r="347" spans="1:8" x14ac:dyDescent="0.25">
      <c r="A347" s="131"/>
      <c r="B347" s="132"/>
      <c r="C347" s="132"/>
      <c r="D347" s="132"/>
      <c r="E347" s="132"/>
      <c r="F347" s="132"/>
      <c r="G347" s="132"/>
      <c r="H347" s="133"/>
    </row>
    <row r="348" spans="1:8" x14ac:dyDescent="0.25">
      <c r="A348" s="131"/>
      <c r="B348" s="132"/>
      <c r="C348" s="132"/>
      <c r="D348" s="132"/>
      <c r="E348" s="132"/>
      <c r="F348" s="132"/>
      <c r="G348" s="132"/>
      <c r="H348" s="133"/>
    </row>
    <row r="349" spans="1:8" x14ac:dyDescent="0.25">
      <c r="A349" s="131"/>
      <c r="B349" s="132"/>
      <c r="C349" s="132"/>
      <c r="D349" s="132"/>
      <c r="E349" s="132"/>
      <c r="F349" s="132"/>
      <c r="G349" s="132"/>
      <c r="H349" s="133"/>
    </row>
    <row r="350" spans="1:8" x14ac:dyDescent="0.25">
      <c r="A350" s="131"/>
      <c r="B350" s="132"/>
      <c r="C350" s="132"/>
      <c r="D350" s="132"/>
      <c r="E350" s="132"/>
      <c r="F350" s="132"/>
      <c r="G350" s="132"/>
      <c r="H350" s="133"/>
    </row>
    <row r="351" spans="1:8" x14ac:dyDescent="0.25">
      <c r="A351" s="131"/>
      <c r="B351" s="132"/>
      <c r="C351" s="132"/>
      <c r="D351" s="132"/>
      <c r="E351" s="132"/>
      <c r="F351" s="132"/>
      <c r="G351" s="132"/>
      <c r="H351" s="133"/>
    </row>
    <row r="352" spans="1:8" x14ac:dyDescent="0.25">
      <c r="A352" s="131"/>
      <c r="B352" s="132"/>
      <c r="C352" s="132"/>
      <c r="D352" s="132"/>
      <c r="E352" s="132"/>
      <c r="F352" s="132"/>
      <c r="G352" s="132"/>
      <c r="H352" s="133"/>
    </row>
    <row r="353" spans="1:8" x14ac:dyDescent="0.25">
      <c r="A353" s="131"/>
      <c r="B353" s="132"/>
      <c r="C353" s="132"/>
      <c r="D353" s="132"/>
      <c r="E353" s="132"/>
      <c r="F353" s="132"/>
      <c r="G353" s="132"/>
      <c r="H353" s="133"/>
    </row>
    <row r="354" spans="1:8" x14ac:dyDescent="0.25">
      <c r="A354" s="131"/>
      <c r="B354" s="132"/>
      <c r="C354" s="132"/>
      <c r="D354" s="132"/>
      <c r="E354" s="132"/>
      <c r="F354" s="132"/>
      <c r="G354" s="132"/>
      <c r="H354" s="133"/>
    </row>
    <row r="355" spans="1:8" x14ac:dyDescent="0.25">
      <c r="A355" s="131"/>
      <c r="B355" s="132"/>
      <c r="C355" s="132"/>
      <c r="D355" s="132"/>
      <c r="E355" s="132"/>
      <c r="F355" s="132"/>
      <c r="G355" s="132"/>
      <c r="H355" s="133"/>
    </row>
    <row r="356" spans="1:8" x14ac:dyDescent="0.25">
      <c r="A356" s="131"/>
      <c r="B356" s="132"/>
      <c r="C356" s="132"/>
      <c r="D356" s="132"/>
      <c r="E356" s="132"/>
      <c r="F356" s="132"/>
      <c r="G356" s="132"/>
      <c r="H356" s="133"/>
    </row>
    <row r="357" spans="1:8" x14ac:dyDescent="0.25">
      <c r="A357" s="131"/>
      <c r="B357" s="132"/>
      <c r="C357" s="132"/>
      <c r="D357" s="132"/>
      <c r="E357" s="132"/>
      <c r="F357" s="132"/>
      <c r="G357" s="132"/>
      <c r="H357" s="133"/>
    </row>
    <row r="358" spans="1:8" x14ac:dyDescent="0.25">
      <c r="A358" s="131"/>
      <c r="B358" s="132"/>
      <c r="C358" s="132"/>
      <c r="D358" s="132"/>
      <c r="E358" s="132"/>
      <c r="F358" s="132"/>
      <c r="G358" s="132"/>
      <c r="H358" s="133"/>
    </row>
    <row r="359" spans="1:8" x14ac:dyDescent="0.25">
      <c r="A359" s="131"/>
      <c r="B359" s="132"/>
      <c r="C359" s="132"/>
      <c r="D359" s="132"/>
      <c r="E359" s="132"/>
      <c r="F359" s="132"/>
      <c r="G359" s="132"/>
      <c r="H359" s="133"/>
    </row>
    <row r="360" spans="1:8" x14ac:dyDescent="0.25">
      <c r="A360" s="131"/>
      <c r="B360" s="132"/>
      <c r="C360" s="132"/>
      <c r="D360" s="132"/>
      <c r="E360" s="132"/>
      <c r="F360" s="132"/>
      <c r="G360" s="132"/>
      <c r="H360" s="133"/>
    </row>
    <row r="361" spans="1:8" x14ac:dyDescent="0.25">
      <c r="A361" s="131"/>
      <c r="B361" s="132"/>
      <c r="C361" s="132"/>
      <c r="D361" s="132"/>
      <c r="E361" s="132"/>
      <c r="F361" s="132"/>
      <c r="G361" s="132"/>
      <c r="H361" s="133"/>
    </row>
    <row r="362" spans="1:8" x14ac:dyDescent="0.25">
      <c r="A362" s="131"/>
      <c r="B362" s="132"/>
      <c r="C362" s="132"/>
      <c r="D362" s="132"/>
      <c r="E362" s="132"/>
      <c r="F362" s="132"/>
      <c r="G362" s="132"/>
      <c r="H362" s="133"/>
    </row>
    <row r="363" spans="1:8" x14ac:dyDescent="0.25">
      <c r="A363" s="131"/>
      <c r="B363" s="132"/>
      <c r="C363" s="132"/>
      <c r="D363" s="132"/>
      <c r="E363" s="132"/>
      <c r="F363" s="132"/>
      <c r="G363" s="132"/>
      <c r="H363" s="133"/>
    </row>
    <row r="364" spans="1:8" x14ac:dyDescent="0.25">
      <c r="A364" s="131"/>
      <c r="B364" s="132"/>
      <c r="C364" s="132"/>
      <c r="D364" s="132"/>
      <c r="E364" s="132"/>
      <c r="F364" s="132"/>
      <c r="G364" s="132"/>
      <c r="H364" s="133"/>
    </row>
    <row r="365" spans="1:8" x14ac:dyDescent="0.25">
      <c r="A365" s="131"/>
      <c r="B365" s="132"/>
      <c r="C365" s="132"/>
      <c r="D365" s="132"/>
      <c r="E365" s="132"/>
      <c r="F365" s="132"/>
      <c r="G365" s="132"/>
      <c r="H365" s="133"/>
    </row>
    <row r="366" spans="1:8" x14ac:dyDescent="0.25">
      <c r="A366" s="131"/>
      <c r="B366" s="132"/>
      <c r="C366" s="132"/>
      <c r="D366" s="132"/>
      <c r="E366" s="132"/>
      <c r="F366" s="132"/>
      <c r="G366" s="132"/>
      <c r="H366" s="133"/>
    </row>
    <row r="367" spans="1:8" x14ac:dyDescent="0.25">
      <c r="A367" s="131"/>
      <c r="B367" s="132"/>
      <c r="C367" s="132"/>
      <c r="D367" s="132"/>
      <c r="E367" s="132"/>
      <c r="F367" s="132"/>
      <c r="G367" s="132"/>
      <c r="H367" s="133"/>
    </row>
    <row r="368" spans="1:8" x14ac:dyDescent="0.25">
      <c r="A368" s="131"/>
      <c r="B368" s="132"/>
      <c r="C368" s="132"/>
      <c r="D368" s="132"/>
      <c r="E368" s="132"/>
      <c r="F368" s="132"/>
      <c r="G368" s="132"/>
      <c r="H368" s="133"/>
    </row>
    <row r="369" spans="1:8" x14ac:dyDescent="0.25">
      <c r="A369" s="131"/>
      <c r="B369" s="132"/>
      <c r="C369" s="132"/>
      <c r="D369" s="132"/>
      <c r="E369" s="132"/>
      <c r="F369" s="132"/>
      <c r="G369" s="132"/>
      <c r="H369" s="133"/>
    </row>
    <row r="370" spans="1:8" x14ac:dyDescent="0.25">
      <c r="A370" s="131"/>
      <c r="B370" s="132"/>
      <c r="C370" s="132"/>
      <c r="D370" s="132"/>
      <c r="E370" s="132"/>
      <c r="F370" s="132"/>
      <c r="G370" s="132"/>
      <c r="H370" s="133"/>
    </row>
    <row r="371" spans="1:8" x14ac:dyDescent="0.25">
      <c r="A371" s="131"/>
      <c r="B371" s="132"/>
      <c r="C371" s="132"/>
      <c r="D371" s="132"/>
      <c r="E371" s="132"/>
      <c r="F371" s="132"/>
      <c r="G371" s="132"/>
      <c r="H371" s="133"/>
    </row>
    <row r="372" spans="1:8" x14ac:dyDescent="0.25">
      <c r="A372" s="131"/>
      <c r="B372" s="132"/>
      <c r="C372" s="132"/>
      <c r="D372" s="132"/>
      <c r="E372" s="132"/>
      <c r="F372" s="132"/>
      <c r="G372" s="132"/>
      <c r="H372" s="133"/>
    </row>
    <row r="373" spans="1:8" x14ac:dyDescent="0.25">
      <c r="A373" s="131"/>
      <c r="B373" s="132"/>
      <c r="C373" s="132"/>
      <c r="D373" s="132"/>
      <c r="E373" s="132"/>
      <c r="F373" s="132"/>
      <c r="G373" s="132"/>
      <c r="H373" s="133"/>
    </row>
    <row r="374" spans="1:8" x14ac:dyDescent="0.25">
      <c r="A374" s="131"/>
      <c r="B374" s="132"/>
      <c r="C374" s="132"/>
      <c r="D374" s="132"/>
      <c r="E374" s="132"/>
      <c r="F374" s="132"/>
      <c r="G374" s="132"/>
      <c r="H374" s="133"/>
    </row>
    <row r="375" spans="1:8" x14ac:dyDescent="0.25">
      <c r="A375" s="131"/>
      <c r="B375" s="132"/>
      <c r="C375" s="132"/>
      <c r="D375" s="132"/>
      <c r="E375" s="132"/>
      <c r="F375" s="132"/>
      <c r="G375" s="132"/>
      <c r="H375" s="133"/>
    </row>
    <row r="376" spans="1:8" x14ac:dyDescent="0.25">
      <c r="A376" s="131"/>
      <c r="B376" s="132"/>
      <c r="C376" s="132"/>
      <c r="D376" s="132"/>
      <c r="E376" s="132"/>
      <c r="F376" s="132"/>
      <c r="G376" s="132"/>
      <c r="H376" s="133"/>
    </row>
    <row r="377" spans="1:8" x14ac:dyDescent="0.25">
      <c r="A377" s="131"/>
      <c r="B377" s="132"/>
      <c r="C377" s="132"/>
      <c r="D377" s="132"/>
      <c r="E377" s="132"/>
      <c r="F377" s="132"/>
      <c r="G377" s="132"/>
      <c r="H377" s="133"/>
    </row>
    <row r="378" spans="1:8" x14ac:dyDescent="0.25">
      <c r="A378" s="131"/>
      <c r="B378" s="132"/>
      <c r="C378" s="132"/>
      <c r="D378" s="132"/>
      <c r="E378" s="132"/>
      <c r="F378" s="132"/>
      <c r="G378" s="132"/>
      <c r="H378" s="133"/>
    </row>
    <row r="379" spans="1:8" x14ac:dyDescent="0.25">
      <c r="A379" s="131"/>
      <c r="B379" s="132"/>
      <c r="C379" s="132"/>
      <c r="D379" s="132"/>
      <c r="E379" s="132"/>
      <c r="F379" s="132"/>
      <c r="G379" s="132"/>
      <c r="H379" s="133"/>
    </row>
    <row r="380" spans="1:8" x14ac:dyDescent="0.25">
      <c r="A380" s="131"/>
      <c r="B380" s="132"/>
      <c r="C380" s="132"/>
      <c r="D380" s="132"/>
      <c r="E380" s="132"/>
      <c r="F380" s="132"/>
      <c r="G380" s="132"/>
      <c r="H380" s="133"/>
    </row>
    <row r="381" spans="1:8" x14ac:dyDescent="0.25">
      <c r="A381" s="131"/>
      <c r="B381" s="132"/>
      <c r="C381" s="132"/>
      <c r="D381" s="132"/>
      <c r="E381" s="132"/>
      <c r="F381" s="132"/>
      <c r="G381" s="132"/>
      <c r="H381" s="133"/>
    </row>
    <row r="382" spans="1:8" x14ac:dyDescent="0.25">
      <c r="A382" s="131"/>
      <c r="B382" s="132"/>
      <c r="C382" s="132"/>
      <c r="D382" s="132"/>
      <c r="E382" s="132"/>
      <c r="F382" s="132"/>
      <c r="G382" s="132"/>
      <c r="H382" s="133"/>
    </row>
    <row r="383" spans="1:8" x14ac:dyDescent="0.25">
      <c r="A383" s="131"/>
      <c r="B383" s="132"/>
      <c r="C383" s="132"/>
      <c r="D383" s="132"/>
      <c r="E383" s="132"/>
      <c r="F383" s="132"/>
      <c r="G383" s="132"/>
      <c r="H383" s="133"/>
    </row>
    <row r="384" spans="1:8" x14ac:dyDescent="0.25">
      <c r="A384" s="131"/>
      <c r="B384" s="132"/>
      <c r="C384" s="132"/>
      <c r="D384" s="132"/>
      <c r="E384" s="132"/>
      <c r="F384" s="132"/>
      <c r="G384" s="132"/>
      <c r="H384" s="133"/>
    </row>
    <row r="385" spans="1:8" x14ac:dyDescent="0.25">
      <c r="A385" s="131"/>
      <c r="B385" s="132"/>
      <c r="C385" s="132"/>
      <c r="D385" s="132"/>
      <c r="E385" s="132"/>
      <c r="F385" s="132"/>
      <c r="G385" s="132"/>
      <c r="H385" s="133"/>
    </row>
    <row r="386" spans="1:8" x14ac:dyDescent="0.25">
      <c r="A386" s="131"/>
      <c r="B386" s="132"/>
      <c r="C386" s="132"/>
      <c r="D386" s="132"/>
      <c r="E386" s="132"/>
      <c r="F386" s="132"/>
      <c r="G386" s="132"/>
      <c r="H386" s="133"/>
    </row>
    <row r="387" spans="1:8" x14ac:dyDescent="0.25">
      <c r="A387" s="131"/>
      <c r="B387" s="132"/>
      <c r="C387" s="132"/>
      <c r="D387" s="132"/>
      <c r="E387" s="132"/>
      <c r="F387" s="132"/>
      <c r="G387" s="132"/>
      <c r="H387" s="133"/>
    </row>
    <row r="388" spans="1:8" x14ac:dyDescent="0.25">
      <c r="A388" s="131"/>
      <c r="B388" s="132"/>
      <c r="C388" s="132"/>
      <c r="D388" s="132"/>
      <c r="E388" s="132"/>
      <c r="F388" s="132"/>
      <c r="G388" s="132"/>
      <c r="H388" s="133"/>
    </row>
    <row r="389" spans="1:8" x14ac:dyDescent="0.25">
      <c r="A389" s="131"/>
      <c r="B389" s="132"/>
      <c r="C389" s="132"/>
      <c r="D389" s="132"/>
      <c r="E389" s="132"/>
      <c r="F389" s="132"/>
      <c r="G389" s="132"/>
      <c r="H389" s="133"/>
    </row>
    <row r="390" spans="1:8" x14ac:dyDescent="0.25">
      <c r="A390" s="131"/>
      <c r="B390" s="132"/>
      <c r="C390" s="132"/>
      <c r="D390" s="132"/>
      <c r="E390" s="132"/>
      <c r="F390" s="132"/>
      <c r="G390" s="132"/>
      <c r="H390" s="133"/>
    </row>
    <row r="391" spans="1:8" x14ac:dyDescent="0.25">
      <c r="A391" s="131"/>
      <c r="B391" s="132"/>
      <c r="C391" s="132"/>
      <c r="D391" s="132"/>
      <c r="E391" s="132"/>
      <c r="F391" s="132"/>
      <c r="G391" s="132"/>
      <c r="H391" s="133"/>
    </row>
    <row r="392" spans="1:8" x14ac:dyDescent="0.25">
      <c r="A392" s="131"/>
      <c r="B392" s="132"/>
      <c r="C392" s="132"/>
      <c r="D392" s="132"/>
      <c r="E392" s="132"/>
      <c r="F392" s="132"/>
      <c r="G392" s="132"/>
      <c r="H392" s="133"/>
    </row>
    <row r="393" spans="1:8" x14ac:dyDescent="0.25">
      <c r="A393" s="131"/>
      <c r="B393" s="132"/>
      <c r="C393" s="132"/>
      <c r="D393" s="132"/>
      <c r="E393" s="132"/>
      <c r="F393" s="132"/>
      <c r="G393" s="132"/>
      <c r="H393" s="133"/>
    </row>
    <row r="394" spans="1:8" x14ac:dyDescent="0.25">
      <c r="A394" s="131"/>
      <c r="B394" s="132"/>
      <c r="C394" s="132"/>
      <c r="D394" s="132"/>
      <c r="E394" s="132"/>
      <c r="F394" s="132"/>
      <c r="G394" s="132"/>
      <c r="H394" s="133"/>
    </row>
    <row r="395" spans="1:8" x14ac:dyDescent="0.25">
      <c r="A395" s="131"/>
      <c r="B395" s="132"/>
      <c r="C395" s="132"/>
      <c r="D395" s="132"/>
      <c r="E395" s="132"/>
      <c r="F395" s="132"/>
      <c r="G395" s="132"/>
      <c r="H395" s="133"/>
    </row>
    <row r="396" spans="1:8" x14ac:dyDescent="0.25">
      <c r="A396" s="134"/>
      <c r="B396" s="135"/>
      <c r="C396" s="135"/>
      <c r="D396" s="135"/>
      <c r="E396" s="135"/>
      <c r="F396" s="135"/>
      <c r="G396" s="135"/>
      <c r="H396" s="136"/>
    </row>
    <row r="397" spans="1:8" x14ac:dyDescent="0.25">
      <c r="A397" s="121" t="s">
        <v>120</v>
      </c>
      <c r="B397" s="123"/>
      <c r="C397" s="124"/>
      <c r="D397" s="287"/>
      <c r="E397" s="287"/>
      <c r="F397" s="287"/>
      <c r="G397" s="287"/>
      <c r="H397" s="125"/>
    </row>
    <row r="398" spans="1:8" x14ac:dyDescent="0.25">
      <c r="A398" s="131"/>
      <c r="B398" s="132"/>
      <c r="C398" s="132"/>
      <c r="D398" s="132"/>
      <c r="E398" s="132"/>
      <c r="F398" s="132"/>
      <c r="G398" s="132"/>
      <c r="H398" s="133"/>
    </row>
    <row r="399" spans="1:8" x14ac:dyDescent="0.25">
      <c r="A399" s="131"/>
      <c r="B399" s="132"/>
      <c r="C399" s="132"/>
      <c r="D399" s="132"/>
      <c r="E399" s="132"/>
      <c r="F399" s="132"/>
      <c r="G399" s="132"/>
      <c r="H399" s="133"/>
    </row>
    <row r="400" spans="1:8" x14ac:dyDescent="0.25">
      <c r="A400" s="131"/>
      <c r="B400" s="132"/>
      <c r="C400" s="132"/>
      <c r="D400" s="132"/>
      <c r="E400" s="132"/>
      <c r="F400" s="132"/>
      <c r="G400" s="132"/>
      <c r="H400" s="133"/>
    </row>
    <row r="401" spans="1:8" x14ac:dyDescent="0.25">
      <c r="A401" s="131"/>
      <c r="B401" s="132"/>
      <c r="C401" s="132"/>
      <c r="D401" s="132"/>
      <c r="E401" s="132"/>
      <c r="F401" s="132"/>
      <c r="G401" s="132"/>
      <c r="H401" s="133"/>
    </row>
    <row r="402" spans="1:8" x14ac:dyDescent="0.25">
      <c r="A402" s="131"/>
      <c r="B402" s="132"/>
      <c r="C402" s="132"/>
      <c r="D402" s="132"/>
      <c r="E402" s="132"/>
      <c r="F402" s="132"/>
      <c r="G402" s="132"/>
      <c r="H402" s="133"/>
    </row>
    <row r="403" spans="1:8" x14ac:dyDescent="0.25">
      <c r="A403" s="131"/>
      <c r="B403" s="132"/>
      <c r="C403" s="132"/>
      <c r="D403" s="132"/>
      <c r="E403" s="132"/>
      <c r="F403" s="132"/>
      <c r="G403" s="132"/>
      <c r="H403" s="133"/>
    </row>
    <row r="404" spans="1:8" x14ac:dyDescent="0.25">
      <c r="A404" s="131"/>
      <c r="B404" s="132"/>
      <c r="C404" s="132"/>
      <c r="D404" s="132"/>
      <c r="E404" s="132"/>
      <c r="F404" s="132"/>
      <c r="G404" s="132"/>
      <c r="H404" s="133"/>
    </row>
    <row r="405" spans="1:8" x14ac:dyDescent="0.25">
      <c r="A405" s="131"/>
      <c r="B405" s="132"/>
      <c r="C405" s="132"/>
      <c r="D405" s="132"/>
      <c r="E405" s="132"/>
      <c r="F405" s="132"/>
      <c r="G405" s="132"/>
      <c r="H405" s="133"/>
    </row>
    <row r="406" spans="1:8" x14ac:dyDescent="0.25">
      <c r="A406" s="131"/>
      <c r="B406" s="132"/>
      <c r="C406" s="132"/>
      <c r="D406" s="132"/>
      <c r="E406" s="132"/>
      <c r="F406" s="132"/>
      <c r="G406" s="132"/>
      <c r="H406" s="133"/>
    </row>
    <row r="407" spans="1:8" x14ac:dyDescent="0.25">
      <c r="A407" s="131"/>
      <c r="B407" s="132"/>
      <c r="C407" s="132"/>
      <c r="D407" s="132"/>
      <c r="E407" s="132"/>
      <c r="F407" s="132"/>
      <c r="G407" s="132"/>
      <c r="H407" s="133"/>
    </row>
    <row r="408" spans="1:8" x14ac:dyDescent="0.25">
      <c r="A408" s="131"/>
      <c r="B408" s="132"/>
      <c r="C408" s="132"/>
      <c r="D408" s="132"/>
      <c r="E408" s="132"/>
      <c r="F408" s="132"/>
      <c r="G408" s="132"/>
      <c r="H408" s="133"/>
    </row>
    <row r="409" spans="1:8" x14ac:dyDescent="0.25">
      <c r="A409" s="131"/>
      <c r="B409" s="132"/>
      <c r="C409" s="132"/>
      <c r="D409" s="132"/>
      <c r="E409" s="132"/>
      <c r="F409" s="132"/>
      <c r="G409" s="132"/>
      <c r="H409" s="133"/>
    </row>
    <row r="410" spans="1:8" x14ac:dyDescent="0.25">
      <c r="A410" s="131"/>
      <c r="B410" s="132"/>
      <c r="C410" s="132"/>
      <c r="D410" s="132"/>
      <c r="E410" s="132"/>
      <c r="F410" s="132"/>
      <c r="G410" s="132"/>
      <c r="H410" s="133"/>
    </row>
    <row r="411" spans="1:8" x14ac:dyDescent="0.25">
      <c r="A411" s="131"/>
      <c r="B411" s="132"/>
      <c r="C411" s="132"/>
      <c r="D411" s="132"/>
      <c r="E411" s="132"/>
      <c r="F411" s="132"/>
      <c r="G411" s="132"/>
      <c r="H411" s="133"/>
    </row>
    <row r="412" spans="1:8" x14ac:dyDescent="0.25">
      <c r="A412" s="131"/>
      <c r="B412" s="132"/>
      <c r="C412" s="132"/>
      <c r="D412" s="132"/>
      <c r="E412" s="132"/>
      <c r="F412" s="132"/>
      <c r="G412" s="132"/>
      <c r="H412" s="133"/>
    </row>
    <row r="413" spans="1:8" x14ac:dyDescent="0.25">
      <c r="A413" s="131"/>
      <c r="B413" s="132"/>
      <c r="C413" s="132"/>
      <c r="D413" s="132"/>
      <c r="E413" s="132"/>
      <c r="F413" s="132"/>
      <c r="G413" s="132"/>
      <c r="H413" s="133"/>
    </row>
    <row r="414" spans="1:8" x14ac:dyDescent="0.25">
      <c r="A414" s="131"/>
      <c r="B414" s="132"/>
      <c r="C414" s="132"/>
      <c r="D414" s="132"/>
      <c r="E414" s="132"/>
      <c r="F414" s="132"/>
      <c r="G414" s="132"/>
      <c r="H414" s="133"/>
    </row>
    <row r="415" spans="1:8" x14ac:dyDescent="0.25">
      <c r="A415" s="131"/>
      <c r="B415" s="132"/>
      <c r="C415" s="132"/>
      <c r="D415" s="132"/>
      <c r="E415" s="132"/>
      <c r="F415" s="132"/>
      <c r="G415" s="132"/>
      <c r="H415" s="133"/>
    </row>
    <row r="416" spans="1:8" x14ac:dyDescent="0.25">
      <c r="A416" s="131"/>
      <c r="B416" s="132"/>
      <c r="C416" s="132"/>
      <c r="D416" s="132"/>
      <c r="E416" s="132"/>
      <c r="F416" s="132"/>
      <c r="G416" s="132"/>
      <c r="H416" s="133"/>
    </row>
    <row r="417" spans="1:8" x14ac:dyDescent="0.25">
      <c r="A417" s="131"/>
      <c r="B417" s="132"/>
      <c r="C417" s="132"/>
      <c r="D417" s="132"/>
      <c r="E417" s="132"/>
      <c r="F417" s="132"/>
      <c r="G417" s="132"/>
      <c r="H417" s="133"/>
    </row>
    <row r="418" spans="1:8" x14ac:dyDescent="0.25">
      <c r="A418" s="131"/>
      <c r="B418" s="132"/>
      <c r="C418" s="132"/>
      <c r="D418" s="132"/>
      <c r="E418" s="132"/>
      <c r="F418" s="132"/>
      <c r="G418" s="132"/>
      <c r="H418" s="133"/>
    </row>
    <row r="419" spans="1:8" x14ac:dyDescent="0.25">
      <c r="A419" s="131"/>
      <c r="B419" s="132"/>
      <c r="C419" s="132"/>
      <c r="D419" s="132"/>
      <c r="E419" s="132"/>
      <c r="F419" s="132"/>
      <c r="G419" s="132"/>
      <c r="H419" s="133"/>
    </row>
    <row r="420" spans="1:8" x14ac:dyDescent="0.25">
      <c r="A420" s="131"/>
      <c r="B420" s="132"/>
      <c r="C420" s="132"/>
      <c r="D420" s="132"/>
      <c r="E420" s="132"/>
      <c r="F420" s="132"/>
      <c r="G420" s="132"/>
      <c r="H420" s="133"/>
    </row>
    <row r="421" spans="1:8" x14ac:dyDescent="0.25">
      <c r="A421" s="131"/>
      <c r="B421" s="132"/>
      <c r="C421" s="132"/>
      <c r="D421" s="132"/>
      <c r="E421" s="132"/>
      <c r="F421" s="132"/>
      <c r="G421" s="132"/>
      <c r="H421" s="133"/>
    </row>
    <row r="422" spans="1:8" x14ac:dyDescent="0.25">
      <c r="A422" s="131"/>
      <c r="B422" s="132"/>
      <c r="C422" s="132"/>
      <c r="D422" s="132"/>
      <c r="E422" s="132"/>
      <c r="F422" s="132"/>
      <c r="G422" s="132"/>
      <c r="H422" s="133"/>
    </row>
    <row r="423" spans="1:8" x14ac:dyDescent="0.25">
      <c r="A423" s="131"/>
      <c r="B423" s="132"/>
      <c r="C423" s="132"/>
      <c r="D423" s="132"/>
      <c r="E423" s="132"/>
      <c r="F423" s="132"/>
      <c r="G423" s="132"/>
      <c r="H423" s="133"/>
    </row>
    <row r="424" spans="1:8" x14ac:dyDescent="0.25">
      <c r="A424" s="131"/>
      <c r="B424" s="132"/>
      <c r="C424" s="132"/>
      <c r="D424" s="132"/>
      <c r="E424" s="132"/>
      <c r="F424" s="132"/>
      <c r="G424" s="132"/>
      <c r="H424" s="133"/>
    </row>
    <row r="425" spans="1:8" x14ac:dyDescent="0.25">
      <c r="A425" s="131"/>
      <c r="B425" s="132"/>
      <c r="C425" s="132"/>
      <c r="D425" s="132"/>
      <c r="E425" s="132"/>
      <c r="F425" s="132"/>
      <c r="G425" s="132"/>
      <c r="H425" s="133"/>
    </row>
    <row r="426" spans="1:8" x14ac:dyDescent="0.25">
      <c r="A426" s="131"/>
      <c r="B426" s="132"/>
      <c r="C426" s="132"/>
      <c r="D426" s="132"/>
      <c r="E426" s="132"/>
      <c r="F426" s="132"/>
      <c r="G426" s="132"/>
      <c r="H426" s="133"/>
    </row>
    <row r="427" spans="1:8" x14ac:dyDescent="0.25">
      <c r="A427" s="131"/>
      <c r="B427" s="132"/>
      <c r="C427" s="132"/>
      <c r="D427" s="132"/>
      <c r="E427" s="132"/>
      <c r="F427" s="132"/>
      <c r="G427" s="132"/>
      <c r="H427" s="133"/>
    </row>
    <row r="428" spans="1:8" x14ac:dyDescent="0.25">
      <c r="A428" s="131"/>
      <c r="B428" s="132"/>
      <c r="C428" s="132"/>
      <c r="D428" s="132"/>
      <c r="E428" s="132"/>
      <c r="F428" s="132"/>
      <c r="G428" s="132"/>
      <c r="H428" s="133"/>
    </row>
    <row r="429" spans="1:8" x14ac:dyDescent="0.25">
      <c r="A429" s="131"/>
      <c r="B429" s="132"/>
      <c r="C429" s="132"/>
      <c r="D429" s="132"/>
      <c r="E429" s="132"/>
      <c r="F429" s="132"/>
      <c r="G429" s="132"/>
      <c r="H429" s="133"/>
    </row>
    <row r="430" spans="1:8" x14ac:dyDescent="0.25">
      <c r="A430" s="131"/>
      <c r="B430" s="132"/>
      <c r="C430" s="132"/>
      <c r="D430" s="132"/>
      <c r="E430" s="132"/>
      <c r="F430" s="132"/>
      <c r="G430" s="132"/>
      <c r="H430" s="133"/>
    </row>
    <row r="431" spans="1:8" x14ac:dyDescent="0.25">
      <c r="A431" s="131"/>
      <c r="B431" s="132"/>
      <c r="C431" s="132"/>
      <c r="D431" s="132"/>
      <c r="E431" s="132"/>
      <c r="F431" s="132"/>
      <c r="G431" s="132"/>
      <c r="H431" s="133"/>
    </row>
    <row r="432" spans="1:8" x14ac:dyDescent="0.25">
      <c r="A432" s="131"/>
      <c r="B432" s="132"/>
      <c r="C432" s="132"/>
      <c r="D432" s="132"/>
      <c r="E432" s="132"/>
      <c r="F432" s="132"/>
      <c r="G432" s="132"/>
      <c r="H432" s="133"/>
    </row>
    <row r="433" spans="1:8" x14ac:dyDescent="0.25">
      <c r="A433" s="131"/>
      <c r="B433" s="132"/>
      <c r="C433" s="132"/>
      <c r="D433" s="132"/>
      <c r="E433" s="132"/>
      <c r="F433" s="132"/>
      <c r="G433" s="132"/>
      <c r="H433" s="133"/>
    </row>
    <row r="434" spans="1:8" x14ac:dyDescent="0.25">
      <c r="A434" s="131"/>
      <c r="B434" s="132"/>
      <c r="C434" s="132"/>
      <c r="D434" s="132"/>
      <c r="E434" s="132"/>
      <c r="F434" s="132"/>
      <c r="G434" s="132"/>
      <c r="H434" s="133"/>
    </row>
    <row r="435" spans="1:8" x14ac:dyDescent="0.25">
      <c r="A435" s="131"/>
      <c r="B435" s="132"/>
      <c r="C435" s="132"/>
      <c r="D435" s="132"/>
      <c r="E435" s="132"/>
      <c r="F435" s="132"/>
      <c r="G435" s="132"/>
      <c r="H435" s="133"/>
    </row>
    <row r="436" spans="1:8" x14ac:dyDescent="0.25">
      <c r="A436" s="131"/>
      <c r="B436" s="132"/>
      <c r="C436" s="132"/>
      <c r="D436" s="132"/>
      <c r="E436" s="132"/>
      <c r="F436" s="132"/>
      <c r="G436" s="132"/>
      <c r="H436" s="133"/>
    </row>
    <row r="437" spans="1:8" x14ac:dyDescent="0.25">
      <c r="A437" s="131"/>
      <c r="B437" s="132"/>
      <c r="C437" s="132"/>
      <c r="D437" s="132"/>
      <c r="E437" s="132"/>
      <c r="F437" s="132"/>
      <c r="G437" s="132"/>
      <c r="H437" s="133"/>
    </row>
    <row r="438" spans="1:8" x14ac:dyDescent="0.25">
      <c r="A438" s="131"/>
      <c r="B438" s="132"/>
      <c r="C438" s="132"/>
      <c r="D438" s="132"/>
      <c r="E438" s="132"/>
      <c r="F438" s="132"/>
      <c r="G438" s="132"/>
      <c r="H438" s="133"/>
    </row>
    <row r="439" spans="1:8" x14ac:dyDescent="0.25">
      <c r="A439" s="131"/>
      <c r="B439" s="132"/>
      <c r="C439" s="132"/>
      <c r="D439" s="132"/>
      <c r="E439" s="132"/>
      <c r="F439" s="132"/>
      <c r="G439" s="132"/>
      <c r="H439" s="133"/>
    </row>
    <row r="440" spans="1:8" x14ac:dyDescent="0.25">
      <c r="A440" s="131"/>
      <c r="B440" s="132"/>
      <c r="C440" s="132"/>
      <c r="D440" s="132"/>
      <c r="E440" s="132"/>
      <c r="F440" s="132"/>
      <c r="G440" s="132"/>
      <c r="H440" s="133"/>
    </row>
    <row r="441" spans="1:8" x14ac:dyDescent="0.25">
      <c r="A441" s="131"/>
      <c r="B441" s="132"/>
      <c r="C441" s="132"/>
      <c r="D441" s="132"/>
      <c r="E441" s="132"/>
      <c r="F441" s="132"/>
      <c r="G441" s="132"/>
      <c r="H441" s="133"/>
    </row>
    <row r="442" spans="1:8" x14ac:dyDescent="0.25">
      <c r="A442" s="131"/>
      <c r="B442" s="132"/>
      <c r="C442" s="132"/>
      <c r="D442" s="132"/>
      <c r="E442" s="132"/>
      <c r="F442" s="132"/>
      <c r="G442" s="132"/>
      <c r="H442" s="133"/>
    </row>
    <row r="443" spans="1:8" x14ac:dyDescent="0.25">
      <c r="A443" s="131"/>
      <c r="B443" s="132"/>
      <c r="C443" s="132"/>
      <c r="D443" s="132"/>
      <c r="E443" s="132"/>
      <c r="F443" s="132"/>
      <c r="G443" s="132"/>
      <c r="H443" s="133"/>
    </row>
    <row r="444" spans="1:8" ht="50.25" customHeight="1" x14ac:dyDescent="0.25">
      <c r="A444" s="124" t="s">
        <v>117</v>
      </c>
      <c r="B444" s="125"/>
      <c r="C444" s="126" t="s">
        <v>301</v>
      </c>
      <c r="D444" s="127"/>
      <c r="E444" s="112" t="s">
        <v>118</v>
      </c>
      <c r="F444" s="112"/>
      <c r="G444" s="231"/>
      <c r="H444" s="231"/>
    </row>
  </sheetData>
  <mergeCells count="591">
    <mergeCell ref="A418:H418"/>
    <mergeCell ref="A149:B149"/>
    <mergeCell ref="C149:H150"/>
    <mergeCell ref="A150:B150"/>
    <mergeCell ref="A164:B164"/>
    <mergeCell ref="C164:H165"/>
    <mergeCell ref="A165:B165"/>
    <mergeCell ref="A167:B167"/>
    <mergeCell ref="C167:H168"/>
    <mergeCell ref="A168:B168"/>
    <mergeCell ref="A162:B162"/>
    <mergeCell ref="A163:B163"/>
    <mergeCell ref="A166:H166"/>
    <mergeCell ref="B294:H294"/>
    <mergeCell ref="A428:H428"/>
    <mergeCell ref="A429:H429"/>
    <mergeCell ref="A430:H430"/>
    <mergeCell ref="A431:H431"/>
    <mergeCell ref="A432:H432"/>
    <mergeCell ref="A433:H433"/>
    <mergeCell ref="A434:H434"/>
    <mergeCell ref="A421:H421"/>
    <mergeCell ref="A422:H422"/>
    <mergeCell ref="A423:H423"/>
    <mergeCell ref="A424:H424"/>
    <mergeCell ref="A425:H425"/>
    <mergeCell ref="A426:H426"/>
    <mergeCell ref="A427:H427"/>
    <mergeCell ref="A435:H435"/>
    <mergeCell ref="A436:H436"/>
    <mergeCell ref="A443:H443"/>
    <mergeCell ref="A437:H437"/>
    <mergeCell ref="A438:H438"/>
    <mergeCell ref="A439:H439"/>
    <mergeCell ref="A440:H440"/>
    <mergeCell ref="A441:H441"/>
    <mergeCell ref="A442:H442"/>
    <mergeCell ref="A385:H385"/>
    <mergeCell ref="A397:B397"/>
    <mergeCell ref="A390:H390"/>
    <mergeCell ref="A391:H391"/>
    <mergeCell ref="A419:H419"/>
    <mergeCell ref="A420:H420"/>
    <mergeCell ref="A401:H401"/>
    <mergeCell ref="A402:H402"/>
    <mergeCell ref="A403:H403"/>
    <mergeCell ref="A404:H404"/>
    <mergeCell ref="A405:H405"/>
    <mergeCell ref="A406:H406"/>
    <mergeCell ref="A407:H407"/>
    <mergeCell ref="A408:H408"/>
    <mergeCell ref="A409:H409"/>
    <mergeCell ref="C397:H397"/>
    <mergeCell ref="A410:H410"/>
    <mergeCell ref="A411:H411"/>
    <mergeCell ref="A412:H412"/>
    <mergeCell ref="A413:H413"/>
    <mergeCell ref="A414:H414"/>
    <mergeCell ref="A415:H415"/>
    <mergeCell ref="A416:H416"/>
    <mergeCell ref="A417:H417"/>
    <mergeCell ref="A334:H334"/>
    <mergeCell ref="A335:H335"/>
    <mergeCell ref="A336:H336"/>
    <mergeCell ref="A337:H337"/>
    <mergeCell ref="A398:H398"/>
    <mergeCell ref="A399:H399"/>
    <mergeCell ref="A400:H400"/>
    <mergeCell ref="A345:H345"/>
    <mergeCell ref="A338:H338"/>
    <mergeCell ref="A339:H339"/>
    <mergeCell ref="A340:H340"/>
    <mergeCell ref="A341:H341"/>
    <mergeCell ref="A342:H342"/>
    <mergeCell ref="A343:H343"/>
    <mergeCell ref="A344:H344"/>
    <mergeCell ref="A358:H358"/>
    <mergeCell ref="A359:H359"/>
    <mergeCell ref="A360:H360"/>
    <mergeCell ref="A361:H361"/>
    <mergeCell ref="A362:H362"/>
    <mergeCell ref="A363:H363"/>
    <mergeCell ref="A364:H364"/>
    <mergeCell ref="A365:H365"/>
    <mergeCell ref="A384:H384"/>
    <mergeCell ref="A325:H325"/>
    <mergeCell ref="A326:H326"/>
    <mergeCell ref="A327:H327"/>
    <mergeCell ref="A328:H328"/>
    <mergeCell ref="A329:H329"/>
    <mergeCell ref="A330:H330"/>
    <mergeCell ref="A331:H331"/>
    <mergeCell ref="A332:H332"/>
    <mergeCell ref="A333:H333"/>
    <mergeCell ref="A316:H316"/>
    <mergeCell ref="A317:H317"/>
    <mergeCell ref="A318:H318"/>
    <mergeCell ref="A319:H319"/>
    <mergeCell ref="A320:H320"/>
    <mergeCell ref="A321:H321"/>
    <mergeCell ref="A322:H322"/>
    <mergeCell ref="A323:H323"/>
    <mergeCell ref="A324:H324"/>
    <mergeCell ref="A89:B89"/>
    <mergeCell ref="A90:B90"/>
    <mergeCell ref="E88:F88"/>
    <mergeCell ref="A297:H297"/>
    <mergeCell ref="A298:H298"/>
    <mergeCell ref="A299:H299"/>
    <mergeCell ref="A300:H300"/>
    <mergeCell ref="A301:H301"/>
    <mergeCell ref="A283:H283"/>
    <mergeCell ref="B285:H285"/>
    <mergeCell ref="B286:H286"/>
    <mergeCell ref="B287:H287"/>
    <mergeCell ref="B288:H288"/>
    <mergeCell ref="B290:H290"/>
    <mergeCell ref="B291:H291"/>
    <mergeCell ref="B292:H292"/>
    <mergeCell ref="B293:H293"/>
    <mergeCell ref="A295:B295"/>
    <mergeCell ref="B289:E289"/>
    <mergeCell ref="C295:H295"/>
    <mergeCell ref="A122:B122"/>
    <mergeCell ref="C122:H123"/>
    <mergeCell ref="A123:B123"/>
    <mergeCell ref="A137:B137"/>
    <mergeCell ref="E94:F94"/>
    <mergeCell ref="G94:H94"/>
    <mergeCell ref="E95:F95"/>
    <mergeCell ref="G95:H95"/>
    <mergeCell ref="A67:B67"/>
    <mergeCell ref="A68:B68"/>
    <mergeCell ref="C68:D68"/>
    <mergeCell ref="C69:D69"/>
    <mergeCell ref="C70:D70"/>
    <mergeCell ref="C71:D71"/>
    <mergeCell ref="C72:D72"/>
    <mergeCell ref="C73:D73"/>
    <mergeCell ref="E80:F80"/>
    <mergeCell ref="C84:D84"/>
    <mergeCell ref="C85:D85"/>
    <mergeCell ref="C86:D86"/>
    <mergeCell ref="C88:D88"/>
    <mergeCell ref="E82:F82"/>
    <mergeCell ref="E83:F83"/>
    <mergeCell ref="E84:F84"/>
    <mergeCell ref="G85:H85"/>
    <mergeCell ref="G86:H86"/>
    <mergeCell ref="E85:F85"/>
    <mergeCell ref="A88:B88"/>
    <mergeCell ref="E51:H51"/>
    <mergeCell ref="C34:D34"/>
    <mergeCell ref="C36:D36"/>
    <mergeCell ref="C42:F42"/>
    <mergeCell ref="C43:F43"/>
    <mergeCell ref="G43:H43"/>
    <mergeCell ref="C45:F45"/>
    <mergeCell ref="G45:H45"/>
    <mergeCell ref="C37:H37"/>
    <mergeCell ref="G27:H27"/>
    <mergeCell ref="G28:H28"/>
    <mergeCell ref="C35:H35"/>
    <mergeCell ref="G36:H36"/>
    <mergeCell ref="A39:H39"/>
    <mergeCell ref="C40:F40"/>
    <mergeCell ref="G40:H40"/>
    <mergeCell ref="C41:F41"/>
    <mergeCell ref="C44:F44"/>
    <mergeCell ref="G44:H44"/>
    <mergeCell ref="C38:H38"/>
    <mergeCell ref="G42:H42"/>
    <mergeCell ref="A102:H102"/>
    <mergeCell ref="A241:H241"/>
    <mergeCell ref="A1:H1"/>
    <mergeCell ref="C23:H23"/>
    <mergeCell ref="C22:H22"/>
    <mergeCell ref="C26:H26"/>
    <mergeCell ref="C17:H17"/>
    <mergeCell ref="C16:H16"/>
    <mergeCell ref="C25:H25"/>
    <mergeCell ref="C10:H10"/>
    <mergeCell ref="A6:H6"/>
    <mergeCell ref="C20:H20"/>
    <mergeCell ref="C21:H21"/>
    <mergeCell ref="C24:H24"/>
    <mergeCell ref="A2:H2"/>
    <mergeCell ref="C7:H7"/>
    <mergeCell ref="C8:H8"/>
    <mergeCell ref="C19:H19"/>
    <mergeCell ref="C9:H9"/>
    <mergeCell ref="C13:H13"/>
    <mergeCell ref="C14:H14"/>
    <mergeCell ref="C15:H15"/>
    <mergeCell ref="C18:E18"/>
    <mergeCell ref="C28:E28"/>
    <mergeCell ref="E444:F444"/>
    <mergeCell ref="G444:H444"/>
    <mergeCell ref="C76:H76"/>
    <mergeCell ref="A77:H77"/>
    <mergeCell ref="E78:F78"/>
    <mergeCell ref="E79:F79"/>
    <mergeCell ref="E86:F86"/>
    <mergeCell ref="A98:H98"/>
    <mergeCell ref="A349:H349"/>
    <mergeCell ref="A350:H350"/>
    <mergeCell ref="A351:H351"/>
    <mergeCell ref="A352:H352"/>
    <mergeCell ref="A353:H353"/>
    <mergeCell ref="A354:H354"/>
    <mergeCell ref="A355:H355"/>
    <mergeCell ref="A356:H356"/>
    <mergeCell ref="A357:H357"/>
    <mergeCell ref="A280:H280"/>
    <mergeCell ref="A372:H372"/>
    <mergeCell ref="A373:H373"/>
    <mergeCell ref="A386:H386"/>
    <mergeCell ref="A387:H387"/>
    <mergeCell ref="A388:H388"/>
    <mergeCell ref="A389:H389"/>
    <mergeCell ref="A392:H392"/>
    <mergeCell ref="A380:H380"/>
    <mergeCell ref="A381:H381"/>
    <mergeCell ref="A382:H382"/>
    <mergeCell ref="A383:H383"/>
    <mergeCell ref="A15:B15"/>
    <mergeCell ref="E96:F96"/>
    <mergeCell ref="G96:H96"/>
    <mergeCell ref="E97:F97"/>
    <mergeCell ref="G97:H97"/>
    <mergeCell ref="C29:H29"/>
    <mergeCell ref="C30:H30"/>
    <mergeCell ref="A37:B37"/>
    <mergeCell ref="A38:B38"/>
    <mergeCell ref="A40:B45"/>
    <mergeCell ref="A46:B46"/>
    <mergeCell ref="A47:B47"/>
    <mergeCell ref="A48:B48"/>
    <mergeCell ref="A49:B51"/>
    <mergeCell ref="A53:B53"/>
    <mergeCell ref="A60:B60"/>
    <mergeCell ref="A65:B65"/>
    <mergeCell ref="G65:H65"/>
    <mergeCell ref="G66:H75"/>
    <mergeCell ref="F18:H18"/>
    <mergeCell ref="A87:H87"/>
    <mergeCell ref="A35:B35"/>
    <mergeCell ref="A36:B36"/>
    <mergeCell ref="A16:B16"/>
    <mergeCell ref="A17:B17"/>
    <mergeCell ref="A18:B18"/>
    <mergeCell ref="A19:B19"/>
    <mergeCell ref="A20:B20"/>
    <mergeCell ref="A21:B21"/>
    <mergeCell ref="A22:B22"/>
    <mergeCell ref="A23:B23"/>
    <mergeCell ref="A24:B24"/>
    <mergeCell ref="A71:B71"/>
    <mergeCell ref="A72:B72"/>
    <mergeCell ref="A73:B73"/>
    <mergeCell ref="A74:B74"/>
    <mergeCell ref="A75:B75"/>
    <mergeCell ref="A76:B76"/>
    <mergeCell ref="A78:B78"/>
    <mergeCell ref="A79:B79"/>
    <mergeCell ref="C65:D65"/>
    <mergeCell ref="C66:D66"/>
    <mergeCell ref="E36:F36"/>
    <mergeCell ref="C3:E3"/>
    <mergeCell ref="C4:E4"/>
    <mergeCell ref="C5:E5"/>
    <mergeCell ref="G3:H3"/>
    <mergeCell ref="G4:H4"/>
    <mergeCell ref="G5:H5"/>
    <mergeCell ref="C31:D31"/>
    <mergeCell ref="C32:D32"/>
    <mergeCell ref="A25:B25"/>
    <mergeCell ref="A26:B26"/>
    <mergeCell ref="A27:B27"/>
    <mergeCell ref="A28:B28"/>
    <mergeCell ref="A29:B29"/>
    <mergeCell ref="A30:B30"/>
    <mergeCell ref="A31:B34"/>
    <mergeCell ref="A7:B7"/>
    <mergeCell ref="A8:B8"/>
    <mergeCell ref="A9:B9"/>
    <mergeCell ref="A10:B10"/>
    <mergeCell ref="A11:B11"/>
    <mergeCell ref="A12:B12"/>
    <mergeCell ref="C11:H11"/>
    <mergeCell ref="C12:H12"/>
    <mergeCell ref="A5:B5"/>
    <mergeCell ref="A13:B13"/>
    <mergeCell ref="A14:B14"/>
    <mergeCell ref="C33:D33"/>
    <mergeCell ref="C46:F46"/>
    <mergeCell ref="C48:F48"/>
    <mergeCell ref="C53:F53"/>
    <mergeCell ref="A62:D63"/>
    <mergeCell ref="A52:B52"/>
    <mergeCell ref="C52:H52"/>
    <mergeCell ref="C54:F54"/>
    <mergeCell ref="A54:B55"/>
    <mergeCell ref="C58:F58"/>
    <mergeCell ref="A56:B58"/>
    <mergeCell ref="C56:F57"/>
    <mergeCell ref="E50:F50"/>
    <mergeCell ref="C55:H55"/>
    <mergeCell ref="C49:D49"/>
    <mergeCell ref="C50:D50"/>
    <mergeCell ref="C51:D51"/>
    <mergeCell ref="C27:E27"/>
    <mergeCell ref="A59:H59"/>
    <mergeCell ref="C47:H47"/>
    <mergeCell ref="E49:H49"/>
    <mergeCell ref="G41:H41"/>
    <mergeCell ref="C67:D67"/>
    <mergeCell ref="C64:H64"/>
    <mergeCell ref="A66:B66"/>
    <mergeCell ref="G88:H88"/>
    <mergeCell ref="A69:B69"/>
    <mergeCell ref="A70:B70"/>
    <mergeCell ref="E60:F60"/>
    <mergeCell ref="A61:H61"/>
    <mergeCell ref="G60:H60"/>
    <mergeCell ref="C60:D60"/>
    <mergeCell ref="A83:B83"/>
    <mergeCell ref="A84:B84"/>
    <mergeCell ref="A85:B85"/>
    <mergeCell ref="A86:B86"/>
    <mergeCell ref="C74:D74"/>
    <mergeCell ref="C75:D75"/>
    <mergeCell ref="C78:D78"/>
    <mergeCell ref="C79:D79"/>
    <mergeCell ref="C80:D80"/>
    <mergeCell ref="A80:B80"/>
    <mergeCell ref="A81:B81"/>
    <mergeCell ref="A82:B82"/>
    <mergeCell ref="E81:F81"/>
    <mergeCell ref="A235:B235"/>
    <mergeCell ref="C89:D89"/>
    <mergeCell ref="C90:D90"/>
    <mergeCell ref="C92:D92"/>
    <mergeCell ref="C94:D94"/>
    <mergeCell ref="C95:D95"/>
    <mergeCell ref="C96:D96"/>
    <mergeCell ref="C97:D97"/>
    <mergeCell ref="D100:D101"/>
    <mergeCell ref="A117:A118"/>
    <mergeCell ref="C117:C118"/>
    <mergeCell ref="D117:D118"/>
    <mergeCell ref="A92:B92"/>
    <mergeCell ref="A95:B95"/>
    <mergeCell ref="A96:B96"/>
    <mergeCell ref="A97:B97"/>
    <mergeCell ref="A103:H103"/>
    <mergeCell ref="A104:B104"/>
    <mergeCell ref="A105:B105"/>
    <mergeCell ref="A106:B106"/>
    <mergeCell ref="A109:B109"/>
    <mergeCell ref="A110:B110"/>
    <mergeCell ref="A111:B111"/>
    <mergeCell ref="A112:B112"/>
    <mergeCell ref="A236:B236"/>
    <mergeCell ref="A237:B237"/>
    <mergeCell ref="A238:B238"/>
    <mergeCell ref="A116:H116"/>
    <mergeCell ref="A99:H99"/>
    <mergeCell ref="B100:B101"/>
    <mergeCell ref="B117:B118"/>
    <mergeCell ref="A242:B242"/>
    <mergeCell ref="A226:H226"/>
    <mergeCell ref="A227:B227"/>
    <mergeCell ref="A228:B228"/>
    <mergeCell ref="A229:B229"/>
    <mergeCell ref="A230:B230"/>
    <mergeCell ref="A231:B231"/>
    <mergeCell ref="A232:B232"/>
    <mergeCell ref="A233:B233"/>
    <mergeCell ref="A234:B234"/>
    <mergeCell ref="A113:B113"/>
    <mergeCell ref="A114:B114"/>
    <mergeCell ref="A115:B115"/>
    <mergeCell ref="E117:E118"/>
    <mergeCell ref="F117:F118"/>
    <mergeCell ref="A119:H119"/>
    <mergeCell ref="A107:B107"/>
    <mergeCell ref="A243:B243"/>
    <mergeCell ref="A244:B244"/>
    <mergeCell ref="A245:B245"/>
    <mergeCell ref="A246:B246"/>
    <mergeCell ref="A247:B247"/>
    <mergeCell ref="A248:B248"/>
    <mergeCell ref="A249:B249"/>
    <mergeCell ref="A250:B250"/>
    <mergeCell ref="A251:B251"/>
    <mergeCell ref="F281:H281"/>
    <mergeCell ref="A267:H267"/>
    <mergeCell ref="A262:B262"/>
    <mergeCell ref="A263:B263"/>
    <mergeCell ref="A264:B264"/>
    <mergeCell ref="A265:B265"/>
    <mergeCell ref="A266:B266"/>
    <mergeCell ref="A268:B268"/>
    <mergeCell ref="A269:B269"/>
    <mergeCell ref="A270:B270"/>
    <mergeCell ref="A271:B271"/>
    <mergeCell ref="A281:E281"/>
    <mergeCell ref="A252:B252"/>
    <mergeCell ref="A253:B253"/>
    <mergeCell ref="A255:B255"/>
    <mergeCell ref="A256:B256"/>
    <mergeCell ref="A257:B257"/>
    <mergeCell ref="A258:B258"/>
    <mergeCell ref="A259:B259"/>
    <mergeCell ref="A260:B260"/>
    <mergeCell ref="A261:B261"/>
    <mergeCell ref="A254:H254"/>
    <mergeCell ref="A368:H368"/>
    <mergeCell ref="A369:H369"/>
    <mergeCell ref="A370:H370"/>
    <mergeCell ref="A371:H371"/>
    <mergeCell ref="A374:H374"/>
    <mergeCell ref="A347:H347"/>
    <mergeCell ref="A348:H348"/>
    <mergeCell ref="A282:E282"/>
    <mergeCell ref="F282:H282"/>
    <mergeCell ref="A296:H296"/>
    <mergeCell ref="A302:H302"/>
    <mergeCell ref="A303:H303"/>
    <mergeCell ref="A304:H304"/>
    <mergeCell ref="A305:H305"/>
    <mergeCell ref="A306:H306"/>
    <mergeCell ref="A307:H307"/>
    <mergeCell ref="A308:H308"/>
    <mergeCell ref="A309:H309"/>
    <mergeCell ref="A310:H310"/>
    <mergeCell ref="A311:H311"/>
    <mergeCell ref="A312:H312"/>
    <mergeCell ref="A313:H313"/>
    <mergeCell ref="A314:H314"/>
    <mergeCell ref="A315:H315"/>
    <mergeCell ref="C346:H346"/>
    <mergeCell ref="A444:B444"/>
    <mergeCell ref="C444:D444"/>
    <mergeCell ref="A346:B346"/>
    <mergeCell ref="A272:B272"/>
    <mergeCell ref="A273:B273"/>
    <mergeCell ref="A274:B274"/>
    <mergeCell ref="A275:B275"/>
    <mergeCell ref="A276:B276"/>
    <mergeCell ref="A277:B277"/>
    <mergeCell ref="A278:B278"/>
    <mergeCell ref="A279:B279"/>
    <mergeCell ref="B284:H284"/>
    <mergeCell ref="A393:H393"/>
    <mergeCell ref="A394:H394"/>
    <mergeCell ref="A395:H395"/>
    <mergeCell ref="A396:H396"/>
    <mergeCell ref="A375:H375"/>
    <mergeCell ref="A376:H376"/>
    <mergeCell ref="A377:H377"/>
    <mergeCell ref="A378:H378"/>
    <mergeCell ref="A379:H379"/>
    <mergeCell ref="A366:H366"/>
    <mergeCell ref="A367:H367"/>
    <mergeCell ref="A120:H120"/>
    <mergeCell ref="A121:H121"/>
    <mergeCell ref="A124:B124"/>
    <mergeCell ref="A125:B125"/>
    <mergeCell ref="A126:B126"/>
    <mergeCell ref="A127:B127"/>
    <mergeCell ref="A128:B128"/>
    <mergeCell ref="A130:B130"/>
    <mergeCell ref="I51:L51"/>
    <mergeCell ref="A108:B108"/>
    <mergeCell ref="A100:A101"/>
    <mergeCell ref="C100:C101"/>
    <mergeCell ref="E100:E101"/>
    <mergeCell ref="F100:F101"/>
    <mergeCell ref="E92:F92"/>
    <mergeCell ref="G92:H92"/>
    <mergeCell ref="E89:F89"/>
    <mergeCell ref="G89:H89"/>
    <mergeCell ref="E90:F90"/>
    <mergeCell ref="G90:H90"/>
    <mergeCell ref="A91:H91"/>
    <mergeCell ref="C81:D81"/>
    <mergeCell ref="C82:D82"/>
    <mergeCell ref="C83:D83"/>
    <mergeCell ref="A147:B147"/>
    <mergeCell ref="A148:B148"/>
    <mergeCell ref="A129:B129"/>
    <mergeCell ref="C128:H129"/>
    <mergeCell ref="A131:B131"/>
    <mergeCell ref="A132:B132"/>
    <mergeCell ref="A133:B133"/>
    <mergeCell ref="C130:H133"/>
    <mergeCell ref="A136:H136"/>
    <mergeCell ref="A139:B139"/>
    <mergeCell ref="A140:B140"/>
    <mergeCell ref="A141:B141"/>
    <mergeCell ref="A142:B142"/>
    <mergeCell ref="A143:B143"/>
    <mergeCell ref="A144:B144"/>
    <mergeCell ref="A145:B145"/>
    <mergeCell ref="A146:B146"/>
    <mergeCell ref="C137:H138"/>
    <mergeCell ref="A138:B138"/>
    <mergeCell ref="A134:B134"/>
    <mergeCell ref="C134:H135"/>
    <mergeCell ref="A135:B135"/>
    <mergeCell ref="A175:B175"/>
    <mergeCell ref="A176:B176"/>
    <mergeCell ref="A177:B177"/>
    <mergeCell ref="A178:B178"/>
    <mergeCell ref="A181:H181"/>
    <mergeCell ref="A184:B184"/>
    <mergeCell ref="A185:B185"/>
    <mergeCell ref="A186:B186"/>
    <mergeCell ref="A187:B187"/>
    <mergeCell ref="A182:B182"/>
    <mergeCell ref="A183:B183"/>
    <mergeCell ref="C182:H185"/>
    <mergeCell ref="A179:B179"/>
    <mergeCell ref="C179:H180"/>
    <mergeCell ref="A180:B180"/>
    <mergeCell ref="A169:B169"/>
    <mergeCell ref="A170:B170"/>
    <mergeCell ref="A171:B171"/>
    <mergeCell ref="A172:B172"/>
    <mergeCell ref="A173:B173"/>
    <mergeCell ref="A174:B174"/>
    <mergeCell ref="A151:H151"/>
    <mergeCell ref="A154:B154"/>
    <mergeCell ref="A155:B155"/>
    <mergeCell ref="A156:B156"/>
    <mergeCell ref="A157:B157"/>
    <mergeCell ref="A158:B158"/>
    <mergeCell ref="A159:B159"/>
    <mergeCell ref="A160:B160"/>
    <mergeCell ref="A161:B161"/>
    <mergeCell ref="A152:B152"/>
    <mergeCell ref="C152:H153"/>
    <mergeCell ref="A153:B153"/>
    <mergeCell ref="A194:B194"/>
    <mergeCell ref="A195:B195"/>
    <mergeCell ref="A196:H196"/>
    <mergeCell ref="A197:B197"/>
    <mergeCell ref="A198:B198"/>
    <mergeCell ref="A192:B192"/>
    <mergeCell ref="A193:B193"/>
    <mergeCell ref="A188:B188"/>
    <mergeCell ref="A189:B189"/>
    <mergeCell ref="A190:B190"/>
    <mergeCell ref="A191:B191"/>
    <mergeCell ref="A216:B216"/>
    <mergeCell ref="C215:H215"/>
    <mergeCell ref="A199:B199"/>
    <mergeCell ref="A200:B200"/>
    <mergeCell ref="A201:B201"/>
    <mergeCell ref="A202:B202"/>
    <mergeCell ref="A203:B203"/>
    <mergeCell ref="A204:B204"/>
    <mergeCell ref="A205:B205"/>
    <mergeCell ref="A206:B206"/>
    <mergeCell ref="A207:B207"/>
    <mergeCell ref="A239:B239"/>
    <mergeCell ref="A240:B240"/>
    <mergeCell ref="C93:D93"/>
    <mergeCell ref="E93:F93"/>
    <mergeCell ref="G93:H93"/>
    <mergeCell ref="A93:A94"/>
    <mergeCell ref="I1:L1"/>
    <mergeCell ref="A217:B217"/>
    <mergeCell ref="A218:B218"/>
    <mergeCell ref="A219:B219"/>
    <mergeCell ref="A220:B220"/>
    <mergeCell ref="A221:B221"/>
    <mergeCell ref="A222:B222"/>
    <mergeCell ref="A223:B223"/>
    <mergeCell ref="A224:B224"/>
    <mergeCell ref="A225:B225"/>
    <mergeCell ref="A208:B208"/>
    <mergeCell ref="A209:B209"/>
    <mergeCell ref="A210:B210"/>
    <mergeCell ref="A211:H211"/>
    <mergeCell ref="A212:B212"/>
    <mergeCell ref="A213:B213"/>
    <mergeCell ref="A214:B214"/>
    <mergeCell ref="A215:B215"/>
  </mergeCells>
  <dataValidations count="7">
    <dataValidation type="list" allowBlank="1" showInputMessage="1" showErrorMessage="1" sqref="A9:B9" xr:uid="{00000000-0002-0000-0000-000000000000}">
      <formula1>"CTS No,Survey No,Plot No,Gut No,FP No,"</formula1>
    </dataValidation>
    <dataValidation type="list" allowBlank="1" showInputMessage="1" showErrorMessage="1" sqref="B117" xr:uid="{00000000-0002-0000-0000-000001000000}">
      <formula1>"Flat No. (Sale Plan),Sale / Rehab,Sale / Mhada"</formula1>
    </dataValidation>
    <dataValidation type="list" allowBlank="1" showInputMessage="1" showErrorMessage="1" sqref="D100 D117" xr:uid="{00000000-0002-0000-0000-000002000000}">
      <formula1>"Carpet area,RERA Carpet area"</formula1>
    </dataValidation>
    <dataValidation type="list" allowBlank="1" showInputMessage="1" showErrorMessage="1" sqref="E117:E118" xr:uid="{00000000-0002-0000-0000-000003000000}">
      <formula1>"Fungible area,Balcony Area,Chajja Area,Cornice Area,AP Area,WS Area"</formula1>
    </dataValidation>
    <dataValidation type="list" allowBlank="1" showInputMessage="1" showErrorMessage="1" sqref="E100:E101" xr:uid="{00000000-0002-0000-0000-000004000000}">
      <formula1>"Attached Loft area,Attached Otla area,Attached Mezzanine area"</formula1>
    </dataValidation>
    <dataValidation type="list" allowBlank="1" showInputMessage="1" showErrorMessage="1" sqref="B100" xr:uid="{00000000-0002-0000-0000-000005000000}">
      <formula1>"Shop No. (Sale Plan),Sale / Rehab,Sale / Mhada"</formula1>
    </dataValidation>
    <dataValidation type="list" allowBlank="1" showInputMessage="1" showErrorMessage="1" sqref="H118 H101" xr:uid="{00000000-0002-0000-0000-000006000000}">
      <formula1>".45,.50,.55,.60"</formula1>
    </dataValidation>
  </dataValidations>
  <hyperlinks>
    <hyperlink ref="C19" r:id="rId1" xr:uid="{62651DFD-3C1F-41B8-A3DF-5AAC1944E137}"/>
  </hyperlinks>
  <printOptions horizontalCentered="1"/>
  <pageMargins left="0.23622047244094491" right="0.23622047244094491" top="0.78740157480314965" bottom="0.70866141732283472" header="0.19685039370078741" footer="0.19685039370078741"/>
  <pageSetup paperSize="2" fitToHeight="0" orientation="portrait" r:id="rId2"/>
  <headerFooter>
    <oddHeader>&amp;C&amp;G</oddHeader>
    <oddFooter>&amp;L&amp;"Times New Roman,Bold"&amp;F&amp;R&amp;"Times New Roman,Bold"&amp;P</oddFooter>
  </headerFooter>
  <rowBreaks count="6" manualBreakCount="6">
    <brk id="30" max="7" man="1"/>
    <brk id="53" max="7" man="1"/>
    <brk id="97" max="16383" man="1"/>
    <brk id="294" max="7" man="1"/>
    <brk id="345" max="7" man="1"/>
    <brk id="396" max="7"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3"/>
  <sheetViews>
    <sheetView zoomScale="115" zoomScaleNormal="115" workbookViewId="0">
      <selection activeCell="C1" sqref="A1:XFD13"/>
    </sheetView>
  </sheetViews>
  <sheetFormatPr defaultRowHeight="14.4" x14ac:dyDescent="0.3"/>
  <cols>
    <col min="1" max="1" width="24.109375" customWidth="1"/>
    <col min="2" max="6" width="17.5546875" customWidth="1"/>
    <col min="7" max="7" width="10.44140625" customWidth="1"/>
  </cols>
  <sheetData>
    <row r="1" spans="1:8" x14ac:dyDescent="0.3">
      <c r="A1" s="288" t="s">
        <v>112</v>
      </c>
      <c r="B1" s="289"/>
      <c r="C1" s="9" t="s">
        <v>58</v>
      </c>
      <c r="D1" s="9" t="s">
        <v>59</v>
      </c>
      <c r="E1" s="9" t="s">
        <v>60</v>
      </c>
      <c r="F1" s="10" t="s">
        <v>46</v>
      </c>
    </row>
    <row r="2" spans="1:8" x14ac:dyDescent="0.3">
      <c r="A2" s="290"/>
      <c r="B2" s="291"/>
      <c r="C2" s="7">
        <v>0</v>
      </c>
      <c r="D2" s="23">
        <v>1</v>
      </c>
      <c r="E2" s="7">
        <v>0</v>
      </c>
      <c r="F2" s="8">
        <f ca="1">--TRIM(RIGHT(SUBSTITUTE(LEFT(A1,_xlfn.AGGREGATE(16,6,FIND({0,1,2,3,4,5,6,7,8,9},A1,ROW(INDIRECT("1:"&amp;LEN(A1)))),1))," ",REPT(" ",LEN(A1))),LEN(A1)))</f>
        <v>3</v>
      </c>
    </row>
    <row r="3" spans="1:8" x14ac:dyDescent="0.3">
      <c r="A3" s="2" t="s">
        <v>61</v>
      </c>
      <c r="B3" s="3" t="s">
        <v>62</v>
      </c>
      <c r="C3" s="21" t="s">
        <v>63</v>
      </c>
      <c r="D3" s="24" t="s">
        <v>56</v>
      </c>
      <c r="E3" s="292" t="s">
        <v>133</v>
      </c>
      <c r="F3" s="293"/>
      <c r="G3" s="33" t="s">
        <v>64</v>
      </c>
      <c r="H3" s="28">
        <f ca="1">F2*25%</f>
        <v>0.75</v>
      </c>
    </row>
    <row r="4" spans="1:8" x14ac:dyDescent="0.3">
      <c r="A4" s="2" t="s">
        <v>65</v>
      </c>
      <c r="B4" s="4">
        <f ca="1">H5</f>
        <v>3</v>
      </c>
      <c r="C4" s="22">
        <f ca="1">((100/F2)*B4)/100</f>
        <v>1</v>
      </c>
      <c r="D4" s="26" t="str">
        <f ca="1">IF(C13=100%,"All work Completed. Possession granted to the Building.",IF(C12=100%,"All work Completed, Waiting for OC",D10&amp;""&amp;D11&amp;""&amp;D9&amp;""&amp;D12&amp;" "&amp;D13))</f>
        <v xml:space="preserve">Excavation, Plinth, RCC Slab, Brickwork Completed </v>
      </c>
      <c r="E4" s="294" t="str">
        <f ca="1">D4</f>
        <v xml:space="preserve">Excavation, Plinth, RCC Slab, Brickwork Completed </v>
      </c>
      <c r="F4" s="295"/>
      <c r="G4" s="1" t="s">
        <v>66</v>
      </c>
      <c r="H4" s="29">
        <f ca="1">F2*50%</f>
        <v>1.5</v>
      </c>
    </row>
    <row r="5" spans="1:8" x14ac:dyDescent="0.3">
      <c r="A5" s="2" t="s">
        <v>67</v>
      </c>
      <c r="B5" s="5">
        <f ca="1">H13</f>
        <v>3</v>
      </c>
      <c r="C5" s="22">
        <f ca="1">((100/F2)*B5)/100</f>
        <v>1</v>
      </c>
      <c r="D5" s="27"/>
      <c r="E5" s="296"/>
      <c r="F5" s="297"/>
      <c r="G5" s="1" t="s">
        <v>68</v>
      </c>
      <c r="H5" s="29">
        <f ca="1">F2</f>
        <v>3</v>
      </c>
    </row>
    <row r="6" spans="1:8" x14ac:dyDescent="0.3">
      <c r="A6" s="2" t="s">
        <v>69</v>
      </c>
      <c r="B6" s="5">
        <v>4</v>
      </c>
      <c r="C6" s="22">
        <f ca="1">((100/(D2+E2+F2))*B6)/100</f>
        <v>1</v>
      </c>
      <c r="D6" s="27"/>
      <c r="E6" s="296"/>
      <c r="F6" s="297"/>
      <c r="G6" s="1" t="s">
        <v>70</v>
      </c>
      <c r="H6" s="30">
        <f ca="1">(IF(C2&gt;1,(F2/(C2+2)),F2/4))</f>
        <v>0.75</v>
      </c>
    </row>
    <row r="7" spans="1:8" x14ac:dyDescent="0.3">
      <c r="A7" s="2" t="s">
        <v>71</v>
      </c>
      <c r="B7" s="4">
        <v>3</v>
      </c>
      <c r="C7" s="22">
        <f ca="1">((100/F2)*B7)/100</f>
        <v>1</v>
      </c>
      <c r="D7" s="27"/>
      <c r="E7" s="296"/>
      <c r="F7" s="297"/>
      <c r="G7" s="1" t="s">
        <v>72</v>
      </c>
      <c r="H7" s="30">
        <f ca="1">(IF(C2&gt;1,(F2/(C2+2)+H6),F2/4+H6))</f>
        <v>1.5</v>
      </c>
    </row>
    <row r="8" spans="1:8" x14ac:dyDescent="0.3">
      <c r="A8" s="2" t="s">
        <v>73</v>
      </c>
      <c r="B8" s="4">
        <v>0</v>
      </c>
      <c r="C8" s="22">
        <f ca="1">((100/F2)*B8)/100</f>
        <v>0</v>
      </c>
      <c r="D8" s="25">
        <f ca="1">(((B5/F2*10)+(40/(D2+E2+F2)*B6)+(15/(F2)*B7)+(5/(F2)*B8)+(5/F2*B9)+(10/F2*B10)+(5/F2*B11)+(5/F2*B12)+(5/F2*B13))/100)</f>
        <v>0.65</v>
      </c>
      <c r="E8" s="296"/>
      <c r="F8" s="297"/>
      <c r="G8" s="1" t="s">
        <v>74</v>
      </c>
      <c r="H8" s="30">
        <f>(IF(C2&gt;1,(F2/(C2+2)+H7),0))</f>
        <v>0</v>
      </c>
    </row>
    <row r="9" spans="1:8" x14ac:dyDescent="0.3">
      <c r="A9" s="2" t="s">
        <v>75</v>
      </c>
      <c r="B9" s="4">
        <v>0</v>
      </c>
      <c r="C9" s="22">
        <f ca="1">((100/(F2))*B9)/100</f>
        <v>0</v>
      </c>
      <c r="D9" s="27" t="str">
        <f ca="1">(IF(B4=0,"Work not yet Started.",IF(C4=25%,"Piling work in process",IF(C4=50%,"Excavation work in process",IF(C4=100%,"","0")))))&amp;(IF(B5=0%,"",IF(B5=H6,", Footing work is process",IF(B5=H7,", Footing work Completed",IF(B5=H8,", 1st Basement Completed",IF(B5=H9,", 1st &amp; 2nd Basement Completed",IF(B5=H10,", 1st to 3rd Basement Completed",IF(B5=H11,", 1st to 4th Basement Completed",IF(B5=H12,", Plinth work is process",IF(B5=H13,"","0"))))))))))</f>
        <v/>
      </c>
      <c r="E9" s="296"/>
      <c r="F9" s="297"/>
      <c r="G9" s="1" t="s">
        <v>76</v>
      </c>
      <c r="H9" s="30">
        <f>(IF(C2&gt;2,(F2/(C2+2)+H8),0))</f>
        <v>0</v>
      </c>
    </row>
    <row r="10" spans="1:8" x14ac:dyDescent="0.3">
      <c r="A10" s="2" t="s">
        <v>77</v>
      </c>
      <c r="B10" s="4">
        <v>0</v>
      </c>
      <c r="C10" s="22">
        <f ca="1">((100/F2)*B10)/100</f>
        <v>0</v>
      </c>
      <c r="D10" s="27" t="str">
        <f ca="1">IF(C4=100%,"Excavation","")&amp;IF(C5=100%,", Plinth","")&amp;IF(C6=100%,", RCC Slab","")&amp;IF(C7=100%,", Brickwork","")&amp;IF(C8=100%,", Internal Plaster","")&amp;IF(C9=100%,", External Plaster","")&amp;IF(C10=100%,", Flooring","")&amp;IF(C11=100%,", Painting","")&amp;IF(C12=100%,", Building common Amenities","")</f>
        <v>Excavation, Plinth, RCC Slab, Brickwork</v>
      </c>
      <c r="E10" s="296"/>
      <c r="F10" s="297"/>
      <c r="G10" s="1" t="s">
        <v>78</v>
      </c>
      <c r="H10" s="31">
        <f>(IF(C2&gt;3,(F2/(C2+2)+H9),0))</f>
        <v>0</v>
      </c>
    </row>
    <row r="11" spans="1:8" x14ac:dyDescent="0.3">
      <c r="A11" s="2" t="s">
        <v>79</v>
      </c>
      <c r="B11" s="4">
        <v>0</v>
      </c>
      <c r="C11" s="22">
        <f ca="1">((100/F2)*B11)/100</f>
        <v>0</v>
      </c>
      <c r="D11" s="27" t="str">
        <f ca="1">IF(D10&lt;&gt;""," Completed","")</f>
        <v xml:space="preserve"> Completed</v>
      </c>
      <c r="E11" s="296"/>
      <c r="F11" s="297"/>
      <c r="G11" s="1" t="s">
        <v>80</v>
      </c>
      <c r="H11" s="30">
        <f>(IF(C2&gt;4,(F2/(C2+2)+H10),0))</f>
        <v>0</v>
      </c>
    </row>
    <row r="12" spans="1:8" x14ac:dyDescent="0.3">
      <c r="A12" s="2" t="s">
        <v>81</v>
      </c>
      <c r="B12" s="4">
        <v>0</v>
      </c>
      <c r="C12" s="22">
        <f ca="1">((100/(F2))*B12)/100</f>
        <v>0</v>
      </c>
      <c r="D12" s="27" t="str">
        <f ca="1">(IF(B6=(D2+E2+F2),"",IF(B6&gt;0,", RCC upto "&amp;B6&amp;" Slab","")))&amp;(IF(B7=F2,"",IF(B7&gt;0,", Brickwork upto "&amp;B7&amp;" Floor","")))&amp;(IF(B8=F2,"",IF(B8&gt;0,", Internal Plaster upto "&amp;B8&amp;" Floor","")))&amp;(IF(B9=F2,"",IF(B9&gt;0,", External Plaster upto "&amp;B9&amp;" Floor","")))&amp;(IF(B10=F2,"",IF(B10&gt;0,", Flooring upto "&amp;B10&amp;" Floor","")))&amp;(IF(B11=F2,"",IF(B11&gt;0,", Painting upto "&amp;B11&amp;" Floor","")))&amp;(IF(B12=F2,"",IF(B12&gt;0,", Finishing upto "&amp;B12&amp;" Floor","")))&amp;(IF(B13=F2,"",IF(B13&gt;0,", Possession upto "&amp;B13&amp;" Floor","")))</f>
        <v/>
      </c>
      <c r="E12" s="296"/>
      <c r="F12" s="297"/>
      <c r="G12" s="1" t="s">
        <v>82</v>
      </c>
      <c r="H12" s="30">
        <f ca="1">(IF(C2=1,(F2/(C2+3)+H7),IF(C2=0,(F2/4+H7),IF(C2&gt;1,0))))</f>
        <v>2.25</v>
      </c>
    </row>
    <row r="13" spans="1:8" ht="15" thickBot="1" x14ac:dyDescent="0.35">
      <c r="A13" s="35" t="s">
        <v>83</v>
      </c>
      <c r="B13" s="36">
        <v>0</v>
      </c>
      <c r="C13" s="37">
        <f ca="1">((100/(F2))*B13)/100</f>
        <v>0</v>
      </c>
      <c r="D13" s="38" t="str">
        <f ca="1">IF(D12&lt;&gt;"","Completed","")</f>
        <v/>
      </c>
      <c r="E13" s="298"/>
      <c r="F13" s="299"/>
      <c r="G13" s="34" t="s">
        <v>84</v>
      </c>
      <c r="H13" s="32">
        <f ca="1">(IF(C2&gt;1.5,(F2/(C2+2)+H7+MAX(0,H8-H7)+MAX(0,H9-H8)+MAX(0,H10-H9)+MAX(0,H11-H10)+MAX(0,H12-H11)),IF(C2=1,(F2/(C2+3)+H12),IF(C2=0,F2/4+H12))))</f>
        <v>3</v>
      </c>
    </row>
  </sheetData>
  <mergeCells count="3">
    <mergeCell ref="A1:B2"/>
    <mergeCell ref="E3:F3"/>
    <mergeCell ref="E4:F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Report</vt:lpstr>
      <vt:lpstr>C%</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MANGESH AMDEKAR</dc:creator>
  <cp:lastModifiedBy>USER</cp:lastModifiedBy>
  <cp:lastPrinted>2025-07-28T11:02:16Z</cp:lastPrinted>
  <dcterms:created xsi:type="dcterms:W3CDTF">2019-01-21T04:29:02Z</dcterms:created>
  <dcterms:modified xsi:type="dcterms:W3CDTF">2025-07-28T11:08:35Z</dcterms:modified>
</cp:coreProperties>
</file>