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18-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Report!$A$1:$H$436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64" i="1" l="1"/>
  <c r="J219" i="1"/>
  <c r="J220" i="1"/>
  <c r="J221" i="1"/>
  <c r="J222" i="1"/>
  <c r="J223" i="1"/>
  <c r="J208" i="1"/>
  <c r="J209" i="1"/>
  <c r="J210" i="1"/>
  <c r="J211" i="1"/>
  <c r="J212" i="1"/>
  <c r="J213" i="1"/>
  <c r="J214" i="1"/>
  <c r="J215" i="1"/>
  <c r="J216" i="1"/>
  <c r="J217" i="1"/>
  <c r="J218" i="1"/>
  <c r="J207" i="1"/>
  <c r="G193" i="1"/>
  <c r="E202" i="1"/>
  <c r="G202" i="1"/>
  <c r="G201" i="1"/>
  <c r="E201" i="1"/>
  <c r="G200" i="1"/>
  <c r="E200" i="1"/>
  <c r="E199" i="1"/>
  <c r="E198" i="1"/>
  <c r="G197" i="1"/>
  <c r="E197" i="1"/>
  <c r="E207" i="1"/>
  <c r="E208" i="1"/>
  <c r="E209" i="1"/>
  <c r="E210" i="1"/>
  <c r="E211" i="1"/>
  <c r="E212" i="1"/>
  <c r="E213" i="1"/>
  <c r="K193" i="1"/>
  <c r="I147" i="1"/>
  <c r="E43" i="1"/>
  <c r="J193" i="1" l="1"/>
  <c r="J118" i="1" s="1"/>
  <c r="J202" i="1"/>
  <c r="M238" i="1"/>
  <c r="M224" i="1"/>
  <c r="G195" i="1"/>
  <c r="M167" i="1"/>
  <c r="G254" i="1"/>
  <c r="G253" i="1"/>
  <c r="G247" i="1"/>
  <c r="G246" i="1"/>
  <c r="E255" i="1"/>
  <c r="E254" i="1"/>
  <c r="E253" i="1"/>
  <c r="E252" i="1"/>
  <c r="E251" i="1"/>
  <c r="E250" i="1"/>
  <c r="E249" i="1"/>
  <c r="E248" i="1"/>
  <c r="E247" i="1"/>
  <c r="E246" i="1"/>
  <c r="D255" i="1"/>
  <c r="F255" i="1" s="1"/>
  <c r="D254" i="1"/>
  <c r="D253" i="1"/>
  <c r="D252" i="1"/>
  <c r="F252" i="1" s="1"/>
  <c r="D251" i="1"/>
  <c r="D250" i="1"/>
  <c r="D249" i="1"/>
  <c r="D248" i="1"/>
  <c r="D247" i="1"/>
  <c r="D246" i="1"/>
  <c r="D245" i="1"/>
  <c r="E245" i="1"/>
  <c r="E241" i="1"/>
  <c r="F241" i="1" s="1"/>
  <c r="M241" i="1" s="1"/>
  <c r="D241" i="1"/>
  <c r="E240" i="1"/>
  <c r="D240" i="1"/>
  <c r="E239" i="1"/>
  <c r="D239" i="1"/>
  <c r="E237" i="1"/>
  <c r="D237" i="1"/>
  <c r="E236" i="1"/>
  <c r="F236" i="1" s="1"/>
  <c r="M236" i="1" s="1"/>
  <c r="D236" i="1"/>
  <c r="E235" i="1"/>
  <c r="D235" i="1"/>
  <c r="E234" i="1"/>
  <c r="D234" i="1"/>
  <c r="E233" i="1"/>
  <c r="D233" i="1"/>
  <c r="F233" i="1" s="1"/>
  <c r="M233" i="1" s="1"/>
  <c r="E232" i="1"/>
  <c r="D232" i="1"/>
  <c r="E231" i="1"/>
  <c r="D231" i="1"/>
  <c r="E230" i="1"/>
  <c r="D230" i="1"/>
  <c r="F230" i="1" s="1"/>
  <c r="M230" i="1" s="1"/>
  <c r="E229" i="1"/>
  <c r="D229" i="1"/>
  <c r="F229" i="1" s="1"/>
  <c r="M229" i="1" s="1"/>
  <c r="E228" i="1"/>
  <c r="F228" i="1" s="1"/>
  <c r="M228" i="1" s="1"/>
  <c r="D228" i="1"/>
  <c r="E227" i="1"/>
  <c r="D227" i="1"/>
  <c r="E226" i="1"/>
  <c r="D226" i="1"/>
  <c r="E225" i="1"/>
  <c r="D225" i="1"/>
  <c r="E223" i="1"/>
  <c r="D223" i="1"/>
  <c r="E222" i="1"/>
  <c r="D222" i="1"/>
  <c r="E221" i="1"/>
  <c r="D221" i="1"/>
  <c r="E220" i="1"/>
  <c r="D220" i="1"/>
  <c r="F220" i="1" s="1"/>
  <c r="M220" i="1" s="1"/>
  <c r="E219" i="1"/>
  <c r="F219" i="1" s="1"/>
  <c r="M219" i="1" s="1"/>
  <c r="D219" i="1"/>
  <c r="E218" i="1"/>
  <c r="D218" i="1"/>
  <c r="E217" i="1"/>
  <c r="D217" i="1"/>
  <c r="E216" i="1"/>
  <c r="D216" i="1"/>
  <c r="E215" i="1"/>
  <c r="F215" i="1" s="1"/>
  <c r="M215" i="1" s="1"/>
  <c r="D215" i="1"/>
  <c r="E214" i="1"/>
  <c r="D214" i="1"/>
  <c r="D213" i="1"/>
  <c r="F213" i="1" s="1"/>
  <c r="M213" i="1" s="1"/>
  <c r="D212" i="1"/>
  <c r="D211" i="1"/>
  <c r="F211" i="1" s="1"/>
  <c r="M211" i="1" s="1"/>
  <c r="D210" i="1"/>
  <c r="F210" i="1" s="1"/>
  <c r="M210" i="1" s="1"/>
  <c r="D209" i="1"/>
  <c r="D208" i="1"/>
  <c r="D207" i="1"/>
  <c r="G203" i="1"/>
  <c r="G196" i="1"/>
  <c r="G194" i="1"/>
  <c r="D205" i="1"/>
  <c r="D204" i="1"/>
  <c r="E203" i="1"/>
  <c r="D203" i="1"/>
  <c r="D202" i="1"/>
  <c r="D201" i="1"/>
  <c r="D200" i="1"/>
  <c r="D199" i="1"/>
  <c r="D198" i="1"/>
  <c r="D197" i="1"/>
  <c r="E196" i="1"/>
  <c r="D196" i="1"/>
  <c r="E195" i="1"/>
  <c r="D195" i="1"/>
  <c r="E194" i="1"/>
  <c r="D194" i="1"/>
  <c r="E193" i="1"/>
  <c r="D193" i="1"/>
  <c r="D187" i="1"/>
  <c r="D186" i="1"/>
  <c r="D185" i="1"/>
  <c r="D184" i="1"/>
  <c r="D183" i="1"/>
  <c r="D182" i="1"/>
  <c r="D181" i="1"/>
  <c r="D180" i="1"/>
  <c r="D179" i="1"/>
  <c r="D178" i="1"/>
  <c r="D177" i="1"/>
  <c r="D176" i="1"/>
  <c r="D175" i="1"/>
  <c r="D174" i="1"/>
  <c r="D173" i="1"/>
  <c r="D172" i="1"/>
  <c r="D171" i="1"/>
  <c r="D170" i="1"/>
  <c r="D169" i="1"/>
  <c r="D168" i="1"/>
  <c r="D166" i="1"/>
  <c r="D165" i="1"/>
  <c r="D164" i="1"/>
  <c r="D163" i="1"/>
  <c r="D162" i="1"/>
  <c r="D161" i="1"/>
  <c r="D160" i="1"/>
  <c r="D159" i="1"/>
  <c r="D158" i="1"/>
  <c r="D157" i="1"/>
  <c r="D156" i="1"/>
  <c r="D155" i="1"/>
  <c r="D154" i="1"/>
  <c r="D153" i="1"/>
  <c r="D152" i="1"/>
  <c r="D151" i="1"/>
  <c r="D150" i="1"/>
  <c r="D149" i="1"/>
  <c r="D148" i="1"/>
  <c r="D147" i="1"/>
  <c r="D146" i="1"/>
  <c r="F253" i="1"/>
  <c r="F248" i="1"/>
  <c r="F245" i="1"/>
  <c r="A244" i="1"/>
  <c r="A245" i="1" s="1"/>
  <c r="A246" i="1" s="1"/>
  <c r="A247" i="1" s="1"/>
  <c r="A248" i="1" s="1"/>
  <c r="A249" i="1" s="1"/>
  <c r="A250" i="1" s="1"/>
  <c r="A251" i="1" s="1"/>
  <c r="A252" i="1" s="1"/>
  <c r="A253" i="1" s="1"/>
  <c r="A254" i="1" s="1"/>
  <c r="A255" i="1" s="1"/>
  <c r="A256" i="1" s="1"/>
  <c r="A257" i="1" s="1"/>
  <c r="A258" i="1" s="1"/>
  <c r="A259" i="1" s="1"/>
  <c r="F237" i="1"/>
  <c r="M237" i="1" s="1"/>
  <c r="F235" i="1"/>
  <c r="M235" i="1" s="1"/>
  <c r="F227" i="1"/>
  <c r="M227" i="1" s="1"/>
  <c r="A226" i="1"/>
  <c r="A227" i="1" s="1"/>
  <c r="A228" i="1" s="1"/>
  <c r="A229" i="1" s="1"/>
  <c r="A230" i="1" s="1"/>
  <c r="A231" i="1" s="1"/>
  <c r="A232" i="1" s="1"/>
  <c r="A233" i="1" s="1"/>
  <c r="A234" i="1" s="1"/>
  <c r="A235" i="1" s="1"/>
  <c r="A236" i="1" s="1"/>
  <c r="A237" i="1" s="1"/>
  <c r="A238" i="1" s="1"/>
  <c r="A239" i="1" s="1"/>
  <c r="A240" i="1" s="1"/>
  <c r="A241" i="1" s="1"/>
  <c r="F225" i="1"/>
  <c r="M225" i="1" s="1"/>
  <c r="F208" i="1"/>
  <c r="M208" i="1" s="1"/>
  <c r="A208" i="1"/>
  <c r="A209" i="1" s="1"/>
  <c r="A210" i="1" s="1"/>
  <c r="A211" i="1" s="1"/>
  <c r="A212" i="1" s="1"/>
  <c r="A213" i="1" s="1"/>
  <c r="A214" i="1" s="1"/>
  <c r="A215" i="1" s="1"/>
  <c r="A216" i="1" s="1"/>
  <c r="A217" i="1" s="1"/>
  <c r="A218" i="1" s="1"/>
  <c r="A219" i="1" s="1"/>
  <c r="A220" i="1" s="1"/>
  <c r="A221" i="1" s="1"/>
  <c r="A222" i="1" s="1"/>
  <c r="A223" i="1" s="1"/>
  <c r="F217" i="1" l="1"/>
  <c r="M217" i="1" s="1"/>
  <c r="F234" i="1"/>
  <c r="M234" i="1" s="1"/>
  <c r="F221" i="1"/>
  <c r="M221" i="1" s="1"/>
  <c r="F239" i="1"/>
  <c r="M239" i="1" s="1"/>
  <c r="F216" i="1"/>
  <c r="M216" i="1" s="1"/>
  <c r="F231" i="1"/>
  <c r="M231" i="1" s="1"/>
  <c r="F226" i="1"/>
  <c r="M226" i="1" s="1"/>
  <c r="F240" i="1"/>
  <c r="M240" i="1" s="1"/>
  <c r="F249" i="1"/>
  <c r="F218" i="1"/>
  <c r="M218" i="1" s="1"/>
  <c r="F232" i="1"/>
  <c r="M232" i="1" s="1"/>
  <c r="F212" i="1"/>
  <c r="M212" i="1" s="1"/>
  <c r="F247" i="1"/>
  <c r="F250" i="1"/>
  <c r="F251" i="1"/>
  <c r="F254" i="1"/>
  <c r="F246" i="1"/>
  <c r="F223" i="1"/>
  <c r="M223" i="1" s="1"/>
  <c r="F222" i="1"/>
  <c r="M222" i="1" s="1"/>
  <c r="F214" i="1"/>
  <c r="M214" i="1" s="1"/>
  <c r="F209" i="1"/>
  <c r="M209" i="1" s="1"/>
  <c r="F207" i="1"/>
  <c r="M207" i="1" s="1"/>
  <c r="I193" i="1"/>
  <c r="F204" i="1"/>
  <c r="M204" i="1" s="1"/>
  <c r="F202" i="1"/>
  <c r="M202" i="1" s="1"/>
  <c r="F205" i="1"/>
  <c r="M205" i="1" s="1"/>
  <c r="I146" i="1"/>
  <c r="F186" i="1"/>
  <c r="H186" i="1" s="1"/>
  <c r="F184" i="1"/>
  <c r="H184" i="1" s="1"/>
  <c r="F183" i="1"/>
  <c r="H183" i="1" s="1"/>
  <c r="F182" i="1"/>
  <c r="H182" i="1" s="1"/>
  <c r="F181" i="1"/>
  <c r="H181" i="1" s="1"/>
  <c r="F180" i="1"/>
  <c r="H180" i="1" s="1"/>
  <c r="F179" i="1"/>
  <c r="F177" i="1"/>
  <c r="F175" i="1"/>
  <c r="F173" i="1"/>
  <c r="F171" i="1"/>
  <c r="F170" i="1"/>
  <c r="F169" i="1"/>
  <c r="F168" i="1"/>
  <c r="M168" i="1" s="1"/>
  <c r="F166" i="1"/>
  <c r="F165" i="1"/>
  <c r="F164" i="1"/>
  <c r="F162" i="1"/>
  <c r="F161" i="1"/>
  <c r="F160" i="1"/>
  <c r="F159" i="1"/>
  <c r="F158" i="1"/>
  <c r="F156" i="1"/>
  <c r="F155" i="1"/>
  <c r="F152" i="1"/>
  <c r="F153" i="1"/>
  <c r="F151" i="1"/>
  <c r="F150" i="1"/>
  <c r="F187" i="1"/>
  <c r="H187" i="1" s="1"/>
  <c r="F185" i="1"/>
  <c r="H185" i="1" s="1"/>
  <c r="F178" i="1"/>
  <c r="F176" i="1"/>
  <c r="F174" i="1"/>
  <c r="F172" i="1"/>
  <c r="A169" i="1"/>
  <c r="A170" i="1" s="1"/>
  <c r="A171" i="1" s="1"/>
  <c r="A172" i="1" s="1"/>
  <c r="A173" i="1" s="1"/>
  <c r="A174" i="1" s="1"/>
  <c r="A175" i="1" s="1"/>
  <c r="A176" i="1" s="1"/>
  <c r="A177" i="1" s="1"/>
  <c r="A178" i="1" s="1"/>
  <c r="A179" i="1" s="1"/>
  <c r="A180" i="1" s="1"/>
  <c r="A181" i="1" s="1"/>
  <c r="A182" i="1" s="1"/>
  <c r="A183" i="1" s="1"/>
  <c r="A184" i="1" s="1"/>
  <c r="A185" i="1" s="1"/>
  <c r="A186" i="1" s="1"/>
  <c r="A187" i="1" s="1"/>
  <c r="F163" i="1"/>
  <c r="F157" i="1"/>
  <c r="F154" i="1"/>
  <c r="I43" i="1"/>
  <c r="H157" i="1" l="1"/>
  <c r="M157" i="1"/>
  <c r="H169" i="1"/>
  <c r="M169" i="1"/>
  <c r="H151" i="1"/>
  <c r="M151" i="1"/>
  <c r="H171" i="1"/>
  <c r="M171" i="1"/>
  <c r="H174" i="1"/>
  <c r="M174" i="1"/>
  <c r="M152" i="1"/>
  <c r="H152" i="1"/>
  <c r="H175" i="1"/>
  <c r="M175" i="1"/>
  <c r="M165" i="1"/>
  <c r="H165" i="1"/>
  <c r="H177" i="1"/>
  <c r="M177" i="1"/>
  <c r="M163" i="1"/>
  <c r="H163" i="1"/>
  <c r="H150" i="1"/>
  <c r="M150" i="1"/>
  <c r="H170" i="1"/>
  <c r="M170" i="1"/>
  <c r="H161" i="1"/>
  <c r="M161" i="1"/>
  <c r="M153" i="1"/>
  <c r="H153" i="1"/>
  <c r="H176" i="1"/>
  <c r="M176" i="1"/>
  <c r="H155" i="1"/>
  <c r="M155" i="1"/>
  <c r="H178" i="1"/>
  <c r="M178" i="1"/>
  <c r="H156" i="1"/>
  <c r="M156" i="1"/>
  <c r="M166" i="1"/>
  <c r="H166" i="1"/>
  <c r="H179" i="1"/>
  <c r="M179" i="1"/>
  <c r="H159" i="1"/>
  <c r="M159" i="1"/>
  <c r="H160" i="1"/>
  <c r="M160" i="1"/>
  <c r="H172" i="1"/>
  <c r="M172" i="1"/>
  <c r="M162" i="1"/>
  <c r="H162" i="1"/>
  <c r="H173" i="1"/>
  <c r="M173" i="1"/>
  <c r="M164" i="1"/>
  <c r="H164" i="1"/>
  <c r="M154" i="1"/>
  <c r="H154" i="1"/>
  <c r="H158" i="1"/>
  <c r="M158" i="1"/>
  <c r="H168" i="1"/>
  <c r="E134" i="1"/>
  <c r="C134" i="1"/>
  <c r="F197" i="1"/>
  <c r="M197" i="1" s="1"/>
  <c r="F203" i="1"/>
  <c r="M203" i="1" s="1"/>
  <c r="F201" i="1"/>
  <c r="M201" i="1" s="1"/>
  <c r="F200" i="1"/>
  <c r="M200" i="1" s="1"/>
  <c r="F199" i="1"/>
  <c r="M199" i="1" s="1"/>
  <c r="F198" i="1"/>
  <c r="M198" i="1" s="1"/>
  <c r="L38" i="7"/>
  <c r="I38" i="7"/>
  <c r="E38" i="7"/>
  <c r="L37" i="7"/>
  <c r="I37" i="7"/>
  <c r="E37" i="7"/>
  <c r="L32" i="7"/>
  <c r="I32" i="7"/>
  <c r="E32" i="7"/>
  <c r="L31" i="7"/>
  <c r="I31" i="7"/>
  <c r="E31" i="7"/>
  <c r="L27" i="7"/>
  <c r="I27" i="7"/>
  <c r="E27" i="7"/>
  <c r="L26" i="7"/>
  <c r="I26" i="7"/>
  <c r="E26" i="7"/>
  <c r="L25" i="7"/>
  <c r="I25" i="7"/>
  <c r="E25" i="7"/>
  <c r="L41" i="7"/>
  <c r="I41" i="7"/>
  <c r="E41" i="7"/>
  <c r="L40" i="7"/>
  <c r="I40" i="7"/>
  <c r="E40" i="7"/>
  <c r="L39" i="7"/>
  <c r="I39" i="7"/>
  <c r="E39" i="7"/>
  <c r="L36" i="7"/>
  <c r="I36" i="7"/>
  <c r="E36" i="7"/>
  <c r="L35" i="7"/>
  <c r="I35" i="7"/>
  <c r="E35" i="7"/>
  <c r="L34" i="7"/>
  <c r="I34" i="7"/>
  <c r="E34" i="7"/>
  <c r="L33" i="7"/>
  <c r="I33" i="7"/>
  <c r="E33" i="7"/>
  <c r="L30" i="7"/>
  <c r="I30" i="7"/>
  <c r="E30" i="7"/>
  <c r="L29" i="7"/>
  <c r="I29" i="7"/>
  <c r="E29" i="7"/>
  <c r="L28" i="7"/>
  <c r="I28" i="7"/>
  <c r="E28"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G134" i="1" l="1"/>
  <c r="E42" i="7"/>
  <c r="I42" i="7"/>
  <c r="H42" i="7" s="1"/>
  <c r="L42" i="7"/>
  <c r="K42" i="7" s="1"/>
  <c r="E44" i="7" l="1"/>
  <c r="D42" i="7"/>
  <c r="D44" i="7" s="1"/>
  <c r="E31" i="1"/>
  <c r="B286" i="1" l="1"/>
  <c r="F147" i="1" l="1"/>
  <c r="F148" i="1"/>
  <c r="F149" i="1"/>
  <c r="F146" i="1"/>
  <c r="H146" i="1" s="1"/>
  <c r="H149" i="1" l="1"/>
  <c r="M149" i="1"/>
  <c r="H148" i="1"/>
  <c r="M148" i="1"/>
  <c r="H147" i="1"/>
  <c r="M147" i="1"/>
  <c r="G133" i="1"/>
  <c r="G135" i="1" s="1"/>
  <c r="E133" i="1"/>
  <c r="E135" i="1" s="1"/>
  <c r="M146" i="1"/>
  <c r="C133" i="1"/>
  <c r="C135" i="1" s="1"/>
  <c r="S33" i="1"/>
  <c r="F11" i="5" l="1"/>
  <c r="G11" i="5" s="1"/>
  <c r="F10" i="5"/>
  <c r="G10" i="5" s="1"/>
  <c r="F9" i="5"/>
  <c r="G9" i="5" s="1"/>
  <c r="F8" i="5"/>
  <c r="G8" i="5" s="1"/>
  <c r="F7" i="5"/>
  <c r="G7" i="5" s="1"/>
  <c r="F6" i="5"/>
  <c r="G6" i="5" s="1"/>
  <c r="F5" i="5"/>
  <c r="G5" i="5" s="1"/>
  <c r="G12" i="5" s="1"/>
  <c r="D308" i="1"/>
  <c r="B287" i="1"/>
  <c r="F283" i="1"/>
  <c r="H283" i="1" s="1"/>
  <c r="F282" i="1"/>
  <c r="H282" i="1" s="1"/>
  <c r="F281" i="1"/>
  <c r="H281" i="1" s="1"/>
  <c r="F280" i="1"/>
  <c r="H280" i="1" s="1"/>
  <c r="F279" i="1"/>
  <c r="H279" i="1" s="1"/>
  <c r="F277" i="1"/>
  <c r="H277" i="1" s="1"/>
  <c r="F276" i="1"/>
  <c r="H276" i="1" s="1"/>
  <c r="F275" i="1"/>
  <c r="H275" i="1" s="1"/>
  <c r="F274" i="1"/>
  <c r="H274" i="1" s="1"/>
  <c r="F273" i="1"/>
  <c r="H273" i="1" s="1"/>
  <c r="F271" i="1"/>
  <c r="H271" i="1" s="1"/>
  <c r="F270" i="1"/>
  <c r="H270" i="1" s="1"/>
  <c r="F269" i="1"/>
  <c r="H269" i="1" s="1"/>
  <c r="F268" i="1"/>
  <c r="H268" i="1" s="1"/>
  <c r="F267" i="1"/>
  <c r="H267" i="1" s="1"/>
  <c r="F265" i="1"/>
  <c r="H265" i="1" s="1"/>
  <c r="F264" i="1"/>
  <c r="H264" i="1" s="1"/>
  <c r="F263" i="1"/>
  <c r="H263" i="1" s="1"/>
  <c r="F262" i="1"/>
  <c r="H262" i="1" s="1"/>
  <c r="F261" i="1"/>
  <c r="H261" i="1" s="1"/>
  <c r="A261" i="1"/>
  <c r="A262" i="1" s="1"/>
  <c r="A263" i="1" s="1"/>
  <c r="A264" i="1" s="1"/>
  <c r="A265" i="1" s="1"/>
  <c r="F196" i="1"/>
  <c r="M196" i="1" s="1"/>
  <c r="F195" i="1"/>
  <c r="M195" i="1" s="1"/>
  <c r="F194" i="1"/>
  <c r="M194" i="1" s="1"/>
  <c r="A194" i="1"/>
  <c r="A195" i="1" s="1"/>
  <c r="A196" i="1" s="1"/>
  <c r="A197" i="1" s="1"/>
  <c r="A198" i="1" s="1"/>
  <c r="A199" i="1" s="1"/>
  <c r="A200" i="1" s="1"/>
  <c r="A201" i="1" s="1"/>
  <c r="A202" i="1" s="1"/>
  <c r="A203" i="1" s="1"/>
  <c r="A204" i="1" s="1"/>
  <c r="A205" i="1" s="1"/>
  <c r="F193" i="1"/>
  <c r="A147" i="1"/>
  <c r="A148" i="1" s="1"/>
  <c r="A149" i="1" s="1"/>
  <c r="A150" i="1" s="1"/>
  <c r="A151" i="1" s="1"/>
  <c r="A152" i="1" s="1"/>
  <c r="A153" i="1" s="1"/>
  <c r="A154" i="1" s="1"/>
  <c r="A155" i="1" s="1"/>
  <c r="A156" i="1" s="1"/>
  <c r="A157" i="1" s="1"/>
  <c r="A158" i="1" s="1"/>
  <c r="A159" i="1" s="1"/>
  <c r="A160" i="1" s="1"/>
  <c r="A161" i="1" s="1"/>
  <c r="A162" i="1" s="1"/>
  <c r="A163" i="1" s="1"/>
  <c r="A164" i="1" s="1"/>
  <c r="A165" i="1" s="1"/>
  <c r="A166" i="1" s="1"/>
  <c r="F130" i="1"/>
  <c r="C103" i="1"/>
  <c r="C89" i="1"/>
  <c r="C75" i="1"/>
  <c r="D69" i="1"/>
  <c r="D62" i="1"/>
  <c r="G51" i="1"/>
  <c r="G52" i="1" s="1"/>
  <c r="C51" i="1"/>
  <c r="C52" i="1" s="1"/>
  <c r="E44" i="1"/>
  <c r="E45" i="1" s="1"/>
  <c r="E28" i="1"/>
  <c r="E26" i="1"/>
  <c r="C16" i="1"/>
  <c r="I15" i="1"/>
  <c r="Z13" i="1"/>
  <c r="E8" i="1"/>
  <c r="E3" i="1"/>
  <c r="A279" i="1"/>
  <c r="A267" i="1"/>
  <c r="H76" i="1"/>
  <c r="A273" i="1"/>
  <c r="H90" i="1"/>
  <c r="H104" i="1"/>
  <c r="C138" i="1" l="1"/>
  <c r="C139" i="1" s="1"/>
  <c r="C140" i="1" s="1"/>
  <c r="M193" i="1"/>
  <c r="G138" i="1"/>
  <c r="G139" i="1" s="1"/>
  <c r="G140" i="1" s="1"/>
  <c r="E138" i="1"/>
  <c r="E139" i="1" s="1"/>
  <c r="E140" i="1" s="1"/>
  <c r="J75" i="1"/>
  <c r="J77" i="1" s="1"/>
  <c r="J78" i="1"/>
  <c r="J79" i="1"/>
  <c r="J80" i="1"/>
  <c r="C79" i="1" s="1"/>
  <c r="J94" i="1"/>
  <c r="D98" i="1"/>
  <c r="D100" i="1"/>
  <c r="J93" i="1"/>
  <c r="D99" i="1"/>
  <c r="J89" i="1"/>
  <c r="J91" i="1" s="1"/>
  <c r="D97" i="1"/>
  <c r="J92" i="1"/>
  <c r="D96" i="1"/>
  <c r="D102" i="1"/>
  <c r="D101" i="1"/>
  <c r="D95" i="1"/>
  <c r="D83" i="1"/>
  <c r="D85" i="1"/>
  <c r="D84" i="1"/>
  <c r="D88" i="1"/>
  <c r="D82" i="1"/>
  <c r="D87" i="1"/>
  <c r="D81" i="1"/>
  <c r="D86" i="1"/>
  <c r="C109" i="1"/>
  <c r="J103" i="1" s="1"/>
  <c r="J105" i="1" s="1"/>
  <c r="D112" i="1"/>
  <c r="D114" i="1"/>
  <c r="J108" i="1"/>
  <c r="C107" i="1" s="1"/>
  <c r="D107" i="1" s="1"/>
  <c r="D113" i="1"/>
  <c r="J107" i="1"/>
  <c r="D111" i="1"/>
  <c r="J106" i="1"/>
  <c r="D110" i="1"/>
  <c r="D116" i="1"/>
  <c r="D115" i="1"/>
  <c r="B104" i="1"/>
  <c r="B90" i="1"/>
  <c r="B76" i="1"/>
  <c r="J81" i="1" s="1"/>
  <c r="A280" i="1"/>
  <c r="A274" i="1"/>
  <c r="A268" i="1"/>
  <c r="C93" i="1" l="1"/>
  <c r="D93" i="1" s="1"/>
  <c r="D79" i="1"/>
  <c r="D109" i="1"/>
  <c r="J114" i="1"/>
  <c r="J111" i="1"/>
  <c r="J113" i="1"/>
  <c r="J112" i="1"/>
  <c r="J109" i="1"/>
  <c r="J110" i="1" s="1"/>
  <c r="J115" i="1" s="1"/>
  <c r="J116" i="1" s="1"/>
  <c r="C108" i="1" s="1"/>
  <c r="E107" i="1" s="1"/>
  <c r="J100" i="1"/>
  <c r="J97" i="1"/>
  <c r="J99" i="1"/>
  <c r="J98" i="1"/>
  <c r="J95" i="1"/>
  <c r="J96" i="1" s="1"/>
  <c r="J85" i="1"/>
  <c r="J83" i="1"/>
  <c r="J84" i="1"/>
  <c r="J82" i="1"/>
  <c r="J87" i="1" s="1"/>
  <c r="J88" i="1" s="1"/>
  <c r="C80" i="1" s="1"/>
  <c r="J86" i="1"/>
  <c r="A269" i="1"/>
  <c r="A281" i="1"/>
  <c r="A275" i="1"/>
  <c r="J76" i="1" l="1"/>
  <c r="J101" i="1"/>
  <c r="J102" i="1" s="1"/>
  <c r="D108" i="1"/>
  <c r="I104" i="1" s="1"/>
  <c r="J104" i="1"/>
  <c r="G107" i="1"/>
  <c r="E79" i="1"/>
  <c r="D80" i="1"/>
  <c r="I76" i="1" s="1"/>
  <c r="G79" i="1"/>
  <c r="D73" i="1" s="1"/>
  <c r="A282" i="1"/>
  <c r="A270" i="1"/>
  <c r="A276" i="1"/>
  <c r="C94" i="1" l="1"/>
  <c r="F74" i="1"/>
  <c r="D74" i="1"/>
  <c r="I105" i="1"/>
  <c r="I103" i="1" s="1"/>
  <c r="C105" i="1" s="1"/>
  <c r="I77" i="1"/>
  <c r="I75" i="1" s="1"/>
  <c r="C77" i="1" s="1"/>
  <c r="A277" i="1"/>
  <c r="A271" i="1"/>
  <c r="A283" i="1"/>
  <c r="D94" i="1" l="1"/>
  <c r="I90" i="1" s="1"/>
  <c r="I91" i="1" s="1"/>
  <c r="E93" i="1"/>
  <c r="G93" i="1"/>
  <c r="J90" i="1"/>
  <c r="I89" i="1" l="1"/>
  <c r="C91"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90"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<sst xmlns="http://schemas.openxmlformats.org/spreadsheetml/2006/main" count="763" uniqueCount="395">
  <si>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</si>
  <si>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</si>
  <si>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</si>
  <si>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</si>
  <si>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</si>
  <si>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</si>
  <si>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</si>
  <si>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</si>
  <si>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</si>
  <si>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</si>
  <si>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</si>
  <si>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</si>
  <si>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</si>
  <si>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</si>
  <si>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</si>
  <si>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</si>
  <si>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</si>
  <si>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</si>
  <si>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</si>
  <si>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</si>
  <si>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</si>
  <si>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</si>
  <si>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</si>
  <si>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</si>
  <si>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</si>
  <si>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</si>
  <si>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</si>
  <si>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</si>
  <si>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</si>
  <si>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</si>
  <si>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</si>
  <si>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</si>
  <si>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</si>
  <si>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</si>
  <si>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</si>
  <si>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</si>
  <si>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</si>
  <si>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</si>
  <si>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</si>
  <si>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</si>
  <si>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</si>
  <si>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</si>
  <si>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</si>
  <si>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</si>
  <si>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</si>
  <si>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</si>
  <si>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</si>
  <si>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</si>
  <si>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</si>
  <si>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</si>
  <si>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</si>
  <si>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</si>
  <si>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</si>
  <si>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</si>
  <si>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</si>
  <si>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</si>
  <si>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</si>
  <si>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</si>
  <si>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</si>
  <si>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</si>
  <si>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</si>
  <si>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</si>
  <si>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</si>
  <si>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</si>
  <si>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</si>
  <si>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</si>
  <si>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</si>
  <si>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</si>
  <si>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</si>
  <si>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</si>
  <si>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</si>
  <si>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</si>
  <si>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</si>
  <si>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</si>
  <si>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</si>
  <si>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</si>
  <si>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</si>
  <si>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</si>
  <si>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</si>
  <si>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</si>
  <si>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</si>
  <si>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</si>
  <si>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</si>
  <si>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</si>
  <si>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</si>
  <si>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</si>
  <si>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</si>
  <si>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</si>
  <si>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</si>
  <si>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</si>
  <si>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</si>
  <si>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</si>
  <si>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</si>
  <si>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</si>
  <si>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</si>
  <si>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</si>
  <si>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</si>
  <si>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</si>
  <si>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</si>
  <si>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</si>
  <si>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</si>
  <si>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</si>
  <si>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</si>
  <si>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</si>
  <si>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</si>
  <si>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</si>
  <si>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</si>
  <si>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</si>
  <si>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</si>
  <si>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</si>
  <si>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</si>
  <si>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</si>
  <si>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</si>
  <si>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</si>
  <si>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</si>
  <si>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</si>
  <si>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</si>
  <si>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</si>
  <si>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t>01 Building</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</si>
  <si>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</si>
  <si>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</si>
  <si>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</si>
  <si>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</si>
  <si>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</si>
  <si>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</si>
  <si>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</si>
  <si>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</si>
  <si>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</si>
  <si>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</si>
  <si>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</si>
  <si>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</si>
  <si>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</si>
  <si>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</si>
  <si>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</si>
  <si>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</si>
  <si>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</si>
  <si>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</si>
  <si>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</si>
  <si>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</si>
  <si>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</si>
  <si>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</si>
  <si>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</si>
  <si>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</si>
  <si>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</si>
  <si>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</si>
  <si>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</si>
  <si>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</si>
  <si>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</si>
  <si>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</si>
  <si>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</si>
  <si>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</si>
  <si>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</si>
  <si>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</si>
  <si>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</si>
  <si>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</si>
  <si>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</si>
  <si>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</si>
  <si>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</si>
  <si>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</si>
  <si>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</si>
  <si>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</si>
  <si>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</si>
  <si>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</si>
  <si>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</si>
  <si>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</si>
  <si>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</si>
  <si>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</si>
  <si>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</si>
  <si>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</si>
  <si>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</si>
  <si>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</si>
  <si>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</si>
  <si>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</si>
  <si>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</si>
  <si>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</si>
  <si>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</si>
  <si>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</si>
  <si>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</si>
  <si>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</si>
  <si>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</si>
  <si>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</si>
  <si>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</si>
  <si>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</si>
  <si>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</si>
  <si>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</si>
  <si>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</si>
  <si>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</si>
  <si>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</si>
  <si>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</si>
  <si>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</si>
  <si>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</si>
  <si>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</si>
  <si>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</si>
  <si>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</si>
  <si>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</si>
  <si>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</si>
  <si>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</si>
  <si>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</si>
  <si>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</si>
  <si>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</si>
  <si>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</si>
  <si>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</si>
  <si>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</si>
  <si>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</si>
  <si>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</si>
  <si>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</si>
  <si>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</si>
  <si>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</si>
  <si>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</si>
  <si>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</si>
  <si>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</si>
  <si>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</si>
  <si>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</si>
  <si>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</si>
  <si>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</si>
  <si>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</si>
  <si>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</si>
  <si>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</si>
  <si>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</si>
  <si>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</si>
  <si>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</si>
  <si>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</si>
  <si>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</si>
  <si>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</si>
  <si>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</si>
  <si>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</si>
  <si>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</si>
  <si>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</si>
  <si>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</si>
  <si>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</si>
  <si>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</si>
  <si>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</si>
  <si>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</si>
  <si>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</si>
  <si>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</si>
  <si>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</si>
  <si>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</si>
  <si>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</si>
  <si>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</si>
  <si>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</si>
  <si>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</si>
  <si>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</si>
  <si>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</si>
  <si>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</si>
  <si>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</si>
  <si>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</si>
  <si>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</si>
  <si>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</si>
  <si>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</si>
  <si>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</si>
  <si>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</si>
  <si>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</si>
  <si>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</si>
  <si>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</si>
  <si>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</si>
  <si>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</si>
  <si>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</si>
  <si>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</si>
  <si>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</si>
  <si>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</si>
  <si>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</si>
  <si>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</si>
  <si>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</si>
  <si>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</si>
  <si>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</si>
  <si>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</si>
  <si>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</si>
  <si>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</si>
  <si>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</si>
  <si>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</si>
  <si>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</si>
  <si>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</si>
  <si>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</si>
  <si>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</si>
  <si>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</si>
  <si>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</si>
  <si>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</si>
  <si>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</si>
  <si>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</si>
  <si>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</si>
  <si>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</si>
  <si>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</si>
  <si>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</si>
  <si>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</si>
  <si>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</si>
  <si>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</si>
  <si>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</si>
  <si>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</si>
  <si>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</si>
  <si>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</si>
  <si>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</si>
  <si>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</si>
  <si>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</si>
  <si>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</si>
  <si>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</si>
  <si>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</si>
  <si>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</si>
  <si>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</si>
  <si>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</si>
  <si>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</si>
  <si>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</si>
  <si>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</si>
  <si>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</si>
  <si>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</si>
  <si>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</si>
  <si>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</si>
  <si>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</si>
  <si>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</si>
  <si>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CC on 08/05/2015 still building is still under construction.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</si>
  <si>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</si>
  <si>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</si>
  <si>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</si>
  <si>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</si>
  <si>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</si>
  <si>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</si>
  <si>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</si>
  <si>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</si>
  <si>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</si>
  <si>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</si>
  <si>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</si>
  <si>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</si>
  <si>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</si>
  <si>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</si>
  <si>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</si>
  <si>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</si>
  <si>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</si>
  <si>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</si>
  <si>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</si>
  <si>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</si>
  <si>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</si>
  <si>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</si>
  <si>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</si>
  <si>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</si>
  <si>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</si>
  <si>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</si>
  <si>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</si>
  <si>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</si>
  <si>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</si>
  <si>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Pooja Kawale</t>
  </si>
  <si>
    <t>Dani Enterprises</t>
  </si>
  <si>
    <t>Dani Sky</t>
  </si>
  <si>
    <t>Arvindkumar Prasar : 8419911777</t>
  </si>
  <si>
    <t>P52000055395</t>
  </si>
  <si>
    <t>Plot No</t>
  </si>
  <si>
    <t>13, Sector : 06</t>
  </si>
  <si>
    <t>https://maps.app.goo.gl/Q2PsYsAkNuWGTvas8</t>
  </si>
  <si>
    <t>18.9657682,73.072183</t>
  </si>
  <si>
    <t>Pushpak Nagar</t>
  </si>
  <si>
    <t>Pushpak (Dapoli)</t>
  </si>
  <si>
    <t>Narmada Classic U/C Plot</t>
  </si>
  <si>
    <t>Internal Road</t>
  </si>
  <si>
    <t>Plot No.14</t>
  </si>
  <si>
    <t>18.00 M.Wide Road</t>
  </si>
  <si>
    <t>CIDCO/BP-18732/TPO(NM &amp; K)/2023/11680</t>
  </si>
  <si>
    <t>As per RERA - 31/12/2027</t>
  </si>
  <si>
    <t>Ground Floor for Commercial, Meter Room &amp; Parking</t>
  </si>
  <si>
    <t>Shop</t>
  </si>
  <si>
    <t>Office</t>
  </si>
  <si>
    <t>1st Floor for Commercial &amp; Parking</t>
  </si>
  <si>
    <t>1BHK</t>
  </si>
  <si>
    <t>2BHK</t>
  </si>
  <si>
    <t>8th Floor (Part Refuge Area)</t>
  </si>
  <si>
    <t>1RK</t>
  </si>
  <si>
    <t>11th Floor (Part Terrace Area)</t>
  </si>
  <si>
    <t>Terrace Area</t>
  </si>
  <si>
    <t>2nd to 3rd Podium Floor for Parking</t>
  </si>
  <si>
    <t>Gr/Stilt + 1st Floor + P2 + P3 + 4th to 11th Floor</t>
  </si>
  <si>
    <t>Gr/Stilt + 1st Floor + P2 + P3 + 4th to 13th Floor</t>
  </si>
  <si>
    <t>Flats</t>
  </si>
  <si>
    <t>Refuge Area</t>
  </si>
  <si>
    <t>Flats - 125, Shops - 21, Offices - 20</t>
  </si>
  <si>
    <t>Fitness Center, Fire Fighting System, Lift, Parking Area, 24*7 water supply</t>
  </si>
  <si>
    <r>
      <t xml:space="preserve">Proposed Amenities :                                                                                                                                                                                                                         </t>
    </r>
    <r>
      <rPr>
        <b/>
        <sz val="12"/>
        <rFont val="Times New Roman"/>
        <family val="1"/>
      </rPr>
      <t xml:space="preserve">                                               </t>
    </r>
  </si>
  <si>
    <r>
      <t xml:space="preserve">Shop No.
</t>
    </r>
    <r>
      <rPr>
        <b/>
        <sz val="11"/>
        <rFont val="Times New Roman"/>
        <family val="1"/>
      </rPr>
      <t>(Approved Plan)</t>
    </r>
  </si>
  <si>
    <r>
      <t xml:space="preserve">Flat No.
</t>
    </r>
    <r>
      <rPr>
        <b/>
        <sz val="11"/>
        <rFont val="Times New Roman"/>
        <family val="1"/>
      </rPr>
      <t>(Approved Plan)</t>
    </r>
  </si>
  <si>
    <t>Builder Saleable Area</t>
  </si>
  <si>
    <t>Construction work is in process at the time of Visit (labour found).</t>
  </si>
  <si>
    <t>We considered Gross carpet area = Net carpet + Balcony + Chajja Area.</t>
  </si>
  <si>
    <t>M.S.E.B. Charges</t>
  </si>
  <si>
    <t>Online</t>
  </si>
  <si>
    <t>Cost Sheet</t>
  </si>
  <si>
    <t>Visitor</t>
  </si>
  <si>
    <t>MIS</t>
  </si>
  <si>
    <t>Approved Plans, CC, Builder Saleable Area, Cost Sheet</t>
  </si>
  <si>
    <t>Ravindra</t>
  </si>
  <si>
    <t>Narmada Classic U/C Bldg</t>
  </si>
  <si>
    <t>Open Plot</t>
  </si>
  <si>
    <t>Plot No.12 &amp; 11</t>
  </si>
  <si>
    <t>20.00 M.Wide Road/ Plot No. 40</t>
  </si>
  <si>
    <t>4th Floor for Residential, Fitness Center/Society Office, Garden &amp; Drivers Room</t>
  </si>
  <si>
    <t>5th to 7th, 9th &amp; 10th Floor</t>
  </si>
  <si>
    <t>5300 to 5500</t>
  </si>
  <si>
    <t>Gr/Stilt + 1st to 11th Floor
Total Built Up Area = 8928.22 Sq.M. 
(Residential Units = 125 Nos. &amp; Commercial Units = 42 Nos.)</t>
  </si>
  <si>
    <t>7.5 KM from Khandeshwar Railway Station</t>
  </si>
  <si>
    <t>Supriya : 9819573777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</si>
</sst>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0"/>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
      <sz val="11"/>
      <color rgb="FFFF0000"/>
      <name val="Times New Roman"/>
      <family val="1"/>
    </font>
    <font>
      <b/>
      <sz val="11.5"/>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9" fillId="0" borderId="0"/>
    <xf numFmtId="9"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cellStyleXfs>
  <cellXfs count="265">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8"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7" fillId="0" borderId="1" xfId="5" applyNumberFormat="1" applyFont="1" applyBorder="1" applyAlignment="1">
      <alignment horizontal="center" vertical="center"/>
    </xf>
    <xf numFmtId="0" fontId="4" fillId="0" borderId="1" xfId="4" applyBorder="1" applyAlignment="1">
      <alignment horizontal="center" vertical="center"/>
    </xf>
    <xf numFmtId="0" fontId="16" fillId="0" borderId="0" xfId="0" applyFont="1" applyProtection="1">
      <protection hidden="1"/>
    </xf>
    <xf numFmtId="0" fontId="13" fillId="0" borderId="1" xfId="1" applyFont="1" applyBorder="1" applyAlignment="1" applyProtection="1">
      <alignment horizontal="center" vertical="top"/>
      <protection locked="0"/>
    </xf>
    <xf numFmtId="0" fontId="16" fillId="0" borderId="11" xfId="0" applyFont="1" applyBorder="1" applyProtection="1">
      <protection hidden="1"/>
    </xf>
    <xf numFmtId="0" fontId="10" fillId="0" borderId="4" xfId="1" applyFont="1" applyBorder="1" applyAlignment="1" applyProtection="1">
      <alignment horizontal="center" vertical="top"/>
      <protection locked="0"/>
    </xf>
    <xf numFmtId="0" fontId="10" fillId="0" borderId="5"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9" fontId="6" fillId="0" borderId="1" xfId="8" applyFont="1" applyFill="1" applyBorder="1" applyAlignment="1" applyProtection="1">
      <alignment horizontal="center" vertical="top" wrapText="1"/>
      <protection locked="0"/>
    </xf>
    <xf numFmtId="9" fontId="6" fillId="0" borderId="7" xfId="8" applyFont="1" applyFill="1" applyBorder="1" applyAlignment="1" applyProtection="1">
      <alignment horizontal="center"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1" fillId="0" borderId="0" xfId="1" applyFont="1"/>
    <xf numFmtId="0" fontId="6" fillId="0" borderId="10" xfId="1" applyFont="1" applyBorder="1"/>
    <xf numFmtId="0" fontId="16"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protection locked="0"/>
    </xf>
    <xf numFmtId="0" fontId="5" fillId="0" borderId="1" xfId="1" applyFont="1" applyBorder="1" applyAlignment="1" applyProtection="1">
      <alignment horizontal="center" vertical="top"/>
      <protection locked="0"/>
    </xf>
    <xf numFmtId="0" fontId="22" fillId="2" borderId="30" xfId="0" applyFont="1" applyFill="1" applyBorder="1"/>
    <xf numFmtId="0" fontId="23" fillId="0" borderId="31" xfId="0" applyFont="1" applyBorder="1"/>
    <xf numFmtId="0" fontId="23" fillId="0" borderId="1" xfId="0" applyFont="1" applyBorder="1"/>
    <xf numFmtId="0" fontId="23" fillId="0" borderId="5" xfId="0" applyFont="1" applyBorder="1"/>
    <xf numFmtId="0" fontId="10" fillId="0" borderId="1" xfId="1" applyFont="1" applyBorder="1" applyAlignment="1" applyProtection="1">
      <alignment horizontal="center" vertical="top"/>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6" fillId="0" borderId="1"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1" fontId="13" fillId="0" borderId="1" xfId="1" applyNumberFormat="1" applyFont="1" applyBorder="1" applyAlignment="1" applyProtection="1">
      <alignment horizontal="center" vertical="top" wrapText="1"/>
      <protection locked="0"/>
    </xf>
    <xf numFmtId="1" fontId="5"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8"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25" xfId="1" applyFont="1" applyBorder="1" applyAlignment="1">
      <alignment horizontal="center"/>
    </xf>
    <xf numFmtId="0" fontId="6" fillId="0" borderId="0" xfId="1" applyFont="1" applyAlignment="1">
      <alignment horizontal="center"/>
    </xf>
    <xf numFmtId="168" fontId="6" fillId="0" borderId="0" xfId="1" applyNumberFormat="1" applyFont="1"/>
    <xf numFmtId="9" fontId="10" fillId="0" borderId="1" xfId="8" applyFont="1" applyFill="1" applyBorder="1" applyAlignment="1" applyProtection="1">
      <alignment horizontal="center" vertical="top" wrapText="1"/>
      <protection locked="0"/>
    </xf>
    <xf numFmtId="0" fontId="13" fillId="0" borderId="0" xfId="1" applyFont="1" applyAlignment="1">
      <alignment horizontal="center" vertical="center"/>
    </xf>
    <xf numFmtId="0" fontId="10" fillId="0" borderId="0" xfId="1" applyFont="1" applyAlignment="1">
      <alignment horizontal="center" vertical="center"/>
    </xf>
    <xf numFmtId="0" fontId="21" fillId="0" borderId="0" xfId="1" applyFont="1" applyAlignment="1">
      <alignment horizontal="center" vertical="center"/>
    </xf>
    <xf numFmtId="0" fontId="5" fillId="0" borderId="0" xfId="2" applyFont="1" applyAlignment="1">
      <alignment horizontal="center" vertical="center"/>
    </xf>
    <xf numFmtId="164" fontId="6" fillId="0" borderId="0" xfId="1" applyNumberFormat="1" applyFont="1" applyAlignment="1">
      <alignment horizontal="center" vertical="center"/>
    </xf>
    <xf numFmtId="1" fontId="6" fillId="0" borderId="1" xfId="1" applyNumberFormat="1" applyFont="1" applyBorder="1" applyAlignment="1">
      <alignment horizontal="center" vertical="center"/>
    </xf>
    <xf numFmtId="0" fontId="6" fillId="0" borderId="1" xfId="1" applyFont="1" applyBorder="1" applyAlignment="1">
      <alignment horizontal="center" vertical="center"/>
    </xf>
    <xf numFmtId="1" fontId="11" fillId="0" borderId="3" xfId="1" applyNumberFormat="1" applyFont="1" applyBorder="1" applyAlignment="1" applyProtection="1">
      <alignment horizontal="center" vertical="top" wrapText="1"/>
      <protection locked="0"/>
    </xf>
    <xf numFmtId="9" fontId="11" fillId="0" borderId="16"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center" wrapText="1"/>
      <protection locked="0"/>
    </xf>
    <xf numFmtId="1" fontId="10" fillId="0" borderId="1" xfId="1" applyNumberFormat="1" applyFont="1" applyBorder="1" applyAlignment="1">
      <alignment horizontal="center" vertical="center"/>
    </xf>
    <xf numFmtId="1" fontId="10" fillId="0" borderId="1" xfId="1" applyNumberFormat="1" applyFont="1" applyFill="1" applyBorder="1" applyAlignment="1" applyProtection="1">
      <alignment horizontal="center" vertical="center" wrapText="1"/>
      <protection locked="0"/>
    </xf>
    <xf numFmtId="0" fontId="29" fillId="0" borderId="0" xfId="1" applyFont="1" applyAlignment="1">
      <alignment horizontal="center" vertical="center"/>
    </xf>
    <xf numFmtId="0" fontId="13" fillId="0" borderId="0" xfId="2" applyFont="1" applyAlignment="1">
      <alignment horizontal="center" vertical="center"/>
    </xf>
    <xf numFmtId="1" fontId="13" fillId="0" borderId="0" xfId="1" applyNumberFormat="1" applyFont="1" applyAlignment="1">
      <alignment horizontal="center" vertical="center"/>
    </xf>
    <xf numFmtId="1" fontId="10" fillId="0" borderId="1" xfId="1" applyNumberFormat="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1" fontId="5" fillId="0" borderId="8" xfId="1" applyNumberFormat="1" applyFont="1" applyBorder="1" applyAlignment="1" applyProtection="1">
      <alignment horizontal="center" vertical="center" wrapText="1"/>
      <protection locked="0"/>
    </xf>
    <xf numFmtId="1" fontId="5" fillId="0" borderId="9"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11" fillId="0" borderId="21" xfId="1" applyNumberFormat="1" applyFont="1" applyBorder="1" applyAlignment="1" applyProtection="1">
      <alignment horizontal="center" vertical="center" wrapText="1"/>
      <protection locked="0"/>
    </xf>
    <xf numFmtId="1" fontId="11" fillId="0" borderId="9" xfId="1" applyNumberFormat="1" applyFont="1" applyBorder="1" applyAlignment="1" applyProtection="1">
      <alignment horizontal="center" vertical="center" wrapText="1"/>
      <protection locked="0"/>
    </xf>
    <xf numFmtId="1" fontId="10" fillId="0" borderId="8" xfId="1" applyNumberFormat="1" applyFont="1" applyBorder="1" applyAlignment="1" applyProtection="1">
      <alignment horizontal="center" vertical="center" wrapText="1"/>
      <protection locked="0"/>
    </xf>
    <xf numFmtId="1" fontId="10" fillId="0" borderId="9"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1" fontId="7" fillId="0" borderId="9" xfId="1" applyNumberFormat="1" applyFont="1" applyBorder="1" applyAlignment="1" applyProtection="1">
      <alignment horizontal="center" vertical="center" wrapText="1"/>
      <protection locked="0"/>
    </xf>
    <xf numFmtId="164" fontId="5" fillId="0" borderId="1" xfId="1" applyNumberFormat="1" applyFont="1" applyBorder="1" applyAlignment="1" applyProtection="1">
      <alignment horizontal="left" vertical="top"/>
      <protection locked="0"/>
    </xf>
    <xf numFmtId="0" fontId="5" fillId="0" borderId="1" xfId="1" applyFont="1" applyBorder="1" applyAlignment="1" applyProtection="1">
      <alignment horizontal="left" vertical="top"/>
      <protection locked="0"/>
    </xf>
    <xf numFmtId="0" fontId="7" fillId="0" borderId="22" xfId="1" applyFont="1" applyBorder="1" applyAlignment="1" applyProtection="1">
      <alignment horizontal="left" vertical="top" wrapText="1"/>
      <protection locked="0"/>
    </xf>
    <xf numFmtId="0" fontId="7" fillId="0" borderId="15" xfId="1" applyFont="1" applyBorder="1" applyAlignment="1" applyProtection="1">
      <alignment horizontal="left" vertical="top" wrapText="1"/>
      <protection locked="0"/>
    </xf>
    <xf numFmtId="0" fontId="7" fillId="0" borderId="13" xfId="1" applyFont="1" applyBorder="1" applyAlignment="1" applyProtection="1">
      <alignment horizontal="left" vertical="top" wrapText="1"/>
      <protection locked="0"/>
    </xf>
    <xf numFmtId="0" fontId="7" fillId="0" borderId="14" xfId="1" applyFont="1" applyBorder="1" applyAlignment="1" applyProtection="1">
      <alignment horizontal="left" vertical="top" wrapText="1"/>
      <protection locked="0"/>
    </xf>
    <xf numFmtId="0" fontId="7" fillId="0" borderId="23" xfId="1" applyFont="1" applyBorder="1" applyAlignment="1" applyProtection="1">
      <alignment horizontal="left" vertical="top" wrapText="1"/>
      <protection locked="0"/>
    </xf>
    <xf numFmtId="0" fontId="10" fillId="0" borderId="1" xfId="1" applyFont="1" applyBorder="1" applyAlignment="1" applyProtection="1">
      <alignment horizontal="center" vertical="top" wrapText="1"/>
      <protection locked="0"/>
    </xf>
    <xf numFmtId="0" fontId="5" fillId="0" borderId="8" xfId="1" applyFont="1" applyBorder="1" applyAlignment="1" applyProtection="1">
      <alignment horizontal="left" vertical="top" wrapText="1"/>
      <protection locked="0"/>
    </xf>
    <xf numFmtId="0" fontId="5" fillId="0" borderId="9" xfId="1" applyFont="1" applyBorder="1" applyAlignment="1" applyProtection="1">
      <alignment horizontal="left" vertical="top" wrapText="1"/>
      <protection locked="0"/>
    </xf>
    <xf numFmtId="0" fontId="5" fillId="0" borderId="21" xfId="1" applyFont="1" applyBorder="1" applyAlignment="1" applyProtection="1">
      <alignment horizontal="left" vertical="top" wrapText="1"/>
      <protection locked="0"/>
    </xf>
    <xf numFmtId="0" fontId="13" fillId="0" borderId="19" xfId="1" applyFont="1" applyBorder="1" applyAlignment="1" applyProtection="1">
      <alignment horizontal="left" vertical="top"/>
      <protection locked="0"/>
    </xf>
    <xf numFmtId="0" fontId="13" fillId="0" borderId="2" xfId="1" applyFont="1" applyBorder="1" applyAlignment="1" applyProtection="1">
      <alignment horizontal="left" vertical="top"/>
      <protection locked="0"/>
    </xf>
    <xf numFmtId="0" fontId="13" fillId="0" borderId="20" xfId="1" applyFont="1" applyBorder="1" applyAlignment="1" applyProtection="1">
      <alignment horizontal="left" vertical="top"/>
      <protection locked="0"/>
    </xf>
    <xf numFmtId="0" fontId="10" fillId="0" borderId="17" xfId="1" applyFont="1" applyBorder="1" applyAlignment="1" applyProtection="1">
      <alignment horizontal="left" vertical="top" wrapText="1"/>
      <protection locked="0"/>
    </xf>
    <xf numFmtId="0" fontId="10" fillId="0" borderId="24" xfId="1" applyFont="1" applyBorder="1" applyAlignment="1" applyProtection="1">
      <alignment horizontal="left" vertical="top" wrapText="1"/>
      <protection locked="0"/>
    </xf>
    <xf numFmtId="0" fontId="10" fillId="0" borderId="25" xfId="1" applyFont="1" applyBorder="1" applyAlignment="1" applyProtection="1">
      <alignment horizontal="left" vertical="top" wrapText="1"/>
      <protection locked="0"/>
    </xf>
    <xf numFmtId="0" fontId="10" fillId="0" borderId="0" xfId="1" applyFont="1" applyAlignment="1" applyProtection="1">
      <alignment horizontal="left" vertical="top" wrapText="1"/>
      <protection locked="0"/>
    </xf>
    <xf numFmtId="0" fontId="10" fillId="0" borderId="19" xfId="1" applyFont="1" applyBorder="1" applyAlignment="1" applyProtection="1">
      <alignment horizontal="left" vertical="top" wrapText="1"/>
      <protection locked="0"/>
    </xf>
    <xf numFmtId="0" fontId="10" fillId="0" borderId="2"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13" fillId="0" borderId="25" xfId="1" applyFont="1" applyBorder="1" applyAlignment="1" applyProtection="1">
      <alignment horizontal="left" vertical="top"/>
      <protection locked="0"/>
    </xf>
    <xf numFmtId="0" fontId="13" fillId="0" borderId="0" xfId="1" applyFont="1" applyAlignment="1" applyProtection="1">
      <alignment horizontal="left" vertical="top"/>
      <protection locked="0"/>
    </xf>
    <xf numFmtId="0" fontId="13" fillId="0" borderId="26" xfId="1" applyFont="1" applyBorder="1" applyAlignment="1" applyProtection="1">
      <alignment horizontal="left" vertical="top"/>
      <protection locked="0"/>
    </xf>
    <xf numFmtId="0" fontId="6" fillId="0" borderId="1" xfId="1" applyFont="1" applyBorder="1" applyAlignment="1" applyProtection="1">
      <alignment horizontal="center" vertical="top" wrapText="1"/>
      <protection locked="0"/>
    </xf>
    <xf numFmtId="0" fontId="6" fillId="0" borderId="5" xfId="1" applyFont="1" applyBorder="1" applyAlignment="1" applyProtection="1">
      <alignment horizontal="center" vertical="top" wrapText="1"/>
      <protection locked="0"/>
    </xf>
    <xf numFmtId="0" fontId="6" fillId="0" borderId="4" xfId="1" applyFont="1" applyBorder="1" applyAlignment="1" applyProtection="1">
      <alignment horizontal="center" vertical="top" wrapText="1"/>
      <protection locked="0"/>
    </xf>
    <xf numFmtId="9" fontId="6" fillId="0" borderId="17" xfId="8" applyFont="1" applyFill="1" applyBorder="1" applyAlignment="1" applyProtection="1">
      <alignment horizontal="center" vertical="center" wrapText="1"/>
      <protection locked="0"/>
    </xf>
    <xf numFmtId="9" fontId="6" fillId="0" borderId="18" xfId="8" applyFont="1" applyFill="1" applyBorder="1" applyAlignment="1" applyProtection="1">
      <alignment horizontal="center" vertical="center" wrapText="1"/>
      <protection locked="0"/>
    </xf>
    <xf numFmtId="9" fontId="6" fillId="0" borderId="25" xfId="8" applyFont="1" applyFill="1" applyBorder="1" applyAlignment="1" applyProtection="1">
      <alignment horizontal="center" vertical="center" wrapText="1"/>
      <protection locked="0"/>
    </xf>
    <xf numFmtId="9" fontId="6" fillId="0" borderId="26" xfId="8" applyFont="1" applyFill="1" applyBorder="1" applyAlignment="1" applyProtection="1">
      <alignment horizontal="center" vertical="center" wrapText="1"/>
      <protection locked="0"/>
    </xf>
    <xf numFmtId="9" fontId="6" fillId="0" borderId="28" xfId="8" applyFont="1" applyFill="1" applyBorder="1" applyAlignment="1" applyProtection="1">
      <alignment horizontal="center" vertical="center" wrapText="1"/>
      <protection locked="0"/>
    </xf>
    <xf numFmtId="9" fontId="6" fillId="0" borderId="29" xfId="8" applyFont="1" applyFill="1" applyBorder="1" applyAlignment="1" applyProtection="1">
      <alignment horizontal="center" vertical="center" wrapText="1"/>
      <protection locked="0"/>
    </xf>
    <xf numFmtId="167" fontId="6" fillId="0" borderId="1" xfId="9" applyNumberFormat="1" applyFont="1" applyFill="1" applyBorder="1" applyAlignment="1" applyProtection="1">
      <alignment horizontal="left" vertical="top"/>
      <protection locked="0"/>
    </xf>
    <xf numFmtId="0" fontId="11"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top" wrapText="1"/>
      <protection locked="0"/>
    </xf>
    <xf numFmtId="0" fontId="7" fillId="0" borderId="8"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9" fillId="0" borderId="1" xfId="0" applyFont="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5" fillId="0" borderId="1" xfId="1" applyFont="1" applyBorder="1" applyAlignment="1" applyProtection="1">
      <alignment horizontal="left" vertical="top" wrapText="1"/>
      <protection locked="0"/>
    </xf>
    <xf numFmtId="14" fontId="5" fillId="0" borderId="8" xfId="1" applyNumberFormat="1" applyFont="1" applyBorder="1" applyAlignment="1" applyProtection="1">
      <alignment horizontal="left" vertical="top" wrapText="1"/>
      <protection locked="0"/>
    </xf>
    <xf numFmtId="14" fontId="5" fillId="0" borderId="9" xfId="1" applyNumberFormat="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0" fontId="7" fillId="0" borderId="8" xfId="1" applyFont="1" applyBorder="1" applyAlignment="1" applyProtection="1">
      <alignment horizontal="left" vertical="top"/>
      <protection locked="0"/>
    </xf>
    <xf numFmtId="0" fontId="7" fillId="0" borderId="9" xfId="1" applyFont="1" applyBorder="1" applyAlignment="1" applyProtection="1">
      <alignment horizontal="left" vertical="top"/>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5" fillId="0" borderId="1" xfId="1" applyNumberFormat="1" applyFont="1" applyBorder="1" applyAlignment="1" applyProtection="1">
      <alignment horizontal="center" vertical="center" wrapText="1"/>
      <protection locked="0"/>
    </xf>
    <xf numFmtId="1" fontId="11" fillId="0" borderId="3" xfId="1" applyNumberFormat="1" applyFont="1" applyBorder="1" applyAlignment="1" applyProtection="1">
      <alignment horizontal="center" vertical="top" wrapText="1"/>
      <protection locked="0"/>
    </xf>
    <xf numFmtId="1" fontId="11" fillId="0" borderId="16"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0" fontId="6" fillId="0" borderId="6" xfId="1" applyFont="1" applyBorder="1" applyAlignment="1" applyProtection="1">
      <alignment horizontal="center" vertical="top" wrapText="1"/>
      <protection locked="0"/>
    </xf>
    <xf numFmtId="0" fontId="6" fillId="0" borderId="7" xfId="1" applyFont="1" applyBorder="1" applyAlignment="1" applyProtection="1">
      <alignment horizontal="center" vertical="top" wrapText="1"/>
      <protection locked="0"/>
    </xf>
    <xf numFmtId="1" fontId="9" fillId="0" borderId="3" xfId="0" applyNumberFormat="1"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1" fontId="15" fillId="0" borderId="8" xfId="0" applyNumberFormat="1" applyFont="1" applyBorder="1" applyAlignment="1" applyProtection="1">
      <alignment vertical="top" wrapText="1"/>
      <protection locked="0"/>
    </xf>
    <xf numFmtId="1" fontId="15" fillId="0" borderId="21" xfId="0" applyNumberFormat="1" applyFont="1" applyBorder="1" applyAlignment="1" applyProtection="1">
      <alignment vertical="top" wrapText="1"/>
      <protection locked="0"/>
    </xf>
    <xf numFmtId="1" fontId="15" fillId="0" borderId="9" xfId="0" applyNumberFormat="1" applyFont="1" applyBorder="1" applyAlignment="1" applyProtection="1">
      <alignment vertical="top" wrapText="1"/>
      <protection locked="0"/>
    </xf>
    <xf numFmtId="1" fontId="7" fillId="0" borderId="32" xfId="0" applyNumberFormat="1" applyFont="1" applyBorder="1" applyAlignment="1" applyProtection="1">
      <alignment horizontal="center" vertical="center" wrapText="1"/>
      <protection locked="0"/>
    </xf>
    <xf numFmtId="1" fontId="7" fillId="0" borderId="33" xfId="0" applyNumberFormat="1" applyFont="1" applyBorder="1" applyAlignment="1" applyProtection="1">
      <alignment horizontal="center" vertical="center" wrapText="1"/>
      <protection locked="0"/>
    </xf>
    <xf numFmtId="0" fontId="9" fillId="0" borderId="33" xfId="0" applyFont="1" applyBorder="1" applyAlignment="1" applyProtection="1">
      <alignment horizontal="center" vertical="center"/>
      <protection locked="0"/>
    </xf>
    <xf numFmtId="1" fontId="9" fillId="0" borderId="33" xfId="0" applyNumberFormat="1" applyFont="1" applyBorder="1" applyAlignment="1" applyProtection="1">
      <alignment horizontal="center" vertical="top" wrapText="1"/>
      <protection locked="0"/>
    </xf>
    <xf numFmtId="1" fontId="7" fillId="0" borderId="8" xfId="0" applyNumberFormat="1" applyFont="1" applyBorder="1" applyAlignment="1" applyProtection="1">
      <alignment vertical="top" wrapText="1"/>
      <protection locked="0"/>
    </xf>
    <xf numFmtId="1" fontId="7" fillId="0" borderId="21" xfId="0" applyNumberFormat="1" applyFont="1" applyBorder="1" applyAlignment="1" applyProtection="1">
      <alignment vertical="top" wrapText="1"/>
      <protection locked="0"/>
    </xf>
    <xf numFmtId="1" fontId="7" fillId="0" borderId="9" xfId="0" applyNumberFormat="1" applyFont="1" applyBorder="1" applyAlignment="1" applyProtection="1">
      <alignment vertical="top" wrapText="1"/>
      <protection locked="0"/>
    </xf>
    <xf numFmtId="1" fontId="11" fillId="0" borderId="8" xfId="0" applyNumberFormat="1" applyFont="1" applyBorder="1" applyAlignment="1" applyProtection="1">
      <alignment vertical="top" wrapText="1"/>
      <protection locked="0"/>
    </xf>
    <xf numFmtId="1" fontId="11" fillId="0" borderId="21" xfId="0" applyNumberFormat="1" applyFont="1" applyBorder="1" applyAlignment="1" applyProtection="1">
      <alignment vertical="top" wrapText="1"/>
      <protection locked="0"/>
    </xf>
    <xf numFmtId="1" fontId="11" fillId="0" borderId="9" xfId="0" applyNumberFormat="1" applyFont="1" applyBorder="1" applyAlignment="1" applyProtection="1">
      <alignment vertical="top" wrapText="1"/>
      <protection locked="0"/>
    </xf>
    <xf numFmtId="1" fontId="7" fillId="0" borderId="1" xfId="0" applyNumberFormat="1" applyFont="1" applyBorder="1" applyAlignment="1" applyProtection="1">
      <alignment horizontal="left" vertical="top" wrapText="1"/>
      <protection locked="0"/>
    </xf>
    <xf numFmtId="0" fontId="7" fillId="0" borderId="16" xfId="1" applyFont="1" applyBorder="1" applyAlignment="1" applyProtection="1">
      <alignment horizontal="center" vertical="top"/>
      <protection locked="0"/>
    </xf>
    <xf numFmtId="1" fontId="5" fillId="0" borderId="21" xfId="1" applyNumberFormat="1" applyFont="1" applyBorder="1" applyAlignment="1" applyProtection="1">
      <alignment horizontal="center" vertical="center" wrapText="1"/>
      <protection locked="0"/>
    </xf>
    <xf numFmtId="0" fontId="11" fillId="0" borderId="16" xfId="1" applyFont="1" applyBorder="1" applyAlignment="1" applyProtection="1">
      <alignment horizontal="center" vertical="top"/>
      <protection locked="0"/>
    </xf>
    <xf numFmtId="1" fontId="11" fillId="0" borderId="17" xfId="1" applyNumberFormat="1" applyFont="1" applyBorder="1" applyAlignment="1" applyProtection="1">
      <alignment horizontal="center" vertical="top" wrapText="1"/>
      <protection locked="0"/>
    </xf>
    <xf numFmtId="1" fontId="11" fillId="0" borderId="19" xfId="1" applyNumberFormat="1" applyFont="1" applyBorder="1" applyAlignment="1" applyProtection="1">
      <alignment horizontal="center" vertical="top" wrapText="1"/>
      <protection locked="0"/>
    </xf>
    <xf numFmtId="1" fontId="7"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0" fontId="30" fillId="0" borderId="1" xfId="1" applyFont="1" applyBorder="1" applyAlignment="1" applyProtection="1">
      <alignment horizontal="center" vertical="top" wrapText="1"/>
      <protection locked="0"/>
    </xf>
    <xf numFmtId="0" fontId="11"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10" fillId="0" borderId="1" xfId="1" applyFont="1" applyBorder="1" applyAlignment="1" applyProtection="1">
      <alignment horizontal="center"/>
      <protection locked="0"/>
    </xf>
    <xf numFmtId="0" fontId="11" fillId="0" borderId="1" xfId="1" applyFont="1" applyBorder="1" applyAlignment="1" applyProtection="1">
      <alignment horizontal="center"/>
      <protection locked="0"/>
    </xf>
    <xf numFmtId="9" fontId="6" fillId="0" borderId="27" xfId="8" applyFont="1" applyFill="1" applyBorder="1" applyAlignment="1" applyProtection="1">
      <alignment horizontal="center" vertical="center" wrapText="1"/>
      <protection locked="0"/>
    </xf>
    <xf numFmtId="9" fontId="6" fillId="0" borderId="10" xfId="8" applyFont="1" applyFill="1" applyBorder="1" applyAlignment="1" applyProtection="1">
      <alignment horizontal="center" vertical="center" wrapText="1"/>
      <protection locked="0"/>
    </xf>
    <xf numFmtId="9" fontId="6" fillId="0" borderId="12" xfId="8" applyFont="1" applyFill="1" applyBorder="1" applyAlignment="1" applyProtection="1">
      <alignment horizontal="center" vertical="center" wrapText="1"/>
      <protection locked="0"/>
    </xf>
    <xf numFmtId="2" fontId="5" fillId="0" borderId="1" xfId="1" applyNumberFormat="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1" fontId="5" fillId="0" borderId="1" xfId="1" applyNumberFormat="1" applyFont="1" applyBorder="1" applyAlignment="1" applyProtection="1">
      <alignment horizontal="left" vertical="top" wrapText="1"/>
      <protection locked="0"/>
    </xf>
    <xf numFmtId="2" fontId="5" fillId="0" borderId="1" xfId="1" applyNumberFormat="1" applyFont="1" applyBorder="1" applyAlignment="1" applyProtection="1">
      <alignment horizontal="left" vertical="top"/>
      <protection locked="0"/>
    </xf>
    <xf numFmtId="0" fontId="11" fillId="0" borderId="4" xfId="1" applyFont="1" applyBorder="1" applyAlignment="1" applyProtection="1">
      <alignment horizontal="left" vertical="top"/>
      <protection locked="0"/>
    </xf>
    <xf numFmtId="1" fontId="7" fillId="0" borderId="33" xfId="0" applyNumberFormat="1" applyFont="1" applyBorder="1" applyAlignment="1" applyProtection="1">
      <alignment horizontal="center" vertical="top" wrapText="1"/>
      <protection locked="0"/>
    </xf>
    <xf numFmtId="1" fontId="7" fillId="0" borderId="34" xfId="0" applyNumberFormat="1" applyFont="1" applyBorder="1" applyAlignment="1" applyProtection="1">
      <alignment horizontal="center" vertical="top" wrapText="1"/>
      <protection locked="0"/>
    </xf>
    <xf numFmtId="0" fontId="5" fillId="0" borderId="8" xfId="1" applyFont="1" applyBorder="1" applyAlignment="1" applyProtection="1">
      <alignment vertical="top" wrapText="1"/>
      <protection locked="0"/>
    </xf>
    <xf numFmtId="0" fontId="5" fillId="0" borderId="21" xfId="1" applyFont="1" applyBorder="1" applyAlignment="1" applyProtection="1">
      <alignment vertical="top" wrapText="1"/>
      <protection locked="0"/>
    </xf>
    <xf numFmtId="0" fontId="5" fillId="0" borderId="9" xfId="1" applyFont="1" applyBorder="1" applyAlignment="1" applyProtection="1">
      <alignment vertical="top" wrapText="1"/>
      <protection locked="0"/>
    </xf>
    <xf numFmtId="1" fontId="28" fillId="0" borderId="3" xfId="1" applyNumberFormat="1" applyFont="1" applyBorder="1" applyAlignment="1" applyProtection="1">
      <alignment horizontal="center" vertical="top" wrapText="1"/>
      <protection locked="0"/>
    </xf>
    <xf numFmtId="1" fontId="28" fillId="0" borderId="16" xfId="1" applyNumberFormat="1" applyFont="1" applyBorder="1" applyAlignment="1" applyProtection="1">
      <alignment horizontal="center" vertical="top" wrapText="1"/>
      <protection locked="0"/>
    </xf>
    <xf numFmtId="0" fontId="10" fillId="0" borderId="18" xfId="1" applyFont="1" applyBorder="1" applyAlignment="1" applyProtection="1">
      <alignment horizontal="left" vertical="top" wrapText="1"/>
      <protection locked="0"/>
    </xf>
    <xf numFmtId="0" fontId="11" fillId="0" borderId="1" xfId="1" applyFont="1" applyBorder="1" applyAlignment="1" applyProtection="1">
      <alignment horizontal="left" vertical="top" wrapText="1"/>
      <protection locked="0"/>
    </xf>
    <xf numFmtId="0" fontId="11" fillId="0" borderId="5" xfId="1" applyFont="1" applyBorder="1" applyAlignment="1" applyProtection="1">
      <alignment horizontal="left" vertical="top" wrapText="1"/>
      <protection locked="0"/>
    </xf>
    <xf numFmtId="0" fontId="24" fillId="0" borderId="1" xfId="10" applyFill="1" applyBorder="1" applyAlignment="1" applyProtection="1">
      <alignment horizontal="left" vertical="top" wrapText="1"/>
      <protection locked="0"/>
    </xf>
    <xf numFmtId="0" fontId="11" fillId="0" borderId="8" xfId="1" applyFont="1" applyBorder="1" applyAlignment="1" applyProtection="1">
      <alignment horizontal="left" vertical="top"/>
      <protection locked="0"/>
    </xf>
    <xf numFmtId="0" fontId="11" fillId="0" borderId="21" xfId="1" applyFont="1" applyBorder="1" applyAlignment="1" applyProtection="1">
      <alignment horizontal="left" vertical="top"/>
      <protection locked="0"/>
    </xf>
    <xf numFmtId="0" fontId="11" fillId="0" borderId="9" xfId="1" applyFont="1" applyBorder="1" applyAlignment="1" applyProtection="1">
      <alignment horizontal="left" vertical="top"/>
      <protection locked="0"/>
    </xf>
    <xf numFmtId="0" fontId="7" fillId="0" borderId="16" xfId="1" applyFont="1" applyBorder="1" applyAlignment="1" applyProtection="1">
      <alignment horizontal="left" vertical="top"/>
      <protection locked="0"/>
    </xf>
    <xf numFmtId="1" fontId="7" fillId="0" borderId="3" xfId="0" applyNumberFormat="1" applyFont="1" applyBorder="1" applyAlignment="1" applyProtection="1">
      <alignment horizontal="center" vertical="center" wrapText="1"/>
      <protection locked="0"/>
    </xf>
    <xf numFmtId="1" fontId="9" fillId="0" borderId="3" xfId="0" applyNumberFormat="1" applyFont="1" applyBorder="1" applyAlignment="1" applyProtection="1">
      <alignment horizontal="center" vertical="top" wrapText="1"/>
      <protection locked="0"/>
    </xf>
    <xf numFmtId="0" fontId="9" fillId="0" borderId="3" xfId="0" applyFont="1" applyBorder="1" applyAlignment="1" applyProtection="1">
      <alignment horizontal="center" vertical="top" wrapText="1"/>
      <protection locked="0"/>
    </xf>
    <xf numFmtId="1" fontId="7" fillId="0" borderId="3" xfId="0" applyNumberFormat="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protection locked="0"/>
    </xf>
    <xf numFmtId="1" fontId="9" fillId="0" borderId="1" xfId="0" applyNumberFormat="1" applyFont="1" applyBorder="1" applyAlignment="1" applyProtection="1">
      <alignment horizontal="center" vertical="top"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1" fontId="5" fillId="0" borderId="25" xfId="1" applyNumberFormat="1" applyFont="1" applyBorder="1" applyAlignment="1" applyProtection="1">
      <alignment horizontal="center" vertical="center" wrapText="1"/>
      <protection locked="0"/>
    </xf>
    <xf numFmtId="1" fontId="5" fillId="0" borderId="0" xfId="1" applyNumberFormat="1" applyFont="1" applyBorder="1" applyAlignment="1" applyProtection="1">
      <alignment horizontal="center" vertical="center" wrapText="1"/>
      <protection locked="0"/>
    </xf>
    <xf numFmtId="1" fontId="5" fillId="0" borderId="26" xfId="1" applyNumberFormat="1" applyFont="1" applyBorder="1" applyAlignment="1" applyProtection="1">
      <alignment horizontal="center" vertical="center" wrapText="1"/>
      <protection locked="0"/>
    </xf>
    <xf numFmtId="0" fontId="8" fillId="0" borderId="1" xfId="5" applyFont="1" applyBorder="1" applyAlignment="1">
      <alignment horizontal="left"/>
    </xf>
    <xf numFmtId="0" fontId="0" fillId="2" borderId="1" xfId="0" applyFill="1" applyBorder="1" applyAlignment="1">
      <alignment horizontal="center" vertical="center" wrapText="1"/>
    </xf>
    <xf numFmtId="0" fontId="8" fillId="4" borderId="1" xfId="0" applyFont="1" applyFill="1" applyBorder="1" applyAlignment="1">
      <alignment horizontal="center" vertical="center"/>
    </xf>
    <xf numFmtId="0" fontId="8"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10" fillId="0" borderId="1" xfId="1" applyFont="1" applyBorder="1" applyAlignment="1" applyProtection="1">
      <alignment horizontal="center" vertical="top"/>
      <protection locked="0"/>
    </xf>
    <xf numFmtId="0" fontId="22" fillId="2" borderId="15" xfId="0" applyFont="1" applyFill="1" applyBorder="1"/>
    <xf numFmtId="0" fontId="23" fillId="0" borderId="9" xfId="0" applyFont="1" applyBorder="1"/>
    <xf numFmtId="0" fontId="7" fillId="0" borderId="35"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 xfId="1" applyFont="1" applyBorder="1" applyAlignment="1" applyProtection="1">
      <alignment horizontal="left" vertical="top" wrapText="1"/>
      <protection locked="0"/>
    </xf>
    <xf numFmtId="0" fontId="7" fillId="0" borderId="36" xfId="1" applyFont="1" applyBorder="1" applyAlignment="1" applyProtection="1">
      <alignment horizontal="left" vertical="top" wrapText="1"/>
      <protection locked="0"/>
    </xf>
    <xf numFmtId="9" fontId="10" fillId="0" borderId="1" xfId="8" applyFont="1" applyFill="1" applyBorder="1" applyAlignment="1" applyProtection="1">
      <alignment horizontal="center" vertical="center"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393700</xdr:colOff>
      <xdr:row>13</xdr:row>
      <xdr:rowOff>323850</xdr:rowOff>
    </xdr:from>
    <xdr:to>
      <xdr:col>12</xdr:col>
      <xdr:colOff>645079</xdr:colOff>
      <xdr:row>18</xdr:row>
      <xdr:rowOff>38257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016750" y="3282950"/>
          <a:ext cx="3972479" cy="1124107"/>
        </a:xfrm>
        <a:prstGeom prst="rect">
          <a:avLst/>
        </a:prstGeom>
        <a:ln>
          <a:solidFill>
            <a:schemeClr val="tx1"/>
          </a:solidFill>
        </a:ln>
      </xdr:spPr>
    </xdr:pic>
    <xdr:clientData/>
  </xdr:twoCellAnchor>
  <xdr:twoCellAnchor editAs="oneCell">
    <xdr:from>
      <xdr:col>1</xdr:col>
      <xdr:colOff>273310</xdr:colOff>
      <xdr:row>410</xdr:row>
      <xdr:rowOff>5567</xdr:rowOff>
    </xdr:from>
    <xdr:to>
      <xdr:col>6</xdr:col>
      <xdr:colOff>667060</xdr:colOff>
      <xdr:row>429</xdr:row>
      <xdr:rowOff>134978</xdr:rowOff>
    </xdr:to>
    <xdr:pic>
      <xdr:nvPicPr>
        <xdr:cNvPr id="3" name="Picture 2"/>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035310" y="71928842"/>
          <a:ext cx="4479975" cy="3929886"/>
        </a:xfrm>
        <a:prstGeom prst="rect">
          <a:avLst/>
        </a:prstGeom>
        <a:ln>
          <a:solidFill>
            <a:schemeClr val="tx1"/>
          </a:solidFill>
        </a:ln>
      </xdr:spPr>
    </xdr:pic>
    <xdr:clientData/>
  </xdr:twoCellAnchor>
  <xdr:twoCellAnchor>
    <xdr:from>
      <xdr:col>3</xdr:col>
      <xdr:colOff>588637</xdr:colOff>
      <xdr:row>418</xdr:row>
      <xdr:rowOff>27571</xdr:rowOff>
    </xdr:from>
    <xdr:to>
      <xdr:col>4</xdr:col>
      <xdr:colOff>643888</xdr:colOff>
      <xdr:row>423</xdr:row>
      <xdr:rowOff>165834</xdr:rowOff>
    </xdr:to>
    <xdr:sp macro="" textlink="">
      <xdr:nvSpPr>
        <xdr:cNvPr id="5" name="Rectangle 4"/>
        <xdr:cNvSpPr/>
      </xdr:nvSpPr>
      <xdr:spPr>
        <a:xfrm rot="18429745">
          <a:off x="2914094" y="73635414"/>
          <a:ext cx="1138388" cy="969651"/>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editAs="oneCell">
    <xdr:from>
      <xdr:col>1</xdr:col>
      <xdr:colOff>756190</xdr:colOff>
      <xdr:row>351</xdr:row>
      <xdr:rowOff>63500</xdr:rowOff>
    </xdr:from>
    <xdr:to>
      <xdr:col>6</xdr:col>
      <xdr:colOff>69940</xdr:colOff>
      <xdr:row>372</xdr:row>
      <xdr:rowOff>146611</xdr:rowOff>
    </xdr:to>
    <xdr:pic>
      <xdr:nvPicPr>
        <xdr:cNvPr id="6" name="Picture 5"/>
        <xdr:cNvPicPr>
          <a:picLocks noChangeAspect="1"/>
        </xdr:cNvPicPr>
      </xdr:nvPicPr>
      <xdr:blipFill>
        <a:blip xmlns:r="http://schemas.openxmlformats.org/officeDocument/2006/relationships" r:embed="rId3"/>
        <a:stretch>
          <a:fillRect/>
        </a:stretch>
      </xdr:blipFill>
      <xdr:spPr>
        <a:xfrm>
          <a:off x="1556290" y="55568850"/>
          <a:ext cx="3600000" cy="4216961"/>
        </a:xfrm>
        <a:prstGeom prst="rect">
          <a:avLst/>
        </a:prstGeom>
        <a:ln>
          <a:solidFill>
            <a:schemeClr val="tx1"/>
          </a:solidFill>
        </a:ln>
      </xdr:spPr>
    </xdr:pic>
    <xdr:clientData/>
  </xdr:twoCellAnchor>
  <xdr:twoCellAnchor editAs="oneCell">
    <xdr:from>
      <xdr:col>1</xdr:col>
      <xdr:colOff>746126</xdr:colOff>
      <xdr:row>373</xdr:row>
      <xdr:rowOff>41825</xdr:rowOff>
    </xdr:from>
    <xdr:to>
      <xdr:col>6</xdr:col>
      <xdr:colOff>1</xdr:colOff>
      <xdr:row>386</xdr:row>
      <xdr:rowOff>133350</xdr:rowOff>
    </xdr:to>
    <xdr:pic>
      <xdr:nvPicPr>
        <xdr:cNvPr id="7" name="Picture 6"/>
        <xdr:cNvPicPr>
          <a:picLocks noChangeAspect="1"/>
        </xdr:cNvPicPr>
      </xdr:nvPicPr>
      <xdr:blipFill rotWithShape="1">
        <a:blip xmlns:r="http://schemas.openxmlformats.org/officeDocument/2006/relationships" r:embed="rId4"/>
        <a:srcRect l="1" r="1761" b="17898"/>
        <a:stretch/>
      </xdr:blipFill>
      <xdr:spPr>
        <a:xfrm>
          <a:off x="1508126" y="64564175"/>
          <a:ext cx="3340100" cy="2691850"/>
        </a:xfrm>
        <a:prstGeom prst="rect">
          <a:avLst/>
        </a:prstGeom>
        <a:ln>
          <a:solidFill>
            <a:schemeClr val="tx1"/>
          </a:solidFill>
        </a:ln>
      </xdr:spPr>
    </xdr:pic>
    <xdr:clientData/>
  </xdr:twoCellAnchor>
  <xdr:twoCellAnchor editAs="oneCell">
    <xdr:from>
      <xdr:col>8</xdr:col>
      <xdr:colOff>266700</xdr:colOff>
      <xdr:row>47</xdr:row>
      <xdr:rowOff>171451</xdr:rowOff>
    </xdr:from>
    <xdr:to>
      <xdr:col>12</xdr:col>
      <xdr:colOff>145600</xdr:colOff>
      <xdr:row>59</xdr:row>
      <xdr:rowOff>165106</xdr:rowOff>
    </xdr:to>
    <xdr:pic>
      <xdr:nvPicPr>
        <xdr:cNvPr id="8" name="Picture 7"/>
        <xdr:cNvPicPr>
          <a:picLocks noChangeAspect="1"/>
        </xdr:cNvPicPr>
      </xdr:nvPicPr>
      <xdr:blipFill>
        <a:blip xmlns:r="http://schemas.openxmlformats.org/officeDocument/2006/relationships" r:embed="rId5"/>
        <a:stretch>
          <a:fillRect/>
        </a:stretch>
      </xdr:blipFill>
      <xdr:spPr>
        <a:xfrm>
          <a:off x="6889750" y="10680701"/>
          <a:ext cx="3600000" cy="2419355"/>
        </a:xfrm>
        <a:prstGeom prst="rect">
          <a:avLst/>
        </a:prstGeom>
        <a:ln>
          <a:solidFill>
            <a:schemeClr val="tx1"/>
          </a:solidFill>
        </a:ln>
      </xdr:spPr>
    </xdr:pic>
    <xdr:clientData/>
  </xdr:twoCellAnchor>
  <xdr:twoCellAnchor editAs="oneCell">
    <xdr:from>
      <xdr:col>0</xdr:col>
      <xdr:colOff>685800</xdr:colOff>
      <xdr:row>395</xdr:row>
      <xdr:rowOff>19050</xdr:rowOff>
    </xdr:from>
    <xdr:to>
      <xdr:col>7</xdr:col>
      <xdr:colOff>18276</xdr:colOff>
      <xdr:row>409</xdr:row>
      <xdr:rowOff>98700</xdr:rowOff>
    </xdr:to>
    <xdr:pic>
      <xdr:nvPicPr>
        <xdr:cNvPr id="17" name="Picture 16"/>
        <xdr:cNvPicPr>
          <a:picLocks noChangeAspect="1"/>
        </xdr:cNvPicPr>
      </xdr:nvPicPr>
      <xdr:blipFill rotWithShape="1">
        <a:blip xmlns:r="http://schemas.openxmlformats.org/officeDocument/2006/relationships" r:embed="rId6"/>
        <a:srcRect l="33591" t="33490" r="34055" b="32783"/>
        <a:stretch/>
      </xdr:blipFill>
      <xdr:spPr>
        <a:xfrm>
          <a:off x="685800" y="68941950"/>
          <a:ext cx="4914126" cy="2880000"/>
        </a:xfrm>
        <a:prstGeom prst="rect">
          <a:avLst/>
        </a:prstGeom>
        <a:ln>
          <a:solidFill>
            <a:schemeClr val="tx1"/>
          </a:solidFill>
        </a:ln>
      </xdr:spPr>
    </xdr:pic>
    <xdr:clientData/>
  </xdr:twoCellAnchor>
  <xdr:twoCellAnchor>
    <xdr:from>
      <xdr:col>0</xdr:col>
      <xdr:colOff>88900</xdr:colOff>
      <xdr:row>308</xdr:row>
      <xdr:rowOff>114300</xdr:rowOff>
    </xdr:from>
    <xdr:to>
      <xdr:col>7</xdr:col>
      <xdr:colOff>666531</xdr:colOff>
      <xdr:row>343</xdr:row>
      <xdr:rowOff>125614</xdr:rowOff>
    </xdr:to>
    <xdr:grpSp>
      <xdr:nvGrpSpPr>
        <xdr:cNvPr id="4" name="Group 3"/>
        <xdr:cNvGrpSpPr/>
      </xdr:nvGrpSpPr>
      <xdr:grpSpPr>
        <a:xfrm>
          <a:off x="88900" y="50977800"/>
          <a:ext cx="6432331" cy="6894714"/>
          <a:chOff x="88900" y="50977800"/>
          <a:chExt cx="6432331" cy="6894714"/>
        </a:xfrm>
      </xdr:grpSpPr>
      <xdr:pic>
        <xdr:nvPicPr>
          <xdr:cNvPr id="16" name="Picture 1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866047" y="55712514"/>
            <a:ext cx="2877333" cy="2160000"/>
          </a:xfrm>
          <a:prstGeom prst="rect">
            <a:avLst/>
          </a:prstGeom>
          <a:ln>
            <a:solidFill>
              <a:schemeClr val="tx1"/>
            </a:solidFill>
          </a:ln>
        </xdr:spPr>
      </xdr:pic>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35559" y="50977800"/>
            <a:ext cx="3069155" cy="2304000"/>
          </a:xfrm>
          <a:prstGeom prst="rect">
            <a:avLst/>
          </a:prstGeom>
          <a:ln>
            <a:solidFill>
              <a:schemeClr val="tx1"/>
            </a:solidFill>
          </a:ln>
        </xdr:spPr>
      </xdr:pic>
      <xdr:pic>
        <xdr:nvPicPr>
          <xdr:cNvPr id="19"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125419" y="53417157"/>
            <a:ext cx="1618313" cy="2160000"/>
          </a:xfrm>
          <a:prstGeom prst="rect">
            <a:avLst/>
          </a:prstGeom>
          <a:ln>
            <a:solidFill>
              <a:schemeClr val="tx1"/>
            </a:solidFill>
          </a:ln>
        </xdr:spPr>
      </xdr:pic>
      <xdr:pic>
        <xdr:nvPicPr>
          <xdr:cNvPr id="20" name="Picture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442222" y="50977800"/>
            <a:ext cx="3069155" cy="2304000"/>
          </a:xfrm>
          <a:prstGeom prst="rect">
            <a:avLst/>
          </a:prstGeom>
          <a:ln>
            <a:solidFill>
              <a:schemeClr val="tx1"/>
            </a:solidFill>
          </a:ln>
        </xdr:spPr>
      </xdr:pic>
      <xdr:pic>
        <xdr:nvPicPr>
          <xdr:cNvPr id="21" name="Picture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88900" y="53417157"/>
            <a:ext cx="2877333" cy="2160000"/>
          </a:xfrm>
          <a:prstGeom prst="rect">
            <a:avLst/>
          </a:prstGeom>
          <a:ln>
            <a:solidFill>
              <a:schemeClr val="tx1"/>
            </a:solidFill>
          </a:ln>
        </xdr:spPr>
      </xdr:pic>
      <xdr:pic>
        <xdr:nvPicPr>
          <xdr:cNvPr id="22" name="Picture 2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4902918" y="53417157"/>
            <a:ext cx="161831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twoCellAnchor editAs="oneCell">
    <xdr:from>
      <xdr:col>1</xdr:col>
      <xdr:colOff>0</xdr:colOff>
      <xdr:row>14</xdr:row>
      <xdr:rowOff>0</xdr:rowOff>
    </xdr:from>
    <xdr:to>
      <xdr:col>4</xdr:col>
      <xdr:colOff>469412</xdr:colOff>
      <xdr:row>30</xdr:row>
      <xdr:rowOff>34323</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12588" y="2696882"/>
          <a:ext cx="5400000" cy="3037500"/>
        </a:xfrm>
        <a:prstGeom prst="rect">
          <a:avLst/>
        </a:prstGeom>
        <a:ln>
          <a:solidFill>
            <a:schemeClr val="tx1"/>
          </a:solidFill>
        </a:ln>
      </xdr:spPr>
    </xdr:pic>
    <xdr:clientData/>
  </xdr:twoCellAnchor>
  <xdr:twoCellAnchor editAs="oneCell">
    <xdr:from>
      <xdr:col>4</xdr:col>
      <xdr:colOff>683160</xdr:colOff>
      <xdr:row>14</xdr:row>
      <xdr:rowOff>0</xdr:rowOff>
    </xdr:from>
    <xdr:to>
      <xdr:col>10</xdr:col>
      <xdr:colOff>532512</xdr:colOff>
      <xdr:row>30</xdr:row>
      <xdr:rowOff>34323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6226336" y="2696882"/>
          <a:ext cx="5400000" cy="30375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Q2PsYsAkNuWGTvas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94"/>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40" customWidth="1"/>
    <col min="2" max="2" width="12" style="40" customWidth="1"/>
    <col min="3" max="3" width="12.7265625" style="40" customWidth="1"/>
    <col min="4" max="4" width="13.7265625" style="40" customWidth="1"/>
    <col min="5" max="5" width="11.7265625" style="40" customWidth="1"/>
    <col min="6" max="6" width="11.1796875" style="40" customWidth="1"/>
    <col min="7" max="8" width="11" style="40" customWidth="1"/>
    <col min="9" max="9" width="17.453125" style="21" customWidth="1"/>
    <col min="10" max="10" width="11.453125" style="21" customWidth="1"/>
    <col min="11" max="11" width="10.54296875" style="21" bestFit="1" customWidth="1"/>
    <col min="12" max="12" width="13.81640625" style="84" bestFit="1" customWidth="1"/>
    <col min="13" max="13" width="11.81640625" style="84" customWidth="1"/>
    <col min="14" max="14" width="12.54296875" style="21" customWidth="1"/>
    <col min="15" max="15" width="12.1796875" style="21" customWidth="1"/>
    <col min="16" max="16" width="11.7265625" style="21" customWidth="1"/>
    <col min="17" max="18" width="9.1796875" style="21"/>
    <col min="19" max="19" width="10.81640625" style="21" bestFit="1" customWidth="1"/>
    <col min="20" max="20" width="10.7265625" style="21" customWidth="1"/>
    <col min="21" max="247" width="9.1796875" style="21"/>
    <col min="248" max="248" width="8.7265625" style="21" customWidth="1"/>
    <col min="249" max="249" width="9.81640625" style="21" customWidth="1"/>
    <col min="250" max="250" width="14.453125" style="21" customWidth="1"/>
    <col min="251" max="251" width="7.26953125" style="21" customWidth="1"/>
    <col min="252" max="252" width="5.54296875" style="21" customWidth="1"/>
    <col min="253" max="253" width="9" style="21" customWidth="1"/>
    <col min="254" max="255" width="9.81640625" style="21" customWidth="1"/>
    <col min="256" max="256" width="11.1796875" style="21" customWidth="1"/>
    <col min="257" max="257" width="2.81640625" style="21" customWidth="1"/>
    <col min="258" max="258" width="3.54296875" style="21" customWidth="1"/>
    <col min="259" max="503" width="9.1796875" style="21"/>
    <col min="504" max="504" width="8.7265625" style="21" customWidth="1"/>
    <col min="505" max="505" width="9.81640625" style="21" customWidth="1"/>
    <col min="506" max="506" width="14.453125" style="21" customWidth="1"/>
    <col min="507" max="507" width="7.26953125" style="21" customWidth="1"/>
    <col min="508" max="508" width="5.54296875" style="21" customWidth="1"/>
    <col min="509" max="509" width="9" style="21" customWidth="1"/>
    <col min="510" max="511" width="9.81640625" style="21" customWidth="1"/>
    <col min="512" max="512" width="11.1796875" style="21" customWidth="1"/>
    <col min="513" max="513" width="2.81640625" style="21" customWidth="1"/>
    <col min="514" max="514" width="3.54296875" style="21" customWidth="1"/>
    <col min="515" max="759" width="9.1796875" style="21"/>
    <col min="760" max="760" width="8.7265625" style="21" customWidth="1"/>
    <col min="761" max="761" width="9.81640625" style="21" customWidth="1"/>
    <col min="762" max="762" width="14.453125" style="21" customWidth="1"/>
    <col min="763" max="763" width="7.26953125" style="21" customWidth="1"/>
    <col min="764" max="764" width="5.54296875" style="21" customWidth="1"/>
    <col min="765" max="765" width="9" style="21" customWidth="1"/>
    <col min="766" max="767" width="9.81640625" style="21" customWidth="1"/>
    <col min="768" max="768" width="11.1796875" style="21" customWidth="1"/>
    <col min="769" max="769" width="2.81640625" style="21" customWidth="1"/>
    <col min="770" max="770" width="3.54296875" style="21" customWidth="1"/>
    <col min="771" max="1015" width="9.1796875" style="21"/>
    <col min="1016" max="1016" width="8.7265625" style="21" customWidth="1"/>
    <col min="1017" max="1017" width="9.81640625" style="21" customWidth="1"/>
    <col min="1018" max="1018" width="14.453125" style="21" customWidth="1"/>
    <col min="1019" max="1019" width="7.26953125" style="21" customWidth="1"/>
    <col min="1020" max="1020" width="5.54296875" style="21" customWidth="1"/>
    <col min="1021" max="1021" width="9" style="21" customWidth="1"/>
    <col min="1022" max="1023" width="9.81640625" style="21" customWidth="1"/>
    <col min="1024" max="1024" width="11.1796875" style="21" customWidth="1"/>
    <col min="1025" max="1025" width="2.81640625" style="21" customWidth="1"/>
    <col min="1026" max="1026" width="3.54296875" style="21" customWidth="1"/>
    <col min="1027" max="1271" width="9.1796875" style="21"/>
    <col min="1272" max="1272" width="8.7265625" style="21" customWidth="1"/>
    <col min="1273" max="1273" width="9.81640625" style="21" customWidth="1"/>
    <col min="1274" max="1274" width="14.453125" style="21" customWidth="1"/>
    <col min="1275" max="1275" width="7.26953125" style="21" customWidth="1"/>
    <col min="1276" max="1276" width="5.54296875" style="21" customWidth="1"/>
    <col min="1277" max="1277" width="9" style="21" customWidth="1"/>
    <col min="1278" max="1279" width="9.81640625" style="21" customWidth="1"/>
    <col min="1280" max="1280" width="11.1796875" style="21" customWidth="1"/>
    <col min="1281" max="1281" width="2.81640625" style="21" customWidth="1"/>
    <col min="1282" max="1282" width="3.54296875" style="21" customWidth="1"/>
    <col min="1283" max="1527" width="9.1796875" style="21"/>
    <col min="1528" max="1528" width="8.7265625" style="21" customWidth="1"/>
    <col min="1529" max="1529" width="9.81640625" style="21" customWidth="1"/>
    <col min="1530" max="1530" width="14.453125" style="21" customWidth="1"/>
    <col min="1531" max="1531" width="7.26953125" style="21" customWidth="1"/>
    <col min="1532" max="1532" width="5.54296875" style="21" customWidth="1"/>
    <col min="1533" max="1533" width="9" style="21" customWidth="1"/>
    <col min="1534" max="1535" width="9.81640625" style="21" customWidth="1"/>
    <col min="1536" max="1536" width="11.1796875" style="21" customWidth="1"/>
    <col min="1537" max="1537" width="2.81640625" style="21" customWidth="1"/>
    <col min="1538" max="1538" width="3.54296875" style="21" customWidth="1"/>
    <col min="1539" max="1783" width="9.1796875" style="21"/>
    <col min="1784" max="1784" width="8.7265625" style="21" customWidth="1"/>
    <col min="1785" max="1785" width="9.81640625" style="21" customWidth="1"/>
    <col min="1786" max="1786" width="14.453125" style="21" customWidth="1"/>
    <col min="1787" max="1787" width="7.26953125" style="21" customWidth="1"/>
    <col min="1788" max="1788" width="5.54296875" style="21" customWidth="1"/>
    <col min="1789" max="1789" width="9" style="21" customWidth="1"/>
    <col min="1790" max="1791" width="9.81640625" style="21" customWidth="1"/>
    <col min="1792" max="1792" width="11.1796875" style="21" customWidth="1"/>
    <col min="1793" max="1793" width="2.81640625" style="21" customWidth="1"/>
    <col min="1794" max="1794" width="3.54296875" style="21" customWidth="1"/>
    <col min="1795" max="2039" width="9.1796875" style="21"/>
    <col min="2040" max="2040" width="8.7265625" style="21" customWidth="1"/>
    <col min="2041" max="2041" width="9.81640625" style="21" customWidth="1"/>
    <col min="2042" max="2042" width="14.453125" style="21" customWidth="1"/>
    <col min="2043" max="2043" width="7.26953125" style="21" customWidth="1"/>
    <col min="2044" max="2044" width="5.54296875" style="21" customWidth="1"/>
    <col min="2045" max="2045" width="9" style="21" customWidth="1"/>
    <col min="2046" max="2047" width="9.81640625" style="21" customWidth="1"/>
    <col min="2048" max="2048" width="11.1796875" style="21" customWidth="1"/>
    <col min="2049" max="2049" width="2.81640625" style="21" customWidth="1"/>
    <col min="2050" max="2050" width="3.54296875" style="21" customWidth="1"/>
    <col min="2051" max="2295" width="9.1796875" style="21"/>
    <col min="2296" max="2296" width="8.7265625" style="21" customWidth="1"/>
    <col min="2297" max="2297" width="9.81640625" style="21" customWidth="1"/>
    <col min="2298" max="2298" width="14.453125" style="21" customWidth="1"/>
    <col min="2299" max="2299" width="7.26953125" style="21" customWidth="1"/>
    <col min="2300" max="2300" width="5.54296875" style="21" customWidth="1"/>
    <col min="2301" max="2301" width="9" style="21" customWidth="1"/>
    <col min="2302" max="2303" width="9.81640625" style="21" customWidth="1"/>
    <col min="2304" max="2304" width="11.1796875" style="21" customWidth="1"/>
    <col min="2305" max="2305" width="2.81640625" style="21" customWidth="1"/>
    <col min="2306" max="2306" width="3.54296875" style="21" customWidth="1"/>
    <col min="2307" max="2551" width="9.1796875" style="21"/>
    <col min="2552" max="2552" width="8.7265625" style="21" customWidth="1"/>
    <col min="2553" max="2553" width="9.81640625" style="21" customWidth="1"/>
    <col min="2554" max="2554" width="14.453125" style="21" customWidth="1"/>
    <col min="2555" max="2555" width="7.26953125" style="21" customWidth="1"/>
    <col min="2556" max="2556" width="5.54296875" style="21" customWidth="1"/>
    <col min="2557" max="2557" width="9" style="21" customWidth="1"/>
    <col min="2558" max="2559" width="9.81640625" style="21" customWidth="1"/>
    <col min="2560" max="2560" width="11.1796875" style="21" customWidth="1"/>
    <col min="2561" max="2561" width="2.81640625" style="21" customWidth="1"/>
    <col min="2562" max="2562" width="3.54296875" style="21" customWidth="1"/>
    <col min="2563" max="2807" width="9.1796875" style="21"/>
    <col min="2808" max="2808" width="8.7265625" style="21" customWidth="1"/>
    <col min="2809" max="2809" width="9.81640625" style="21" customWidth="1"/>
    <col min="2810" max="2810" width="14.453125" style="21" customWidth="1"/>
    <col min="2811" max="2811" width="7.26953125" style="21" customWidth="1"/>
    <col min="2812" max="2812" width="5.54296875" style="21" customWidth="1"/>
    <col min="2813" max="2813" width="9" style="21" customWidth="1"/>
    <col min="2814" max="2815" width="9.81640625" style="21" customWidth="1"/>
    <col min="2816" max="2816" width="11.1796875" style="21" customWidth="1"/>
    <col min="2817" max="2817" width="2.81640625" style="21" customWidth="1"/>
    <col min="2818" max="2818" width="3.54296875" style="21" customWidth="1"/>
    <col min="2819" max="3063" width="9.1796875" style="21"/>
    <col min="3064" max="3064" width="8.7265625" style="21" customWidth="1"/>
    <col min="3065" max="3065" width="9.81640625" style="21" customWidth="1"/>
    <col min="3066" max="3066" width="14.453125" style="21" customWidth="1"/>
    <col min="3067" max="3067" width="7.26953125" style="21" customWidth="1"/>
    <col min="3068" max="3068" width="5.54296875" style="21" customWidth="1"/>
    <col min="3069" max="3069" width="9" style="21" customWidth="1"/>
    <col min="3070" max="3071" width="9.81640625" style="21" customWidth="1"/>
    <col min="3072" max="3072" width="11.1796875" style="21" customWidth="1"/>
    <col min="3073" max="3073" width="2.81640625" style="21" customWidth="1"/>
    <col min="3074" max="3074" width="3.54296875" style="21" customWidth="1"/>
    <col min="3075" max="3319" width="9.1796875" style="21"/>
    <col min="3320" max="3320" width="8.7265625" style="21" customWidth="1"/>
    <col min="3321" max="3321" width="9.81640625" style="21" customWidth="1"/>
    <col min="3322" max="3322" width="14.453125" style="21" customWidth="1"/>
    <col min="3323" max="3323" width="7.26953125" style="21" customWidth="1"/>
    <col min="3324" max="3324" width="5.54296875" style="21" customWidth="1"/>
    <col min="3325" max="3325" width="9" style="21" customWidth="1"/>
    <col min="3326" max="3327" width="9.81640625" style="21" customWidth="1"/>
    <col min="3328" max="3328" width="11.1796875" style="21" customWidth="1"/>
    <col min="3329" max="3329" width="2.81640625" style="21" customWidth="1"/>
    <col min="3330" max="3330" width="3.54296875" style="21" customWidth="1"/>
    <col min="3331" max="3575" width="9.1796875" style="21"/>
    <col min="3576" max="3576" width="8.7265625" style="21" customWidth="1"/>
    <col min="3577" max="3577" width="9.81640625" style="21" customWidth="1"/>
    <col min="3578" max="3578" width="14.453125" style="21" customWidth="1"/>
    <col min="3579" max="3579" width="7.26953125" style="21" customWidth="1"/>
    <col min="3580" max="3580" width="5.54296875" style="21" customWidth="1"/>
    <col min="3581" max="3581" width="9" style="21" customWidth="1"/>
    <col min="3582" max="3583" width="9.81640625" style="21" customWidth="1"/>
    <col min="3584" max="3584" width="11.1796875" style="21" customWidth="1"/>
    <col min="3585" max="3585" width="2.81640625" style="21" customWidth="1"/>
    <col min="3586" max="3586" width="3.54296875" style="21" customWidth="1"/>
    <col min="3587" max="3831" width="9.1796875" style="21"/>
    <col min="3832" max="3832" width="8.7265625" style="21" customWidth="1"/>
    <col min="3833" max="3833" width="9.81640625" style="21" customWidth="1"/>
    <col min="3834" max="3834" width="14.453125" style="21" customWidth="1"/>
    <col min="3835" max="3835" width="7.26953125" style="21" customWidth="1"/>
    <col min="3836" max="3836" width="5.54296875" style="21" customWidth="1"/>
    <col min="3837" max="3837" width="9" style="21" customWidth="1"/>
    <col min="3838" max="3839" width="9.81640625" style="21" customWidth="1"/>
    <col min="3840" max="3840" width="11.1796875" style="21" customWidth="1"/>
    <col min="3841" max="3841" width="2.81640625" style="21" customWidth="1"/>
    <col min="3842" max="3842" width="3.54296875" style="21" customWidth="1"/>
    <col min="3843" max="4087" width="9.1796875" style="21"/>
    <col min="4088" max="4088" width="8.7265625" style="21" customWidth="1"/>
    <col min="4089" max="4089" width="9.81640625" style="21" customWidth="1"/>
    <col min="4090" max="4090" width="14.453125" style="21" customWidth="1"/>
    <col min="4091" max="4091" width="7.26953125" style="21" customWidth="1"/>
    <col min="4092" max="4092" width="5.54296875" style="21" customWidth="1"/>
    <col min="4093" max="4093" width="9" style="21" customWidth="1"/>
    <col min="4094" max="4095" width="9.81640625" style="21" customWidth="1"/>
    <col min="4096" max="4096" width="11.1796875" style="21" customWidth="1"/>
    <col min="4097" max="4097" width="2.81640625" style="21" customWidth="1"/>
    <col min="4098" max="4098" width="3.54296875" style="21" customWidth="1"/>
    <col min="4099" max="4343" width="9.1796875" style="21"/>
    <col min="4344" max="4344" width="8.7265625" style="21" customWidth="1"/>
    <col min="4345" max="4345" width="9.81640625" style="21" customWidth="1"/>
    <col min="4346" max="4346" width="14.453125" style="21" customWidth="1"/>
    <col min="4347" max="4347" width="7.26953125" style="21" customWidth="1"/>
    <col min="4348" max="4348" width="5.54296875" style="21" customWidth="1"/>
    <col min="4349" max="4349" width="9" style="21" customWidth="1"/>
    <col min="4350" max="4351" width="9.81640625" style="21" customWidth="1"/>
    <col min="4352" max="4352" width="11.1796875" style="21" customWidth="1"/>
    <col min="4353" max="4353" width="2.81640625" style="21" customWidth="1"/>
    <col min="4354" max="4354" width="3.54296875" style="21" customWidth="1"/>
    <col min="4355" max="4599" width="9.1796875" style="21"/>
    <col min="4600" max="4600" width="8.7265625" style="21" customWidth="1"/>
    <col min="4601" max="4601" width="9.81640625" style="21" customWidth="1"/>
    <col min="4602" max="4602" width="14.453125" style="21" customWidth="1"/>
    <col min="4603" max="4603" width="7.26953125" style="21" customWidth="1"/>
    <col min="4604" max="4604" width="5.54296875" style="21" customWidth="1"/>
    <col min="4605" max="4605" width="9" style="21" customWidth="1"/>
    <col min="4606" max="4607" width="9.81640625" style="21" customWidth="1"/>
    <col min="4608" max="4608" width="11.1796875" style="21" customWidth="1"/>
    <col min="4609" max="4609" width="2.81640625" style="21" customWidth="1"/>
    <col min="4610" max="4610" width="3.54296875" style="21" customWidth="1"/>
    <col min="4611" max="4855" width="9.1796875" style="21"/>
    <col min="4856" max="4856" width="8.7265625" style="21" customWidth="1"/>
    <col min="4857" max="4857" width="9.81640625" style="21" customWidth="1"/>
    <col min="4858" max="4858" width="14.453125" style="21" customWidth="1"/>
    <col min="4859" max="4859" width="7.26953125" style="21" customWidth="1"/>
    <col min="4860" max="4860" width="5.54296875" style="21" customWidth="1"/>
    <col min="4861" max="4861" width="9" style="21" customWidth="1"/>
    <col min="4862" max="4863" width="9.81640625" style="21" customWidth="1"/>
    <col min="4864" max="4864" width="11.1796875" style="21" customWidth="1"/>
    <col min="4865" max="4865" width="2.81640625" style="21" customWidth="1"/>
    <col min="4866" max="4866" width="3.54296875" style="21" customWidth="1"/>
    <col min="4867" max="5111" width="9.1796875" style="21"/>
    <col min="5112" max="5112" width="8.7265625" style="21" customWidth="1"/>
    <col min="5113" max="5113" width="9.81640625" style="21" customWidth="1"/>
    <col min="5114" max="5114" width="14.453125" style="21" customWidth="1"/>
    <col min="5115" max="5115" width="7.26953125" style="21" customWidth="1"/>
    <col min="5116" max="5116" width="5.54296875" style="21" customWidth="1"/>
    <col min="5117" max="5117" width="9" style="21" customWidth="1"/>
    <col min="5118" max="5119" width="9.81640625" style="21" customWidth="1"/>
    <col min="5120" max="5120" width="11.1796875" style="21" customWidth="1"/>
    <col min="5121" max="5121" width="2.81640625" style="21" customWidth="1"/>
    <col min="5122" max="5122" width="3.54296875" style="21" customWidth="1"/>
    <col min="5123" max="5367" width="9.1796875" style="21"/>
    <col min="5368" max="5368" width="8.7265625" style="21" customWidth="1"/>
    <col min="5369" max="5369" width="9.81640625" style="21" customWidth="1"/>
    <col min="5370" max="5370" width="14.453125" style="21" customWidth="1"/>
    <col min="5371" max="5371" width="7.26953125" style="21" customWidth="1"/>
    <col min="5372" max="5372" width="5.54296875" style="21" customWidth="1"/>
    <col min="5373" max="5373" width="9" style="21" customWidth="1"/>
    <col min="5374" max="5375" width="9.81640625" style="21" customWidth="1"/>
    <col min="5376" max="5376" width="11.1796875" style="21" customWidth="1"/>
    <col min="5377" max="5377" width="2.81640625" style="21" customWidth="1"/>
    <col min="5378" max="5378" width="3.54296875" style="21" customWidth="1"/>
    <col min="5379" max="5623" width="9.1796875" style="21"/>
    <col min="5624" max="5624" width="8.7265625" style="21" customWidth="1"/>
    <col min="5625" max="5625" width="9.81640625" style="21" customWidth="1"/>
    <col min="5626" max="5626" width="14.453125" style="21" customWidth="1"/>
    <col min="5627" max="5627" width="7.26953125" style="21" customWidth="1"/>
    <col min="5628" max="5628" width="5.54296875" style="21" customWidth="1"/>
    <col min="5629" max="5629" width="9" style="21" customWidth="1"/>
    <col min="5630" max="5631" width="9.81640625" style="21" customWidth="1"/>
    <col min="5632" max="5632" width="11.1796875" style="21" customWidth="1"/>
    <col min="5633" max="5633" width="2.81640625" style="21" customWidth="1"/>
    <col min="5634" max="5634" width="3.54296875" style="21" customWidth="1"/>
    <col min="5635" max="5879" width="9.1796875" style="21"/>
    <col min="5880" max="5880" width="8.7265625" style="21" customWidth="1"/>
    <col min="5881" max="5881" width="9.81640625" style="21" customWidth="1"/>
    <col min="5882" max="5882" width="14.453125" style="21" customWidth="1"/>
    <col min="5883" max="5883" width="7.26953125" style="21" customWidth="1"/>
    <col min="5884" max="5884" width="5.54296875" style="21" customWidth="1"/>
    <col min="5885" max="5885" width="9" style="21" customWidth="1"/>
    <col min="5886" max="5887" width="9.81640625" style="21" customWidth="1"/>
    <col min="5888" max="5888" width="11.1796875" style="21" customWidth="1"/>
    <col min="5889" max="5889" width="2.81640625" style="21" customWidth="1"/>
    <col min="5890" max="5890" width="3.54296875" style="21" customWidth="1"/>
    <col min="5891" max="6135" width="9.1796875" style="21"/>
    <col min="6136" max="6136" width="8.7265625" style="21" customWidth="1"/>
    <col min="6137" max="6137" width="9.81640625" style="21" customWidth="1"/>
    <col min="6138" max="6138" width="14.453125" style="21" customWidth="1"/>
    <col min="6139" max="6139" width="7.26953125" style="21" customWidth="1"/>
    <col min="6140" max="6140" width="5.54296875" style="21" customWidth="1"/>
    <col min="6141" max="6141" width="9" style="21" customWidth="1"/>
    <col min="6142" max="6143" width="9.81640625" style="21" customWidth="1"/>
    <col min="6144" max="6144" width="11.1796875" style="21" customWidth="1"/>
    <col min="6145" max="6145" width="2.81640625" style="21" customWidth="1"/>
    <col min="6146" max="6146" width="3.54296875" style="21" customWidth="1"/>
    <col min="6147" max="6391" width="9.1796875" style="21"/>
    <col min="6392" max="6392" width="8.7265625" style="21" customWidth="1"/>
    <col min="6393" max="6393" width="9.81640625" style="21" customWidth="1"/>
    <col min="6394" max="6394" width="14.453125" style="21" customWidth="1"/>
    <col min="6395" max="6395" width="7.26953125" style="21" customWidth="1"/>
    <col min="6396" max="6396" width="5.54296875" style="21" customWidth="1"/>
    <col min="6397" max="6397" width="9" style="21" customWidth="1"/>
    <col min="6398" max="6399" width="9.81640625" style="21" customWidth="1"/>
    <col min="6400" max="6400" width="11.1796875" style="21" customWidth="1"/>
    <col min="6401" max="6401" width="2.81640625" style="21" customWidth="1"/>
    <col min="6402" max="6402" width="3.54296875" style="21" customWidth="1"/>
    <col min="6403" max="6647" width="9.1796875" style="21"/>
    <col min="6648" max="6648" width="8.7265625" style="21" customWidth="1"/>
    <col min="6649" max="6649" width="9.81640625" style="21" customWidth="1"/>
    <col min="6650" max="6650" width="14.453125" style="21" customWidth="1"/>
    <col min="6651" max="6651" width="7.26953125" style="21" customWidth="1"/>
    <col min="6652" max="6652" width="5.54296875" style="21" customWidth="1"/>
    <col min="6653" max="6653" width="9" style="21" customWidth="1"/>
    <col min="6654" max="6655" width="9.81640625" style="21" customWidth="1"/>
    <col min="6656" max="6656" width="11.1796875" style="21" customWidth="1"/>
    <col min="6657" max="6657" width="2.81640625" style="21" customWidth="1"/>
    <col min="6658" max="6658" width="3.54296875" style="21" customWidth="1"/>
    <col min="6659" max="6903" width="9.1796875" style="21"/>
    <col min="6904" max="6904" width="8.7265625" style="21" customWidth="1"/>
    <col min="6905" max="6905" width="9.81640625" style="21" customWidth="1"/>
    <col min="6906" max="6906" width="14.453125" style="21" customWidth="1"/>
    <col min="6907" max="6907" width="7.26953125" style="21" customWidth="1"/>
    <col min="6908" max="6908" width="5.54296875" style="21" customWidth="1"/>
    <col min="6909" max="6909" width="9" style="21" customWidth="1"/>
    <col min="6910" max="6911" width="9.81640625" style="21" customWidth="1"/>
    <col min="6912" max="6912" width="11.1796875" style="21" customWidth="1"/>
    <col min="6913" max="6913" width="2.81640625" style="21" customWidth="1"/>
    <col min="6914" max="6914" width="3.54296875" style="21" customWidth="1"/>
    <col min="6915" max="7159" width="9.1796875" style="21"/>
    <col min="7160" max="7160" width="8.7265625" style="21" customWidth="1"/>
    <col min="7161" max="7161" width="9.81640625" style="21" customWidth="1"/>
    <col min="7162" max="7162" width="14.453125" style="21" customWidth="1"/>
    <col min="7163" max="7163" width="7.26953125" style="21" customWidth="1"/>
    <col min="7164" max="7164" width="5.54296875" style="21" customWidth="1"/>
    <col min="7165" max="7165" width="9" style="21" customWidth="1"/>
    <col min="7166" max="7167" width="9.81640625" style="21" customWidth="1"/>
    <col min="7168" max="7168" width="11.1796875" style="21" customWidth="1"/>
    <col min="7169" max="7169" width="2.81640625" style="21" customWidth="1"/>
    <col min="7170" max="7170" width="3.54296875" style="21" customWidth="1"/>
    <col min="7171" max="7415" width="9.1796875" style="21"/>
    <col min="7416" max="7416" width="8.7265625" style="21" customWidth="1"/>
    <col min="7417" max="7417" width="9.81640625" style="21" customWidth="1"/>
    <col min="7418" max="7418" width="14.453125" style="21" customWidth="1"/>
    <col min="7419" max="7419" width="7.26953125" style="21" customWidth="1"/>
    <col min="7420" max="7420" width="5.54296875" style="21" customWidth="1"/>
    <col min="7421" max="7421" width="9" style="21" customWidth="1"/>
    <col min="7422" max="7423" width="9.81640625" style="21" customWidth="1"/>
    <col min="7424" max="7424" width="11.1796875" style="21" customWidth="1"/>
    <col min="7425" max="7425" width="2.81640625" style="21" customWidth="1"/>
    <col min="7426" max="7426" width="3.54296875" style="21" customWidth="1"/>
    <col min="7427" max="7671" width="9.1796875" style="21"/>
    <col min="7672" max="7672" width="8.7265625" style="21" customWidth="1"/>
    <col min="7673" max="7673" width="9.81640625" style="21" customWidth="1"/>
    <col min="7674" max="7674" width="14.453125" style="21" customWidth="1"/>
    <col min="7675" max="7675" width="7.26953125" style="21" customWidth="1"/>
    <col min="7676" max="7676" width="5.54296875" style="21" customWidth="1"/>
    <col min="7677" max="7677" width="9" style="21" customWidth="1"/>
    <col min="7678" max="7679" width="9.81640625" style="21" customWidth="1"/>
    <col min="7680" max="7680" width="11.1796875" style="21" customWidth="1"/>
    <col min="7681" max="7681" width="2.81640625" style="21" customWidth="1"/>
    <col min="7682" max="7682" width="3.54296875" style="21" customWidth="1"/>
    <col min="7683" max="7927" width="9.1796875" style="21"/>
    <col min="7928" max="7928" width="8.7265625" style="21" customWidth="1"/>
    <col min="7929" max="7929" width="9.81640625" style="21" customWidth="1"/>
    <col min="7930" max="7930" width="14.453125" style="21" customWidth="1"/>
    <col min="7931" max="7931" width="7.26953125" style="21" customWidth="1"/>
    <col min="7932" max="7932" width="5.54296875" style="21" customWidth="1"/>
    <col min="7933" max="7933" width="9" style="21" customWidth="1"/>
    <col min="7934" max="7935" width="9.81640625" style="21" customWidth="1"/>
    <col min="7936" max="7936" width="11.1796875" style="21" customWidth="1"/>
    <col min="7937" max="7937" width="2.81640625" style="21" customWidth="1"/>
    <col min="7938" max="7938" width="3.54296875" style="21" customWidth="1"/>
    <col min="7939" max="8183" width="9.1796875" style="21"/>
    <col min="8184" max="8184" width="8.7265625" style="21" customWidth="1"/>
    <col min="8185" max="8185" width="9.81640625" style="21" customWidth="1"/>
    <col min="8186" max="8186" width="14.453125" style="21" customWidth="1"/>
    <col min="8187" max="8187" width="7.26953125" style="21" customWidth="1"/>
    <col min="8188" max="8188" width="5.54296875" style="21" customWidth="1"/>
    <col min="8189" max="8189" width="9" style="21" customWidth="1"/>
    <col min="8190" max="8191" width="9.81640625" style="21" customWidth="1"/>
    <col min="8192" max="8192" width="11.1796875" style="21" customWidth="1"/>
    <col min="8193" max="8193" width="2.81640625" style="21" customWidth="1"/>
    <col min="8194" max="8194" width="3.54296875" style="21" customWidth="1"/>
    <col min="8195" max="8439" width="9.1796875" style="21"/>
    <col min="8440" max="8440" width="8.7265625" style="21" customWidth="1"/>
    <col min="8441" max="8441" width="9.81640625" style="21" customWidth="1"/>
    <col min="8442" max="8442" width="14.453125" style="21" customWidth="1"/>
    <col min="8443" max="8443" width="7.26953125" style="21" customWidth="1"/>
    <col min="8444" max="8444" width="5.54296875" style="21" customWidth="1"/>
    <col min="8445" max="8445" width="9" style="21" customWidth="1"/>
    <col min="8446" max="8447" width="9.81640625" style="21" customWidth="1"/>
    <col min="8448" max="8448" width="11.1796875" style="21" customWidth="1"/>
    <col min="8449" max="8449" width="2.81640625" style="21" customWidth="1"/>
    <col min="8450" max="8450" width="3.54296875" style="21" customWidth="1"/>
    <col min="8451" max="8695" width="9.1796875" style="21"/>
    <col min="8696" max="8696" width="8.7265625" style="21" customWidth="1"/>
    <col min="8697" max="8697" width="9.81640625" style="21" customWidth="1"/>
    <col min="8698" max="8698" width="14.453125" style="21" customWidth="1"/>
    <col min="8699" max="8699" width="7.26953125" style="21" customWidth="1"/>
    <col min="8700" max="8700" width="5.54296875" style="21" customWidth="1"/>
    <col min="8701" max="8701" width="9" style="21" customWidth="1"/>
    <col min="8702" max="8703" width="9.81640625" style="21" customWidth="1"/>
    <col min="8704" max="8704" width="11.1796875" style="21" customWidth="1"/>
    <col min="8705" max="8705" width="2.81640625" style="21" customWidth="1"/>
    <col min="8706" max="8706" width="3.54296875" style="21" customWidth="1"/>
    <col min="8707" max="8951" width="9.1796875" style="21"/>
    <col min="8952" max="8952" width="8.7265625" style="21" customWidth="1"/>
    <col min="8953" max="8953" width="9.81640625" style="21" customWidth="1"/>
    <col min="8954" max="8954" width="14.453125" style="21" customWidth="1"/>
    <col min="8955" max="8955" width="7.26953125" style="21" customWidth="1"/>
    <col min="8956" max="8956" width="5.54296875" style="21" customWidth="1"/>
    <col min="8957" max="8957" width="9" style="21" customWidth="1"/>
    <col min="8958" max="8959" width="9.81640625" style="21" customWidth="1"/>
    <col min="8960" max="8960" width="11.1796875" style="21" customWidth="1"/>
    <col min="8961" max="8961" width="2.81640625" style="21" customWidth="1"/>
    <col min="8962" max="8962" width="3.54296875" style="21" customWidth="1"/>
    <col min="8963" max="9207" width="9.1796875" style="21"/>
    <col min="9208" max="9208" width="8.7265625" style="21" customWidth="1"/>
    <col min="9209" max="9209" width="9.81640625" style="21" customWidth="1"/>
    <col min="9210" max="9210" width="14.453125" style="21" customWidth="1"/>
    <col min="9211" max="9211" width="7.26953125" style="21" customWidth="1"/>
    <col min="9212" max="9212" width="5.54296875" style="21" customWidth="1"/>
    <col min="9213" max="9213" width="9" style="21" customWidth="1"/>
    <col min="9214" max="9215" width="9.81640625" style="21" customWidth="1"/>
    <col min="9216" max="9216" width="11.1796875" style="21" customWidth="1"/>
    <col min="9217" max="9217" width="2.81640625" style="21" customWidth="1"/>
    <col min="9218" max="9218" width="3.54296875" style="21" customWidth="1"/>
    <col min="9219" max="9463" width="9.1796875" style="21"/>
    <col min="9464" max="9464" width="8.7265625" style="21" customWidth="1"/>
    <col min="9465" max="9465" width="9.81640625" style="21" customWidth="1"/>
    <col min="9466" max="9466" width="14.453125" style="21" customWidth="1"/>
    <col min="9467" max="9467" width="7.26953125" style="21" customWidth="1"/>
    <col min="9468" max="9468" width="5.54296875" style="21" customWidth="1"/>
    <col min="9469" max="9469" width="9" style="21" customWidth="1"/>
    <col min="9470" max="9471" width="9.81640625" style="21" customWidth="1"/>
    <col min="9472" max="9472" width="11.1796875" style="21" customWidth="1"/>
    <col min="9473" max="9473" width="2.81640625" style="21" customWidth="1"/>
    <col min="9474" max="9474" width="3.54296875" style="21" customWidth="1"/>
    <col min="9475" max="9719" width="9.1796875" style="21"/>
    <col min="9720" max="9720" width="8.7265625" style="21" customWidth="1"/>
    <col min="9721" max="9721" width="9.81640625" style="21" customWidth="1"/>
    <col min="9722" max="9722" width="14.453125" style="21" customWidth="1"/>
    <col min="9723" max="9723" width="7.26953125" style="21" customWidth="1"/>
    <col min="9724" max="9724" width="5.54296875" style="21" customWidth="1"/>
    <col min="9725" max="9725" width="9" style="21" customWidth="1"/>
    <col min="9726" max="9727" width="9.81640625" style="21" customWidth="1"/>
    <col min="9728" max="9728" width="11.1796875" style="21" customWidth="1"/>
    <col min="9729" max="9729" width="2.81640625" style="21" customWidth="1"/>
    <col min="9730" max="9730" width="3.54296875" style="21" customWidth="1"/>
    <col min="9731" max="9975" width="9.1796875" style="21"/>
    <col min="9976" max="9976" width="8.7265625" style="21" customWidth="1"/>
    <col min="9977" max="9977" width="9.81640625" style="21" customWidth="1"/>
    <col min="9978" max="9978" width="14.453125" style="21" customWidth="1"/>
    <col min="9979" max="9979" width="7.26953125" style="21" customWidth="1"/>
    <col min="9980" max="9980" width="5.54296875" style="21" customWidth="1"/>
    <col min="9981" max="9981" width="9" style="21" customWidth="1"/>
    <col min="9982" max="9983" width="9.81640625" style="21" customWidth="1"/>
    <col min="9984" max="9984" width="11.1796875" style="21" customWidth="1"/>
    <col min="9985" max="9985" width="2.81640625" style="21" customWidth="1"/>
    <col min="9986" max="9986" width="3.54296875" style="21" customWidth="1"/>
    <col min="9987" max="10231" width="9.1796875" style="21"/>
    <col min="10232" max="10232" width="8.7265625" style="21" customWidth="1"/>
    <col min="10233" max="10233" width="9.81640625" style="21" customWidth="1"/>
    <col min="10234" max="10234" width="14.453125" style="21" customWidth="1"/>
    <col min="10235" max="10235" width="7.26953125" style="21" customWidth="1"/>
    <col min="10236" max="10236" width="5.54296875" style="21" customWidth="1"/>
    <col min="10237" max="10237" width="9" style="21" customWidth="1"/>
    <col min="10238" max="10239" width="9.81640625" style="21" customWidth="1"/>
    <col min="10240" max="10240" width="11.1796875" style="21" customWidth="1"/>
    <col min="10241" max="10241" width="2.81640625" style="21" customWidth="1"/>
    <col min="10242" max="10242" width="3.54296875" style="21" customWidth="1"/>
    <col min="10243" max="10487" width="9.1796875" style="21"/>
    <col min="10488" max="10488" width="8.7265625" style="21" customWidth="1"/>
    <col min="10489" max="10489" width="9.81640625" style="21" customWidth="1"/>
    <col min="10490" max="10490" width="14.453125" style="21" customWidth="1"/>
    <col min="10491" max="10491" width="7.26953125" style="21" customWidth="1"/>
    <col min="10492" max="10492" width="5.54296875" style="21" customWidth="1"/>
    <col min="10493" max="10493" width="9" style="21" customWidth="1"/>
    <col min="10494" max="10495" width="9.81640625" style="21" customWidth="1"/>
    <col min="10496" max="10496" width="11.1796875" style="21" customWidth="1"/>
    <col min="10497" max="10497" width="2.81640625" style="21" customWidth="1"/>
    <col min="10498" max="10498" width="3.54296875" style="21" customWidth="1"/>
    <col min="10499" max="10743" width="9.1796875" style="21"/>
    <col min="10744" max="10744" width="8.7265625" style="21" customWidth="1"/>
    <col min="10745" max="10745" width="9.81640625" style="21" customWidth="1"/>
    <col min="10746" max="10746" width="14.453125" style="21" customWidth="1"/>
    <col min="10747" max="10747" width="7.26953125" style="21" customWidth="1"/>
    <col min="10748" max="10748" width="5.54296875" style="21" customWidth="1"/>
    <col min="10749" max="10749" width="9" style="21" customWidth="1"/>
    <col min="10750" max="10751" width="9.81640625" style="21" customWidth="1"/>
    <col min="10752" max="10752" width="11.1796875" style="21" customWidth="1"/>
    <col min="10753" max="10753" width="2.81640625" style="21" customWidth="1"/>
    <col min="10754" max="10754" width="3.54296875" style="21" customWidth="1"/>
    <col min="10755" max="10999" width="9.1796875" style="21"/>
    <col min="11000" max="11000" width="8.7265625" style="21" customWidth="1"/>
    <col min="11001" max="11001" width="9.81640625" style="21" customWidth="1"/>
    <col min="11002" max="11002" width="14.453125" style="21" customWidth="1"/>
    <col min="11003" max="11003" width="7.26953125" style="21" customWidth="1"/>
    <col min="11004" max="11004" width="5.54296875" style="21" customWidth="1"/>
    <col min="11005" max="11005" width="9" style="21" customWidth="1"/>
    <col min="11006" max="11007" width="9.81640625" style="21" customWidth="1"/>
    <col min="11008" max="11008" width="11.1796875" style="21" customWidth="1"/>
    <col min="11009" max="11009" width="2.81640625" style="21" customWidth="1"/>
    <col min="11010" max="11010" width="3.54296875" style="21" customWidth="1"/>
    <col min="11011" max="11255" width="9.1796875" style="21"/>
    <col min="11256" max="11256" width="8.7265625" style="21" customWidth="1"/>
    <col min="11257" max="11257" width="9.81640625" style="21" customWidth="1"/>
    <col min="11258" max="11258" width="14.453125" style="21" customWidth="1"/>
    <col min="11259" max="11259" width="7.26953125" style="21" customWidth="1"/>
    <col min="11260" max="11260" width="5.54296875" style="21" customWidth="1"/>
    <col min="11261" max="11261" width="9" style="21" customWidth="1"/>
    <col min="11262" max="11263" width="9.81640625" style="21" customWidth="1"/>
    <col min="11264" max="11264" width="11.1796875" style="21" customWidth="1"/>
    <col min="11265" max="11265" width="2.81640625" style="21" customWidth="1"/>
    <col min="11266" max="11266" width="3.54296875" style="21" customWidth="1"/>
    <col min="11267" max="11511" width="9.1796875" style="21"/>
    <col min="11512" max="11512" width="8.7265625" style="21" customWidth="1"/>
    <col min="11513" max="11513" width="9.81640625" style="21" customWidth="1"/>
    <col min="11514" max="11514" width="14.453125" style="21" customWidth="1"/>
    <col min="11515" max="11515" width="7.26953125" style="21" customWidth="1"/>
    <col min="11516" max="11516" width="5.54296875" style="21" customWidth="1"/>
    <col min="11517" max="11517" width="9" style="21" customWidth="1"/>
    <col min="11518" max="11519" width="9.81640625" style="21" customWidth="1"/>
    <col min="11520" max="11520" width="11.1796875" style="21" customWidth="1"/>
    <col min="11521" max="11521" width="2.81640625" style="21" customWidth="1"/>
    <col min="11522" max="11522" width="3.54296875" style="21" customWidth="1"/>
    <col min="11523" max="11767" width="9.1796875" style="21"/>
    <col min="11768" max="11768" width="8.7265625" style="21" customWidth="1"/>
    <col min="11769" max="11769" width="9.81640625" style="21" customWidth="1"/>
    <col min="11770" max="11770" width="14.453125" style="21" customWidth="1"/>
    <col min="11771" max="11771" width="7.26953125" style="21" customWidth="1"/>
    <col min="11772" max="11772" width="5.54296875" style="21" customWidth="1"/>
    <col min="11773" max="11773" width="9" style="21" customWidth="1"/>
    <col min="11774" max="11775" width="9.81640625" style="21" customWidth="1"/>
    <col min="11776" max="11776" width="11.1796875" style="21" customWidth="1"/>
    <col min="11777" max="11777" width="2.81640625" style="21" customWidth="1"/>
    <col min="11778" max="11778" width="3.54296875" style="21" customWidth="1"/>
    <col min="11779" max="12023" width="9.1796875" style="21"/>
    <col min="12024" max="12024" width="8.7265625" style="21" customWidth="1"/>
    <col min="12025" max="12025" width="9.81640625" style="21" customWidth="1"/>
    <col min="12026" max="12026" width="14.453125" style="21" customWidth="1"/>
    <col min="12027" max="12027" width="7.26953125" style="21" customWidth="1"/>
    <col min="12028" max="12028" width="5.54296875" style="21" customWidth="1"/>
    <col min="12029" max="12029" width="9" style="21" customWidth="1"/>
    <col min="12030" max="12031" width="9.81640625" style="21" customWidth="1"/>
    <col min="12032" max="12032" width="11.1796875" style="21" customWidth="1"/>
    <col min="12033" max="12033" width="2.81640625" style="21" customWidth="1"/>
    <col min="12034" max="12034" width="3.54296875" style="21" customWidth="1"/>
    <col min="12035" max="12279" width="9.1796875" style="21"/>
    <col min="12280" max="12280" width="8.7265625" style="21" customWidth="1"/>
    <col min="12281" max="12281" width="9.81640625" style="21" customWidth="1"/>
    <col min="12282" max="12282" width="14.453125" style="21" customWidth="1"/>
    <col min="12283" max="12283" width="7.26953125" style="21" customWidth="1"/>
    <col min="12284" max="12284" width="5.54296875" style="21" customWidth="1"/>
    <col min="12285" max="12285" width="9" style="21" customWidth="1"/>
    <col min="12286" max="12287" width="9.81640625" style="21" customWidth="1"/>
    <col min="12288" max="12288" width="11.1796875" style="21" customWidth="1"/>
    <col min="12289" max="12289" width="2.81640625" style="21" customWidth="1"/>
    <col min="12290" max="12290" width="3.54296875" style="21" customWidth="1"/>
    <col min="12291" max="12535" width="9.1796875" style="21"/>
    <col min="12536" max="12536" width="8.7265625" style="21" customWidth="1"/>
    <col min="12537" max="12537" width="9.81640625" style="21" customWidth="1"/>
    <col min="12538" max="12538" width="14.453125" style="21" customWidth="1"/>
    <col min="12539" max="12539" width="7.26953125" style="21" customWidth="1"/>
    <col min="12540" max="12540" width="5.54296875" style="21" customWidth="1"/>
    <col min="12541" max="12541" width="9" style="21" customWidth="1"/>
    <col min="12542" max="12543" width="9.81640625" style="21" customWidth="1"/>
    <col min="12544" max="12544" width="11.1796875" style="21" customWidth="1"/>
    <col min="12545" max="12545" width="2.81640625" style="21" customWidth="1"/>
    <col min="12546" max="12546" width="3.54296875" style="21" customWidth="1"/>
    <col min="12547" max="12791" width="9.1796875" style="21"/>
    <col min="12792" max="12792" width="8.7265625" style="21" customWidth="1"/>
    <col min="12793" max="12793" width="9.81640625" style="21" customWidth="1"/>
    <col min="12794" max="12794" width="14.453125" style="21" customWidth="1"/>
    <col min="12795" max="12795" width="7.26953125" style="21" customWidth="1"/>
    <col min="12796" max="12796" width="5.54296875" style="21" customWidth="1"/>
    <col min="12797" max="12797" width="9" style="21" customWidth="1"/>
    <col min="12798" max="12799" width="9.81640625" style="21" customWidth="1"/>
    <col min="12800" max="12800" width="11.1796875" style="21" customWidth="1"/>
    <col min="12801" max="12801" width="2.81640625" style="21" customWidth="1"/>
    <col min="12802" max="12802" width="3.54296875" style="21" customWidth="1"/>
    <col min="12803" max="13047" width="9.1796875" style="21"/>
    <col min="13048" max="13048" width="8.7265625" style="21" customWidth="1"/>
    <col min="13049" max="13049" width="9.81640625" style="21" customWidth="1"/>
    <col min="13050" max="13050" width="14.453125" style="21" customWidth="1"/>
    <col min="13051" max="13051" width="7.26953125" style="21" customWidth="1"/>
    <col min="13052" max="13052" width="5.54296875" style="21" customWidth="1"/>
    <col min="13053" max="13053" width="9" style="21" customWidth="1"/>
    <col min="13054" max="13055" width="9.81640625" style="21" customWidth="1"/>
    <col min="13056" max="13056" width="11.1796875" style="21" customWidth="1"/>
    <col min="13057" max="13057" width="2.81640625" style="21" customWidth="1"/>
    <col min="13058" max="13058" width="3.54296875" style="21" customWidth="1"/>
    <col min="13059" max="13303" width="9.1796875" style="21"/>
    <col min="13304" max="13304" width="8.7265625" style="21" customWidth="1"/>
    <col min="13305" max="13305" width="9.81640625" style="21" customWidth="1"/>
    <col min="13306" max="13306" width="14.453125" style="21" customWidth="1"/>
    <col min="13307" max="13307" width="7.26953125" style="21" customWidth="1"/>
    <col min="13308" max="13308" width="5.54296875" style="21" customWidth="1"/>
    <col min="13309" max="13309" width="9" style="21" customWidth="1"/>
    <col min="13310" max="13311" width="9.81640625" style="21" customWidth="1"/>
    <col min="13312" max="13312" width="11.1796875" style="21" customWidth="1"/>
    <col min="13313" max="13313" width="2.81640625" style="21" customWidth="1"/>
    <col min="13314" max="13314" width="3.54296875" style="21" customWidth="1"/>
    <col min="13315" max="13559" width="9.1796875" style="21"/>
    <col min="13560" max="13560" width="8.7265625" style="21" customWidth="1"/>
    <col min="13561" max="13561" width="9.81640625" style="21" customWidth="1"/>
    <col min="13562" max="13562" width="14.453125" style="21" customWidth="1"/>
    <col min="13563" max="13563" width="7.26953125" style="21" customWidth="1"/>
    <col min="13564" max="13564" width="5.54296875" style="21" customWidth="1"/>
    <col min="13565" max="13565" width="9" style="21" customWidth="1"/>
    <col min="13566" max="13567" width="9.81640625" style="21" customWidth="1"/>
    <col min="13568" max="13568" width="11.1796875" style="21" customWidth="1"/>
    <col min="13569" max="13569" width="2.81640625" style="21" customWidth="1"/>
    <col min="13570" max="13570" width="3.54296875" style="21" customWidth="1"/>
    <col min="13571" max="13815" width="9.1796875" style="21"/>
    <col min="13816" max="13816" width="8.7265625" style="21" customWidth="1"/>
    <col min="13817" max="13817" width="9.81640625" style="21" customWidth="1"/>
    <col min="13818" max="13818" width="14.453125" style="21" customWidth="1"/>
    <col min="13819" max="13819" width="7.26953125" style="21" customWidth="1"/>
    <col min="13820" max="13820" width="5.54296875" style="21" customWidth="1"/>
    <col min="13821" max="13821" width="9" style="21" customWidth="1"/>
    <col min="13822" max="13823" width="9.81640625" style="21" customWidth="1"/>
    <col min="13824" max="13824" width="11.1796875" style="21" customWidth="1"/>
    <col min="13825" max="13825" width="2.81640625" style="21" customWidth="1"/>
    <col min="13826" max="13826" width="3.54296875" style="21" customWidth="1"/>
    <col min="13827" max="14071" width="9.1796875" style="21"/>
    <col min="14072" max="14072" width="8.7265625" style="21" customWidth="1"/>
    <col min="14073" max="14073" width="9.81640625" style="21" customWidth="1"/>
    <col min="14074" max="14074" width="14.453125" style="21" customWidth="1"/>
    <col min="14075" max="14075" width="7.26953125" style="21" customWidth="1"/>
    <col min="14076" max="14076" width="5.54296875" style="21" customWidth="1"/>
    <col min="14077" max="14077" width="9" style="21" customWidth="1"/>
    <col min="14078" max="14079" width="9.81640625" style="21" customWidth="1"/>
    <col min="14080" max="14080" width="11.1796875" style="21" customWidth="1"/>
    <col min="14081" max="14081" width="2.81640625" style="21" customWidth="1"/>
    <col min="14082" max="14082" width="3.54296875" style="21" customWidth="1"/>
    <col min="14083" max="14327" width="9.1796875" style="21"/>
    <col min="14328" max="14328" width="8.7265625" style="21" customWidth="1"/>
    <col min="14329" max="14329" width="9.81640625" style="21" customWidth="1"/>
    <col min="14330" max="14330" width="14.453125" style="21" customWidth="1"/>
    <col min="14331" max="14331" width="7.26953125" style="21" customWidth="1"/>
    <col min="14332" max="14332" width="5.54296875" style="21" customWidth="1"/>
    <col min="14333" max="14333" width="9" style="21" customWidth="1"/>
    <col min="14334" max="14335" width="9.81640625" style="21" customWidth="1"/>
    <col min="14336" max="14336" width="11.1796875" style="21" customWidth="1"/>
    <col min="14337" max="14337" width="2.81640625" style="21" customWidth="1"/>
    <col min="14338" max="14338" width="3.54296875" style="21" customWidth="1"/>
    <col min="14339" max="14583" width="9.1796875" style="21"/>
    <col min="14584" max="14584" width="8.7265625" style="21" customWidth="1"/>
    <col min="14585" max="14585" width="9.81640625" style="21" customWidth="1"/>
    <col min="14586" max="14586" width="14.453125" style="21" customWidth="1"/>
    <col min="14587" max="14587" width="7.26953125" style="21" customWidth="1"/>
    <col min="14588" max="14588" width="5.54296875" style="21" customWidth="1"/>
    <col min="14589" max="14589" width="9" style="21" customWidth="1"/>
    <col min="14590" max="14591" width="9.81640625" style="21" customWidth="1"/>
    <col min="14592" max="14592" width="11.1796875" style="21" customWidth="1"/>
    <col min="14593" max="14593" width="2.81640625" style="21" customWidth="1"/>
    <col min="14594" max="14594" width="3.54296875" style="21" customWidth="1"/>
    <col min="14595" max="14839" width="9.1796875" style="21"/>
    <col min="14840" max="14840" width="8.7265625" style="21" customWidth="1"/>
    <col min="14841" max="14841" width="9.81640625" style="21" customWidth="1"/>
    <col min="14842" max="14842" width="14.453125" style="21" customWidth="1"/>
    <col min="14843" max="14843" width="7.26953125" style="21" customWidth="1"/>
    <col min="14844" max="14844" width="5.54296875" style="21" customWidth="1"/>
    <col min="14845" max="14845" width="9" style="21" customWidth="1"/>
    <col min="14846" max="14847" width="9.81640625" style="21" customWidth="1"/>
    <col min="14848" max="14848" width="11.1796875" style="21" customWidth="1"/>
    <col min="14849" max="14849" width="2.81640625" style="21" customWidth="1"/>
    <col min="14850" max="14850" width="3.54296875" style="21" customWidth="1"/>
    <col min="14851" max="15095" width="9.1796875" style="21"/>
    <col min="15096" max="15096" width="8.7265625" style="21" customWidth="1"/>
    <col min="15097" max="15097" width="9.81640625" style="21" customWidth="1"/>
    <col min="15098" max="15098" width="14.453125" style="21" customWidth="1"/>
    <col min="15099" max="15099" width="7.26953125" style="21" customWidth="1"/>
    <col min="15100" max="15100" width="5.54296875" style="21" customWidth="1"/>
    <col min="15101" max="15101" width="9" style="21" customWidth="1"/>
    <col min="15102" max="15103" width="9.81640625" style="21" customWidth="1"/>
    <col min="15104" max="15104" width="11.1796875" style="21" customWidth="1"/>
    <col min="15105" max="15105" width="2.81640625" style="21" customWidth="1"/>
    <col min="15106" max="15106" width="3.54296875" style="21" customWidth="1"/>
    <col min="15107" max="15351" width="9.1796875" style="21"/>
    <col min="15352" max="15352" width="8.7265625" style="21" customWidth="1"/>
    <col min="15353" max="15353" width="9.81640625" style="21" customWidth="1"/>
    <col min="15354" max="15354" width="14.453125" style="21" customWidth="1"/>
    <col min="15355" max="15355" width="7.26953125" style="21" customWidth="1"/>
    <col min="15356" max="15356" width="5.54296875" style="21" customWidth="1"/>
    <col min="15357" max="15357" width="9" style="21" customWidth="1"/>
    <col min="15358" max="15359" width="9.81640625" style="21" customWidth="1"/>
    <col min="15360" max="15360" width="11.1796875" style="21" customWidth="1"/>
    <col min="15361" max="15361" width="2.81640625" style="21" customWidth="1"/>
    <col min="15362" max="15362" width="3.54296875" style="21" customWidth="1"/>
    <col min="15363" max="15607" width="9.1796875" style="21"/>
    <col min="15608" max="15608" width="8.7265625" style="21" customWidth="1"/>
    <col min="15609" max="15609" width="9.81640625" style="21" customWidth="1"/>
    <col min="15610" max="15610" width="14.453125" style="21" customWidth="1"/>
    <col min="15611" max="15611" width="7.26953125" style="21" customWidth="1"/>
    <col min="15612" max="15612" width="5.54296875" style="21" customWidth="1"/>
    <col min="15613" max="15613" width="9" style="21" customWidth="1"/>
    <col min="15614" max="15615" width="9.81640625" style="21" customWidth="1"/>
    <col min="15616" max="15616" width="11.1796875" style="21" customWidth="1"/>
    <col min="15617" max="15617" width="2.81640625" style="21" customWidth="1"/>
    <col min="15618" max="15618" width="3.54296875" style="21" customWidth="1"/>
    <col min="15619" max="15863" width="9.1796875" style="21"/>
    <col min="15864" max="15864" width="8.7265625" style="21" customWidth="1"/>
    <col min="15865" max="15865" width="9.81640625" style="21" customWidth="1"/>
    <col min="15866" max="15866" width="14.453125" style="21" customWidth="1"/>
    <col min="15867" max="15867" width="7.26953125" style="21" customWidth="1"/>
    <col min="15868" max="15868" width="5.54296875" style="21" customWidth="1"/>
    <col min="15869" max="15869" width="9" style="21" customWidth="1"/>
    <col min="15870" max="15871" width="9.81640625" style="21" customWidth="1"/>
    <col min="15872" max="15872" width="11.1796875" style="21" customWidth="1"/>
    <col min="15873" max="15873" width="2.81640625" style="21" customWidth="1"/>
    <col min="15874" max="15874" width="3.54296875" style="21" customWidth="1"/>
    <col min="15875" max="16119" width="9.1796875" style="21"/>
    <col min="16120" max="16120" width="8.7265625" style="21" customWidth="1"/>
    <col min="16121" max="16121" width="9.81640625" style="21" customWidth="1"/>
    <col min="16122" max="16122" width="14.453125" style="21" customWidth="1"/>
    <col min="16123" max="16123" width="7.26953125" style="21" customWidth="1"/>
    <col min="16124" max="16124" width="5.54296875" style="21" customWidth="1"/>
    <col min="16125" max="16125" width="9" style="21" customWidth="1"/>
    <col min="16126" max="16127" width="9.81640625" style="21" customWidth="1"/>
    <col min="16128" max="16128" width="11.1796875" style="21" customWidth="1"/>
    <col min="16129" max="16129" width="2.81640625" style="21" customWidth="1"/>
    <col min="16130" max="16130" width="3.54296875" style="21" customWidth="1"/>
    <col min="16131" max="16384" width="9.1796875" style="21"/>
  </cols>
  <sheetData>
    <row r="1" spans="1:26" ht="46.5" customHeight="1" x14ac:dyDescent="0.35">
      <c r="A1" s="207" t="s">
        <v>166</v>
      </c>
      <c r="B1" s="207"/>
      <c r="C1" s="207"/>
      <c r="D1" s="207"/>
      <c r="E1" s="207"/>
      <c r="F1" s="207"/>
      <c r="G1" s="207"/>
      <c r="H1" s="207"/>
    </row>
    <row r="2" spans="1:26" ht="16.5" customHeight="1" x14ac:dyDescent="0.35">
      <c r="A2" s="151" t="s">
        <v>0</v>
      </c>
      <c r="B2" s="151"/>
      <c r="C2" s="151"/>
      <c r="D2" s="151"/>
      <c r="E2" s="151"/>
      <c r="F2" s="151"/>
      <c r="G2" s="151"/>
      <c r="H2" s="151"/>
    </row>
    <row r="3" spans="1:26" x14ac:dyDescent="0.35">
      <c r="A3" s="137" t="s">
        <v>1</v>
      </c>
      <c r="B3" s="137"/>
      <c r="C3" s="137"/>
      <c r="D3" s="137"/>
      <c r="E3" s="137" t="str">
        <f ca="1">TEXT(TODAY(),"DD/MM/YYYY")</f>
        <v>18/07/2025</v>
      </c>
      <c r="F3" s="137"/>
      <c r="G3" s="137"/>
      <c r="H3" s="137"/>
      <c r="K3" s="59" t="s">
        <v>241</v>
      </c>
      <c r="L3" s="56" t="s">
        <v>239</v>
      </c>
      <c r="M3" s="56" t="s">
        <v>244</v>
      </c>
      <c r="N3" s="56" t="s">
        <v>242</v>
      </c>
      <c r="O3" s="56" t="s">
        <v>243</v>
      </c>
      <c r="P3" s="56" t="s">
        <v>245</v>
      </c>
    </row>
    <row r="4" spans="1:26" ht="15" customHeight="1" x14ac:dyDescent="0.35">
      <c r="A4" s="137" t="s">
        <v>238</v>
      </c>
      <c r="B4" s="137"/>
      <c r="C4" s="137"/>
      <c r="D4" s="137"/>
      <c r="E4" s="137" t="s">
        <v>239</v>
      </c>
      <c r="F4" s="137"/>
      <c r="G4" s="137"/>
      <c r="H4" s="137"/>
      <c r="K4" s="55" t="s">
        <v>240</v>
      </c>
      <c r="L4" s="56" t="s">
        <v>173</v>
      </c>
      <c r="M4" s="56" t="s">
        <v>249</v>
      </c>
      <c r="N4" s="56" t="s">
        <v>251</v>
      </c>
      <c r="O4" s="56" t="s">
        <v>253</v>
      </c>
      <c r="P4" s="56"/>
    </row>
    <row r="5" spans="1:26" ht="15" customHeight="1" x14ac:dyDescent="0.35">
      <c r="A5" s="137" t="s">
        <v>2</v>
      </c>
      <c r="B5" s="137"/>
      <c r="C5" s="137"/>
      <c r="D5" s="137"/>
      <c r="E5" s="137" t="s">
        <v>247</v>
      </c>
      <c r="F5" s="137"/>
      <c r="G5" s="137"/>
      <c r="H5" s="137"/>
      <c r="K5" s="55"/>
      <c r="L5" s="56" t="s">
        <v>246</v>
      </c>
      <c r="M5" s="56" t="s">
        <v>250</v>
      </c>
      <c r="N5" s="56" t="s">
        <v>252</v>
      </c>
      <c r="O5" s="56" t="s">
        <v>254</v>
      </c>
      <c r="P5" s="56"/>
    </row>
    <row r="6" spans="1:26" x14ac:dyDescent="0.35">
      <c r="A6" s="137" t="s">
        <v>3</v>
      </c>
      <c r="B6" s="137"/>
      <c r="C6" s="137"/>
      <c r="D6" s="137"/>
      <c r="E6" s="209">
        <v>45855</v>
      </c>
      <c r="F6" s="137"/>
      <c r="G6" s="137"/>
      <c r="H6" s="137"/>
      <c r="K6" s="55"/>
      <c r="L6" s="56" t="s">
        <v>247</v>
      </c>
      <c r="M6" s="56"/>
      <c r="N6" s="56"/>
      <c r="O6" s="56" t="s">
        <v>255</v>
      </c>
      <c r="P6" s="56"/>
    </row>
    <row r="7" spans="1:26" ht="16.5" customHeight="1" x14ac:dyDescent="0.35">
      <c r="A7" s="137" t="s">
        <v>4</v>
      </c>
      <c r="B7" s="137"/>
      <c r="C7" s="137"/>
      <c r="D7" s="137"/>
      <c r="E7" s="137" t="s">
        <v>339</v>
      </c>
      <c r="F7" s="137"/>
      <c r="G7" s="137"/>
      <c r="H7" s="137"/>
      <c r="K7" s="55"/>
      <c r="L7" s="56" t="s">
        <v>248</v>
      </c>
      <c r="M7" s="56"/>
      <c r="N7" s="56"/>
      <c r="O7" s="56" t="s">
        <v>255</v>
      </c>
      <c r="P7" s="56"/>
    </row>
    <row r="8" spans="1:26" ht="15" customHeight="1" x14ac:dyDescent="0.35">
      <c r="A8" s="137" t="s">
        <v>5</v>
      </c>
      <c r="B8" s="137"/>
      <c r="C8" s="137"/>
      <c r="D8" s="137"/>
      <c r="E8" s="137" t="str">
        <f>E7</f>
        <v>Dani Enterprises</v>
      </c>
      <c r="F8" s="137"/>
      <c r="G8" s="137"/>
      <c r="H8" s="137"/>
      <c r="K8" s="55"/>
      <c r="L8" s="56"/>
      <c r="M8" s="56"/>
      <c r="N8" s="56"/>
      <c r="O8" s="56" t="s">
        <v>256</v>
      </c>
      <c r="P8" s="56"/>
    </row>
    <row r="9" spans="1:26" x14ac:dyDescent="0.35">
      <c r="A9" s="137" t="s">
        <v>6</v>
      </c>
      <c r="B9" s="137"/>
      <c r="C9" s="137"/>
      <c r="D9" s="137"/>
      <c r="E9" s="208" t="s">
        <v>340</v>
      </c>
      <c r="F9" s="208"/>
      <c r="G9" s="208"/>
      <c r="H9" s="208"/>
      <c r="K9" s="55"/>
      <c r="L9" s="56"/>
      <c r="M9" s="56"/>
      <c r="N9" s="56"/>
      <c r="O9" s="56" t="s">
        <v>257</v>
      </c>
      <c r="P9" s="56"/>
    </row>
    <row r="10" spans="1:26" x14ac:dyDescent="0.35">
      <c r="A10" s="137" t="s">
        <v>169</v>
      </c>
      <c r="B10" s="137"/>
      <c r="C10" s="137"/>
      <c r="D10" s="137"/>
      <c r="E10" s="137" t="s">
        <v>341</v>
      </c>
      <c r="F10" s="137"/>
      <c r="G10" s="137"/>
      <c r="H10" s="137"/>
      <c r="K10" s="55"/>
      <c r="L10" s="56"/>
      <c r="M10" s="56"/>
      <c r="N10" s="56"/>
      <c r="O10" s="56"/>
      <c r="P10" s="56"/>
    </row>
    <row r="11" spans="1:26" x14ac:dyDescent="0.35">
      <c r="A11" s="137" t="s">
        <v>170</v>
      </c>
      <c r="B11" s="137"/>
      <c r="C11" s="137"/>
      <c r="D11" s="137"/>
      <c r="E11" s="137" t="s">
        <v>394</v>
      </c>
      <c r="F11" s="137"/>
      <c r="G11" s="137"/>
      <c r="H11" s="137"/>
    </row>
    <row r="12" spans="1:26" x14ac:dyDescent="0.35">
      <c r="A12" s="137" t="s">
        <v>7</v>
      </c>
      <c r="B12" s="137"/>
      <c r="C12" s="137"/>
      <c r="D12" s="137"/>
      <c r="E12" s="137" t="s">
        <v>118</v>
      </c>
      <c r="F12" s="137"/>
      <c r="G12" s="137"/>
      <c r="H12" s="137"/>
    </row>
    <row r="13" spans="1:26" x14ac:dyDescent="0.35">
      <c r="A13" s="137" t="s">
        <v>174</v>
      </c>
      <c r="B13" s="137"/>
      <c r="C13" s="137"/>
      <c r="D13" s="137"/>
      <c r="E13" s="137" t="s">
        <v>28</v>
      </c>
      <c r="F13" s="137"/>
      <c r="G13" s="137"/>
      <c r="H13" s="137"/>
      <c r="S13" s="56" t="s">
        <v>182</v>
      </c>
      <c r="T13" s="56" t="s">
        <v>192</v>
      </c>
      <c r="U13" s="56" t="s">
        <v>175</v>
      </c>
      <c r="V13" s="56" t="s">
        <v>197</v>
      </c>
      <c r="W13" s="56" t="s">
        <v>215</v>
      </c>
      <c r="X13"/>
      <c r="Y13" t="s">
        <v>197</v>
      </c>
      <c r="Z13" t="e">
        <f ca="1">OFFSET($S$13,1,MATCH($G20,$S$13:$W$13,0)-1,15,1)</f>
        <v>#VALUE!</v>
      </c>
    </row>
    <row r="14" spans="1:26" ht="32.25" customHeight="1" x14ac:dyDescent="0.35">
      <c r="A14" s="117" t="s">
        <v>284</v>
      </c>
      <c r="B14" s="117"/>
      <c r="C14" s="117"/>
      <c r="D14" s="117"/>
      <c r="E14" s="136" t="s">
        <v>383</v>
      </c>
      <c r="F14" s="136"/>
      <c r="G14" s="136"/>
      <c r="H14" s="136"/>
      <c r="S14" s="56" t="s">
        <v>183</v>
      </c>
      <c r="T14" s="56" t="s">
        <v>190</v>
      </c>
      <c r="U14" s="56" t="s">
        <v>212</v>
      </c>
      <c r="V14" s="56" t="s">
        <v>198</v>
      </c>
      <c r="W14" s="56" t="s">
        <v>216</v>
      </c>
      <c r="X14"/>
      <c r="Y14"/>
      <c r="Z14"/>
    </row>
    <row r="15" spans="1:26" x14ac:dyDescent="0.35">
      <c r="A15" s="117" t="s">
        <v>8</v>
      </c>
      <c r="B15" s="117"/>
      <c r="C15" s="117"/>
      <c r="D15" s="117"/>
      <c r="E15" s="136" t="s">
        <v>342</v>
      </c>
      <c r="F15" s="137"/>
      <c r="G15" s="137"/>
      <c r="H15" s="137"/>
      <c r="I15" s="85" t="e">
        <f ca="1">OFFSET($D$5,1,MATCH($J13,$D$5:$H$5,0)-1,15,1)</f>
        <v>#N/A</v>
      </c>
      <c r="J15" s="86"/>
      <c r="K15" s="86"/>
      <c r="N15" s="86"/>
      <c r="O15" s="86"/>
      <c r="P15" s="86"/>
      <c r="S15" s="56" t="s">
        <v>184</v>
      </c>
      <c r="T15" s="56" t="s">
        <v>191</v>
      </c>
      <c r="U15" s="56" t="s">
        <v>213</v>
      </c>
      <c r="V15" s="56" t="s">
        <v>199</v>
      </c>
      <c r="W15" s="56" t="s">
        <v>229</v>
      </c>
      <c r="X15"/>
      <c r="Y15"/>
      <c r="Z15"/>
    </row>
    <row r="16" spans="1:26" ht="32.5" customHeight="1" x14ac:dyDescent="0.35">
      <c r="A16" s="136" t="s">
        <v>9</v>
      </c>
      <c r="B16" s="136"/>
      <c r="C16" s="136" t="str">
        <f>CONCATENATE((IF(OR(E9="",E9="NA"),"",E9)),", ",(IF(OR(A17="",A17="NA"),"",A17)),".",(IF(OR(C17="",C17="NA"),"",C17)),", near ",(IF(OR(C22="",C22="NA"),"",C22)),", ",(IF(OR(C19="",C19="NA"),"",C19)),", ",(IF(OR(C18="",C18="NA"),"",C18)),", ",(IF(OR(G19="",G19="NA"),"",G19)),", ",(IF(OR(C20="",C20="NA"),"",C20)),", ",(IF(OR(C21="",C21="NA"),"",C21)),", ",(IF(OR(G20="",G20="NA"),"",G20))," - ",(IF(OR(G21="",G21="NA"),"",G21)),".")</f>
        <v>Dani Sky, Plot No.13, Sector : 06, near Narmada Classic U/C Plot, Internal Road, Pushpak Nagar, Pushpak (Dapoli), Panvel, Panvel, Raigad - 410206.</v>
      </c>
      <c r="D16" s="136"/>
      <c r="E16" s="136"/>
      <c r="F16" s="136"/>
      <c r="G16" s="136"/>
      <c r="H16" s="136"/>
      <c r="S16" s="56" t="s">
        <v>185</v>
      </c>
      <c r="T16" s="56" t="s">
        <v>193</v>
      </c>
      <c r="U16" s="56" t="s">
        <v>214</v>
      </c>
      <c r="V16" s="56" t="s">
        <v>200</v>
      </c>
      <c r="W16" s="56" t="s">
        <v>217</v>
      </c>
      <c r="X16"/>
      <c r="Y16"/>
      <c r="Z16"/>
    </row>
    <row r="17" spans="1:26" x14ac:dyDescent="0.35">
      <c r="A17" s="136" t="s">
        <v>343</v>
      </c>
      <c r="B17" s="136"/>
      <c r="C17" s="136" t="s">
        <v>344</v>
      </c>
      <c r="D17" s="136"/>
      <c r="E17" s="136"/>
      <c r="F17" s="136"/>
      <c r="G17" s="136"/>
      <c r="H17" s="136"/>
      <c r="S17" s="56" t="s">
        <v>186</v>
      </c>
      <c r="T17" s="56" t="s">
        <v>194</v>
      </c>
      <c r="U17" s="56" t="s">
        <v>175</v>
      </c>
      <c r="V17" s="56" t="s">
        <v>201</v>
      </c>
      <c r="W17" s="56" t="s">
        <v>218</v>
      </c>
      <c r="X17"/>
      <c r="Y17"/>
      <c r="Z17"/>
    </row>
    <row r="18" spans="1:26" ht="15.75" customHeight="1" x14ac:dyDescent="0.35">
      <c r="A18" s="136" t="s">
        <v>164</v>
      </c>
      <c r="B18" s="136"/>
      <c r="C18" s="136" t="s">
        <v>347</v>
      </c>
      <c r="D18" s="136"/>
      <c r="E18" s="136"/>
      <c r="F18" s="136"/>
      <c r="G18" s="136"/>
      <c r="H18" s="136"/>
      <c r="S18" s="56" t="s">
        <v>187</v>
      </c>
      <c r="T18" s="56" t="s">
        <v>192</v>
      </c>
      <c r="U18" s="56"/>
      <c r="V18" s="56" t="s">
        <v>202</v>
      </c>
      <c r="W18" s="56" t="s">
        <v>219</v>
      </c>
      <c r="X18"/>
      <c r="Y18"/>
      <c r="Z18"/>
    </row>
    <row r="19" spans="1:26" ht="15.75" customHeight="1" x14ac:dyDescent="0.35">
      <c r="A19" s="136" t="s">
        <v>10</v>
      </c>
      <c r="B19" s="136"/>
      <c r="C19" s="137" t="s">
        <v>350</v>
      </c>
      <c r="D19" s="137"/>
      <c r="E19" s="136" t="s">
        <v>70</v>
      </c>
      <c r="F19" s="136"/>
      <c r="G19" s="136" t="s">
        <v>348</v>
      </c>
      <c r="H19" s="136"/>
      <c r="S19" s="56" t="s">
        <v>188</v>
      </c>
      <c r="T19" s="56" t="s">
        <v>195</v>
      </c>
      <c r="U19" s="56"/>
      <c r="V19" s="56" t="s">
        <v>203</v>
      </c>
      <c r="W19" s="56" t="s">
        <v>220</v>
      </c>
      <c r="X19"/>
      <c r="Y19"/>
      <c r="Z19"/>
    </row>
    <row r="20" spans="1:26" x14ac:dyDescent="0.35">
      <c r="A20" s="137" t="s">
        <v>12</v>
      </c>
      <c r="B20" s="137"/>
      <c r="C20" s="136" t="s">
        <v>199</v>
      </c>
      <c r="D20" s="136"/>
      <c r="E20" s="136" t="s">
        <v>11</v>
      </c>
      <c r="F20" s="136"/>
      <c r="G20" s="210" t="s">
        <v>197</v>
      </c>
      <c r="H20" s="210"/>
      <c r="S20" s="56" t="s">
        <v>189</v>
      </c>
      <c r="T20" s="56" t="s">
        <v>196</v>
      </c>
      <c r="U20" s="56"/>
      <c r="V20" s="56" t="s">
        <v>204</v>
      </c>
      <c r="W20" s="56" t="s">
        <v>221</v>
      </c>
      <c r="X20"/>
      <c r="Y20"/>
      <c r="Z20"/>
    </row>
    <row r="21" spans="1:26" x14ac:dyDescent="0.35">
      <c r="A21" s="137" t="s">
        <v>71</v>
      </c>
      <c r="B21" s="137"/>
      <c r="C21" s="136" t="s">
        <v>199</v>
      </c>
      <c r="D21" s="136"/>
      <c r="E21" s="136" t="s">
        <v>13</v>
      </c>
      <c r="F21" s="136"/>
      <c r="G21" s="136">
        <v>410206</v>
      </c>
      <c r="H21" s="136"/>
      <c r="S21" s="56"/>
      <c r="T21" s="56"/>
      <c r="U21" s="56"/>
      <c r="V21" s="56" t="s">
        <v>205</v>
      </c>
      <c r="W21" s="56" t="s">
        <v>222</v>
      </c>
      <c r="X21"/>
      <c r="Y21"/>
      <c r="Z21"/>
    </row>
    <row r="22" spans="1:26" ht="48.65" customHeight="1" x14ac:dyDescent="0.35">
      <c r="A22" s="137" t="s">
        <v>120</v>
      </c>
      <c r="B22" s="137"/>
      <c r="C22" s="136" t="s">
        <v>349</v>
      </c>
      <c r="D22" s="136"/>
      <c r="E22" s="136" t="s">
        <v>14</v>
      </c>
      <c r="F22" s="136"/>
      <c r="G22" s="136" t="s">
        <v>393</v>
      </c>
      <c r="H22" s="136"/>
      <c r="S22" s="56"/>
      <c r="T22" s="56"/>
      <c r="U22" s="56"/>
      <c r="V22" s="56" t="s">
        <v>206</v>
      </c>
      <c r="W22" s="56" t="s">
        <v>223</v>
      </c>
      <c r="X22"/>
      <c r="Y22"/>
      <c r="Z22"/>
    </row>
    <row r="23" spans="1:26" ht="15" customHeight="1" x14ac:dyDescent="0.35">
      <c r="A23" s="159" t="s">
        <v>73</v>
      </c>
      <c r="B23" s="159"/>
      <c r="C23" s="159"/>
      <c r="D23" s="159"/>
      <c r="E23" s="137" t="s">
        <v>15</v>
      </c>
      <c r="F23" s="137"/>
      <c r="G23" s="137"/>
      <c r="H23" s="137"/>
      <c r="S23" s="56"/>
      <c r="T23" s="56"/>
      <c r="U23" s="56"/>
      <c r="V23" s="56" t="s">
        <v>207</v>
      </c>
      <c r="W23" s="56" t="s">
        <v>224</v>
      </c>
      <c r="X23"/>
      <c r="Y23"/>
      <c r="Z23"/>
    </row>
    <row r="24" spans="1:26" ht="18.75" customHeight="1" x14ac:dyDescent="0.35">
      <c r="A24" s="159"/>
      <c r="B24" s="159"/>
      <c r="C24" s="159"/>
      <c r="D24" s="159"/>
      <c r="E24" s="137"/>
      <c r="F24" s="137"/>
      <c r="G24" s="137"/>
      <c r="H24" s="137"/>
      <c r="S24" s="56"/>
      <c r="T24" s="56"/>
      <c r="U24" s="56"/>
      <c r="V24" s="56" t="s">
        <v>208</v>
      </c>
      <c r="W24" s="56" t="s">
        <v>225</v>
      </c>
      <c r="X24"/>
      <c r="Y24"/>
      <c r="Z24"/>
    </row>
    <row r="25" spans="1:26" ht="15" customHeight="1" x14ac:dyDescent="0.35">
      <c r="A25" s="159" t="s">
        <v>16</v>
      </c>
      <c r="B25" s="159"/>
      <c r="C25" s="159"/>
      <c r="D25" s="159"/>
      <c r="E25" s="136" t="s">
        <v>17</v>
      </c>
      <c r="F25" s="136"/>
      <c r="G25" s="136"/>
      <c r="H25" s="136"/>
      <c r="S25" s="56"/>
      <c r="T25" s="56"/>
      <c r="U25" s="56"/>
      <c r="V25" s="56" t="s">
        <v>209</v>
      </c>
      <c r="W25" s="56" t="s">
        <v>226</v>
      </c>
      <c r="X25"/>
      <c r="Y25"/>
      <c r="Z25"/>
    </row>
    <row r="26" spans="1:26" ht="15" customHeight="1" x14ac:dyDescent="0.35">
      <c r="A26" s="117" t="s">
        <v>18</v>
      </c>
      <c r="B26" s="117"/>
      <c r="C26" s="117"/>
      <c r="D26" s="117"/>
      <c r="E26" s="136" t="str">
        <f>IF(AND(G20="Mumbai"),"Upper Class","Middle Class")</f>
        <v>Middle Class</v>
      </c>
      <c r="F26" s="136"/>
      <c r="G26" s="136"/>
      <c r="H26" s="136"/>
      <c r="S26" s="56"/>
      <c r="T26" s="56"/>
      <c r="U26" s="56"/>
      <c r="V26" s="56" t="s">
        <v>210</v>
      </c>
      <c r="W26" s="56" t="s">
        <v>227</v>
      </c>
      <c r="X26"/>
      <c r="Y26"/>
      <c r="Z26"/>
    </row>
    <row r="27" spans="1:26" x14ac:dyDescent="0.35">
      <c r="A27" s="117" t="s">
        <v>19</v>
      </c>
      <c r="B27" s="117"/>
      <c r="C27" s="117"/>
      <c r="D27" s="117"/>
      <c r="E27" s="136" t="s">
        <v>20</v>
      </c>
      <c r="F27" s="136"/>
      <c r="G27" s="136"/>
      <c r="H27" s="136"/>
      <c r="S27" s="56"/>
      <c r="T27" s="56"/>
      <c r="U27" s="56"/>
      <c r="V27" s="56" t="s">
        <v>211</v>
      </c>
      <c r="W27" s="56" t="s">
        <v>228</v>
      </c>
      <c r="X27"/>
      <c r="Y27"/>
      <c r="Z27"/>
    </row>
    <row r="28" spans="1:26" ht="15.75" customHeight="1" x14ac:dyDescent="0.35">
      <c r="A28" s="117" t="s">
        <v>21</v>
      </c>
      <c r="B28" s="117"/>
      <c r="C28" s="117"/>
      <c r="D28" s="117"/>
      <c r="E28" s="136" t="str">
        <f>IF(AND(G20="Mumbai"),"Developed","Developing")</f>
        <v>Developing</v>
      </c>
      <c r="F28" s="136"/>
      <c r="G28" s="136"/>
      <c r="H28" s="136"/>
    </row>
    <row r="29" spans="1:26" x14ac:dyDescent="0.35">
      <c r="A29" s="117" t="s">
        <v>22</v>
      </c>
      <c r="B29" s="117"/>
      <c r="C29" s="117"/>
      <c r="D29" s="117"/>
      <c r="E29" s="136" t="s">
        <v>23</v>
      </c>
      <c r="F29" s="136"/>
      <c r="G29" s="136"/>
      <c r="H29" s="136"/>
    </row>
    <row r="30" spans="1:26" ht="15.75" customHeight="1" x14ac:dyDescent="0.35">
      <c r="A30" s="117" t="s">
        <v>78</v>
      </c>
      <c r="B30" s="117"/>
      <c r="C30" s="117"/>
      <c r="D30" s="117"/>
      <c r="E30" s="136" t="s">
        <v>79</v>
      </c>
      <c r="F30" s="136"/>
      <c r="G30" s="136"/>
      <c r="H30" s="136"/>
    </row>
    <row r="31" spans="1:26" ht="15" customHeight="1" x14ac:dyDescent="0.35">
      <c r="A31" s="117" t="s">
        <v>30</v>
      </c>
      <c r="B31" s="117"/>
      <c r="C31" s="117"/>
      <c r="D31" s="117"/>
      <c r="E31" s="136"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36"/>
      <c r="G31" s="136"/>
      <c r="H31" s="136"/>
    </row>
    <row r="32" spans="1:26" ht="15.75" customHeight="1" x14ac:dyDescent="0.35">
      <c r="A32" s="117" t="s">
        <v>90</v>
      </c>
      <c r="B32" s="117"/>
      <c r="C32" s="117"/>
      <c r="D32" s="117"/>
      <c r="E32" s="136" t="s">
        <v>31</v>
      </c>
      <c r="F32" s="136"/>
      <c r="G32" s="136"/>
      <c r="H32" s="136"/>
    </row>
    <row r="33" spans="1:19" s="22" customFormat="1" x14ac:dyDescent="0.35">
      <c r="A33" s="212" t="s">
        <v>91</v>
      </c>
      <c r="B33" s="212"/>
      <c r="C33" s="151" t="s">
        <v>176</v>
      </c>
      <c r="D33" s="151"/>
      <c r="E33" s="151"/>
      <c r="F33" s="151" t="s">
        <v>29</v>
      </c>
      <c r="G33" s="151"/>
      <c r="H33" s="151"/>
      <c r="L33" s="89"/>
      <c r="M33" s="89"/>
      <c r="S33" s="22" t="e">
        <f ca="1">OFFSET($S$13,1,MATCH($G20,$S$13:$W$13,0)-1,15,1)</f>
        <v>#VALUE!</v>
      </c>
    </row>
    <row r="34" spans="1:19" s="22" customFormat="1" x14ac:dyDescent="0.35">
      <c r="A34" s="211" t="s">
        <v>24</v>
      </c>
      <c r="B34" s="211" t="s">
        <v>28</v>
      </c>
      <c r="C34" s="256" t="s">
        <v>351</v>
      </c>
      <c r="D34" s="256"/>
      <c r="E34" s="256"/>
      <c r="F34" s="256" t="s">
        <v>385</v>
      </c>
      <c r="G34" s="256"/>
      <c r="H34" s="256"/>
      <c r="L34" s="89"/>
      <c r="M34" s="89"/>
    </row>
    <row r="35" spans="1:19" x14ac:dyDescent="0.35">
      <c r="A35" s="211" t="s">
        <v>25</v>
      </c>
      <c r="B35" s="211" t="s">
        <v>28</v>
      </c>
      <c r="C35" s="256" t="s">
        <v>352</v>
      </c>
      <c r="D35" s="256"/>
      <c r="E35" s="256"/>
      <c r="F35" s="256" t="s">
        <v>350</v>
      </c>
      <c r="G35" s="256"/>
      <c r="H35" s="256"/>
    </row>
    <row r="36" spans="1:19" s="22" customFormat="1" x14ac:dyDescent="0.35">
      <c r="A36" s="211" t="s">
        <v>27</v>
      </c>
      <c r="B36" s="211" t="s">
        <v>28</v>
      </c>
      <c r="C36" s="256" t="s">
        <v>387</v>
      </c>
      <c r="D36" s="256"/>
      <c r="E36" s="256"/>
      <c r="F36" s="256" t="s">
        <v>350</v>
      </c>
      <c r="G36" s="256"/>
      <c r="H36" s="256"/>
      <c r="L36" s="89"/>
      <c r="M36" s="89"/>
    </row>
    <row r="37" spans="1:19" x14ac:dyDescent="0.35">
      <c r="A37" s="211" t="s">
        <v>26</v>
      </c>
      <c r="B37" s="211" t="s">
        <v>28</v>
      </c>
      <c r="C37" s="256" t="s">
        <v>388</v>
      </c>
      <c r="D37" s="256"/>
      <c r="E37" s="256"/>
      <c r="F37" s="256" t="s">
        <v>386</v>
      </c>
      <c r="G37" s="256"/>
      <c r="H37" s="256"/>
    </row>
    <row r="38" spans="1:19" x14ac:dyDescent="0.35">
      <c r="A38" s="117" t="s">
        <v>285</v>
      </c>
      <c r="B38" s="117"/>
      <c r="C38" s="117"/>
      <c r="D38" s="117"/>
      <c r="E38" s="117"/>
      <c r="F38" s="117"/>
      <c r="G38" s="117"/>
      <c r="H38" s="117"/>
    </row>
    <row r="39" spans="1:19" ht="15.75" customHeight="1" x14ac:dyDescent="0.35">
      <c r="A39" s="117" t="s">
        <v>167</v>
      </c>
      <c r="B39" s="117"/>
      <c r="C39" s="206" t="s">
        <v>346</v>
      </c>
      <c r="D39" s="206"/>
      <c r="E39" s="206"/>
      <c r="F39" s="206"/>
      <c r="G39" s="206"/>
      <c r="H39" s="206"/>
    </row>
    <row r="40" spans="1:19" x14ac:dyDescent="0.35">
      <c r="A40" s="117" t="s">
        <v>163</v>
      </c>
      <c r="B40" s="117"/>
      <c r="C40" s="231" t="s">
        <v>345</v>
      </c>
      <c r="D40" s="136"/>
      <c r="E40" s="136"/>
      <c r="F40" s="136"/>
      <c r="G40" s="136"/>
      <c r="H40" s="136"/>
    </row>
    <row r="41" spans="1:19" x14ac:dyDescent="0.35">
      <c r="A41" s="206" t="s">
        <v>32</v>
      </c>
      <c r="B41" s="206"/>
      <c r="C41" s="206"/>
      <c r="D41" s="206"/>
      <c r="E41" s="206"/>
      <c r="F41" s="206"/>
      <c r="G41" s="206"/>
      <c r="H41" s="206"/>
    </row>
    <row r="42" spans="1:19" x14ac:dyDescent="0.35">
      <c r="A42" s="117" t="s">
        <v>33</v>
      </c>
      <c r="B42" s="117"/>
      <c r="C42" s="117"/>
      <c r="D42" s="117"/>
      <c r="E42" s="216">
        <v>2739.52</v>
      </c>
      <c r="F42" s="216"/>
      <c r="G42" s="216"/>
      <c r="H42" s="216"/>
    </row>
    <row r="43" spans="1:19" x14ac:dyDescent="0.35">
      <c r="A43" s="117" t="s">
        <v>34</v>
      </c>
      <c r="B43" s="117"/>
      <c r="C43" s="117"/>
      <c r="D43" s="117"/>
      <c r="E43" s="116">
        <f>5479.04/E42</f>
        <v>2</v>
      </c>
      <c r="F43" s="116"/>
      <c r="G43" s="116"/>
      <c r="H43" s="116"/>
      <c r="I43" s="87">
        <f>5479.04/E42</f>
        <v>2</v>
      </c>
    </row>
    <row r="44" spans="1:19" x14ac:dyDescent="0.35">
      <c r="A44" s="117" t="s">
        <v>35</v>
      </c>
      <c r="B44" s="117"/>
      <c r="C44" s="117"/>
      <c r="D44" s="117"/>
      <c r="E44" s="116">
        <f>E46/E42-E43</f>
        <v>1.2590453802125916</v>
      </c>
      <c r="F44" s="116"/>
      <c r="G44" s="116"/>
      <c r="H44" s="116"/>
    </row>
    <row r="45" spans="1:19" x14ac:dyDescent="0.35">
      <c r="A45" s="117" t="s">
        <v>36</v>
      </c>
      <c r="B45" s="117"/>
      <c r="C45" s="117"/>
      <c r="D45" s="117"/>
      <c r="E45" s="116">
        <f>E43+E44</f>
        <v>3.2590453802125916</v>
      </c>
      <c r="F45" s="116"/>
      <c r="G45" s="116"/>
      <c r="H45" s="116"/>
    </row>
    <row r="46" spans="1:19" x14ac:dyDescent="0.35">
      <c r="A46" s="117" t="s">
        <v>89</v>
      </c>
      <c r="B46" s="117"/>
      <c r="C46" s="117"/>
      <c r="D46" s="117"/>
      <c r="E46" s="219">
        <v>8928.2199999999993</v>
      </c>
      <c r="F46" s="219"/>
      <c r="G46" s="219"/>
      <c r="H46" s="219"/>
    </row>
    <row r="47" spans="1:19" x14ac:dyDescent="0.35">
      <c r="A47" s="137" t="s">
        <v>37</v>
      </c>
      <c r="B47" s="137"/>
      <c r="C47" s="137"/>
      <c r="D47" s="137"/>
      <c r="E47" s="137" t="s">
        <v>118</v>
      </c>
      <c r="F47" s="137"/>
      <c r="G47" s="137"/>
      <c r="H47" s="137"/>
    </row>
    <row r="48" spans="1:19" x14ac:dyDescent="0.35">
      <c r="A48" s="206" t="s">
        <v>38</v>
      </c>
      <c r="B48" s="206"/>
      <c r="C48" s="206"/>
      <c r="D48" s="206"/>
      <c r="E48" s="206"/>
      <c r="F48" s="206"/>
      <c r="G48" s="206"/>
      <c r="H48" s="206"/>
    </row>
    <row r="49" spans="1:24" ht="33.75" customHeight="1" x14ac:dyDescent="0.35">
      <c r="A49" s="124" t="s">
        <v>152</v>
      </c>
      <c r="B49" s="125"/>
      <c r="C49" s="232" t="s">
        <v>273</v>
      </c>
      <c r="D49" s="233"/>
      <c r="E49" s="233"/>
      <c r="F49" s="233"/>
      <c r="G49" s="233"/>
      <c r="H49" s="234"/>
      <c r="R49" t="s">
        <v>258</v>
      </c>
      <c r="S49" t="s">
        <v>175</v>
      </c>
      <c r="T49" t="s">
        <v>182</v>
      </c>
      <c r="U49" t="s">
        <v>197</v>
      </c>
      <c r="V49" t="s">
        <v>192</v>
      </c>
    </row>
    <row r="50" spans="1:24" ht="30.65" customHeight="1" x14ac:dyDescent="0.35">
      <c r="A50" s="124" t="s">
        <v>39</v>
      </c>
      <c r="B50" s="125"/>
      <c r="C50" s="124" t="s">
        <v>353</v>
      </c>
      <c r="D50" s="126"/>
      <c r="E50" s="125"/>
      <c r="F50" s="18" t="s">
        <v>40</v>
      </c>
      <c r="G50" s="160">
        <v>45279</v>
      </c>
      <c r="H50" s="161"/>
      <c r="R50"/>
      <c r="S50" t="s">
        <v>259</v>
      </c>
      <c r="T50" t="s">
        <v>264</v>
      </c>
      <c r="U50" t="s">
        <v>275</v>
      </c>
      <c r="V50" t="s">
        <v>280</v>
      </c>
    </row>
    <row r="51" spans="1:24" ht="30.65" customHeight="1" x14ac:dyDescent="0.35">
      <c r="A51" s="124" t="s">
        <v>41</v>
      </c>
      <c r="B51" s="125"/>
      <c r="C51" s="124" t="str">
        <f>C50</f>
        <v>CIDCO/BP-18732/TPO(NM &amp; K)/2023/11680</v>
      </c>
      <c r="D51" s="126"/>
      <c r="E51" s="125"/>
      <c r="F51" s="18" t="s">
        <v>40</v>
      </c>
      <c r="G51" s="160">
        <f>G50</f>
        <v>45279</v>
      </c>
      <c r="H51" s="161"/>
      <c r="R51"/>
      <c r="S51" t="s">
        <v>260</v>
      </c>
      <c r="T51" t="s">
        <v>265</v>
      </c>
      <c r="U51" t="s">
        <v>273</v>
      </c>
      <c r="V51" t="s">
        <v>281</v>
      </c>
    </row>
    <row r="52" spans="1:24" s="23" customFormat="1" ht="32.15" customHeight="1" x14ac:dyDescent="0.35">
      <c r="A52" s="169" t="s">
        <v>156</v>
      </c>
      <c r="B52" s="170"/>
      <c r="C52" s="124" t="str">
        <f>C51</f>
        <v>CIDCO/BP-18732/TPO(NM &amp; K)/2023/11680</v>
      </c>
      <c r="D52" s="126"/>
      <c r="E52" s="125"/>
      <c r="F52" s="18" t="s">
        <v>40</v>
      </c>
      <c r="G52" s="160">
        <f>G51</f>
        <v>45279</v>
      </c>
      <c r="H52" s="161"/>
      <c r="L52" s="90"/>
      <c r="M52" s="90"/>
      <c r="R52"/>
      <c r="S52" t="s">
        <v>261</v>
      </c>
      <c r="T52" t="s">
        <v>266</v>
      </c>
      <c r="U52" t="s">
        <v>263</v>
      </c>
      <c r="V52" t="s">
        <v>282</v>
      </c>
    </row>
    <row r="53" spans="1:24" s="23" customFormat="1" ht="49" customHeight="1" x14ac:dyDescent="0.35">
      <c r="A53" s="171"/>
      <c r="B53" s="172"/>
      <c r="C53" s="124" t="s">
        <v>392</v>
      </c>
      <c r="D53" s="126"/>
      <c r="E53" s="126"/>
      <c r="F53" s="126"/>
      <c r="G53" s="126"/>
      <c r="H53" s="125"/>
      <c r="L53" s="90"/>
      <c r="M53" s="90"/>
      <c r="R53"/>
      <c r="S53" t="s">
        <v>262</v>
      </c>
      <c r="T53" t="s">
        <v>269</v>
      </c>
      <c r="U53" t="s">
        <v>276</v>
      </c>
    </row>
    <row r="54" spans="1:24" s="23" customFormat="1" ht="15.65" hidden="1" customHeight="1" x14ac:dyDescent="0.35">
      <c r="A54" s="165" t="s">
        <v>286</v>
      </c>
      <c r="B54" s="166"/>
      <c r="C54" s="124"/>
      <c r="D54" s="126"/>
      <c r="E54" s="125"/>
      <c r="F54" s="18" t="s">
        <v>40</v>
      </c>
      <c r="G54" s="124"/>
      <c r="H54" s="125"/>
      <c r="L54" s="90"/>
      <c r="M54" s="90"/>
      <c r="R54"/>
      <c r="S54" t="s">
        <v>261</v>
      </c>
      <c r="T54" t="s">
        <v>266</v>
      </c>
      <c r="U54" t="s">
        <v>263</v>
      </c>
      <c r="V54" t="s">
        <v>282</v>
      </c>
    </row>
    <row r="55" spans="1:24" s="23" customFormat="1" ht="32.25" hidden="1" customHeight="1" x14ac:dyDescent="0.35">
      <c r="A55" s="167"/>
      <c r="B55" s="168"/>
      <c r="C55" s="223"/>
      <c r="D55" s="224"/>
      <c r="E55" s="224"/>
      <c r="F55" s="224"/>
      <c r="G55" s="224"/>
      <c r="H55" s="225"/>
      <c r="L55" s="90"/>
      <c r="M55" s="90"/>
      <c r="R55"/>
      <c r="S55" t="s">
        <v>263</v>
      </c>
      <c r="T55" t="s">
        <v>267</v>
      </c>
      <c r="U55" t="s">
        <v>277</v>
      </c>
      <c r="V55" s="21"/>
      <c r="W55" s="21"/>
      <c r="X55" s="21"/>
    </row>
    <row r="56" spans="1:24" s="23" customFormat="1" ht="34.5" hidden="1" customHeight="1" x14ac:dyDescent="0.35">
      <c r="A56" s="165" t="s">
        <v>287</v>
      </c>
      <c r="B56" s="166"/>
      <c r="C56" s="124"/>
      <c r="D56" s="126"/>
      <c r="E56" s="125"/>
      <c r="F56" s="18" t="s">
        <v>40</v>
      </c>
      <c r="G56" s="124"/>
      <c r="H56" s="125"/>
      <c r="L56" s="90"/>
      <c r="M56" s="90"/>
      <c r="R56"/>
      <c r="S56" s="21"/>
      <c r="T56" t="s">
        <v>268</v>
      </c>
      <c r="U56" t="s">
        <v>278</v>
      </c>
      <c r="V56" s="21"/>
      <c r="W56" s="21"/>
      <c r="X56" s="21"/>
    </row>
    <row r="57" spans="1:24" s="23" customFormat="1" ht="41.25" hidden="1" customHeight="1" x14ac:dyDescent="0.35">
      <c r="A57" s="167"/>
      <c r="B57" s="168"/>
      <c r="C57" s="124"/>
      <c r="D57" s="126"/>
      <c r="E57" s="126"/>
      <c r="F57" s="126"/>
      <c r="G57" s="126"/>
      <c r="H57" s="125"/>
      <c r="L57" s="90"/>
      <c r="M57" s="90"/>
      <c r="R57"/>
      <c r="S57" s="21"/>
      <c r="T57" t="s">
        <v>270</v>
      </c>
      <c r="U57" t="s">
        <v>279</v>
      </c>
      <c r="V57" s="21"/>
      <c r="W57" s="21"/>
      <c r="X57" s="21"/>
    </row>
    <row r="58" spans="1:24" s="23" customFormat="1" ht="15.75" hidden="1" customHeight="1" x14ac:dyDescent="0.35">
      <c r="A58" s="165" t="s">
        <v>288</v>
      </c>
      <c r="B58" s="166"/>
      <c r="C58" s="124"/>
      <c r="D58" s="126"/>
      <c r="E58" s="125"/>
      <c r="F58" s="18" t="s">
        <v>40</v>
      </c>
      <c r="G58" s="124"/>
      <c r="H58" s="125"/>
      <c r="L58" s="90"/>
      <c r="M58" s="90"/>
      <c r="R58"/>
      <c r="S58" s="21"/>
      <c r="T58" t="s">
        <v>271</v>
      </c>
      <c r="U58" s="21" t="s">
        <v>302</v>
      </c>
      <c r="V58" s="21"/>
      <c r="W58" s="21"/>
      <c r="X58" s="21"/>
    </row>
    <row r="59" spans="1:24" s="23" customFormat="1" ht="33.75" hidden="1" customHeight="1" x14ac:dyDescent="0.35">
      <c r="A59" s="167"/>
      <c r="B59" s="168"/>
      <c r="C59" s="159"/>
      <c r="D59" s="159"/>
      <c r="E59" s="159"/>
      <c r="F59" s="18" t="s">
        <v>119</v>
      </c>
      <c r="G59" s="159"/>
      <c r="H59" s="159"/>
      <c r="L59" s="90"/>
      <c r="M59" s="90"/>
      <c r="R59"/>
      <c r="S59" s="21"/>
      <c r="T59" t="s">
        <v>272</v>
      </c>
      <c r="U59" s="21"/>
      <c r="V59" s="21"/>
      <c r="W59" s="21"/>
      <c r="X59" s="21"/>
    </row>
    <row r="60" spans="1:24" x14ac:dyDescent="0.35">
      <c r="A60" s="153" t="s">
        <v>42</v>
      </c>
      <c r="B60" s="154"/>
      <c r="C60" s="153" t="s">
        <v>103</v>
      </c>
      <c r="D60" s="155"/>
      <c r="E60" s="154"/>
      <c r="F60" s="45" t="s">
        <v>40</v>
      </c>
      <c r="G60" s="163" t="s">
        <v>28</v>
      </c>
      <c r="H60" s="164"/>
      <c r="R60"/>
      <c r="T60" t="s">
        <v>274</v>
      </c>
    </row>
    <row r="61" spans="1:24" x14ac:dyDescent="0.35">
      <c r="A61" s="162" t="s">
        <v>44</v>
      </c>
      <c r="B61" s="162"/>
      <c r="C61" s="162"/>
      <c r="D61" s="162"/>
      <c r="E61" s="162"/>
      <c r="F61" s="162"/>
      <c r="G61" s="162"/>
      <c r="H61" s="162"/>
      <c r="T61" t="s">
        <v>283</v>
      </c>
    </row>
    <row r="62" spans="1:24" x14ac:dyDescent="0.35">
      <c r="A62" s="159" t="s">
        <v>88</v>
      </c>
      <c r="B62" s="159"/>
      <c r="C62" s="159"/>
      <c r="D62" s="117">
        <f>E46</f>
        <v>8928.2199999999993</v>
      </c>
      <c r="E62" s="117"/>
      <c r="F62" s="117"/>
      <c r="G62" s="117"/>
      <c r="H62" s="117"/>
      <c r="R62"/>
    </row>
    <row r="63" spans="1:24" x14ac:dyDescent="0.35">
      <c r="A63" s="136" t="s">
        <v>45</v>
      </c>
      <c r="B63" s="137"/>
      <c r="C63" s="137"/>
      <c r="D63" s="137" t="s">
        <v>370</v>
      </c>
      <c r="E63" s="137"/>
      <c r="F63" s="137"/>
      <c r="G63" s="137"/>
      <c r="H63" s="137"/>
      <c r="I63" s="24"/>
      <c r="R63"/>
    </row>
    <row r="64" spans="1:24" x14ac:dyDescent="0.35">
      <c r="A64" s="130" t="s">
        <v>46</v>
      </c>
      <c r="B64" s="131"/>
      <c r="C64" s="228"/>
      <c r="D64" s="136" t="s">
        <v>366</v>
      </c>
      <c r="E64" s="137"/>
      <c r="F64" s="137"/>
      <c r="G64" s="137"/>
      <c r="H64" s="137"/>
      <c r="J64" s="21">
        <f>3+8</f>
        <v>11</v>
      </c>
      <c r="R64"/>
    </row>
    <row r="65" spans="1:19" ht="15.75" customHeight="1" x14ac:dyDescent="0.35">
      <c r="A65" s="130" t="s">
        <v>86</v>
      </c>
      <c r="B65" s="131"/>
      <c r="C65" s="131"/>
      <c r="D65" s="136" t="s">
        <v>367</v>
      </c>
      <c r="E65" s="137"/>
      <c r="F65" s="137"/>
      <c r="G65" s="137"/>
      <c r="H65" s="137"/>
      <c r="R65"/>
    </row>
    <row r="66" spans="1:19" ht="15.75" hidden="1" customHeight="1" x14ac:dyDescent="0.35">
      <c r="A66" s="132"/>
      <c r="B66" s="133"/>
      <c r="C66" s="133"/>
      <c r="D66" s="138" t="s">
        <v>303</v>
      </c>
      <c r="E66" s="139"/>
      <c r="F66" s="139"/>
      <c r="G66" s="139"/>
      <c r="H66" s="140"/>
      <c r="R66"/>
    </row>
    <row r="67" spans="1:19" ht="15.75" hidden="1" customHeight="1" x14ac:dyDescent="0.35">
      <c r="A67" s="134"/>
      <c r="B67" s="135"/>
      <c r="C67" s="135"/>
      <c r="D67" s="127" t="s">
        <v>171</v>
      </c>
      <c r="E67" s="128"/>
      <c r="F67" s="128"/>
      <c r="G67" s="128"/>
      <c r="H67" s="129"/>
      <c r="S67"/>
    </row>
    <row r="68" spans="1:19" ht="15.75" customHeight="1" x14ac:dyDescent="0.35">
      <c r="A68" s="117" t="s">
        <v>43</v>
      </c>
      <c r="B68" s="117"/>
      <c r="C68" s="117"/>
      <c r="D68" s="217" t="s">
        <v>354</v>
      </c>
      <c r="E68" s="217"/>
      <c r="F68" s="217"/>
      <c r="G68" s="217"/>
      <c r="H68" s="217"/>
      <c r="J68" s="25"/>
      <c r="K68" s="24"/>
      <c r="N68" s="24"/>
      <c r="S68"/>
    </row>
    <row r="69" spans="1:19" ht="15.75" customHeight="1" x14ac:dyDescent="0.35">
      <c r="A69" s="117" t="s">
        <v>84</v>
      </c>
      <c r="B69" s="117"/>
      <c r="C69" s="117"/>
      <c r="D69" s="218" t="str">
        <f>(IF(G60="NA","60 Years After Completion",IF(G60&lt;&gt;"NA",""&amp;60-ROUNDDOWN((E3-G60)/360,0)&amp;" Years"," ")))</f>
        <v>60 Years After Completion</v>
      </c>
      <c r="E69" s="218"/>
      <c r="F69" s="218"/>
      <c r="G69" s="218"/>
      <c r="H69" s="218"/>
      <c r="N69" s="24"/>
      <c r="S69"/>
    </row>
    <row r="70" spans="1:19" ht="15.75" customHeight="1" x14ac:dyDescent="0.35">
      <c r="A70" s="117" t="s">
        <v>85</v>
      </c>
      <c r="B70" s="117"/>
      <c r="C70" s="117"/>
      <c r="D70" s="159" t="s">
        <v>23</v>
      </c>
      <c r="E70" s="159"/>
      <c r="F70" s="159"/>
      <c r="G70" s="159"/>
      <c r="H70" s="159"/>
      <c r="J70" s="26"/>
      <c r="K70" s="26"/>
      <c r="S70"/>
    </row>
    <row r="71" spans="1:19" ht="34" customHeight="1" x14ac:dyDescent="0.35">
      <c r="A71" s="137" t="s">
        <v>372</v>
      </c>
      <c r="B71" s="137"/>
      <c r="C71" s="137"/>
      <c r="D71" s="136" t="s">
        <v>371</v>
      </c>
      <c r="E71" s="159"/>
      <c r="F71" s="159"/>
      <c r="G71" s="159"/>
      <c r="H71" s="159"/>
      <c r="S71"/>
    </row>
    <row r="72" spans="1:19" x14ac:dyDescent="0.35">
      <c r="A72" s="159" t="s">
        <v>148</v>
      </c>
      <c r="B72" s="159"/>
      <c r="C72" s="159"/>
      <c r="D72" s="159" t="s">
        <v>28</v>
      </c>
      <c r="E72" s="159"/>
      <c r="F72" s="159"/>
      <c r="G72" s="159"/>
      <c r="H72" s="159"/>
      <c r="I72" s="27"/>
      <c r="J72" s="27"/>
      <c r="K72" s="27"/>
      <c r="L72" s="91"/>
      <c r="M72" s="91"/>
      <c r="N72" s="27"/>
    </row>
    <row r="73" spans="1:19" ht="15.75" customHeight="1" x14ac:dyDescent="0.35">
      <c r="A73" s="117" t="s">
        <v>83</v>
      </c>
      <c r="B73" s="117"/>
      <c r="C73" s="117"/>
      <c r="D73" s="136" t="str">
        <f ca="1">(IF(G79&gt;95%,"Nothing",IF(G79&gt;0%,"Cement, Aggregate, Steel, etc",IF(G79=0%,"Work not yet Started"))))</f>
        <v>Cement, Aggregate, Steel, etc</v>
      </c>
      <c r="E73" s="136"/>
      <c r="F73" s="136"/>
      <c r="G73" s="136"/>
      <c r="H73" s="136"/>
      <c r="J73" s="26"/>
      <c r="S73"/>
    </row>
    <row r="74" spans="1:19" ht="33.75" customHeight="1" thickBot="1" x14ac:dyDescent="0.4">
      <c r="A74" s="159" t="s">
        <v>116</v>
      </c>
      <c r="B74" s="159"/>
      <c r="C74" s="159"/>
      <c r="D74" s="136" t="str">
        <f ca="1">(IF(D73="Nothing","Yes",IF(D73="Cement, Aggregate, Steel, etc","Under Construction",IF(D73="Work not yet Started","Work not yet Started"))))</f>
        <v>Under Construction</v>
      </c>
      <c r="E74" s="136"/>
      <c r="F74" s="136" t="str">
        <f ca="1">(IF(D73="Nothing","Yes",IF(D73="Cement, Aggregate, Steel, etc","Under Construction",IF(D73="Work not yet Started","Work not yet Started"))))</f>
        <v>Under Construction</v>
      </c>
      <c r="G74" s="136"/>
      <c r="H74" s="136"/>
      <c r="S74"/>
    </row>
    <row r="75" spans="1:19" ht="15.75" customHeight="1" x14ac:dyDescent="0.35">
      <c r="A75" s="229" t="s">
        <v>138</v>
      </c>
      <c r="B75" s="229"/>
      <c r="C75" s="229" t="str">
        <f>D65</f>
        <v>Gr/Stilt + 1st Floor + P2 + P3 + 4th to 13th Floor</v>
      </c>
      <c r="D75" s="229"/>
      <c r="E75" s="229"/>
      <c r="F75" s="229"/>
      <c r="G75" s="229"/>
      <c r="H75" s="229"/>
      <c r="I75" s="257" t="str">
        <f ca="1">IF(D88=100%,"All work Completed. Possession granted to the Building.",IF(D87=100%,"All work Completed, Waiting for OC",I76&amp;""&amp;I77&amp;""&amp;J76&amp;""&amp;J75&amp;" "&amp;J77))</f>
        <v>Excavation, Plinth Completed, RCC upto 4 Slab Completed</v>
      </c>
      <c r="J75" s="50"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4 Slab</v>
      </c>
      <c r="S75"/>
    </row>
    <row r="76" spans="1:19" x14ac:dyDescent="0.35">
      <c r="A76" s="53" t="s">
        <v>140</v>
      </c>
      <c r="B76" s="53">
        <f>IF(AND(ISNUMBER(SEARCH("1B",C75))),1,IF(AND(ISNUMBER(SEARCH("2B",C75))),2,IF(AND(ISNUMBER(SEARCH("3B",C75))),3,IF(AND(ISNUMBER(SEARCH("4B",C75))),4,IF(ISNUMBER(SEARCH("5B",C75)),5,0)))))</f>
        <v>0</v>
      </c>
      <c r="C76" s="53" t="s">
        <v>69</v>
      </c>
      <c r="D76" s="53">
        <v>1</v>
      </c>
      <c r="E76" s="53" t="s">
        <v>68</v>
      </c>
      <c r="F76" s="53">
        <v>0</v>
      </c>
      <c r="G76" s="53" t="s">
        <v>77</v>
      </c>
      <c r="H76" s="53">
        <f ca="1">--TRIM(RIGHT(SUBSTITUTE(LEFT(C75,_xlfn.AGGREGATE(16,6,FIND({0,1,2,3,4,5,6,7,8,9},C75,ROW(INDIRECT("1:"&amp;LEN(C75)))),1))," ",REPT(" ",LEN(C75))),LEN(C75)))</f>
        <v>13</v>
      </c>
      <c r="I76" s="258" t="str">
        <f ca="1">IF(D79=100%,"Excavation","")&amp;IF(D80=100%,", Plinth","")&amp;IF(D81=100%,", RCC Slab","")&amp;IF(D82=100%,", Brickwork","")&amp;IF(D83=100%,", Internal Plaster","")&amp;IF(D84=100%,", External Plaster","")&amp;IF(D85=100%,", Flooring","")&amp;IF(D86=100%,", Painting","")&amp;IF(D87=100%,", Building common Amenities","")</f>
        <v>Excavation, Plinth</v>
      </c>
      <c r="J76" s="52"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35">
      <c r="A77" s="208" t="s">
        <v>87</v>
      </c>
      <c r="B77" s="208"/>
      <c r="C77" s="229" t="str">
        <f ca="1">I75</f>
        <v>Excavation, Plinth Completed, RCC upto 4 Slab Completed</v>
      </c>
      <c r="D77" s="229"/>
      <c r="E77" s="229"/>
      <c r="F77" s="229"/>
      <c r="G77" s="229"/>
      <c r="H77" s="229"/>
      <c r="I77" s="258" t="str">
        <f ca="1">IF(I76&lt;&gt;""," Completed","")</f>
        <v xml:space="preserve"> Completed</v>
      </c>
      <c r="J77" s="52" t="str">
        <f ca="1">IF(J75&lt;&gt;"","Completed","")</f>
        <v>Completed</v>
      </c>
      <c r="S77"/>
    </row>
    <row r="78" spans="1:19" ht="15.75" customHeight="1" x14ac:dyDescent="0.35">
      <c r="A78" s="123" t="s">
        <v>47</v>
      </c>
      <c r="B78" s="123"/>
      <c r="C78" s="105" t="s">
        <v>137</v>
      </c>
      <c r="D78" s="105" t="s">
        <v>80</v>
      </c>
      <c r="E78" s="123" t="s">
        <v>82</v>
      </c>
      <c r="F78" s="123"/>
      <c r="G78" s="123" t="s">
        <v>81</v>
      </c>
      <c r="H78" s="123"/>
      <c r="I78" s="13" t="s">
        <v>139</v>
      </c>
      <c r="J78" s="28">
        <f ca="1">H76*25%</f>
        <v>3.25</v>
      </c>
      <c r="S78"/>
    </row>
    <row r="79" spans="1:19" x14ac:dyDescent="0.35">
      <c r="A79" s="123" t="s">
        <v>126</v>
      </c>
      <c r="B79" s="123"/>
      <c r="C79" s="105">
        <f ca="1">J80</f>
        <v>13</v>
      </c>
      <c r="D79" s="88">
        <f ca="1">((100/H76)*C79)/100</f>
        <v>1</v>
      </c>
      <c r="E79" s="264">
        <f ca="1">(((C80/H76*10)+(40/(D76+F76+H76)*C81)+(7.5/(H76)*C82)+(7.5/(H76)*C83)+(10/H76*C84)+(10/H76*C85)+(5/H76*C86)+(5/H76*C87)+(5/H76*C88))/100)</f>
        <v>0.2142857142857143</v>
      </c>
      <c r="F79" s="264"/>
      <c r="G79" s="264">
        <f ca="1">((((C79/H76)*20)+((C80/H76)*25)+(30/(H76+F76+D76)*C81)+(5/H76*C82)+(5/H76*C83)+(5/H76*C84)+(5/H76*C85)+(0/H76*C86)+(0/H76*C87)+(5/H76*C88))/100)</f>
        <v>0.5357142857142857</v>
      </c>
      <c r="H79" s="264"/>
      <c r="I79" s="13" t="s">
        <v>98</v>
      </c>
      <c r="J79" s="29">
        <f ca="1">H76*50%</f>
        <v>6.5</v>
      </c>
    </row>
    <row r="80" spans="1:19" x14ac:dyDescent="0.35">
      <c r="A80" s="123" t="s">
        <v>48</v>
      </c>
      <c r="B80" s="123"/>
      <c r="C80" s="104">
        <f ca="1">J88</f>
        <v>13</v>
      </c>
      <c r="D80" s="88">
        <f ca="1">((100/H76)*C80)/100</f>
        <v>1</v>
      </c>
      <c r="E80" s="264"/>
      <c r="F80" s="264"/>
      <c r="G80" s="264"/>
      <c r="H80" s="264"/>
      <c r="I80" s="13" t="s">
        <v>99</v>
      </c>
      <c r="J80" s="29">
        <f ca="1">H76</f>
        <v>13</v>
      </c>
      <c r="S80"/>
    </row>
    <row r="81" spans="1:19" ht="15.75" customHeight="1" x14ac:dyDescent="0.35">
      <c r="A81" s="123" t="s">
        <v>127</v>
      </c>
      <c r="B81" s="123"/>
      <c r="C81" s="105">
        <v>4</v>
      </c>
      <c r="D81" s="88">
        <f ca="1">((100/(D76+F76+H76))*C81)/100</f>
        <v>0.28571428571428575</v>
      </c>
      <c r="E81" s="264"/>
      <c r="F81" s="264"/>
      <c r="G81" s="264"/>
      <c r="H81" s="264"/>
      <c r="I81" s="13" t="s">
        <v>100</v>
      </c>
      <c r="J81" s="30">
        <f ca="1">(IF(B76&gt;1,(H76/(B76+2)),H76/4))</f>
        <v>3.25</v>
      </c>
      <c r="S81"/>
    </row>
    <row r="82" spans="1:19" ht="15.75" customHeight="1" x14ac:dyDescent="0.35">
      <c r="A82" s="123" t="s">
        <v>134</v>
      </c>
      <c r="B82" s="123" t="s">
        <v>128</v>
      </c>
      <c r="C82" s="105">
        <v>0</v>
      </c>
      <c r="D82" s="88">
        <f ca="1">((100/H76)*C82)/100</f>
        <v>0</v>
      </c>
      <c r="E82" s="264"/>
      <c r="F82" s="264"/>
      <c r="G82" s="264"/>
      <c r="H82" s="264"/>
      <c r="I82" s="13" t="s">
        <v>101</v>
      </c>
      <c r="J82" s="30">
        <f ca="1">(IF(B76&gt;1,(H76/(B76+2)+J81),H76/4+J81))</f>
        <v>6.5</v>
      </c>
    </row>
    <row r="83" spans="1:19" ht="15.75" customHeight="1" x14ac:dyDescent="0.35">
      <c r="A83" s="123" t="s">
        <v>135</v>
      </c>
      <c r="B83" s="123" t="s">
        <v>128</v>
      </c>
      <c r="C83" s="105">
        <v>0</v>
      </c>
      <c r="D83" s="88">
        <f ca="1">((100/H76)*C83)/100</f>
        <v>0</v>
      </c>
      <c r="E83" s="264"/>
      <c r="F83" s="264"/>
      <c r="G83" s="264"/>
      <c r="H83" s="264"/>
      <c r="I83" s="13" t="s">
        <v>146</v>
      </c>
      <c r="J83" s="30">
        <f>(IF(B76&gt;1,(H76/(B76+2)+J82),0))</f>
        <v>0</v>
      </c>
    </row>
    <row r="84" spans="1:19" ht="15" customHeight="1" x14ac:dyDescent="0.35">
      <c r="A84" s="123" t="s">
        <v>133</v>
      </c>
      <c r="B84" s="123" t="s">
        <v>130</v>
      </c>
      <c r="C84" s="105">
        <v>0</v>
      </c>
      <c r="D84" s="88">
        <f ca="1">((100/(H76))*C84)/100</f>
        <v>0</v>
      </c>
      <c r="E84" s="264"/>
      <c r="F84" s="264"/>
      <c r="G84" s="264"/>
      <c r="H84" s="264"/>
      <c r="I84" s="13" t="s">
        <v>141</v>
      </c>
      <c r="J84" s="30">
        <f>(IF(B76&gt;2,(H76/(B76+2)+J83),0))</f>
        <v>0</v>
      </c>
    </row>
    <row r="85" spans="1:19" ht="15.75" customHeight="1" x14ac:dyDescent="0.35">
      <c r="A85" s="123" t="s">
        <v>129</v>
      </c>
      <c r="B85" s="123" t="s">
        <v>129</v>
      </c>
      <c r="C85" s="105">
        <v>0</v>
      </c>
      <c r="D85" s="88">
        <f ca="1">((100/H76)*C85)/100</f>
        <v>0</v>
      </c>
      <c r="E85" s="264"/>
      <c r="F85" s="264"/>
      <c r="G85" s="264"/>
      <c r="H85" s="264"/>
      <c r="I85" s="13" t="s">
        <v>142</v>
      </c>
      <c r="J85" s="31">
        <f>(IF(B76&gt;3,(H76/(B76+2)+J84),0))</f>
        <v>0</v>
      </c>
    </row>
    <row r="86" spans="1:19" ht="15.75" customHeight="1" x14ac:dyDescent="0.35">
      <c r="A86" s="123" t="s">
        <v>136</v>
      </c>
      <c r="B86" s="123"/>
      <c r="C86" s="105">
        <v>0</v>
      </c>
      <c r="D86" s="88">
        <f ca="1">((100/H76)*C86)/100</f>
        <v>0</v>
      </c>
      <c r="E86" s="264"/>
      <c r="F86" s="264"/>
      <c r="G86" s="264"/>
      <c r="H86" s="264"/>
      <c r="I86" s="13" t="s">
        <v>143</v>
      </c>
      <c r="J86" s="30">
        <f>(IF(B76&gt;4,(H76/(B76+2)+J85),0))</f>
        <v>0</v>
      </c>
    </row>
    <row r="87" spans="1:19" ht="15.75" customHeight="1" x14ac:dyDescent="0.35">
      <c r="A87" s="123" t="s">
        <v>131</v>
      </c>
      <c r="B87" s="123" t="s">
        <v>131</v>
      </c>
      <c r="C87" s="105">
        <v>0</v>
      </c>
      <c r="D87" s="88">
        <f ca="1">((100/(H76))*C87)/100</f>
        <v>0</v>
      </c>
      <c r="E87" s="264"/>
      <c r="F87" s="264"/>
      <c r="G87" s="264"/>
      <c r="H87" s="264"/>
      <c r="I87" s="13" t="s">
        <v>147</v>
      </c>
      <c r="J87" s="30">
        <f ca="1">(IF(B76=1,(H76/(B76+3)+J82),IF(B76=0,(H76/4+J82),IF(B76&gt;1,0))))</f>
        <v>9.75</v>
      </c>
    </row>
    <row r="88" spans="1:19" ht="16" thickBot="1" x14ac:dyDescent="0.4">
      <c r="A88" s="123" t="s">
        <v>132</v>
      </c>
      <c r="B88" s="123"/>
      <c r="C88" s="105">
        <v>0</v>
      </c>
      <c r="D88" s="88">
        <f ca="1">((100/(H76))*C88)/100</f>
        <v>0</v>
      </c>
      <c r="E88" s="264"/>
      <c r="F88" s="264"/>
      <c r="G88" s="264"/>
      <c r="H88" s="264"/>
      <c r="I88" s="15" t="s">
        <v>102</v>
      </c>
      <c r="J88" s="32">
        <f ca="1">(IF(B76&gt;1.5,(H76/(B76+2)+J82+MAX(0,J83-J82)+MAX(0,J84-J83)+MAX(0,J85-J84)+MAX(0,J86-J85)+MAX(0,J87-J86)),IF(B76=1,(H76/(B76+3)+J87),IF(B76=0,H76/4+J87))))</f>
        <v>13</v>
      </c>
    </row>
    <row r="89" spans="1:19" ht="15.75" hidden="1" customHeight="1" x14ac:dyDescent="0.35">
      <c r="A89" s="259" t="s">
        <v>138</v>
      </c>
      <c r="B89" s="260"/>
      <c r="C89" s="261" t="str">
        <f>D66</f>
        <v>B Wing = 1B + G + 1st to 19th Floor</v>
      </c>
      <c r="D89" s="262"/>
      <c r="E89" s="262"/>
      <c r="F89" s="262"/>
      <c r="G89" s="262"/>
      <c r="H89" s="263"/>
      <c r="I89" s="49" t="str">
        <f ca="1">IF(D102=100%,"All work Completed. Possession granted to the Building.",IF(D101=100%,"All work Completed, Waiting for OC",I90&amp;""&amp;I91&amp;""&amp;J90&amp;""&amp;J89&amp;" "&amp;J91))</f>
        <v xml:space="preserve">Excavation, Plinth Completed </v>
      </c>
      <c r="J89" s="50"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row>
    <row r="90" spans="1:19" ht="15.65" hidden="1" customHeight="1" x14ac:dyDescent="0.35">
      <c r="A90" s="16" t="s">
        <v>140</v>
      </c>
      <c r="B90" s="53">
        <f>IF(AND(ISNUMBER(SEARCH("1B",C89))),1,IF(AND(ISNUMBER(SEARCH("2B",C89))),2,IF(AND(ISNUMBER(SEARCH("3B",C89))),3,IF(AND(ISNUMBER(SEARCH("4B",C89))),4,IF(ISNUMBER(SEARCH("5B",C89)),5,0)))))</f>
        <v>1</v>
      </c>
      <c r="C90" s="47" t="s">
        <v>69</v>
      </c>
      <c r="D90" s="47">
        <v>1</v>
      </c>
      <c r="E90" s="47" t="s">
        <v>68</v>
      </c>
      <c r="F90" s="14">
        <v>0</v>
      </c>
      <c r="G90" s="48" t="s">
        <v>77</v>
      </c>
      <c r="H90" s="17">
        <f ca="1">--TRIM(RIGHT(SUBSTITUTE(LEFT(C89,_xlfn.AGGREGATE(16,6,FIND({0,1,2,3,4,5,6,7,8,9},C89,ROW(INDIRECT("1:"&amp;LEN(C89)))),1))," ",REPT(" ",LEN(C89))),LEN(C89)))</f>
        <v>19</v>
      </c>
      <c r="I90" s="51" t="str">
        <f ca="1">IF(D93=100%,"Excavation","")&amp;IF(D94=100%,", Plinth","")&amp;IF(D95=100%,", RCC Slab","")&amp;IF(D96=100%,", Brickwork","")&amp;IF(D97=100%,", Internal Plaster","")&amp;IF(D98=100%,", External Plaster","")&amp;IF(D99=100%,", Flooring","")&amp;IF(D100=100%,", Painting","")&amp;IF(D101=100%,", Building common Amenities","")</f>
        <v>Excavation, Plinth</v>
      </c>
      <c r="J90" s="52"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row>
    <row r="91" spans="1:19" ht="15.65" hidden="1" customHeight="1" x14ac:dyDescent="0.35">
      <c r="A91" s="220" t="s">
        <v>87</v>
      </c>
      <c r="B91" s="208"/>
      <c r="C91" s="229" t="str">
        <f ca="1">(IF($G$60="NA",I89,"All work Completed. OC Received."))</f>
        <v xml:space="preserve">Excavation, Plinth Completed </v>
      </c>
      <c r="D91" s="229"/>
      <c r="E91" s="229"/>
      <c r="F91" s="229"/>
      <c r="G91" s="229"/>
      <c r="H91" s="230"/>
      <c r="I91" s="51" t="str">
        <f ca="1">IF(I90&lt;&gt;""," Completed","")</f>
        <v xml:space="preserve"> Completed</v>
      </c>
      <c r="J91" s="52" t="str">
        <f ca="1">IF(J89&lt;&gt;"","Completed","")</f>
        <v/>
      </c>
    </row>
    <row r="92" spans="1:19" ht="15.75" hidden="1" customHeight="1" x14ac:dyDescent="0.35">
      <c r="A92" s="143" t="s">
        <v>47</v>
      </c>
      <c r="B92" s="141"/>
      <c r="C92" s="43" t="s">
        <v>137</v>
      </c>
      <c r="D92" s="43" t="s">
        <v>80</v>
      </c>
      <c r="E92" s="141" t="s">
        <v>82</v>
      </c>
      <c r="F92" s="141"/>
      <c r="G92" s="141" t="s">
        <v>81</v>
      </c>
      <c r="H92" s="142"/>
      <c r="I92" s="13" t="s">
        <v>139</v>
      </c>
      <c r="J92" s="28">
        <f ca="1">H90*25%</f>
        <v>4.75</v>
      </c>
    </row>
    <row r="93" spans="1:19" ht="15.65" hidden="1" customHeight="1" x14ac:dyDescent="0.35">
      <c r="A93" s="143" t="s">
        <v>126</v>
      </c>
      <c r="B93" s="141"/>
      <c r="C93" s="65">
        <f ca="1">J94</f>
        <v>19</v>
      </c>
      <c r="D93" s="19">
        <f ca="1">((100/H90)*C93)/100</f>
        <v>1</v>
      </c>
      <c r="E93" s="144">
        <f ca="1">(((C94/H90*10)+(40/(D90+F90+H90)*C95)+(7.5/(H90)*C96)+(7.5/(H90)*C97)+(10/H90*C98)+(10/H90*C99)+(5/H90*C100)+(5/H90*C101)+(5/H90*C102))/100)</f>
        <v>0.1</v>
      </c>
      <c r="F93" s="145"/>
      <c r="G93" s="144">
        <f ca="1">((((C93/H90)*20)+((C94/H90)*25)+(30/(H90+F90+D90)*C95)+(5/H90*C96)+(5/H90*C97)+(5/H90*C98)+(5/H90*C99)+(0/H90*C100)+(0/H90*C101)+(5/H90*C102))/100)</f>
        <v>0.45</v>
      </c>
      <c r="H93" s="213"/>
      <c r="I93" s="13" t="s">
        <v>98</v>
      </c>
      <c r="J93" s="29">
        <f ca="1">H90*50%</f>
        <v>9.5</v>
      </c>
    </row>
    <row r="94" spans="1:19" ht="15.65" hidden="1" customHeight="1" x14ac:dyDescent="0.35">
      <c r="A94" s="143" t="s">
        <v>48</v>
      </c>
      <c r="B94" s="141"/>
      <c r="C94" s="66">
        <f ca="1">J102</f>
        <v>19</v>
      </c>
      <c r="D94" s="19">
        <f ca="1">((100/H90)*C94)/100</f>
        <v>1</v>
      </c>
      <c r="E94" s="146"/>
      <c r="F94" s="147"/>
      <c r="G94" s="146"/>
      <c r="H94" s="214"/>
      <c r="I94" s="13" t="s">
        <v>99</v>
      </c>
      <c r="J94" s="29">
        <f ca="1">H90</f>
        <v>19</v>
      </c>
    </row>
    <row r="95" spans="1:19" ht="15.75" hidden="1" customHeight="1" x14ac:dyDescent="0.35">
      <c r="A95" s="143" t="s">
        <v>127</v>
      </c>
      <c r="B95" s="141"/>
      <c r="C95" s="43">
        <v>0</v>
      </c>
      <c r="D95" s="19">
        <f ca="1">((100/(D90+F90+H90))*C95)/100</f>
        <v>0</v>
      </c>
      <c r="E95" s="146"/>
      <c r="F95" s="147"/>
      <c r="G95" s="146"/>
      <c r="H95" s="214"/>
      <c r="I95" s="13" t="s">
        <v>100</v>
      </c>
      <c r="J95" s="30">
        <f ca="1">(IF(B90&gt;1,(H90/(B90+2)),H90/4))</f>
        <v>4.75</v>
      </c>
    </row>
    <row r="96" spans="1:19" ht="15.75" hidden="1" customHeight="1" x14ac:dyDescent="0.35">
      <c r="A96" s="143" t="s">
        <v>134</v>
      </c>
      <c r="B96" s="141" t="s">
        <v>128</v>
      </c>
      <c r="C96" s="64">
        <v>0</v>
      </c>
      <c r="D96" s="19">
        <f ca="1">((100/H90)*C96)/100</f>
        <v>0</v>
      </c>
      <c r="E96" s="146"/>
      <c r="F96" s="147"/>
      <c r="G96" s="146"/>
      <c r="H96" s="214"/>
      <c r="I96" s="13" t="s">
        <v>101</v>
      </c>
      <c r="J96" s="30">
        <f ca="1">(IF(B90&gt;1,(H90/(B90+2)+J95),H90/4+J95))</f>
        <v>9.5</v>
      </c>
    </row>
    <row r="97" spans="1:10" ht="15.75" hidden="1" customHeight="1" x14ac:dyDescent="0.35">
      <c r="A97" s="143" t="s">
        <v>135</v>
      </c>
      <c r="B97" s="141" t="s">
        <v>128</v>
      </c>
      <c r="C97" s="64">
        <v>0</v>
      </c>
      <c r="D97" s="19">
        <f ca="1">((100/H90)*C97)/100</f>
        <v>0</v>
      </c>
      <c r="E97" s="146"/>
      <c r="F97" s="147"/>
      <c r="G97" s="146"/>
      <c r="H97" s="214"/>
      <c r="I97" s="13" t="s">
        <v>146</v>
      </c>
      <c r="J97" s="30">
        <f>(IF(B90&gt;1,(H90/(B90+2)+J96),0))</f>
        <v>0</v>
      </c>
    </row>
    <row r="98" spans="1:10" ht="15" hidden="1" customHeight="1" x14ac:dyDescent="0.35">
      <c r="A98" s="143" t="s">
        <v>133</v>
      </c>
      <c r="B98" s="141" t="s">
        <v>130</v>
      </c>
      <c r="C98" s="64">
        <v>0</v>
      </c>
      <c r="D98" s="19">
        <f ca="1">((100/(H90))*C98)/100</f>
        <v>0</v>
      </c>
      <c r="E98" s="146"/>
      <c r="F98" s="147"/>
      <c r="G98" s="146"/>
      <c r="H98" s="214"/>
      <c r="I98" s="13" t="s">
        <v>141</v>
      </c>
      <c r="J98" s="30">
        <f>(IF(B90&gt;2,(H90/(B90+2)+J97),0))</f>
        <v>0</v>
      </c>
    </row>
    <row r="99" spans="1:10" ht="15.75" hidden="1" customHeight="1" x14ac:dyDescent="0.35">
      <c r="A99" s="143" t="s">
        <v>129</v>
      </c>
      <c r="B99" s="141" t="s">
        <v>129</v>
      </c>
      <c r="C99" s="64">
        <v>0</v>
      </c>
      <c r="D99" s="19">
        <f ca="1">((100/H90)*C99)/100</f>
        <v>0</v>
      </c>
      <c r="E99" s="146"/>
      <c r="F99" s="147"/>
      <c r="G99" s="146"/>
      <c r="H99" s="214"/>
      <c r="I99" s="13" t="s">
        <v>142</v>
      </c>
      <c r="J99" s="31">
        <f>(IF(B90&gt;3,(H90/(B90+2)+J98),0))</f>
        <v>0</v>
      </c>
    </row>
    <row r="100" spans="1:10" ht="15.75" hidden="1" customHeight="1" x14ac:dyDescent="0.35">
      <c r="A100" s="143" t="s">
        <v>136</v>
      </c>
      <c r="B100" s="141"/>
      <c r="C100" s="43">
        <v>0</v>
      </c>
      <c r="D100" s="19">
        <f ca="1">((100/H90)*C100)/100</f>
        <v>0</v>
      </c>
      <c r="E100" s="146"/>
      <c r="F100" s="147"/>
      <c r="G100" s="146"/>
      <c r="H100" s="214"/>
      <c r="I100" s="13" t="s">
        <v>143</v>
      </c>
      <c r="J100" s="30">
        <f>(IF(B90&gt;4,(H90/(B90+2)+J99),0))</f>
        <v>0</v>
      </c>
    </row>
    <row r="101" spans="1:10" ht="15.75" hidden="1" customHeight="1" x14ac:dyDescent="0.35">
      <c r="A101" s="143" t="s">
        <v>131</v>
      </c>
      <c r="B101" s="141" t="s">
        <v>131</v>
      </c>
      <c r="C101" s="43">
        <v>0</v>
      </c>
      <c r="D101" s="19">
        <f ca="1">((100/(H90))*C101)/100</f>
        <v>0</v>
      </c>
      <c r="E101" s="146"/>
      <c r="F101" s="147"/>
      <c r="G101" s="146"/>
      <c r="H101" s="214"/>
      <c r="I101" s="13" t="s">
        <v>147</v>
      </c>
      <c r="J101" s="30">
        <f ca="1">(IF(B90=1,(H90/(B90+3)+J96),IF(B90=0,(H90/4+J96),IF(B90&gt;1,0))))</f>
        <v>14.25</v>
      </c>
    </row>
    <row r="102" spans="1:10" ht="16" hidden="1" customHeight="1" thickBot="1" x14ac:dyDescent="0.4">
      <c r="A102" s="179" t="s">
        <v>132</v>
      </c>
      <c r="B102" s="180"/>
      <c r="C102" s="44">
        <v>0</v>
      </c>
      <c r="D102" s="20">
        <f ca="1">((100/(H90))*C102)/100</f>
        <v>0</v>
      </c>
      <c r="E102" s="148"/>
      <c r="F102" s="149"/>
      <c r="G102" s="148"/>
      <c r="H102" s="215"/>
      <c r="I102" s="15" t="s">
        <v>102</v>
      </c>
      <c r="J102" s="32">
        <f ca="1">(IF(B90&gt;1.5,(H90/(B90+2)+J96+MAX(0,J97-J96)+MAX(0,J98-J97)+MAX(0,J99-J98)+MAX(0,J100-J99)+MAX(0,J101-J100)),IF(B90=1,(H90/(B90+3)+J101),IF(B90=0,H90/4+J101))))</f>
        <v>19</v>
      </c>
    </row>
    <row r="103" spans="1:10" ht="15.75" hidden="1" customHeight="1" x14ac:dyDescent="0.35">
      <c r="A103" s="118" t="s">
        <v>138</v>
      </c>
      <c r="B103" s="119"/>
      <c r="C103" s="120" t="str">
        <f>D67</f>
        <v>C Wing = 1B + G + 1st to 20th Floor</v>
      </c>
      <c r="D103" s="121"/>
      <c r="E103" s="121"/>
      <c r="F103" s="121"/>
      <c r="G103" s="121"/>
      <c r="H103" s="122"/>
      <c r="I103" s="49" t="str">
        <f ca="1">IF(D116=100%,"All work Completed. Possession granted to the Building.",IF(D115=100%,"All work Completed, Waiting for OC",I104&amp;""&amp;I105&amp;""&amp;J104&amp;""&amp;J103&amp;" "&amp;J105))</f>
        <v xml:space="preserve">Excavation, Plinth, RCC Slab Completed </v>
      </c>
      <c r="J103" s="50"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spans="1:10" ht="15.65" hidden="1" customHeight="1" x14ac:dyDescent="0.35">
      <c r="A104" s="16" t="s">
        <v>140</v>
      </c>
      <c r="B104" s="53">
        <f>IF(AND(ISNUMBER(SEARCH("1B",C103))),1,IF(AND(ISNUMBER(SEARCH("2B",C103))),2,IF(AND(ISNUMBER(SEARCH("3B",C103))),3,IF(AND(ISNUMBER(SEARCH("4B",C103))),4,IF(ISNUMBER(SEARCH("5B",C103)),5,0)))))</f>
        <v>1</v>
      </c>
      <c r="C104" s="47" t="s">
        <v>69</v>
      </c>
      <c r="D104" s="47">
        <v>1</v>
      </c>
      <c r="E104" s="47" t="s">
        <v>68</v>
      </c>
      <c r="F104" s="14">
        <v>0</v>
      </c>
      <c r="G104" s="48" t="s">
        <v>77</v>
      </c>
      <c r="H104" s="17">
        <f ca="1">--TRIM(RIGHT(SUBSTITUTE(LEFT(C103,_xlfn.AGGREGATE(16,6,FIND({0,1,2,3,4,5,6,7,8,9},C103,ROW(INDIRECT("1:"&amp;LEN(C103)))),1))," ",REPT(" ",LEN(C103))),LEN(C103)))</f>
        <v>20</v>
      </c>
      <c r="I104" s="51" t="str">
        <f ca="1">IF(D107=100%,"Excavation","")&amp;IF(D108=100%,", Plinth","")&amp;IF(D109=100%,", RCC Slab","")&amp;IF(D110=100%,", Brickwork","")&amp;IF(D111=100%,", Internal Plaster","")&amp;IF(D112=100%,", External Plaster","")&amp;IF(D113=100%,", Flooring","")&amp;IF(D114=100%,", Painting","")&amp;IF(D115=100%,", Building common Amenities","")</f>
        <v>Excavation, Plinth, RCC Slab</v>
      </c>
      <c r="J104" s="52"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row>
    <row r="105" spans="1:10" ht="15.65" hidden="1" customHeight="1" x14ac:dyDescent="0.35">
      <c r="A105" s="220" t="s">
        <v>87</v>
      </c>
      <c r="B105" s="208"/>
      <c r="C105" s="229" t="str">
        <f ca="1">(IF($G$60="NA",I103,"All work Completed. OC Received."))</f>
        <v xml:space="preserve">Excavation, Plinth, RCC Slab Completed </v>
      </c>
      <c r="D105" s="229"/>
      <c r="E105" s="229"/>
      <c r="F105" s="229"/>
      <c r="G105" s="229"/>
      <c r="H105" s="230"/>
      <c r="I105" s="51" t="str">
        <f ca="1">IF(I104&lt;&gt;""," Completed","")</f>
        <v xml:space="preserve"> Completed</v>
      </c>
      <c r="J105" s="52" t="str">
        <f ca="1">IF(J103&lt;&gt;"","Completed","")</f>
        <v/>
      </c>
    </row>
    <row r="106" spans="1:10" ht="15.75" hidden="1" customHeight="1" x14ac:dyDescent="0.35">
      <c r="A106" s="143" t="s">
        <v>47</v>
      </c>
      <c r="B106" s="141"/>
      <c r="C106" s="43" t="s">
        <v>137</v>
      </c>
      <c r="D106" s="43" t="s">
        <v>80</v>
      </c>
      <c r="E106" s="141" t="s">
        <v>82</v>
      </c>
      <c r="F106" s="141"/>
      <c r="G106" s="141" t="s">
        <v>81</v>
      </c>
      <c r="H106" s="142"/>
      <c r="I106" s="13" t="s">
        <v>139</v>
      </c>
      <c r="J106" s="28">
        <f ca="1">H104*25%</f>
        <v>5</v>
      </c>
    </row>
    <row r="107" spans="1:10" ht="15.65" hidden="1" customHeight="1" x14ac:dyDescent="0.35">
      <c r="A107" s="143" t="s">
        <v>126</v>
      </c>
      <c r="B107" s="141"/>
      <c r="C107" s="43">
        <f ca="1">J108</f>
        <v>20</v>
      </c>
      <c r="D107" s="19">
        <f ca="1">((100/H104)*C107)/100</f>
        <v>1</v>
      </c>
      <c r="E107" s="144">
        <f ca="1">(((C108/H104*10)+(40/(D104+F104+H104)*C109)+(7.5/(H104)*C110)+(7.5/(H104)*C111)+(10/H104*C112)+(10/H104*C113)+(5/H104*C114)+(5/H104*C115)+(5/H104*C116))/100)</f>
        <v>0.5</v>
      </c>
      <c r="F107" s="145"/>
      <c r="G107" s="144">
        <f ca="1">((((C107/H104)*20)+((C108/H104)*25)+(30/(H104+F104+D104)*C109)+(5/H104*C110)+(5/H104*C111)+(5/H104*C112)+(5/H104*C113)+(0/H104*C114)+(0/H104*C115)+(5/H104*C116))/100)</f>
        <v>0.75</v>
      </c>
      <c r="H107" s="213"/>
      <c r="I107" s="13" t="s">
        <v>98</v>
      </c>
      <c r="J107" s="29">
        <f ca="1">H104*50%</f>
        <v>10</v>
      </c>
    </row>
    <row r="108" spans="1:10" ht="15.65" hidden="1" customHeight="1" x14ac:dyDescent="0.35">
      <c r="A108" s="143" t="s">
        <v>48</v>
      </c>
      <c r="B108" s="141"/>
      <c r="C108" s="43">
        <f ca="1">J116</f>
        <v>20</v>
      </c>
      <c r="D108" s="19">
        <f ca="1">((100/H104)*C108)/100</f>
        <v>1</v>
      </c>
      <c r="E108" s="146"/>
      <c r="F108" s="147"/>
      <c r="G108" s="146"/>
      <c r="H108" s="214"/>
      <c r="I108" s="13" t="s">
        <v>99</v>
      </c>
      <c r="J108" s="29">
        <f ca="1">H104</f>
        <v>20</v>
      </c>
    </row>
    <row r="109" spans="1:10" ht="15.75" hidden="1" customHeight="1" x14ac:dyDescent="0.35">
      <c r="A109" s="143" t="s">
        <v>127</v>
      </c>
      <c r="B109" s="141"/>
      <c r="C109" s="43">
        <f ca="1">D104+H104</f>
        <v>21</v>
      </c>
      <c r="D109" s="19">
        <f ca="1">((100/(D104+F104+H104))*C109)/100</f>
        <v>1</v>
      </c>
      <c r="E109" s="146"/>
      <c r="F109" s="147"/>
      <c r="G109" s="146"/>
      <c r="H109" s="214"/>
      <c r="I109" s="13" t="s">
        <v>100</v>
      </c>
      <c r="J109" s="30">
        <f ca="1">(IF(B104&gt;1,(H104/(B104+2)),H104/4))</f>
        <v>5</v>
      </c>
    </row>
    <row r="110" spans="1:10" ht="15.75" hidden="1" customHeight="1" x14ac:dyDescent="0.35">
      <c r="A110" s="143" t="s">
        <v>134</v>
      </c>
      <c r="B110" s="141" t="s">
        <v>128</v>
      </c>
      <c r="C110" s="43">
        <v>0</v>
      </c>
      <c r="D110" s="19">
        <f ca="1">((100/H104)*C110)/100</f>
        <v>0</v>
      </c>
      <c r="E110" s="146"/>
      <c r="F110" s="147"/>
      <c r="G110" s="146"/>
      <c r="H110" s="214"/>
      <c r="I110" s="13" t="s">
        <v>101</v>
      </c>
      <c r="J110" s="30">
        <f ca="1">(IF(B104&gt;1,(H104/(B104+2)+J109),H104/4+J109))</f>
        <v>10</v>
      </c>
    </row>
    <row r="111" spans="1:10" ht="15.75" hidden="1" customHeight="1" x14ac:dyDescent="0.35">
      <c r="A111" s="143" t="s">
        <v>135</v>
      </c>
      <c r="B111" s="141" t="s">
        <v>128</v>
      </c>
      <c r="C111" s="43">
        <v>0</v>
      </c>
      <c r="D111" s="19">
        <f ca="1">((100/H104)*C111)/100</f>
        <v>0</v>
      </c>
      <c r="E111" s="146"/>
      <c r="F111" s="147"/>
      <c r="G111" s="146"/>
      <c r="H111" s="214"/>
      <c r="I111" s="13" t="s">
        <v>146</v>
      </c>
      <c r="J111" s="30">
        <f>(IF(B104&gt;1,(H104/(B104+2)+J110),0))</f>
        <v>0</v>
      </c>
    </row>
    <row r="112" spans="1:10" ht="15" hidden="1" customHeight="1" x14ac:dyDescent="0.35">
      <c r="A112" s="143" t="s">
        <v>133</v>
      </c>
      <c r="B112" s="141" t="s">
        <v>130</v>
      </c>
      <c r="C112" s="43">
        <v>0</v>
      </c>
      <c r="D112" s="19">
        <f ca="1">((100/(H104))*C112)/100</f>
        <v>0</v>
      </c>
      <c r="E112" s="146"/>
      <c r="F112" s="147"/>
      <c r="G112" s="146"/>
      <c r="H112" s="214"/>
      <c r="I112" s="13" t="s">
        <v>141</v>
      </c>
      <c r="J112" s="30">
        <f>(IF(B104&gt;2,(H104/(B104+2)+J111),0))</f>
        <v>0</v>
      </c>
    </row>
    <row r="113" spans="1:22" ht="15.75" hidden="1" customHeight="1" x14ac:dyDescent="0.35">
      <c r="A113" s="143" t="s">
        <v>129</v>
      </c>
      <c r="B113" s="141" t="s">
        <v>129</v>
      </c>
      <c r="C113" s="43">
        <v>0</v>
      </c>
      <c r="D113" s="19">
        <f ca="1">((100/H104)*C113)/100</f>
        <v>0</v>
      </c>
      <c r="E113" s="146"/>
      <c r="F113" s="147"/>
      <c r="G113" s="146"/>
      <c r="H113" s="214"/>
      <c r="I113" s="13" t="s">
        <v>142</v>
      </c>
      <c r="J113" s="31">
        <f>(IF(B104&gt;3,(H104/(B104+2)+J112),0))</f>
        <v>0</v>
      </c>
    </row>
    <row r="114" spans="1:22" ht="15.75" hidden="1" customHeight="1" x14ac:dyDescent="0.35">
      <c r="A114" s="143" t="s">
        <v>136</v>
      </c>
      <c r="B114" s="141"/>
      <c r="C114" s="43">
        <v>0</v>
      </c>
      <c r="D114" s="19">
        <f ca="1">((100/H104)*C114)/100</f>
        <v>0</v>
      </c>
      <c r="E114" s="146"/>
      <c r="F114" s="147"/>
      <c r="G114" s="146"/>
      <c r="H114" s="214"/>
      <c r="I114" s="13" t="s">
        <v>143</v>
      </c>
      <c r="J114" s="30">
        <f>(IF(B104&gt;4,(H104/(B104+2)+J113),0))</f>
        <v>0</v>
      </c>
    </row>
    <row r="115" spans="1:22" ht="15.75" hidden="1" customHeight="1" x14ac:dyDescent="0.35">
      <c r="A115" s="143" t="s">
        <v>131</v>
      </c>
      <c r="B115" s="141" t="s">
        <v>131</v>
      </c>
      <c r="C115" s="43">
        <v>0</v>
      </c>
      <c r="D115" s="19">
        <f ca="1">((100/(H104))*C115)/100</f>
        <v>0</v>
      </c>
      <c r="E115" s="146"/>
      <c r="F115" s="147"/>
      <c r="G115" s="146"/>
      <c r="H115" s="214"/>
      <c r="I115" s="13" t="s">
        <v>147</v>
      </c>
      <c r="J115" s="30">
        <f ca="1">(IF(B104=1,(H104/(B104+3)+J110),IF(B104=0,(H104/4+J110),IF(B104&gt;1,0))))</f>
        <v>15</v>
      </c>
    </row>
    <row r="116" spans="1:22" ht="16" hidden="1" customHeight="1" thickBot="1" x14ac:dyDescent="0.4">
      <c r="A116" s="179" t="s">
        <v>132</v>
      </c>
      <c r="B116" s="180"/>
      <c r="C116" s="44">
        <v>0</v>
      </c>
      <c r="D116" s="20">
        <f ca="1">((100/(H104))*C116)/100</f>
        <v>0</v>
      </c>
      <c r="E116" s="148"/>
      <c r="F116" s="149"/>
      <c r="G116" s="148"/>
      <c r="H116" s="215"/>
      <c r="I116" s="15" t="s">
        <v>102</v>
      </c>
      <c r="J116" s="32">
        <f ca="1">(IF(B104&gt;1.5,(H104/(B104+2)+J110+MAX(0,J111-J110)+MAX(0,J112-J111)+MAX(0,J113-J112)+MAX(0,J114-J113)+MAX(0,J115-J114)),IF(B104=1,(H104/(B104+3)+J115),IF(B104=0,H104/4+J115))))</f>
        <v>20</v>
      </c>
    </row>
    <row r="117" spans="1:22" x14ac:dyDescent="0.35">
      <c r="A117" s="235" t="s">
        <v>158</v>
      </c>
      <c r="B117" s="235"/>
      <c r="C117" s="235"/>
      <c r="D117" s="235"/>
      <c r="E117" s="235"/>
      <c r="F117" s="197" t="s">
        <v>162</v>
      </c>
      <c r="G117" s="197"/>
      <c r="H117" s="197"/>
      <c r="I117" s="89"/>
      <c r="J117" s="89" t="s">
        <v>379</v>
      </c>
      <c r="K117" s="89" t="s">
        <v>380</v>
      </c>
      <c r="L117" s="89" t="s">
        <v>381</v>
      </c>
      <c r="M117" s="89" t="s">
        <v>382</v>
      </c>
      <c r="N117" s="89"/>
      <c r="R117" t="s">
        <v>258</v>
      </c>
      <c r="S117" t="s">
        <v>175</v>
      </c>
      <c r="T117" t="s">
        <v>182</v>
      </c>
      <c r="U117" t="s">
        <v>197</v>
      </c>
      <c r="V117" t="s">
        <v>192</v>
      </c>
    </row>
    <row r="118" spans="1:22" x14ac:dyDescent="0.35">
      <c r="A118" s="117" t="s">
        <v>160</v>
      </c>
      <c r="B118" s="117"/>
      <c r="C118" s="117"/>
      <c r="D118" s="117"/>
      <c r="E118" s="117"/>
      <c r="F118" s="150">
        <v>5000</v>
      </c>
      <c r="G118" s="150"/>
      <c r="H118" s="150"/>
      <c r="I118" s="103" t="s">
        <v>391</v>
      </c>
      <c r="J118" s="103">
        <f>AVERAGE(J193,J202,J216)</f>
        <v>1803691.3580246912</v>
      </c>
      <c r="K118" s="89">
        <v>5800</v>
      </c>
      <c r="L118" s="89">
        <v>5500</v>
      </c>
      <c r="M118" s="89">
        <v>5300</v>
      </c>
      <c r="N118" s="89"/>
      <c r="R118"/>
      <c r="S118">
        <v>800000</v>
      </c>
      <c r="T118">
        <v>150000</v>
      </c>
      <c r="U118">
        <v>100000</v>
      </c>
      <c r="V118">
        <v>100000</v>
      </c>
    </row>
    <row r="119" spans="1:22" x14ac:dyDescent="0.35">
      <c r="A119" s="117" t="s">
        <v>159</v>
      </c>
      <c r="B119" s="117"/>
      <c r="C119" s="117"/>
      <c r="D119" s="117"/>
      <c r="E119" s="117"/>
      <c r="F119" s="150">
        <v>10500</v>
      </c>
      <c r="G119" s="150"/>
      <c r="H119" s="150"/>
      <c r="I119" s="89"/>
      <c r="J119" s="89"/>
      <c r="K119" s="89"/>
      <c r="L119" s="89"/>
      <c r="M119" s="89"/>
      <c r="N119" s="89"/>
      <c r="R119"/>
      <c r="S119">
        <v>900000</v>
      </c>
      <c r="T119">
        <v>200000</v>
      </c>
      <c r="U119">
        <v>150000</v>
      </c>
      <c r="V119">
        <v>150000</v>
      </c>
    </row>
    <row r="120" spans="1:22" x14ac:dyDescent="0.35">
      <c r="A120" s="117" t="s">
        <v>161</v>
      </c>
      <c r="B120" s="117"/>
      <c r="C120" s="117"/>
      <c r="D120" s="117"/>
      <c r="E120" s="117"/>
      <c r="F120" s="150">
        <v>8000</v>
      </c>
      <c r="G120" s="150"/>
      <c r="H120" s="150"/>
      <c r="I120" s="89"/>
      <c r="J120" s="89"/>
      <c r="K120" s="89"/>
      <c r="L120" s="89"/>
      <c r="M120" s="89"/>
      <c r="N120" s="89"/>
      <c r="R120"/>
      <c r="S120">
        <v>1000000</v>
      </c>
      <c r="T120">
        <v>250000</v>
      </c>
      <c r="U120">
        <v>200000</v>
      </c>
      <c r="V120">
        <v>200000</v>
      </c>
    </row>
    <row r="121" spans="1:22" s="33" customFormat="1" hidden="1" x14ac:dyDescent="0.35">
      <c r="A121" s="117" t="s">
        <v>178</v>
      </c>
      <c r="B121" s="117"/>
      <c r="C121" s="117"/>
      <c r="D121" s="117"/>
      <c r="E121" s="117"/>
      <c r="F121" s="150"/>
      <c r="G121" s="150"/>
      <c r="H121" s="150"/>
      <c r="I121" s="101"/>
      <c r="J121" s="101"/>
      <c r="K121" s="101"/>
      <c r="L121" s="101"/>
      <c r="M121" s="101"/>
      <c r="N121" s="101"/>
      <c r="R121"/>
      <c r="S121">
        <v>1100000</v>
      </c>
      <c r="T121">
        <v>300000</v>
      </c>
      <c r="U121">
        <v>250000</v>
      </c>
      <c r="V121" s="23">
        <v>250000</v>
      </c>
    </row>
    <row r="122" spans="1:22" s="33" customFormat="1" x14ac:dyDescent="0.35">
      <c r="A122" s="117" t="s">
        <v>92</v>
      </c>
      <c r="B122" s="117"/>
      <c r="C122" s="117"/>
      <c r="D122" s="117"/>
      <c r="E122" s="117"/>
      <c r="F122" s="150">
        <v>250000</v>
      </c>
      <c r="G122" s="150"/>
      <c r="H122" s="150"/>
      <c r="I122" s="101"/>
      <c r="J122" s="101"/>
      <c r="K122" s="101"/>
      <c r="L122" s="101"/>
      <c r="M122" s="101"/>
      <c r="N122" s="101"/>
      <c r="R122"/>
      <c r="S122">
        <v>1200000</v>
      </c>
      <c r="T122">
        <v>350000</v>
      </c>
      <c r="U122">
        <v>300000</v>
      </c>
      <c r="V122">
        <v>300000</v>
      </c>
    </row>
    <row r="123" spans="1:22" s="33" customFormat="1" x14ac:dyDescent="0.35">
      <c r="A123" s="117" t="s">
        <v>378</v>
      </c>
      <c r="B123" s="117"/>
      <c r="C123" s="117"/>
      <c r="D123" s="117"/>
      <c r="E123" s="117"/>
      <c r="F123" s="150">
        <v>50000</v>
      </c>
      <c r="G123" s="150"/>
      <c r="H123" s="150"/>
      <c r="I123" s="101"/>
      <c r="J123" s="101"/>
      <c r="K123" s="101"/>
      <c r="L123" s="101"/>
      <c r="M123" s="101"/>
      <c r="N123" s="101"/>
      <c r="R123"/>
      <c r="S123">
        <v>1300000</v>
      </c>
      <c r="T123">
        <v>400000</v>
      </c>
      <c r="U123">
        <v>350000</v>
      </c>
      <c r="V123" s="23">
        <v>400000</v>
      </c>
    </row>
    <row r="124" spans="1:22" s="33" customFormat="1" hidden="1" x14ac:dyDescent="0.35">
      <c r="A124" s="117" t="s">
        <v>93</v>
      </c>
      <c r="B124" s="117"/>
      <c r="C124" s="117"/>
      <c r="D124" s="117"/>
      <c r="E124" s="117"/>
      <c r="F124" s="150"/>
      <c r="G124" s="150"/>
      <c r="H124" s="150"/>
      <c r="I124" s="101"/>
      <c r="J124" s="101"/>
      <c r="K124" s="101"/>
      <c r="L124" s="101"/>
      <c r="M124" s="101"/>
      <c r="N124" s="101"/>
      <c r="R124"/>
      <c r="S124">
        <v>1300000</v>
      </c>
      <c r="T124">
        <v>400000</v>
      </c>
      <c r="U124">
        <v>350000</v>
      </c>
      <c r="V124" s="23">
        <v>400000</v>
      </c>
    </row>
    <row r="125" spans="1:22" s="33" customFormat="1" hidden="1" x14ac:dyDescent="0.35">
      <c r="A125" s="117" t="s">
        <v>94</v>
      </c>
      <c r="B125" s="117"/>
      <c r="C125" s="117"/>
      <c r="D125" s="117"/>
      <c r="E125" s="117"/>
      <c r="F125" s="150"/>
      <c r="G125" s="150"/>
      <c r="H125" s="150"/>
      <c r="I125" s="101"/>
      <c r="J125" s="101"/>
      <c r="K125" s="101"/>
      <c r="L125" s="101"/>
      <c r="M125" s="101"/>
      <c r="N125" s="101"/>
      <c r="R125"/>
      <c r="S125">
        <v>1400000</v>
      </c>
      <c r="T125">
        <v>500000</v>
      </c>
      <c r="U125">
        <v>400000</v>
      </c>
      <c r="V125"/>
    </row>
    <row r="126" spans="1:22" s="33" customFormat="1" hidden="1" x14ac:dyDescent="0.35">
      <c r="A126" s="117" t="s">
        <v>95</v>
      </c>
      <c r="B126" s="117"/>
      <c r="C126" s="117"/>
      <c r="D126" s="117"/>
      <c r="E126" s="117"/>
      <c r="F126" s="150"/>
      <c r="G126" s="150"/>
      <c r="H126" s="150"/>
      <c r="I126" s="101"/>
      <c r="J126" s="101"/>
      <c r="K126" s="101"/>
      <c r="L126" s="101"/>
      <c r="M126" s="101"/>
      <c r="N126" s="101"/>
      <c r="R126"/>
      <c r="S126">
        <v>1500000</v>
      </c>
      <c r="T126">
        <v>600000</v>
      </c>
      <c r="U126">
        <v>500000</v>
      </c>
      <c r="V126" s="23"/>
    </row>
    <row r="127" spans="1:22" s="33" customFormat="1" hidden="1" x14ac:dyDescent="0.35">
      <c r="A127" s="117" t="s">
        <v>96</v>
      </c>
      <c r="B127" s="117"/>
      <c r="C127" s="117"/>
      <c r="D127" s="117"/>
      <c r="E127" s="117"/>
      <c r="F127" s="150"/>
      <c r="G127" s="150"/>
      <c r="H127" s="150"/>
      <c r="I127" s="101"/>
      <c r="J127" s="101"/>
      <c r="K127" s="101"/>
      <c r="L127" s="101"/>
      <c r="M127" s="101"/>
      <c r="N127" s="101"/>
      <c r="R127"/>
      <c r="S127">
        <v>1600000</v>
      </c>
      <c r="T127">
        <v>700000</v>
      </c>
      <c r="U127">
        <v>600000</v>
      </c>
      <c r="V127"/>
    </row>
    <row r="128" spans="1:22" s="33" customFormat="1" hidden="1" x14ac:dyDescent="0.35">
      <c r="A128" s="117" t="s">
        <v>97</v>
      </c>
      <c r="B128" s="117"/>
      <c r="C128" s="117"/>
      <c r="D128" s="117"/>
      <c r="E128" s="117"/>
      <c r="F128" s="150"/>
      <c r="G128" s="150"/>
      <c r="H128" s="150"/>
      <c r="I128" s="101"/>
      <c r="J128" s="101"/>
      <c r="K128" s="101"/>
      <c r="L128" s="101"/>
      <c r="M128" s="101"/>
      <c r="N128" s="101"/>
      <c r="R128"/>
      <c r="S128">
        <v>1700000</v>
      </c>
      <c r="T128">
        <v>800000</v>
      </c>
      <c r="U128"/>
      <c r="V128" s="23"/>
    </row>
    <row r="129" spans="1:22" x14ac:dyDescent="0.35">
      <c r="A129" s="117" t="s">
        <v>49</v>
      </c>
      <c r="B129" s="117"/>
      <c r="C129" s="117"/>
      <c r="D129" s="117"/>
      <c r="E129" s="117"/>
      <c r="F129" s="150">
        <v>300000</v>
      </c>
      <c r="G129" s="150"/>
      <c r="H129" s="150"/>
      <c r="I129" s="89"/>
      <c r="J129" s="89"/>
      <c r="K129" s="89"/>
      <c r="L129" s="89"/>
      <c r="M129" s="89"/>
      <c r="N129" s="89"/>
      <c r="R129"/>
      <c r="S129">
        <v>1800000</v>
      </c>
      <c r="T129">
        <v>900000</v>
      </c>
      <c r="U129"/>
    </row>
    <row r="130" spans="1:22" s="34" customFormat="1" x14ac:dyDescent="0.35">
      <c r="A130" s="206" t="s">
        <v>50</v>
      </c>
      <c r="B130" s="206"/>
      <c r="C130" s="206"/>
      <c r="D130" s="206"/>
      <c r="E130" s="206"/>
      <c r="F130" s="150">
        <f>F118*0.8</f>
        <v>4000</v>
      </c>
      <c r="G130" s="150"/>
      <c r="H130" s="150"/>
      <c r="I130" s="102"/>
      <c r="J130" s="102"/>
      <c r="K130" s="102"/>
      <c r="L130" s="102"/>
      <c r="M130" s="102"/>
      <c r="N130" s="102"/>
      <c r="R130" s="21"/>
      <c r="S130" s="21"/>
      <c r="T130">
        <v>1000000</v>
      </c>
      <c r="U130"/>
      <c r="V130" s="21"/>
    </row>
    <row r="131" spans="1:22" s="35" customFormat="1" ht="15.75" customHeight="1" x14ac:dyDescent="0.35">
      <c r="A131" s="205" t="s">
        <v>72</v>
      </c>
      <c r="B131" s="205"/>
      <c r="C131" s="205"/>
      <c r="D131" s="205"/>
      <c r="E131" s="205"/>
      <c r="F131" s="205"/>
      <c r="G131" s="205"/>
      <c r="H131" s="205"/>
      <c r="R131"/>
      <c r="S131" s="21"/>
      <c r="T131"/>
      <c r="U131"/>
      <c r="V131" s="21"/>
    </row>
    <row r="132" spans="1:22" s="35" customFormat="1" ht="15.75" customHeight="1" x14ac:dyDescent="0.35">
      <c r="A132" s="152" t="s">
        <v>51</v>
      </c>
      <c r="B132" s="152"/>
      <c r="C132" s="158" t="s">
        <v>75</v>
      </c>
      <c r="D132" s="158"/>
      <c r="E132" s="156" t="s">
        <v>52</v>
      </c>
      <c r="F132" s="156"/>
      <c r="G132" s="152" t="s">
        <v>53</v>
      </c>
      <c r="H132" s="152"/>
      <c r="R132"/>
      <c r="S132" s="21"/>
      <c r="T132"/>
      <c r="U132" s="21"/>
      <c r="V132" s="21"/>
    </row>
    <row r="133" spans="1:22" s="35" customFormat="1" x14ac:dyDescent="0.35">
      <c r="A133" s="157" t="s">
        <v>356</v>
      </c>
      <c r="B133" s="157"/>
      <c r="C133" s="177">
        <f>COUNT(F146:F166)</f>
        <v>21</v>
      </c>
      <c r="D133" s="178"/>
      <c r="E133" s="177">
        <f>SUM(F146:F166)</f>
        <v>7458.698519999999</v>
      </c>
      <c r="F133" s="178"/>
      <c r="G133" s="177">
        <f>SUM(H146:H166)</f>
        <v>11933.917631999999</v>
      </c>
      <c r="H133" s="178"/>
      <c r="R133"/>
      <c r="S133" s="21"/>
      <c r="T133"/>
      <c r="U133" s="21"/>
      <c r="V133" s="21"/>
    </row>
    <row r="134" spans="1:22" s="35" customFormat="1" x14ac:dyDescent="0.35">
      <c r="A134" s="157" t="s">
        <v>357</v>
      </c>
      <c r="B134" s="157"/>
      <c r="C134" s="177">
        <f>COUNT(F168:F187)</f>
        <v>20</v>
      </c>
      <c r="D134" s="178"/>
      <c r="E134" s="177">
        <f>SUM(F168:F187)</f>
        <v>6187.1471999999994</v>
      </c>
      <c r="F134" s="178"/>
      <c r="G134" s="177">
        <f>SUM(H168:H187)</f>
        <v>9899.4355199999991</v>
      </c>
      <c r="H134" s="178"/>
      <c r="R134"/>
      <c r="S134" s="21"/>
      <c r="T134"/>
      <c r="U134" s="21"/>
      <c r="V134" s="21"/>
    </row>
    <row r="135" spans="1:22" s="35" customFormat="1" x14ac:dyDescent="0.35">
      <c r="A135" s="205" t="s">
        <v>151</v>
      </c>
      <c r="B135" s="205"/>
      <c r="C135" s="240">
        <f>SUM(C133:C134)</f>
        <v>41</v>
      </c>
      <c r="D135" s="158"/>
      <c r="E135" s="241">
        <f>SUM(E133:E134)</f>
        <v>13645.845719999998</v>
      </c>
      <c r="F135" s="156"/>
      <c r="G135" s="152">
        <f>SUM(G133:G134)</f>
        <v>21833.353151999996</v>
      </c>
      <c r="H135" s="152"/>
      <c r="R135"/>
      <c r="S135" s="21"/>
      <c r="T135"/>
      <c r="U135" s="21"/>
      <c r="V135" s="21"/>
    </row>
    <row r="136" spans="1:22" s="35" customFormat="1" x14ac:dyDescent="0.35">
      <c r="A136" s="205" t="s">
        <v>67</v>
      </c>
      <c r="B136" s="205"/>
      <c r="C136" s="205"/>
      <c r="D136" s="205"/>
      <c r="E136" s="205"/>
      <c r="F136" s="205"/>
      <c r="G136" s="205"/>
      <c r="H136" s="205"/>
      <c r="T136"/>
    </row>
    <row r="137" spans="1:22" s="35" customFormat="1" ht="15.75" customHeight="1" x14ac:dyDescent="0.35">
      <c r="A137" s="152" t="s">
        <v>51</v>
      </c>
      <c r="B137" s="152"/>
      <c r="C137" s="158" t="s">
        <v>75</v>
      </c>
      <c r="D137" s="158"/>
      <c r="E137" s="156" t="s">
        <v>52</v>
      </c>
      <c r="F137" s="156"/>
      <c r="G137" s="152" t="s">
        <v>53</v>
      </c>
      <c r="H137" s="152"/>
      <c r="T137"/>
    </row>
    <row r="138" spans="1:22" s="35" customFormat="1" x14ac:dyDescent="0.35">
      <c r="A138" s="157" t="s">
        <v>368</v>
      </c>
      <c r="B138" s="157"/>
      <c r="C138" s="177">
        <f>COUNT(F193:F205)+COUNT(F207:F223)*5+COUNT(F225:F237,F239:F241)+COUNT(F245:F255)</f>
        <v>125</v>
      </c>
      <c r="D138" s="177"/>
      <c r="E138" s="177">
        <f>SUM(F193:F205)+SUM(F207:F223)*5+SUM(F225:F237,F239:F241)+SUM(F245:F255)</f>
        <v>64371.249539999997</v>
      </c>
      <c r="F138" s="177"/>
      <c r="G138" s="177">
        <f>SUM(H193:H205)+SUM(H207:H223)*5+SUM(H225:H237,H239:H241)+SUM(H245:H255)</f>
        <v>109355</v>
      </c>
      <c r="H138" s="177"/>
      <c r="T138"/>
    </row>
    <row r="139" spans="1:22" s="35" customFormat="1" ht="16" thickBot="1" x14ac:dyDescent="0.4">
      <c r="A139" s="236" t="s">
        <v>151</v>
      </c>
      <c r="B139" s="236"/>
      <c r="C139" s="181">
        <f>SUM(C138)</f>
        <v>125</v>
      </c>
      <c r="D139" s="182"/>
      <c r="E139" s="237">
        <f>SUM(E138)</f>
        <v>64371.249539999997</v>
      </c>
      <c r="F139" s="238"/>
      <c r="G139" s="239">
        <f>SUM(G138)</f>
        <v>109355</v>
      </c>
      <c r="H139" s="239"/>
      <c r="T139"/>
    </row>
    <row r="140" spans="1:22" s="35" customFormat="1" ht="16" thickBot="1" x14ac:dyDescent="0.4">
      <c r="A140" s="186" t="s">
        <v>168</v>
      </c>
      <c r="B140" s="187"/>
      <c r="C140" s="188">
        <f>C135+C139</f>
        <v>166</v>
      </c>
      <c r="D140" s="188"/>
      <c r="E140" s="189">
        <f>E135+E139</f>
        <v>78017.095260000002</v>
      </c>
      <c r="F140" s="189"/>
      <c r="G140" s="221">
        <f>G135+G139</f>
        <v>131188.353152</v>
      </c>
      <c r="H140" s="222"/>
      <c r="T140"/>
    </row>
    <row r="141" spans="1:22" s="34" customFormat="1" x14ac:dyDescent="0.35">
      <c r="A141" s="199" t="s">
        <v>54</v>
      </c>
      <c r="B141" s="199"/>
      <c r="C141" s="199"/>
      <c r="D141" s="199"/>
      <c r="E141" s="199"/>
      <c r="F141" s="199"/>
      <c r="G141" s="199"/>
      <c r="H141" s="199"/>
      <c r="L141" s="92"/>
      <c r="M141" s="92"/>
      <c r="T141" s="35"/>
    </row>
    <row r="142" spans="1:22" x14ac:dyDescent="0.35">
      <c r="A142" s="151" t="s">
        <v>177</v>
      </c>
      <c r="B142" s="151"/>
      <c r="C142" s="151"/>
      <c r="D142" s="151"/>
      <c r="E142" s="151"/>
      <c r="F142" s="151"/>
      <c r="G142" s="151"/>
      <c r="H142" s="151"/>
      <c r="T142" s="35"/>
    </row>
    <row r="143" spans="1:22" ht="47.25" customHeight="1" x14ac:dyDescent="0.35">
      <c r="A143" s="175" t="s">
        <v>373</v>
      </c>
      <c r="B143" s="175" t="s">
        <v>179</v>
      </c>
      <c r="C143" s="175" t="s">
        <v>55</v>
      </c>
      <c r="D143" s="175" t="s">
        <v>236</v>
      </c>
      <c r="E143" s="226" t="s">
        <v>157</v>
      </c>
      <c r="F143" s="175" t="s">
        <v>56</v>
      </c>
      <c r="G143" s="226" t="s">
        <v>57</v>
      </c>
      <c r="H143" s="96" t="s">
        <v>149</v>
      </c>
      <c r="T143" s="35"/>
    </row>
    <row r="144" spans="1:22" s="37" customFormat="1" x14ac:dyDescent="0.35">
      <c r="A144" s="176"/>
      <c r="B144" s="176"/>
      <c r="C144" s="176"/>
      <c r="D144" s="176"/>
      <c r="E144" s="227"/>
      <c r="F144" s="176"/>
      <c r="G144" s="227"/>
      <c r="H144" s="97">
        <v>0.6</v>
      </c>
      <c r="I144" s="84"/>
      <c r="J144" s="84"/>
      <c r="K144" s="84"/>
      <c r="L144" s="84"/>
      <c r="M144" s="84"/>
      <c r="N144" s="84"/>
      <c r="O144" s="84"/>
      <c r="P144" s="84"/>
      <c r="T144" s="35"/>
    </row>
    <row r="145" spans="1:20" s="37" customFormat="1" x14ac:dyDescent="0.35">
      <c r="A145" s="108" t="s">
        <v>355</v>
      </c>
      <c r="B145" s="109"/>
      <c r="C145" s="109"/>
      <c r="D145" s="109"/>
      <c r="E145" s="109"/>
      <c r="F145" s="109"/>
      <c r="G145" s="109"/>
      <c r="H145" s="110"/>
      <c r="I145" s="84"/>
      <c r="J145" s="94">
        <v>10.763999999999999</v>
      </c>
      <c r="K145" s="84"/>
      <c r="L145" s="84"/>
      <c r="M145" s="84"/>
      <c r="N145" s="84"/>
      <c r="O145" s="84"/>
      <c r="P145" s="84"/>
      <c r="T145" s="35"/>
    </row>
    <row r="146" spans="1:20" s="37" customFormat="1" ht="15.75" customHeight="1" x14ac:dyDescent="0.35">
      <c r="A146" s="111">
        <v>1</v>
      </c>
      <c r="B146" s="112"/>
      <c r="C146" s="98" t="s">
        <v>356</v>
      </c>
      <c r="D146" s="99">
        <f>(49.25)*10.764</f>
        <v>530.12699999999995</v>
      </c>
      <c r="E146" s="98">
        <v>0</v>
      </c>
      <c r="F146" s="98">
        <f>D146+(IF(E146&lt;201,E146,IF(E146&lt;301,E146/2,E146/3)))</f>
        <v>530.12699999999995</v>
      </c>
      <c r="G146" s="100">
        <v>0</v>
      </c>
      <c r="H146" s="98">
        <f t="shared" ref="H146:H166" si="0">(F146+(IF(G146&lt;101,G146,IF(G146&lt;201,G146/2,IF(G146&lt;=301,G146/3,G146/4)))))*(($H$144)+1)</f>
        <v>848.20319999999992</v>
      </c>
      <c r="I146" s="36">
        <f>8.95*4.95+1*3.35+1.5*0.9</f>
        <v>49.002499999999998</v>
      </c>
      <c r="J146" s="84"/>
      <c r="K146" s="84"/>
      <c r="L146" s="95">
        <v>1100</v>
      </c>
      <c r="M146" s="93">
        <f>L146/F146</f>
        <v>2.0749744872455094</v>
      </c>
      <c r="N146" s="36"/>
      <c r="O146" s="84"/>
      <c r="P146" s="84"/>
      <c r="T146" s="35"/>
    </row>
    <row r="147" spans="1:20" s="37" customFormat="1" ht="15.75" customHeight="1" x14ac:dyDescent="0.35">
      <c r="A147" s="111">
        <f t="shared" ref="A147:A166" si="1">A146+1</f>
        <v>2</v>
      </c>
      <c r="B147" s="112"/>
      <c r="C147" s="98" t="s">
        <v>356</v>
      </c>
      <c r="D147" s="99">
        <f>(30.35)*10.764</f>
        <v>326.68739999999997</v>
      </c>
      <c r="E147" s="98">
        <v>0</v>
      </c>
      <c r="F147" s="98">
        <f t="shared" ref="F147:F149" si="2">D147+(IF(E147&lt;201,E147,IF(E147&lt;301,E147/2,E147/3)))</f>
        <v>326.68739999999997</v>
      </c>
      <c r="G147" s="98">
        <v>0</v>
      </c>
      <c r="H147" s="98">
        <f t="shared" si="0"/>
        <v>522.69983999999999</v>
      </c>
      <c r="I147" s="36">
        <f>8.95*3.05+1*1.45</f>
        <v>28.747499999999995</v>
      </c>
      <c r="J147" s="84"/>
      <c r="K147" s="84"/>
      <c r="L147" s="95">
        <v>680</v>
      </c>
      <c r="M147" s="93">
        <f t="shared" ref="M147:M179" si="3">L147/F147</f>
        <v>2.081500541496244</v>
      </c>
      <c r="N147" s="36"/>
      <c r="O147" s="84"/>
      <c r="P147" s="84"/>
      <c r="T147" s="34"/>
    </row>
    <row r="148" spans="1:20" s="37" customFormat="1" ht="15.75" customHeight="1" x14ac:dyDescent="0.35">
      <c r="A148" s="111">
        <f t="shared" si="1"/>
        <v>3</v>
      </c>
      <c r="B148" s="112"/>
      <c r="C148" s="98" t="s">
        <v>356</v>
      </c>
      <c r="D148" s="99">
        <f>(27.36)*10.764</f>
        <v>294.50304</v>
      </c>
      <c r="E148" s="98">
        <v>0</v>
      </c>
      <c r="F148" s="98">
        <f t="shared" si="2"/>
        <v>294.50304</v>
      </c>
      <c r="G148" s="98">
        <v>0</v>
      </c>
      <c r="H148" s="98">
        <f t="shared" si="0"/>
        <v>471.20486400000004</v>
      </c>
      <c r="I148" s="36"/>
      <c r="J148" s="84"/>
      <c r="K148" s="84"/>
      <c r="L148" s="95">
        <v>610</v>
      </c>
      <c r="M148" s="93">
        <f t="shared" si="3"/>
        <v>2.0712859194933948</v>
      </c>
      <c r="N148" s="36"/>
      <c r="O148" s="84"/>
      <c r="P148" s="84"/>
      <c r="T148" s="21"/>
    </row>
    <row r="149" spans="1:20" s="37" customFormat="1" ht="15.75" customHeight="1" x14ac:dyDescent="0.35">
      <c r="A149" s="111">
        <f t="shared" si="1"/>
        <v>4</v>
      </c>
      <c r="B149" s="112"/>
      <c r="C149" s="98" t="s">
        <v>356</v>
      </c>
      <c r="D149" s="99">
        <f>(21.89)*10.764</f>
        <v>235.62395999999998</v>
      </c>
      <c r="E149" s="98">
        <v>0</v>
      </c>
      <c r="F149" s="98">
        <f t="shared" si="2"/>
        <v>235.62395999999998</v>
      </c>
      <c r="G149" s="98">
        <v>0</v>
      </c>
      <c r="H149" s="98">
        <f t="shared" si="0"/>
        <v>376.99833599999999</v>
      </c>
      <c r="I149" s="36"/>
      <c r="J149" s="84"/>
      <c r="K149" s="84"/>
      <c r="L149" s="95">
        <v>490</v>
      </c>
      <c r="M149" s="93">
        <f t="shared" si="3"/>
        <v>2.0795847756739172</v>
      </c>
      <c r="N149" s="36"/>
      <c r="O149" s="84"/>
      <c r="P149" s="84"/>
      <c r="T149" s="21"/>
    </row>
    <row r="150" spans="1:20" s="82" customFormat="1" ht="15.75" customHeight="1" x14ac:dyDescent="0.35">
      <c r="A150" s="106">
        <f t="shared" si="1"/>
        <v>5</v>
      </c>
      <c r="B150" s="107"/>
      <c r="C150" s="81" t="s">
        <v>356</v>
      </c>
      <c r="D150" s="94">
        <f>(27.36)*10.764</f>
        <v>294.50304</v>
      </c>
      <c r="E150" s="81">
        <v>0</v>
      </c>
      <c r="F150" s="81">
        <f t="shared" ref="F150:F155" si="4">D150+(IF(E150&lt;201,E150,IF(E150&lt;301,E150/2,E150/3)))</f>
        <v>294.50304</v>
      </c>
      <c r="G150" s="81">
        <v>0</v>
      </c>
      <c r="H150" s="83">
        <f t="shared" si="0"/>
        <v>471.20486400000004</v>
      </c>
      <c r="I150" s="36"/>
      <c r="J150" s="84"/>
      <c r="K150" s="84"/>
      <c r="L150" s="95">
        <v>610</v>
      </c>
      <c r="M150" s="93">
        <f t="shared" si="3"/>
        <v>2.0712859194933948</v>
      </c>
      <c r="N150" s="36"/>
      <c r="O150" s="84"/>
      <c r="P150" s="84"/>
      <c r="T150" s="34"/>
    </row>
    <row r="151" spans="1:20" s="82" customFormat="1" ht="15.75" customHeight="1" x14ac:dyDescent="0.35">
      <c r="A151" s="106">
        <f t="shared" si="1"/>
        <v>6</v>
      </c>
      <c r="B151" s="107"/>
      <c r="C151" s="81" t="s">
        <v>356</v>
      </c>
      <c r="D151" s="94">
        <f>(27.36)*10.764</f>
        <v>294.50304</v>
      </c>
      <c r="E151" s="81">
        <v>0</v>
      </c>
      <c r="F151" s="81">
        <f t="shared" si="4"/>
        <v>294.50304</v>
      </c>
      <c r="G151" s="81">
        <v>0</v>
      </c>
      <c r="H151" s="83">
        <f t="shared" si="0"/>
        <v>471.20486400000004</v>
      </c>
      <c r="I151" s="36"/>
      <c r="J151" s="84"/>
      <c r="K151" s="84"/>
      <c r="L151" s="95">
        <v>610</v>
      </c>
      <c r="M151" s="93">
        <f t="shared" si="3"/>
        <v>2.0712859194933948</v>
      </c>
      <c r="N151" s="36"/>
      <c r="O151" s="84"/>
      <c r="P151" s="84"/>
      <c r="T151" s="21"/>
    </row>
    <row r="152" spans="1:20" s="82" customFormat="1" ht="15.75" customHeight="1" x14ac:dyDescent="0.35">
      <c r="A152" s="106">
        <f t="shared" si="1"/>
        <v>7</v>
      </c>
      <c r="B152" s="107"/>
      <c r="C152" s="81" t="s">
        <v>356</v>
      </c>
      <c r="D152" s="94">
        <f>(27.36)*10.764</f>
        <v>294.50304</v>
      </c>
      <c r="E152" s="81">
        <v>0</v>
      </c>
      <c r="F152" s="81">
        <f t="shared" si="4"/>
        <v>294.50304</v>
      </c>
      <c r="G152" s="81">
        <v>0</v>
      </c>
      <c r="H152" s="83">
        <f t="shared" si="0"/>
        <v>471.20486400000004</v>
      </c>
      <c r="I152" s="36"/>
      <c r="J152" s="84"/>
      <c r="K152" s="84"/>
      <c r="L152" s="95">
        <v>610</v>
      </c>
      <c r="M152" s="93">
        <f t="shared" si="3"/>
        <v>2.0712859194933948</v>
      </c>
      <c r="N152" s="36"/>
      <c r="O152" s="84"/>
      <c r="P152" s="84"/>
      <c r="T152" s="21"/>
    </row>
    <row r="153" spans="1:20" s="82" customFormat="1" ht="15.75" customHeight="1" x14ac:dyDescent="0.35">
      <c r="A153" s="106">
        <f t="shared" si="1"/>
        <v>8</v>
      </c>
      <c r="B153" s="107"/>
      <c r="C153" s="81" t="s">
        <v>356</v>
      </c>
      <c r="D153" s="94">
        <f>(27.36)*10.764</f>
        <v>294.50304</v>
      </c>
      <c r="E153" s="81">
        <v>0</v>
      </c>
      <c r="F153" s="81">
        <f t="shared" si="4"/>
        <v>294.50304</v>
      </c>
      <c r="G153" s="81">
        <v>0</v>
      </c>
      <c r="H153" s="83">
        <f t="shared" si="0"/>
        <v>471.20486400000004</v>
      </c>
      <c r="I153" s="36"/>
      <c r="J153" s="84"/>
      <c r="K153" s="84"/>
      <c r="L153" s="95">
        <v>610</v>
      </c>
      <c r="M153" s="93">
        <f t="shared" si="3"/>
        <v>2.0712859194933948</v>
      </c>
      <c r="N153" s="36"/>
      <c r="O153" s="84"/>
      <c r="P153" s="84"/>
      <c r="T153" s="34"/>
    </row>
    <row r="154" spans="1:20" s="82" customFormat="1" ht="15.75" customHeight="1" x14ac:dyDescent="0.35">
      <c r="A154" s="106">
        <f t="shared" si="1"/>
        <v>9</v>
      </c>
      <c r="B154" s="107"/>
      <c r="C154" s="81" t="s">
        <v>356</v>
      </c>
      <c r="D154" s="94">
        <f>(27.36)*10.764</f>
        <v>294.50304</v>
      </c>
      <c r="E154" s="81">
        <v>0</v>
      </c>
      <c r="F154" s="81">
        <f t="shared" si="4"/>
        <v>294.50304</v>
      </c>
      <c r="G154" s="81">
        <v>0</v>
      </c>
      <c r="H154" s="83">
        <f t="shared" si="0"/>
        <v>471.20486400000004</v>
      </c>
      <c r="I154" s="36"/>
      <c r="J154" s="84"/>
      <c r="K154" s="84"/>
      <c r="L154" s="95">
        <v>610</v>
      </c>
      <c r="M154" s="93">
        <f t="shared" si="3"/>
        <v>2.0712859194933948</v>
      </c>
      <c r="N154" s="36"/>
      <c r="O154" s="84"/>
      <c r="P154" s="84"/>
      <c r="T154" s="21"/>
    </row>
    <row r="155" spans="1:20" s="82" customFormat="1" ht="15.75" customHeight="1" x14ac:dyDescent="0.35">
      <c r="A155" s="106">
        <f t="shared" si="1"/>
        <v>10</v>
      </c>
      <c r="B155" s="107"/>
      <c r="C155" s="81" t="s">
        <v>356</v>
      </c>
      <c r="D155" s="94">
        <f>(29.85)*10.764</f>
        <v>321.30540000000002</v>
      </c>
      <c r="E155" s="81">
        <v>0</v>
      </c>
      <c r="F155" s="81">
        <f t="shared" si="4"/>
        <v>321.30540000000002</v>
      </c>
      <c r="G155" s="81">
        <v>0</v>
      </c>
      <c r="H155" s="83">
        <f t="shared" si="0"/>
        <v>514.08864000000005</v>
      </c>
      <c r="I155" s="36"/>
      <c r="J155" s="84"/>
      <c r="K155" s="84"/>
      <c r="L155" s="95">
        <v>659</v>
      </c>
      <c r="M155" s="93">
        <f t="shared" si="3"/>
        <v>2.0510081685524115</v>
      </c>
      <c r="N155" s="36"/>
      <c r="O155" s="84"/>
      <c r="P155" s="84"/>
      <c r="T155" s="21"/>
    </row>
    <row r="156" spans="1:20" s="82" customFormat="1" ht="15.75" customHeight="1" x14ac:dyDescent="0.35">
      <c r="A156" s="106">
        <f t="shared" si="1"/>
        <v>11</v>
      </c>
      <c r="B156" s="107"/>
      <c r="C156" s="81" t="s">
        <v>356</v>
      </c>
      <c r="D156" s="94">
        <f>(95.75)*10.764</f>
        <v>1030.653</v>
      </c>
      <c r="E156" s="81">
        <v>0</v>
      </c>
      <c r="F156" s="81">
        <f t="shared" ref="F156:F164" si="5">D156+(IF(E156&lt;201,E156,IF(E156&lt;301,E156/2,E156/3)))</f>
        <v>1030.653</v>
      </c>
      <c r="G156" s="81">
        <v>0</v>
      </c>
      <c r="H156" s="83">
        <f t="shared" si="0"/>
        <v>1649.0448000000001</v>
      </c>
      <c r="I156" s="36"/>
      <c r="J156" s="84"/>
      <c r="K156" s="84"/>
      <c r="L156" s="95">
        <v>2210</v>
      </c>
      <c r="M156" s="93">
        <f t="shared" si="3"/>
        <v>2.1442716413768745</v>
      </c>
      <c r="N156" s="36"/>
      <c r="O156" s="84"/>
      <c r="P156" s="84"/>
      <c r="T156" s="34"/>
    </row>
    <row r="157" spans="1:20" s="82" customFormat="1" ht="15.75" customHeight="1" x14ac:dyDescent="0.35">
      <c r="A157" s="106">
        <f t="shared" si="1"/>
        <v>12</v>
      </c>
      <c r="B157" s="107"/>
      <c r="C157" s="81" t="s">
        <v>356</v>
      </c>
      <c r="D157" s="94">
        <f>(26.21)*10.764</f>
        <v>282.12443999999999</v>
      </c>
      <c r="E157" s="81">
        <v>0</v>
      </c>
      <c r="F157" s="81">
        <f t="shared" si="5"/>
        <v>282.12443999999999</v>
      </c>
      <c r="G157" s="81">
        <v>0</v>
      </c>
      <c r="H157" s="83">
        <f t="shared" si="0"/>
        <v>451.39910400000002</v>
      </c>
      <c r="I157" s="36"/>
      <c r="J157" s="84"/>
      <c r="K157" s="84"/>
      <c r="L157" s="95">
        <v>585</v>
      </c>
      <c r="M157" s="93">
        <f>L157/F157</f>
        <v>2.073553074664499</v>
      </c>
      <c r="N157" s="36"/>
      <c r="O157" s="84"/>
      <c r="P157" s="84"/>
      <c r="T157" s="21"/>
    </row>
    <row r="158" spans="1:20" s="82" customFormat="1" ht="15.75" customHeight="1" x14ac:dyDescent="0.35">
      <c r="A158" s="106">
        <f t="shared" si="1"/>
        <v>13</v>
      </c>
      <c r="B158" s="107"/>
      <c r="C158" s="81" t="s">
        <v>356</v>
      </c>
      <c r="D158" s="94">
        <f>(20.67)*10.764</f>
        <v>222.49188000000001</v>
      </c>
      <c r="E158" s="81">
        <v>0</v>
      </c>
      <c r="F158" s="81">
        <f t="shared" si="5"/>
        <v>222.49188000000001</v>
      </c>
      <c r="G158" s="81">
        <v>0</v>
      </c>
      <c r="H158" s="83">
        <f t="shared" si="0"/>
        <v>355.98700800000006</v>
      </c>
      <c r="I158" s="36"/>
      <c r="J158" s="84"/>
      <c r="K158" s="84"/>
      <c r="L158" s="95">
        <v>465</v>
      </c>
      <c r="M158" s="93">
        <f t="shared" si="3"/>
        <v>2.08996391239087</v>
      </c>
      <c r="N158" s="36"/>
      <c r="O158" s="84"/>
      <c r="P158" s="84"/>
      <c r="T158" s="21"/>
    </row>
    <row r="159" spans="1:20" s="82" customFormat="1" ht="15.75" customHeight="1" x14ac:dyDescent="0.35">
      <c r="A159" s="106">
        <f t="shared" si="1"/>
        <v>14</v>
      </c>
      <c r="B159" s="107"/>
      <c r="C159" s="81" t="s">
        <v>356</v>
      </c>
      <c r="D159" s="94">
        <f>(27.76)*10.764</f>
        <v>298.80864000000003</v>
      </c>
      <c r="E159" s="81">
        <v>0</v>
      </c>
      <c r="F159" s="81">
        <f t="shared" si="5"/>
        <v>298.80864000000003</v>
      </c>
      <c r="G159" s="81">
        <v>0</v>
      </c>
      <c r="H159" s="83">
        <f t="shared" si="0"/>
        <v>478.09382400000004</v>
      </c>
      <c r="I159" s="36"/>
      <c r="J159" s="84"/>
      <c r="K159" s="84"/>
      <c r="L159" s="95">
        <v>625</v>
      </c>
      <c r="M159" s="93">
        <f t="shared" si="3"/>
        <v>2.0916396527222236</v>
      </c>
      <c r="N159" s="36"/>
      <c r="O159" s="84"/>
      <c r="P159" s="84"/>
      <c r="T159" s="34"/>
    </row>
    <row r="160" spans="1:20" s="82" customFormat="1" ht="15.75" customHeight="1" x14ac:dyDescent="0.35">
      <c r="A160" s="106">
        <f t="shared" si="1"/>
        <v>15</v>
      </c>
      <c r="B160" s="107"/>
      <c r="C160" s="81" t="s">
        <v>356</v>
      </c>
      <c r="D160" s="94">
        <f>(27.26)*10.764</f>
        <v>293.42664000000002</v>
      </c>
      <c r="E160" s="81">
        <v>0</v>
      </c>
      <c r="F160" s="81">
        <f t="shared" si="5"/>
        <v>293.42664000000002</v>
      </c>
      <c r="G160" s="81">
        <v>0</v>
      </c>
      <c r="H160" s="83">
        <f t="shared" si="0"/>
        <v>469.48262400000004</v>
      </c>
      <c r="I160" s="36"/>
      <c r="J160" s="84"/>
      <c r="K160" s="84"/>
      <c r="L160" s="95">
        <v>610</v>
      </c>
      <c r="M160" s="93">
        <f t="shared" si="3"/>
        <v>2.0788841803866207</v>
      </c>
      <c r="N160" s="36"/>
      <c r="O160" s="84"/>
      <c r="P160" s="84"/>
      <c r="T160" s="21"/>
    </row>
    <row r="161" spans="1:20" s="82" customFormat="1" ht="15.75" customHeight="1" x14ac:dyDescent="0.35">
      <c r="A161" s="106">
        <f t="shared" si="1"/>
        <v>16</v>
      </c>
      <c r="B161" s="107"/>
      <c r="C161" s="81" t="s">
        <v>356</v>
      </c>
      <c r="D161" s="94">
        <f>(29.59)*10.764</f>
        <v>318.50675999999999</v>
      </c>
      <c r="E161" s="81">
        <v>0</v>
      </c>
      <c r="F161" s="81">
        <f t="shared" si="5"/>
        <v>318.50675999999999</v>
      </c>
      <c r="G161" s="81">
        <v>0</v>
      </c>
      <c r="H161" s="83">
        <f t="shared" si="0"/>
        <v>509.610816</v>
      </c>
      <c r="I161" s="36"/>
      <c r="J161" s="84"/>
      <c r="K161" s="84"/>
      <c r="L161" s="95">
        <v>655</v>
      </c>
      <c r="M161" s="93">
        <f t="shared" si="3"/>
        <v>2.056471266104368</v>
      </c>
      <c r="N161" s="36"/>
      <c r="O161" s="84"/>
      <c r="P161" s="84"/>
      <c r="T161" s="21"/>
    </row>
    <row r="162" spans="1:20" s="82" customFormat="1" ht="15.75" customHeight="1" x14ac:dyDescent="0.35">
      <c r="A162" s="106">
        <f t="shared" si="1"/>
        <v>17</v>
      </c>
      <c r="B162" s="107"/>
      <c r="C162" s="81" t="s">
        <v>356</v>
      </c>
      <c r="D162" s="94">
        <f>(33.16)*10.764</f>
        <v>356.93423999999993</v>
      </c>
      <c r="E162" s="81">
        <v>0</v>
      </c>
      <c r="F162" s="81">
        <f t="shared" si="5"/>
        <v>356.93423999999993</v>
      </c>
      <c r="G162" s="81">
        <v>0</v>
      </c>
      <c r="H162" s="83">
        <f t="shared" si="0"/>
        <v>571.09478399999989</v>
      </c>
      <c r="I162" s="36"/>
      <c r="J162" s="84"/>
      <c r="K162" s="84"/>
      <c r="L162" s="95">
        <v>735</v>
      </c>
      <c r="M162" s="93">
        <f t="shared" si="3"/>
        <v>2.0592028380353762</v>
      </c>
      <c r="N162" s="36"/>
      <c r="O162" s="84"/>
      <c r="P162" s="84"/>
      <c r="T162" s="34"/>
    </row>
    <row r="163" spans="1:20" s="82" customFormat="1" ht="15.75" customHeight="1" x14ac:dyDescent="0.35">
      <c r="A163" s="106">
        <f t="shared" si="1"/>
        <v>18</v>
      </c>
      <c r="B163" s="107"/>
      <c r="C163" s="81" t="s">
        <v>356</v>
      </c>
      <c r="D163" s="94">
        <f>(35.71)*10.764</f>
        <v>384.38243999999997</v>
      </c>
      <c r="E163" s="81">
        <v>0</v>
      </c>
      <c r="F163" s="81">
        <f t="shared" si="5"/>
        <v>384.38243999999997</v>
      </c>
      <c r="G163" s="81">
        <v>0</v>
      </c>
      <c r="H163" s="83">
        <f t="shared" si="0"/>
        <v>615.01190399999996</v>
      </c>
      <c r="I163" s="36"/>
      <c r="J163" s="84"/>
      <c r="K163" s="84"/>
      <c r="L163" s="95">
        <v>795</v>
      </c>
      <c r="M163" s="93">
        <f t="shared" si="3"/>
        <v>2.0682526496267624</v>
      </c>
      <c r="N163" s="36"/>
      <c r="O163" s="84"/>
      <c r="P163" s="84"/>
      <c r="T163" s="21"/>
    </row>
    <row r="164" spans="1:20" s="82" customFormat="1" ht="15.75" customHeight="1" x14ac:dyDescent="0.35">
      <c r="A164" s="106">
        <f t="shared" si="1"/>
        <v>19</v>
      </c>
      <c r="B164" s="107"/>
      <c r="C164" s="81" t="s">
        <v>356</v>
      </c>
      <c r="D164" s="94">
        <f>(35.21)*10.764</f>
        <v>379.00043999999997</v>
      </c>
      <c r="E164" s="81">
        <v>0</v>
      </c>
      <c r="F164" s="81">
        <f t="shared" si="5"/>
        <v>379.00043999999997</v>
      </c>
      <c r="G164" s="81">
        <v>0</v>
      </c>
      <c r="H164" s="83">
        <f t="shared" si="0"/>
        <v>606.40070400000002</v>
      </c>
      <c r="I164" s="36"/>
      <c r="J164" s="84"/>
      <c r="K164" s="84"/>
      <c r="L164" s="95">
        <v>785</v>
      </c>
      <c r="M164" s="93">
        <f t="shared" si="3"/>
        <v>2.0712377009377616</v>
      </c>
      <c r="N164" s="36"/>
      <c r="O164" s="84"/>
      <c r="P164" s="84"/>
      <c r="T164" s="21"/>
    </row>
    <row r="165" spans="1:20" s="82" customFormat="1" ht="15.75" customHeight="1" x14ac:dyDescent="0.35">
      <c r="A165" s="106">
        <f t="shared" si="1"/>
        <v>20</v>
      </c>
      <c r="B165" s="107"/>
      <c r="C165" s="81" t="s">
        <v>356</v>
      </c>
      <c r="D165" s="94">
        <f>(31.84)*10.764</f>
        <v>342.72575999999998</v>
      </c>
      <c r="E165" s="81">
        <v>0</v>
      </c>
      <c r="F165" s="81">
        <f t="shared" ref="F165:F166" si="6">D165+(IF(E165&lt;201,E165,IF(E165&lt;301,E165/2,E165/3)))</f>
        <v>342.72575999999998</v>
      </c>
      <c r="G165" s="81">
        <v>0</v>
      </c>
      <c r="H165" s="83">
        <f t="shared" si="0"/>
        <v>548.36121600000001</v>
      </c>
      <c r="I165" s="36"/>
      <c r="J165" s="84"/>
      <c r="K165" s="84"/>
      <c r="L165" s="95">
        <v>710</v>
      </c>
      <c r="M165" s="93">
        <f t="shared" si="3"/>
        <v>2.0716271808690423</v>
      </c>
      <c r="N165" s="36"/>
      <c r="O165" s="84"/>
      <c r="P165" s="84"/>
      <c r="T165" s="34"/>
    </row>
    <row r="166" spans="1:20" s="82" customFormat="1" ht="15.75" customHeight="1" x14ac:dyDescent="0.35">
      <c r="A166" s="106">
        <f t="shared" si="1"/>
        <v>21</v>
      </c>
      <c r="B166" s="107"/>
      <c r="C166" s="81" t="s">
        <v>356</v>
      </c>
      <c r="D166" s="94">
        <f>(34.27)*10.764</f>
        <v>368.88228000000004</v>
      </c>
      <c r="E166" s="81">
        <v>0</v>
      </c>
      <c r="F166" s="81">
        <f t="shared" si="6"/>
        <v>368.88228000000004</v>
      </c>
      <c r="G166" s="81">
        <v>0</v>
      </c>
      <c r="H166" s="83">
        <f t="shared" si="0"/>
        <v>590.21164800000008</v>
      </c>
      <c r="I166" s="36"/>
      <c r="J166" s="84"/>
      <c r="K166" s="84"/>
      <c r="L166" s="95">
        <v>805</v>
      </c>
      <c r="M166" s="93">
        <f t="shared" si="3"/>
        <v>2.1822680124401743</v>
      </c>
      <c r="N166" s="36"/>
      <c r="O166" s="84"/>
      <c r="P166" s="84"/>
      <c r="T166" s="21"/>
    </row>
    <row r="167" spans="1:20" s="82" customFormat="1" x14ac:dyDescent="0.35">
      <c r="A167" s="113" t="s">
        <v>358</v>
      </c>
      <c r="B167" s="114"/>
      <c r="C167" s="114"/>
      <c r="D167" s="114"/>
      <c r="E167" s="114"/>
      <c r="F167" s="114"/>
      <c r="G167" s="114"/>
      <c r="H167" s="115"/>
      <c r="I167" s="84"/>
      <c r="J167" s="36"/>
      <c r="K167" s="84"/>
      <c r="L167" s="84"/>
      <c r="M167" s="93" t="e">
        <f t="shared" si="3"/>
        <v>#DIV/0!</v>
      </c>
      <c r="N167" s="84"/>
      <c r="O167" s="84"/>
      <c r="P167" s="84"/>
      <c r="T167" s="35"/>
    </row>
    <row r="168" spans="1:20" s="82" customFormat="1" ht="15.75" customHeight="1" x14ac:dyDescent="0.35">
      <c r="A168" s="106">
        <v>1</v>
      </c>
      <c r="B168" s="107"/>
      <c r="C168" s="81" t="s">
        <v>357</v>
      </c>
      <c r="D168" s="94">
        <f>(56.97)*10.764</f>
        <v>613.22507999999993</v>
      </c>
      <c r="E168" s="81">
        <v>0</v>
      </c>
      <c r="F168" s="81">
        <f>D168+(IF(E168&lt;201,E168,IF(E168&lt;301,E168/2,E168/3)))</f>
        <v>613.22507999999993</v>
      </c>
      <c r="G168" s="67">
        <v>0</v>
      </c>
      <c r="H168" s="81">
        <f>(F168+(IF(G168&lt;101,G168,IF(G168&lt;201,G168/2,IF(G168&lt;=301,G168/3,G168/4)))))*(($H$144)+1)</f>
        <v>981.16012799999999</v>
      </c>
      <c r="I168" s="36"/>
      <c r="J168" s="84"/>
      <c r="K168" s="84"/>
      <c r="L168" s="84">
        <v>740</v>
      </c>
      <c r="M168" s="93">
        <f t="shared" si="3"/>
        <v>1.2067347278098934</v>
      </c>
      <c r="N168" s="36"/>
      <c r="O168" s="84"/>
      <c r="P168" s="84"/>
      <c r="T168" s="35"/>
    </row>
    <row r="169" spans="1:20" s="82" customFormat="1" ht="15.75" customHeight="1" x14ac:dyDescent="0.35">
      <c r="A169" s="106">
        <f t="shared" ref="A169:A187" si="7">A168+1</f>
        <v>2</v>
      </c>
      <c r="B169" s="107"/>
      <c r="C169" s="81" t="s">
        <v>357</v>
      </c>
      <c r="D169" s="94">
        <f>(30.04)*10.764</f>
        <v>323.35055999999997</v>
      </c>
      <c r="E169" s="81">
        <v>0</v>
      </c>
      <c r="F169" s="81">
        <f t="shared" ref="F169:F187" si="8">D169+(IF(E169&lt;201,E169,IF(E169&lt;301,E169/2,E169/3)))</f>
        <v>323.35055999999997</v>
      </c>
      <c r="G169" s="81">
        <v>0</v>
      </c>
      <c r="H169" s="81">
        <f t="shared" ref="H169:H187" si="9">(F169+(IF(G169&lt;101,G169,IF(G169&lt;201,G169/2,IF(G169&lt;=301,G169/3,G169/4)))))*(($H$144)+1)</f>
        <v>517.36089600000003</v>
      </c>
      <c r="I169" s="36"/>
      <c r="J169" s="84"/>
      <c r="K169" s="84"/>
      <c r="L169" s="84">
        <v>1990</v>
      </c>
      <c r="M169" s="93">
        <f t="shared" si="3"/>
        <v>6.1543112837039784</v>
      </c>
      <c r="N169" s="36"/>
      <c r="O169" s="84"/>
      <c r="P169" s="84"/>
      <c r="T169" s="34"/>
    </row>
    <row r="170" spans="1:20" s="82" customFormat="1" ht="15.75" customHeight="1" x14ac:dyDescent="0.35">
      <c r="A170" s="106">
        <f t="shared" si="7"/>
        <v>3</v>
      </c>
      <c r="B170" s="107"/>
      <c r="C170" s="81" t="s">
        <v>357</v>
      </c>
      <c r="D170" s="94">
        <f>(27.1)*10.764</f>
        <v>291.70440000000002</v>
      </c>
      <c r="E170" s="81">
        <v>0</v>
      </c>
      <c r="F170" s="81">
        <f t="shared" si="8"/>
        <v>291.70440000000002</v>
      </c>
      <c r="G170" s="81">
        <v>0</v>
      </c>
      <c r="H170" s="81">
        <f t="shared" si="9"/>
        <v>466.72704000000004</v>
      </c>
      <c r="I170" s="36"/>
      <c r="J170" s="84"/>
      <c r="K170" s="84"/>
      <c r="L170" s="84">
        <v>460</v>
      </c>
      <c r="M170" s="93">
        <f t="shared" si="3"/>
        <v>1.5769388463115399</v>
      </c>
      <c r="N170" s="36"/>
      <c r="O170" s="84"/>
      <c r="P170" s="84"/>
      <c r="T170" s="21"/>
    </row>
    <row r="171" spans="1:20" s="82" customFormat="1" ht="15.75" customHeight="1" x14ac:dyDescent="0.35">
      <c r="A171" s="106">
        <f t="shared" si="7"/>
        <v>4</v>
      </c>
      <c r="B171" s="107"/>
      <c r="C171" s="81" t="s">
        <v>357</v>
      </c>
      <c r="D171" s="94">
        <f>(21.71)*10.764</f>
        <v>233.68644</v>
      </c>
      <c r="E171" s="81">
        <v>0</v>
      </c>
      <c r="F171" s="81">
        <f t="shared" si="8"/>
        <v>233.68644</v>
      </c>
      <c r="G171" s="81">
        <v>0</v>
      </c>
      <c r="H171" s="81">
        <f t="shared" si="9"/>
        <v>373.89830400000005</v>
      </c>
      <c r="I171" s="36"/>
      <c r="J171" s="84"/>
      <c r="K171" s="84"/>
      <c r="L171" s="84">
        <v>365</v>
      </c>
      <c r="M171" s="93">
        <f t="shared" si="3"/>
        <v>1.5619220353564374</v>
      </c>
      <c r="N171" s="36"/>
      <c r="O171" s="84"/>
      <c r="P171" s="84"/>
      <c r="T171" s="21"/>
    </row>
    <row r="172" spans="1:20" s="82" customFormat="1" ht="15.75" customHeight="1" x14ac:dyDescent="0.35">
      <c r="A172" s="106">
        <f t="shared" si="7"/>
        <v>5</v>
      </c>
      <c r="B172" s="107"/>
      <c r="C172" s="81" t="s">
        <v>357</v>
      </c>
      <c r="D172" s="94">
        <f>(27.1)*10.764</f>
        <v>291.70440000000002</v>
      </c>
      <c r="E172" s="81">
        <v>0</v>
      </c>
      <c r="F172" s="81">
        <f t="shared" si="8"/>
        <v>291.70440000000002</v>
      </c>
      <c r="G172" s="81">
        <v>0</v>
      </c>
      <c r="H172" s="81">
        <f t="shared" si="9"/>
        <v>466.72704000000004</v>
      </c>
      <c r="I172" s="36"/>
      <c r="J172" s="84"/>
      <c r="K172" s="84"/>
      <c r="L172" s="84">
        <v>485</v>
      </c>
      <c r="M172" s="93">
        <f t="shared" si="3"/>
        <v>1.6626420444806453</v>
      </c>
      <c r="N172" s="36"/>
      <c r="O172" s="84"/>
      <c r="P172" s="84"/>
      <c r="T172" s="34"/>
    </row>
    <row r="173" spans="1:20" s="82" customFormat="1" ht="15.75" customHeight="1" x14ac:dyDescent="0.35">
      <c r="A173" s="106">
        <f t="shared" si="7"/>
        <v>6</v>
      </c>
      <c r="B173" s="107"/>
      <c r="C173" s="81" t="s">
        <v>357</v>
      </c>
      <c r="D173" s="94">
        <f>(27.1)*10.764</f>
        <v>291.70440000000002</v>
      </c>
      <c r="E173" s="81">
        <v>0</v>
      </c>
      <c r="F173" s="81">
        <f t="shared" si="8"/>
        <v>291.70440000000002</v>
      </c>
      <c r="G173" s="81">
        <v>0</v>
      </c>
      <c r="H173" s="81">
        <f t="shared" si="9"/>
        <v>466.72704000000004</v>
      </c>
      <c r="I173" s="36"/>
      <c r="J173" s="84"/>
      <c r="K173" s="84"/>
      <c r="L173" s="84">
        <v>475</v>
      </c>
      <c r="M173" s="93">
        <f t="shared" si="3"/>
        <v>1.6283607652130032</v>
      </c>
      <c r="N173" s="36"/>
      <c r="O173" s="84"/>
      <c r="P173" s="84"/>
      <c r="T173" s="21"/>
    </row>
    <row r="174" spans="1:20" s="82" customFormat="1" ht="15.75" customHeight="1" x14ac:dyDescent="0.35">
      <c r="A174" s="106">
        <f t="shared" si="7"/>
        <v>7</v>
      </c>
      <c r="B174" s="107"/>
      <c r="C174" s="81" t="s">
        <v>357</v>
      </c>
      <c r="D174" s="94">
        <f>(27.1)*10.764</f>
        <v>291.70440000000002</v>
      </c>
      <c r="E174" s="81">
        <v>0</v>
      </c>
      <c r="F174" s="81">
        <f t="shared" si="8"/>
        <v>291.70440000000002</v>
      </c>
      <c r="G174" s="81">
        <v>0</v>
      </c>
      <c r="H174" s="81">
        <f t="shared" si="9"/>
        <v>466.72704000000004</v>
      </c>
      <c r="I174" s="36"/>
      <c r="J174" s="84"/>
      <c r="K174" s="84"/>
      <c r="L174" s="84">
        <v>340</v>
      </c>
      <c r="M174" s="93">
        <f t="shared" si="3"/>
        <v>1.1655634950998339</v>
      </c>
      <c r="N174" s="36"/>
      <c r="O174" s="84"/>
      <c r="P174" s="84"/>
      <c r="T174" s="21"/>
    </row>
    <row r="175" spans="1:20" s="82" customFormat="1" ht="15.75" customHeight="1" x14ac:dyDescent="0.35">
      <c r="A175" s="106">
        <f t="shared" si="7"/>
        <v>8</v>
      </c>
      <c r="B175" s="107"/>
      <c r="C175" s="81" t="s">
        <v>357</v>
      </c>
      <c r="D175" s="94">
        <f>(27.1)*10.764</f>
        <v>291.70440000000002</v>
      </c>
      <c r="E175" s="81">
        <v>0</v>
      </c>
      <c r="F175" s="81">
        <f t="shared" si="8"/>
        <v>291.70440000000002</v>
      </c>
      <c r="G175" s="81">
        <v>0</v>
      </c>
      <c r="H175" s="81">
        <f t="shared" si="9"/>
        <v>466.72704000000004</v>
      </c>
      <c r="I175" s="36"/>
      <c r="J175" s="84"/>
      <c r="K175" s="84"/>
      <c r="L175" s="84">
        <v>420</v>
      </c>
      <c r="M175" s="93">
        <f t="shared" si="3"/>
        <v>1.4398137292409712</v>
      </c>
      <c r="N175" s="36"/>
      <c r="O175" s="84"/>
      <c r="P175" s="84"/>
      <c r="T175" s="34"/>
    </row>
    <row r="176" spans="1:20" s="82" customFormat="1" ht="15.75" customHeight="1" x14ac:dyDescent="0.35">
      <c r="A176" s="106">
        <f t="shared" si="7"/>
        <v>9</v>
      </c>
      <c r="B176" s="107"/>
      <c r="C176" s="81" t="s">
        <v>357</v>
      </c>
      <c r="D176" s="94">
        <f>(27.1)*10.764</f>
        <v>291.70440000000002</v>
      </c>
      <c r="E176" s="81">
        <v>0</v>
      </c>
      <c r="F176" s="81">
        <f t="shared" si="8"/>
        <v>291.70440000000002</v>
      </c>
      <c r="G176" s="81">
        <v>0</v>
      </c>
      <c r="H176" s="81">
        <f t="shared" si="9"/>
        <v>466.72704000000004</v>
      </c>
      <c r="I176" s="36"/>
      <c r="J176" s="84"/>
      <c r="K176" s="84"/>
      <c r="L176" s="84">
        <v>445</v>
      </c>
      <c r="M176" s="93">
        <f t="shared" si="3"/>
        <v>1.5255169274100766</v>
      </c>
      <c r="N176" s="36"/>
      <c r="O176" s="84"/>
      <c r="P176" s="84"/>
      <c r="T176" s="21"/>
    </row>
    <row r="177" spans="1:20" s="82" customFormat="1" ht="15.75" customHeight="1" x14ac:dyDescent="0.35">
      <c r="A177" s="106">
        <f t="shared" si="7"/>
        <v>10</v>
      </c>
      <c r="B177" s="107"/>
      <c r="C177" s="81" t="s">
        <v>357</v>
      </c>
      <c r="D177" s="94">
        <f>(29.55)*10.764</f>
        <v>318.07619999999997</v>
      </c>
      <c r="E177" s="81">
        <v>0</v>
      </c>
      <c r="F177" s="81">
        <f t="shared" si="8"/>
        <v>318.07619999999997</v>
      </c>
      <c r="G177" s="81">
        <v>0</v>
      </c>
      <c r="H177" s="81">
        <f t="shared" si="9"/>
        <v>508.92192</v>
      </c>
      <c r="I177" s="36"/>
      <c r="J177" s="84"/>
      <c r="K177" s="84"/>
      <c r="L177" s="84">
        <v>435</v>
      </c>
      <c r="M177" s="93">
        <f t="shared" si="3"/>
        <v>1.3675968211390856</v>
      </c>
      <c r="N177" s="36"/>
      <c r="O177" s="84"/>
      <c r="P177" s="84"/>
      <c r="T177" s="21"/>
    </row>
    <row r="178" spans="1:20" s="82" customFormat="1" ht="15.75" customHeight="1" x14ac:dyDescent="0.35">
      <c r="A178" s="106">
        <f t="shared" si="7"/>
        <v>11</v>
      </c>
      <c r="B178" s="107"/>
      <c r="C178" s="81" t="s">
        <v>357</v>
      </c>
      <c r="D178" s="94">
        <f>(92.32)*10.764</f>
        <v>993.7324799999999</v>
      </c>
      <c r="E178" s="81">
        <v>0</v>
      </c>
      <c r="F178" s="81">
        <f t="shared" si="8"/>
        <v>993.7324799999999</v>
      </c>
      <c r="G178" s="81">
        <v>0</v>
      </c>
      <c r="H178" s="81">
        <f t="shared" si="9"/>
        <v>1589.9719679999998</v>
      </c>
      <c r="I178" s="36"/>
      <c r="J178" s="84"/>
      <c r="K178" s="84"/>
      <c r="L178" s="84">
        <v>390</v>
      </c>
      <c r="M178" s="93">
        <f t="shared" si="3"/>
        <v>0.39245974932810895</v>
      </c>
      <c r="N178" s="36"/>
      <c r="O178" s="84"/>
      <c r="P178" s="84"/>
      <c r="T178" s="34"/>
    </row>
    <row r="179" spans="1:20" s="82" customFormat="1" ht="15.75" customHeight="1" x14ac:dyDescent="0.35">
      <c r="A179" s="106">
        <f t="shared" si="7"/>
        <v>12</v>
      </c>
      <c r="B179" s="107"/>
      <c r="C179" s="81" t="s">
        <v>357</v>
      </c>
      <c r="D179" s="94">
        <f>(21.41)*10.764</f>
        <v>230.45723999999998</v>
      </c>
      <c r="E179" s="81">
        <v>0</v>
      </c>
      <c r="F179" s="81">
        <f t="shared" si="8"/>
        <v>230.45723999999998</v>
      </c>
      <c r="G179" s="81">
        <v>0</v>
      </c>
      <c r="H179" s="81">
        <f t="shared" si="9"/>
        <v>368.731584</v>
      </c>
      <c r="I179" s="36"/>
      <c r="J179" s="84"/>
      <c r="K179" s="84"/>
      <c r="L179" s="84">
        <v>435</v>
      </c>
      <c r="M179" s="93">
        <f t="shared" si="3"/>
        <v>1.887551894659504</v>
      </c>
      <c r="N179" s="36"/>
      <c r="O179" s="84"/>
      <c r="P179" s="84"/>
      <c r="T179" s="21"/>
    </row>
    <row r="180" spans="1:20" s="82" customFormat="1" ht="15.75" customHeight="1" x14ac:dyDescent="0.35">
      <c r="A180" s="106">
        <f t="shared" si="7"/>
        <v>13</v>
      </c>
      <c r="B180" s="107"/>
      <c r="C180" s="81" t="s">
        <v>357</v>
      </c>
      <c r="D180" s="94">
        <f>(16.86)*10.764</f>
        <v>181.48103999999998</v>
      </c>
      <c r="E180" s="81">
        <v>0</v>
      </c>
      <c r="F180" s="81">
        <f t="shared" si="8"/>
        <v>181.48103999999998</v>
      </c>
      <c r="G180" s="81">
        <v>0</v>
      </c>
      <c r="H180" s="81">
        <f t="shared" si="9"/>
        <v>290.369664</v>
      </c>
      <c r="I180" s="36"/>
      <c r="J180" s="84"/>
      <c r="K180" s="84"/>
      <c r="L180" s="84"/>
      <c r="M180" s="84"/>
      <c r="N180" s="36"/>
      <c r="O180" s="84"/>
      <c r="P180" s="84"/>
      <c r="T180" s="21"/>
    </row>
    <row r="181" spans="1:20" s="82" customFormat="1" ht="15.75" customHeight="1" x14ac:dyDescent="0.35">
      <c r="A181" s="106">
        <f t="shared" si="7"/>
        <v>14</v>
      </c>
      <c r="B181" s="107"/>
      <c r="C181" s="81" t="s">
        <v>357</v>
      </c>
      <c r="D181" s="94">
        <f>(22.51)*10.764</f>
        <v>242.29764</v>
      </c>
      <c r="E181" s="81">
        <v>0</v>
      </c>
      <c r="F181" s="81">
        <f t="shared" si="8"/>
        <v>242.29764</v>
      </c>
      <c r="G181" s="81">
        <v>0</v>
      </c>
      <c r="H181" s="81">
        <f t="shared" si="9"/>
        <v>387.67622400000005</v>
      </c>
      <c r="I181" s="36"/>
      <c r="J181" s="84"/>
      <c r="K181" s="84"/>
      <c r="L181" s="84"/>
      <c r="M181" s="84"/>
      <c r="N181" s="36"/>
      <c r="O181" s="84"/>
      <c r="P181" s="84"/>
      <c r="T181" s="34"/>
    </row>
    <row r="182" spans="1:20" s="82" customFormat="1" ht="15.75" customHeight="1" x14ac:dyDescent="0.35">
      <c r="A182" s="106">
        <f t="shared" si="7"/>
        <v>15</v>
      </c>
      <c r="B182" s="107"/>
      <c r="C182" s="81" t="s">
        <v>357</v>
      </c>
      <c r="D182" s="94">
        <f>(22.01)*10.764</f>
        <v>236.91564</v>
      </c>
      <c r="E182" s="81">
        <v>0</v>
      </c>
      <c r="F182" s="81">
        <f t="shared" si="8"/>
        <v>236.91564</v>
      </c>
      <c r="G182" s="81">
        <v>0</v>
      </c>
      <c r="H182" s="81">
        <f t="shared" si="9"/>
        <v>379.06502399999999</v>
      </c>
      <c r="I182" s="36"/>
      <c r="J182" s="84"/>
      <c r="K182" s="84"/>
      <c r="L182" s="84"/>
      <c r="M182" s="84"/>
      <c r="N182" s="36"/>
      <c r="O182" s="84"/>
      <c r="P182" s="84"/>
      <c r="T182" s="21"/>
    </row>
    <row r="183" spans="1:20" s="82" customFormat="1" ht="15.75" customHeight="1" x14ac:dyDescent="0.35">
      <c r="A183" s="106">
        <f t="shared" si="7"/>
        <v>16</v>
      </c>
      <c r="B183" s="107"/>
      <c r="C183" s="81" t="s">
        <v>357</v>
      </c>
      <c r="D183" s="94">
        <f>(15.87)*10.764</f>
        <v>170.82467999999997</v>
      </c>
      <c r="E183" s="81">
        <v>0</v>
      </c>
      <c r="F183" s="81">
        <f t="shared" si="8"/>
        <v>170.82467999999997</v>
      </c>
      <c r="G183" s="81">
        <v>0</v>
      </c>
      <c r="H183" s="81">
        <f t="shared" si="9"/>
        <v>273.31948799999998</v>
      </c>
      <c r="I183" s="36"/>
      <c r="J183" s="84"/>
      <c r="K183" s="84"/>
      <c r="L183" s="84"/>
      <c r="M183" s="84"/>
      <c r="N183" s="36"/>
      <c r="O183" s="84"/>
      <c r="P183" s="84"/>
      <c r="T183" s="21"/>
    </row>
    <row r="184" spans="1:20" s="82" customFormat="1" ht="15.75" customHeight="1" x14ac:dyDescent="0.35">
      <c r="A184" s="106">
        <f t="shared" si="7"/>
        <v>17</v>
      </c>
      <c r="B184" s="107"/>
      <c r="C184" s="81" t="s">
        <v>357</v>
      </c>
      <c r="D184" s="94">
        <f>(19.43)*10.764</f>
        <v>209.14451999999997</v>
      </c>
      <c r="E184" s="81">
        <v>0</v>
      </c>
      <c r="F184" s="81">
        <f t="shared" si="8"/>
        <v>209.14451999999997</v>
      </c>
      <c r="G184" s="81">
        <v>0</v>
      </c>
      <c r="H184" s="81">
        <f t="shared" si="9"/>
        <v>334.63123199999995</v>
      </c>
      <c r="I184" s="36"/>
      <c r="J184" s="84"/>
      <c r="K184" s="84"/>
      <c r="L184" s="84"/>
      <c r="M184" s="84"/>
      <c r="N184" s="36"/>
      <c r="O184" s="84"/>
      <c r="P184" s="84"/>
      <c r="T184" s="34"/>
    </row>
    <row r="185" spans="1:20" s="82" customFormat="1" ht="15.75" customHeight="1" x14ac:dyDescent="0.35">
      <c r="A185" s="106">
        <f t="shared" si="7"/>
        <v>18</v>
      </c>
      <c r="B185" s="107"/>
      <c r="C185" s="81" t="s">
        <v>357</v>
      </c>
      <c r="D185" s="94">
        <f>(20.71)*10.764</f>
        <v>222.92243999999999</v>
      </c>
      <c r="E185" s="81">
        <v>0</v>
      </c>
      <c r="F185" s="81">
        <f t="shared" si="8"/>
        <v>222.92243999999999</v>
      </c>
      <c r="G185" s="81">
        <v>0</v>
      </c>
      <c r="H185" s="81">
        <f t="shared" si="9"/>
        <v>356.675904</v>
      </c>
      <c r="I185" s="36"/>
      <c r="J185" s="84"/>
      <c r="K185" s="84"/>
      <c r="L185" s="84"/>
      <c r="M185" s="84"/>
      <c r="N185" s="36"/>
      <c r="O185" s="84"/>
      <c r="P185" s="84"/>
      <c r="T185" s="21"/>
    </row>
    <row r="186" spans="1:20" s="82" customFormat="1" ht="15.75" customHeight="1" x14ac:dyDescent="0.35">
      <c r="A186" s="106">
        <f t="shared" si="7"/>
        <v>19</v>
      </c>
      <c r="B186" s="107"/>
      <c r="C186" s="81" t="s">
        <v>357</v>
      </c>
      <c r="D186" s="94">
        <f>(20.21)*10.764</f>
        <v>217.54043999999999</v>
      </c>
      <c r="E186" s="81">
        <v>0</v>
      </c>
      <c r="F186" s="81">
        <f t="shared" si="8"/>
        <v>217.54043999999999</v>
      </c>
      <c r="G186" s="81">
        <v>0</v>
      </c>
      <c r="H186" s="81">
        <f t="shared" si="9"/>
        <v>348.06470400000001</v>
      </c>
      <c r="I186" s="36"/>
      <c r="J186" s="84"/>
      <c r="K186" s="84"/>
      <c r="L186" s="84"/>
      <c r="M186" s="84"/>
      <c r="N186" s="36"/>
      <c r="O186" s="84"/>
      <c r="P186" s="84"/>
      <c r="T186" s="21"/>
    </row>
    <row r="187" spans="1:20" s="82" customFormat="1" ht="15.75" customHeight="1" x14ac:dyDescent="0.35">
      <c r="A187" s="106">
        <f t="shared" si="7"/>
        <v>20</v>
      </c>
      <c r="B187" s="107"/>
      <c r="C187" s="81" t="s">
        <v>357</v>
      </c>
      <c r="D187" s="94">
        <f>(22.6)*10.764</f>
        <v>243.2664</v>
      </c>
      <c r="E187" s="81">
        <v>0</v>
      </c>
      <c r="F187" s="81">
        <f t="shared" si="8"/>
        <v>243.2664</v>
      </c>
      <c r="G187" s="81">
        <v>0</v>
      </c>
      <c r="H187" s="81">
        <f t="shared" si="9"/>
        <v>389.22624000000002</v>
      </c>
      <c r="I187" s="36"/>
      <c r="J187" s="84"/>
      <c r="K187" s="84"/>
      <c r="L187" s="84"/>
      <c r="M187" s="84"/>
      <c r="N187" s="36"/>
      <c r="O187" s="84"/>
      <c r="P187" s="84"/>
      <c r="T187" s="34"/>
    </row>
    <row r="188" spans="1:20" s="37" customFormat="1" x14ac:dyDescent="0.35">
      <c r="A188" s="106"/>
      <c r="B188" s="198"/>
      <c r="C188" s="198"/>
      <c r="D188" s="198"/>
      <c r="E188" s="198"/>
      <c r="F188" s="198"/>
      <c r="G188" s="198"/>
      <c r="H188" s="107"/>
      <c r="I188" s="36"/>
      <c r="J188" s="84"/>
      <c r="K188" s="84"/>
      <c r="L188" s="84"/>
      <c r="M188" s="84"/>
      <c r="N188" s="36"/>
      <c r="O188" s="84"/>
      <c r="P188" s="84"/>
    </row>
    <row r="189" spans="1:20" ht="47.25" customHeight="1" x14ac:dyDescent="0.35">
      <c r="A189" s="200" t="s">
        <v>374</v>
      </c>
      <c r="B189" s="175" t="s">
        <v>180</v>
      </c>
      <c r="C189" s="175" t="s">
        <v>55</v>
      </c>
      <c r="D189" s="175" t="s">
        <v>236</v>
      </c>
      <c r="E189" s="175" t="s">
        <v>235</v>
      </c>
      <c r="F189" s="175" t="s">
        <v>56</v>
      </c>
      <c r="G189" s="226" t="s">
        <v>57</v>
      </c>
      <c r="H189" s="96" t="s">
        <v>375</v>
      </c>
      <c r="I189" s="36"/>
      <c r="T189" s="37"/>
    </row>
    <row r="190" spans="1:20" s="37" customFormat="1" hidden="1" x14ac:dyDescent="0.35">
      <c r="A190" s="201"/>
      <c r="B190" s="176"/>
      <c r="C190" s="176"/>
      <c r="D190" s="176"/>
      <c r="E190" s="176"/>
      <c r="F190" s="176"/>
      <c r="G190" s="227"/>
      <c r="H190" s="97">
        <v>0.5</v>
      </c>
      <c r="I190" s="36"/>
      <c r="J190" s="84"/>
      <c r="K190" s="84"/>
      <c r="L190" s="84"/>
      <c r="M190" s="84"/>
      <c r="N190" s="84"/>
      <c r="O190" s="84"/>
      <c r="P190" s="84"/>
    </row>
    <row r="191" spans="1:20" s="82" customFormat="1" x14ac:dyDescent="0.35">
      <c r="A191" s="108" t="s">
        <v>365</v>
      </c>
      <c r="B191" s="109"/>
      <c r="C191" s="109"/>
      <c r="D191" s="109"/>
      <c r="E191" s="109"/>
      <c r="F191" s="109"/>
      <c r="G191" s="109"/>
      <c r="H191" s="110"/>
      <c r="I191" s="84"/>
      <c r="J191" s="36"/>
      <c r="K191" s="84"/>
      <c r="L191" s="84"/>
      <c r="M191" s="84"/>
      <c r="N191" s="84"/>
      <c r="O191" s="84"/>
      <c r="P191" s="84"/>
      <c r="T191" s="35"/>
    </row>
    <row r="192" spans="1:20" s="37" customFormat="1" x14ac:dyDescent="0.35">
      <c r="A192" s="108" t="s">
        <v>389</v>
      </c>
      <c r="B192" s="109"/>
      <c r="C192" s="109"/>
      <c r="D192" s="109"/>
      <c r="E192" s="109"/>
      <c r="F192" s="109"/>
      <c r="G192" s="109"/>
      <c r="H192" s="110"/>
      <c r="I192" s="84"/>
      <c r="J192" s="36"/>
      <c r="K192" s="84"/>
      <c r="L192" s="84"/>
      <c r="M192" s="84"/>
      <c r="N192" s="84"/>
      <c r="O192" s="84"/>
      <c r="P192" s="84"/>
    </row>
    <row r="193" spans="1:20" s="37" customFormat="1" ht="15.75" customHeight="1" x14ac:dyDescent="0.35">
      <c r="A193" s="111">
        <v>1</v>
      </c>
      <c r="B193" s="112"/>
      <c r="C193" s="98" t="s">
        <v>359</v>
      </c>
      <c r="D193" s="99">
        <f>(33.59)*10.764</f>
        <v>361.56276000000003</v>
      </c>
      <c r="E193" s="99">
        <f>(2.75)*10.764</f>
        <v>29.600999999999999</v>
      </c>
      <c r="F193" s="98">
        <f t="shared" ref="F193:F205" si="10">D193+E193</f>
        <v>391.16376000000002</v>
      </c>
      <c r="G193" s="99">
        <f>(2.75*3+2.3*0.7+3.6*1.65+1.85*0.55+3.3*5)*10.764</f>
        <v>358.62956999999994</v>
      </c>
      <c r="H193" s="95">
        <v>720</v>
      </c>
      <c r="I193" s="36">
        <f>2.75*4.35+2*2.4+2.75*3.4+1.75*1.2+1.2*0.9+0.75*2.25</f>
        <v>30.979999999999997</v>
      </c>
      <c r="J193" s="36">
        <f>4000000/H193</f>
        <v>5555.5555555555557</v>
      </c>
      <c r="K193" s="84">
        <f>2.75*4.35+2*2.4+2.75*3.4+1.75*1.2+1.2*0.9+0.9*2+0.75*1.2</f>
        <v>31.992499999999996</v>
      </c>
      <c r="L193" s="95">
        <v>720</v>
      </c>
      <c r="M193" s="93">
        <f>L193/F193</f>
        <v>1.8406613127964615</v>
      </c>
      <c r="N193" s="36"/>
      <c r="O193" s="84"/>
      <c r="P193" s="84"/>
    </row>
    <row r="194" spans="1:20" s="37" customFormat="1" ht="15.75" customHeight="1" x14ac:dyDescent="0.35">
      <c r="A194" s="111">
        <f t="shared" ref="A194:A205" si="11">A193+1</f>
        <v>2</v>
      </c>
      <c r="B194" s="112"/>
      <c r="C194" s="98" t="s">
        <v>359</v>
      </c>
      <c r="D194" s="99">
        <f>(33.59)*10.764</f>
        <v>361.56276000000003</v>
      </c>
      <c r="E194" s="99">
        <f>(2.75)*10.764</f>
        <v>29.600999999999999</v>
      </c>
      <c r="F194" s="98">
        <f t="shared" si="10"/>
        <v>391.16376000000002</v>
      </c>
      <c r="G194" s="99">
        <f>(2.75*3+2.3*0.7)*10.764</f>
        <v>106.13303999999999</v>
      </c>
      <c r="H194" s="95">
        <v>730</v>
      </c>
      <c r="I194" s="36"/>
      <c r="J194" s="84"/>
      <c r="K194" s="84"/>
      <c r="L194" s="95">
        <v>730</v>
      </c>
      <c r="M194" s="93">
        <f t="shared" ref="M194:M241" si="12">L194/F194</f>
        <v>1.8662260532519679</v>
      </c>
      <c r="N194" s="36"/>
      <c r="O194" s="84"/>
      <c r="P194" s="84"/>
    </row>
    <row r="195" spans="1:20" s="37" customFormat="1" ht="15.75" customHeight="1" x14ac:dyDescent="0.35">
      <c r="A195" s="111">
        <f t="shared" si="11"/>
        <v>3</v>
      </c>
      <c r="B195" s="112"/>
      <c r="C195" s="98" t="s">
        <v>359</v>
      </c>
      <c r="D195" s="99">
        <f>(33.59)*10.764</f>
        <v>361.56276000000003</v>
      </c>
      <c r="E195" s="99">
        <f>(2.75)*10.764</f>
        <v>29.600999999999999</v>
      </c>
      <c r="F195" s="98">
        <f t="shared" si="10"/>
        <v>391.16376000000002</v>
      </c>
      <c r="G195" s="99">
        <f>(2.75*3+2.3*0.7)*10.764</f>
        <v>106.13303999999999</v>
      </c>
      <c r="H195" s="95">
        <v>715</v>
      </c>
      <c r="I195" s="36"/>
      <c r="J195" s="84"/>
      <c r="K195" s="84"/>
      <c r="L195" s="95">
        <v>715</v>
      </c>
      <c r="M195" s="93">
        <f t="shared" si="12"/>
        <v>1.8278789425687081</v>
      </c>
      <c r="N195" s="36"/>
      <c r="O195" s="84"/>
      <c r="P195" s="84"/>
    </row>
    <row r="196" spans="1:20" s="37" customFormat="1" ht="15.75" customHeight="1" x14ac:dyDescent="0.35">
      <c r="A196" s="111">
        <f t="shared" si="11"/>
        <v>4</v>
      </c>
      <c r="B196" s="112"/>
      <c r="C196" s="98" t="s">
        <v>359</v>
      </c>
      <c r="D196" s="99">
        <f>(33.59)*10.764</f>
        <v>361.56276000000003</v>
      </c>
      <c r="E196" s="99">
        <f>(2.75)*10.764</f>
        <v>29.600999999999999</v>
      </c>
      <c r="F196" s="98">
        <f t="shared" si="10"/>
        <v>391.16376000000002</v>
      </c>
      <c r="G196" s="99">
        <f>(2.75*3+2.3*0.7)*10.764</f>
        <v>106.13303999999999</v>
      </c>
      <c r="H196" s="95">
        <v>715</v>
      </c>
      <c r="I196" s="36"/>
      <c r="J196" s="84"/>
      <c r="K196" s="84"/>
      <c r="L196" s="95">
        <v>715</v>
      </c>
      <c r="M196" s="93">
        <f t="shared" si="12"/>
        <v>1.8278789425687081</v>
      </c>
      <c r="N196" s="36"/>
      <c r="O196" s="84"/>
      <c r="P196" s="84"/>
      <c r="T196" s="21"/>
    </row>
    <row r="197" spans="1:20" s="82" customFormat="1" ht="15.75" customHeight="1" x14ac:dyDescent="0.35">
      <c r="A197" s="111">
        <f t="shared" si="11"/>
        <v>5</v>
      </c>
      <c r="B197" s="112"/>
      <c r="C197" s="98" t="s">
        <v>360</v>
      </c>
      <c r="D197" s="99">
        <f>(50.62)*10.764</f>
        <v>544.87367999999992</v>
      </c>
      <c r="E197" s="94">
        <f>(1*5.35+3.05)*10.764</f>
        <v>90.417599999999979</v>
      </c>
      <c r="F197" s="98">
        <f t="shared" si="10"/>
        <v>635.29127999999992</v>
      </c>
      <c r="G197" s="99">
        <f>(2.75*1.85)*10.764</f>
        <v>54.761850000000003</v>
      </c>
      <c r="H197" s="95">
        <v>715</v>
      </c>
      <c r="I197" s="36"/>
      <c r="J197" s="84"/>
      <c r="K197" s="84"/>
      <c r="L197" s="95">
        <v>715</v>
      </c>
      <c r="M197" s="93">
        <f t="shared" si="12"/>
        <v>1.1254679900533187</v>
      </c>
      <c r="N197" s="36"/>
      <c r="O197" s="84"/>
      <c r="P197" s="84"/>
    </row>
    <row r="198" spans="1:20" s="82" customFormat="1" ht="15.75" customHeight="1" x14ac:dyDescent="0.35">
      <c r="A198" s="111">
        <f t="shared" si="11"/>
        <v>6</v>
      </c>
      <c r="B198" s="112"/>
      <c r="C198" s="98" t="s">
        <v>360</v>
      </c>
      <c r="D198" s="99">
        <f>(47.7)*10.764</f>
        <v>513.44280000000003</v>
      </c>
      <c r="E198" s="94">
        <f>(0.75*5.5+2.75)*10.764</f>
        <v>74.002499999999998</v>
      </c>
      <c r="F198" s="98">
        <f t="shared" si="10"/>
        <v>587.44530000000009</v>
      </c>
      <c r="G198" s="99">
        <v>0</v>
      </c>
      <c r="H198" s="95">
        <v>715</v>
      </c>
      <c r="I198" s="36"/>
      <c r="J198" s="84"/>
      <c r="K198" s="84"/>
      <c r="L198" s="95">
        <v>715</v>
      </c>
      <c r="M198" s="93">
        <f t="shared" si="12"/>
        <v>1.2171345995959111</v>
      </c>
      <c r="N198" s="36"/>
      <c r="O198" s="84"/>
      <c r="P198" s="84"/>
    </row>
    <row r="199" spans="1:20" s="82" customFormat="1" ht="15.75" customHeight="1" x14ac:dyDescent="0.35">
      <c r="A199" s="106">
        <f t="shared" si="11"/>
        <v>7</v>
      </c>
      <c r="B199" s="107"/>
      <c r="C199" s="81" t="s">
        <v>360</v>
      </c>
      <c r="D199" s="94">
        <f>(47.7)*10.764</f>
        <v>513.44280000000003</v>
      </c>
      <c r="E199" s="94">
        <f>(0.75*5.5+2.75)*10.764</f>
        <v>74.002499999999998</v>
      </c>
      <c r="F199" s="81">
        <f t="shared" si="10"/>
        <v>587.44530000000009</v>
      </c>
      <c r="G199" s="94">
        <v>0</v>
      </c>
      <c r="H199" s="95">
        <v>1050</v>
      </c>
      <c r="I199" s="36"/>
      <c r="J199" s="84"/>
      <c r="K199" s="84"/>
      <c r="L199" s="95">
        <v>1050</v>
      </c>
      <c r="M199" s="93">
        <f t="shared" si="12"/>
        <v>1.7874004609450442</v>
      </c>
      <c r="N199" s="36"/>
      <c r="O199" s="84"/>
      <c r="P199" s="84"/>
      <c r="T199" s="21"/>
    </row>
    <row r="200" spans="1:20" s="82" customFormat="1" ht="15.75" customHeight="1" x14ac:dyDescent="0.35">
      <c r="A200" s="106">
        <f t="shared" si="11"/>
        <v>8</v>
      </c>
      <c r="B200" s="107"/>
      <c r="C200" s="81" t="s">
        <v>360</v>
      </c>
      <c r="D200" s="94">
        <f>(51.55)*10.764</f>
        <v>554.88419999999996</v>
      </c>
      <c r="E200" s="94">
        <f>(0.75*5.4+3.05)*10.764</f>
        <v>76.424400000000006</v>
      </c>
      <c r="F200" s="81">
        <f t="shared" si="10"/>
        <v>631.30859999999996</v>
      </c>
      <c r="G200" s="94">
        <f>(2.75*2.25+3.55*2.45+0.5*1.85*1.5)*10.764</f>
        <v>175.15718999999999</v>
      </c>
      <c r="H200" s="95">
        <v>1025</v>
      </c>
      <c r="I200" s="36"/>
      <c r="J200" s="84"/>
      <c r="K200" s="84"/>
      <c r="L200" s="95">
        <v>1025</v>
      </c>
      <c r="M200" s="93">
        <f t="shared" si="12"/>
        <v>1.6236116536350051</v>
      </c>
      <c r="N200" s="36"/>
      <c r="O200" s="84"/>
      <c r="P200" s="84"/>
    </row>
    <row r="201" spans="1:20" s="82" customFormat="1" ht="15.75" customHeight="1" x14ac:dyDescent="0.35">
      <c r="A201" s="106">
        <f t="shared" si="11"/>
        <v>9</v>
      </c>
      <c r="B201" s="107"/>
      <c r="C201" s="81" t="s">
        <v>360</v>
      </c>
      <c r="D201" s="94">
        <f>(51.77)*10.764</f>
        <v>557.25228000000004</v>
      </c>
      <c r="E201" s="94">
        <f>(3)*10.764</f>
        <v>32.292000000000002</v>
      </c>
      <c r="F201" s="81">
        <f t="shared" si="10"/>
        <v>589.54428000000007</v>
      </c>
      <c r="G201" s="94">
        <f>(1.2*2.75+3*1.35+3*0.9+2.25*0.6+3*0.9)*10.764</f>
        <v>151.7724</v>
      </c>
      <c r="H201" s="95">
        <v>1025</v>
      </c>
      <c r="I201" s="36"/>
      <c r="J201" s="84"/>
      <c r="K201" s="84"/>
      <c r="L201" s="95">
        <v>1025</v>
      </c>
      <c r="M201" s="93">
        <f t="shared" si="12"/>
        <v>1.7386310660159401</v>
      </c>
      <c r="N201" s="36"/>
      <c r="O201" s="84"/>
      <c r="P201" s="84"/>
    </row>
    <row r="202" spans="1:20" s="82" customFormat="1" ht="15.75" customHeight="1" x14ac:dyDescent="0.35">
      <c r="A202" s="106">
        <f t="shared" si="11"/>
        <v>10</v>
      </c>
      <c r="B202" s="107"/>
      <c r="C202" s="81" t="s">
        <v>360</v>
      </c>
      <c r="D202" s="94">
        <f>(51.74)*10.764</f>
        <v>556.92935999999997</v>
      </c>
      <c r="E202" s="94">
        <f>(0.75*(5.25+3)+3)*10.764</f>
        <v>98.89425</v>
      </c>
      <c r="F202" s="81">
        <f t="shared" si="10"/>
        <v>655.82360999999992</v>
      </c>
      <c r="G202" s="94">
        <f>(3*0.75)*10.764</f>
        <v>24.218999999999998</v>
      </c>
      <c r="H202" s="95">
        <v>1080</v>
      </c>
      <c r="I202" s="36"/>
      <c r="J202" s="36">
        <f>5960000/H202</f>
        <v>5518.5185185185182</v>
      </c>
      <c r="K202" s="84"/>
      <c r="L202" s="95">
        <v>1080</v>
      </c>
      <c r="M202" s="93">
        <f t="shared" si="12"/>
        <v>1.6467842626159801</v>
      </c>
      <c r="N202" s="36"/>
      <c r="O202" s="84"/>
      <c r="P202" s="84"/>
      <c r="T202" s="21"/>
    </row>
    <row r="203" spans="1:20" s="82" customFormat="1" ht="15.75" customHeight="1" x14ac:dyDescent="0.35">
      <c r="A203" s="106">
        <f t="shared" si="11"/>
        <v>11</v>
      </c>
      <c r="B203" s="107"/>
      <c r="C203" s="81" t="s">
        <v>360</v>
      </c>
      <c r="D203" s="94">
        <f>(49.98)*10.764</f>
        <v>537.98471999999992</v>
      </c>
      <c r="E203" s="94">
        <f>(3+0.75*(2.75+3))*10.764</f>
        <v>78.711749999999995</v>
      </c>
      <c r="F203" s="81">
        <f t="shared" si="10"/>
        <v>616.69646999999986</v>
      </c>
      <c r="G203" s="94">
        <f>(1.44*2.4+3.36*3+1.11*1.3+0.85*1.07)*10.764</f>
        <v>171.02381399999999</v>
      </c>
      <c r="H203" s="95">
        <v>1100</v>
      </c>
      <c r="I203" s="36"/>
      <c r="J203" s="84"/>
      <c r="K203" s="84"/>
      <c r="L203" s="95">
        <v>1100</v>
      </c>
      <c r="M203" s="93">
        <f t="shared" si="12"/>
        <v>1.783697578161912</v>
      </c>
      <c r="N203" s="36"/>
      <c r="O203" s="84"/>
      <c r="P203" s="84"/>
    </row>
    <row r="204" spans="1:20" s="82" customFormat="1" ht="15.75" customHeight="1" x14ac:dyDescent="0.35">
      <c r="A204" s="106">
        <f t="shared" si="11"/>
        <v>12</v>
      </c>
      <c r="B204" s="107"/>
      <c r="C204" s="81" t="s">
        <v>359</v>
      </c>
      <c r="D204" s="94">
        <f>(34.47)*10.764</f>
        <v>371.03507999999999</v>
      </c>
      <c r="E204" s="94">
        <v>0</v>
      </c>
      <c r="F204" s="81">
        <f t="shared" si="10"/>
        <v>371.03507999999999</v>
      </c>
      <c r="G204" s="94">
        <v>0</v>
      </c>
      <c r="H204" s="95">
        <v>1105</v>
      </c>
      <c r="I204" s="36"/>
      <c r="J204" s="84"/>
      <c r="K204" s="84"/>
      <c r="L204" s="95">
        <v>1105</v>
      </c>
      <c r="M204" s="93">
        <f t="shared" si="12"/>
        <v>2.9781550574678817</v>
      </c>
      <c r="N204" s="36"/>
      <c r="O204" s="84"/>
      <c r="P204" s="84"/>
    </row>
    <row r="205" spans="1:20" s="82" customFormat="1" ht="15.75" customHeight="1" x14ac:dyDescent="0.35">
      <c r="A205" s="106">
        <f t="shared" si="11"/>
        <v>13</v>
      </c>
      <c r="B205" s="107"/>
      <c r="C205" s="81" t="s">
        <v>359</v>
      </c>
      <c r="D205" s="94">
        <f>(34.47)*10.764</f>
        <v>371.03507999999999</v>
      </c>
      <c r="E205" s="94">
        <v>0</v>
      </c>
      <c r="F205" s="81">
        <f t="shared" si="10"/>
        <v>371.03507999999999</v>
      </c>
      <c r="G205" s="81">
        <v>0</v>
      </c>
      <c r="H205" s="95">
        <v>1040</v>
      </c>
      <c r="I205" s="36"/>
      <c r="J205" s="84"/>
      <c r="K205" s="84"/>
      <c r="L205" s="95">
        <v>1040</v>
      </c>
      <c r="M205" s="93">
        <f t="shared" si="12"/>
        <v>2.8029694658521236</v>
      </c>
      <c r="N205" s="36"/>
      <c r="O205" s="84"/>
      <c r="P205" s="84"/>
      <c r="T205" s="21"/>
    </row>
    <row r="206" spans="1:20" s="84" customFormat="1" x14ac:dyDescent="0.35">
      <c r="A206" s="202" t="s">
        <v>390</v>
      </c>
      <c r="B206" s="202"/>
      <c r="C206" s="202"/>
      <c r="D206" s="202"/>
      <c r="E206" s="202"/>
      <c r="F206" s="202"/>
      <c r="G206" s="202"/>
      <c r="H206" s="202"/>
      <c r="I206" s="36"/>
      <c r="J206" s="84">
        <v>5000</v>
      </c>
      <c r="M206" s="93"/>
    </row>
    <row r="207" spans="1:20" s="84" customFormat="1" x14ac:dyDescent="0.35">
      <c r="A207" s="174">
        <v>1</v>
      </c>
      <c r="B207" s="174"/>
      <c r="C207" s="83" t="s">
        <v>359</v>
      </c>
      <c r="D207" s="94">
        <f>(34.2)*10.764</f>
        <v>368.12880000000001</v>
      </c>
      <c r="E207" s="94">
        <f>(0.75*(2+2.05+2.2))*10.764</f>
        <v>50.456249999999997</v>
      </c>
      <c r="F207" s="83">
        <f t="shared" ref="F207:F223" si="13">D207+E207</f>
        <v>418.58505000000002</v>
      </c>
      <c r="G207" s="83">
        <v>0</v>
      </c>
      <c r="H207" s="95">
        <v>720</v>
      </c>
      <c r="I207" s="36"/>
      <c r="J207" s="84">
        <f>J$206*H207</f>
        <v>3600000</v>
      </c>
      <c r="L207" s="95">
        <v>720</v>
      </c>
      <c r="M207" s="93">
        <f t="shared" si="12"/>
        <v>1.7200805427714152</v>
      </c>
      <c r="N207" s="36"/>
    </row>
    <row r="208" spans="1:20" s="84" customFormat="1" x14ac:dyDescent="0.35">
      <c r="A208" s="174">
        <f t="shared" ref="A208:A223" si="14">A207+1</f>
        <v>2</v>
      </c>
      <c r="B208" s="174"/>
      <c r="C208" s="83" t="s">
        <v>359</v>
      </c>
      <c r="D208" s="94">
        <f>(34.2)*10.764</f>
        <v>368.12880000000001</v>
      </c>
      <c r="E208" s="94">
        <f>(0.75*(2+2.05+2.2))*10.764</f>
        <v>50.456249999999997</v>
      </c>
      <c r="F208" s="83">
        <f t="shared" si="13"/>
        <v>418.58505000000002</v>
      </c>
      <c r="G208" s="83">
        <v>0</v>
      </c>
      <c r="H208" s="95">
        <v>730</v>
      </c>
      <c r="I208" s="36"/>
      <c r="J208" s="84">
        <f t="shared" ref="J208:J223" si="15">J$206*H208</f>
        <v>3650000</v>
      </c>
      <c r="L208" s="95">
        <v>730</v>
      </c>
      <c r="M208" s="93">
        <f t="shared" si="12"/>
        <v>1.743970550309907</v>
      </c>
      <c r="N208" s="36"/>
    </row>
    <row r="209" spans="1:14" s="84" customFormat="1" x14ac:dyDescent="0.35">
      <c r="A209" s="174">
        <f t="shared" si="14"/>
        <v>3</v>
      </c>
      <c r="B209" s="174"/>
      <c r="C209" s="83" t="s">
        <v>359</v>
      </c>
      <c r="D209" s="94">
        <f>(33.59)*10.764</f>
        <v>361.56276000000003</v>
      </c>
      <c r="E209" s="94">
        <f>(2.75+0.75*(2.75+2))*10.764</f>
        <v>67.947749999999999</v>
      </c>
      <c r="F209" s="83">
        <f t="shared" si="13"/>
        <v>429.51051000000001</v>
      </c>
      <c r="G209" s="83">
        <v>0</v>
      </c>
      <c r="H209" s="95">
        <v>715</v>
      </c>
      <c r="I209" s="36"/>
      <c r="J209" s="84">
        <f t="shared" si="15"/>
        <v>3575000</v>
      </c>
      <c r="L209" s="95">
        <v>715</v>
      </c>
      <c r="M209" s="93">
        <f t="shared" si="12"/>
        <v>1.6646856906947398</v>
      </c>
      <c r="N209" s="36"/>
    </row>
    <row r="210" spans="1:14" s="84" customFormat="1" x14ac:dyDescent="0.35">
      <c r="A210" s="174">
        <f t="shared" si="14"/>
        <v>4</v>
      </c>
      <c r="B210" s="174"/>
      <c r="C210" s="83" t="s">
        <v>359</v>
      </c>
      <c r="D210" s="94">
        <f>(33.59)*10.764</f>
        <v>361.56276000000003</v>
      </c>
      <c r="E210" s="94">
        <f>(2.75+0.75*(2.75+2))*10.764</f>
        <v>67.947749999999999</v>
      </c>
      <c r="F210" s="83">
        <f t="shared" si="13"/>
        <v>429.51051000000001</v>
      </c>
      <c r="G210" s="83">
        <v>0</v>
      </c>
      <c r="H210" s="95">
        <v>715</v>
      </c>
      <c r="I210" s="36"/>
      <c r="J210" s="84">
        <f t="shared" si="15"/>
        <v>3575000</v>
      </c>
      <c r="L210" s="95">
        <v>715</v>
      </c>
      <c r="M210" s="93">
        <f t="shared" si="12"/>
        <v>1.6646856906947398</v>
      </c>
      <c r="N210" s="36"/>
    </row>
    <row r="211" spans="1:14" s="84" customFormat="1" x14ac:dyDescent="0.35">
      <c r="A211" s="174">
        <f t="shared" si="14"/>
        <v>5</v>
      </c>
      <c r="B211" s="174"/>
      <c r="C211" s="83" t="s">
        <v>359</v>
      </c>
      <c r="D211" s="94">
        <f>(33.59)*10.764</f>
        <v>361.56276000000003</v>
      </c>
      <c r="E211" s="94">
        <f>(2.75+0.75*(2.75+2))*10.764</f>
        <v>67.947749999999999</v>
      </c>
      <c r="F211" s="83">
        <f t="shared" si="13"/>
        <v>429.51051000000001</v>
      </c>
      <c r="G211" s="83">
        <v>0</v>
      </c>
      <c r="H211" s="95">
        <v>715</v>
      </c>
      <c r="I211" s="36"/>
      <c r="J211" s="84">
        <f t="shared" si="15"/>
        <v>3575000</v>
      </c>
      <c r="L211" s="95">
        <v>715</v>
      </c>
      <c r="M211" s="93">
        <f t="shared" si="12"/>
        <v>1.6646856906947398</v>
      </c>
      <c r="N211" s="36"/>
    </row>
    <row r="212" spans="1:14" s="84" customFormat="1" x14ac:dyDescent="0.35">
      <c r="A212" s="174">
        <f t="shared" si="14"/>
        <v>6</v>
      </c>
      <c r="B212" s="174"/>
      <c r="C212" s="83" t="s">
        <v>359</v>
      </c>
      <c r="D212" s="94">
        <f>(33.59)*10.764</f>
        <v>361.56276000000003</v>
      </c>
      <c r="E212" s="94">
        <f>(2.75+0.75*(2.75+2))*10.764</f>
        <v>67.947749999999999</v>
      </c>
      <c r="F212" s="83">
        <f t="shared" si="13"/>
        <v>429.51051000000001</v>
      </c>
      <c r="G212" s="83">
        <v>0</v>
      </c>
      <c r="H212" s="95">
        <v>715</v>
      </c>
      <c r="I212" s="36"/>
      <c r="J212" s="84">
        <f t="shared" si="15"/>
        <v>3575000</v>
      </c>
      <c r="L212" s="95">
        <v>715</v>
      </c>
      <c r="M212" s="93">
        <f t="shared" si="12"/>
        <v>1.6646856906947398</v>
      </c>
      <c r="N212" s="36"/>
    </row>
    <row r="213" spans="1:14" s="84" customFormat="1" x14ac:dyDescent="0.35">
      <c r="A213" s="174">
        <f t="shared" si="14"/>
        <v>7</v>
      </c>
      <c r="B213" s="174"/>
      <c r="C213" s="83" t="s">
        <v>360</v>
      </c>
      <c r="D213" s="94">
        <f>(50.62)*10.764</f>
        <v>544.87367999999992</v>
      </c>
      <c r="E213" s="94">
        <f>(3.05+0.75*(5.25+2.15))*10.764</f>
        <v>92.570400000000006</v>
      </c>
      <c r="F213" s="83">
        <f t="shared" si="13"/>
        <v>637.44407999999999</v>
      </c>
      <c r="G213" s="83">
        <v>0</v>
      </c>
      <c r="H213" s="95">
        <v>1050</v>
      </c>
      <c r="I213" s="36"/>
      <c r="J213" s="84">
        <f t="shared" si="15"/>
        <v>5250000</v>
      </c>
      <c r="L213" s="95">
        <v>1050</v>
      </c>
      <c r="M213" s="93">
        <f t="shared" si="12"/>
        <v>1.6472033123281968</v>
      </c>
      <c r="N213" s="36"/>
    </row>
    <row r="214" spans="1:14" s="84" customFormat="1" x14ac:dyDescent="0.35">
      <c r="A214" s="174">
        <f t="shared" si="14"/>
        <v>8</v>
      </c>
      <c r="B214" s="174"/>
      <c r="C214" s="83" t="s">
        <v>360</v>
      </c>
      <c r="D214" s="94">
        <f>(47.7)*10.764</f>
        <v>513.44280000000003</v>
      </c>
      <c r="E214" s="94">
        <f>(2.75+0.75*(5.25+2.75))*10.764</f>
        <v>94.184999999999988</v>
      </c>
      <c r="F214" s="83">
        <f t="shared" si="13"/>
        <v>607.62779999999998</v>
      </c>
      <c r="G214" s="83">
        <v>0</v>
      </c>
      <c r="H214" s="95">
        <v>1025</v>
      </c>
      <c r="I214" s="36"/>
      <c r="J214" s="84">
        <f t="shared" si="15"/>
        <v>5125000</v>
      </c>
      <c r="L214" s="95">
        <v>1025</v>
      </c>
      <c r="M214" s="93">
        <f t="shared" si="12"/>
        <v>1.6868879271159087</v>
      </c>
      <c r="N214" s="36"/>
    </row>
    <row r="215" spans="1:14" s="84" customFormat="1" x14ac:dyDescent="0.35">
      <c r="A215" s="174">
        <f t="shared" si="14"/>
        <v>9</v>
      </c>
      <c r="B215" s="174"/>
      <c r="C215" s="83" t="s">
        <v>360</v>
      </c>
      <c r="D215" s="94">
        <f>(47.7)*10.764</f>
        <v>513.44280000000003</v>
      </c>
      <c r="E215" s="94">
        <f>(2.75+0.75*(5.25+2.75))*10.764</f>
        <v>94.184999999999988</v>
      </c>
      <c r="F215" s="83">
        <f t="shared" si="13"/>
        <v>607.62779999999998</v>
      </c>
      <c r="G215" s="83">
        <v>0</v>
      </c>
      <c r="H215" s="95">
        <v>1025</v>
      </c>
      <c r="I215" s="36"/>
      <c r="J215" s="84">
        <f t="shared" si="15"/>
        <v>5125000</v>
      </c>
      <c r="L215" s="95">
        <v>1025</v>
      </c>
      <c r="M215" s="93">
        <f t="shared" si="12"/>
        <v>1.6868879271159087</v>
      </c>
      <c r="N215" s="36"/>
    </row>
    <row r="216" spans="1:14" s="84" customFormat="1" x14ac:dyDescent="0.35">
      <c r="A216" s="174">
        <f t="shared" si="14"/>
        <v>10</v>
      </c>
      <c r="B216" s="174"/>
      <c r="C216" s="83" t="s">
        <v>360</v>
      </c>
      <c r="D216" s="94">
        <f>(51.55)*10.764</f>
        <v>554.88419999999996</v>
      </c>
      <c r="E216" s="94">
        <f>(3.05+0.75*(5.25+3.1))*10.764</f>
        <v>100.23975</v>
      </c>
      <c r="F216" s="83">
        <f t="shared" si="13"/>
        <v>655.12394999999992</v>
      </c>
      <c r="G216" s="83">
        <v>0</v>
      </c>
      <c r="H216" s="95">
        <v>1080</v>
      </c>
      <c r="I216" s="36"/>
      <c r="J216" s="84">
        <f t="shared" si="15"/>
        <v>5400000</v>
      </c>
      <c r="L216" s="95">
        <v>1080</v>
      </c>
      <c r="M216" s="93">
        <f t="shared" si="12"/>
        <v>1.6485429970923824</v>
      </c>
      <c r="N216" s="36"/>
    </row>
    <row r="217" spans="1:14" s="84" customFormat="1" x14ac:dyDescent="0.35">
      <c r="A217" s="174">
        <f t="shared" si="14"/>
        <v>11</v>
      </c>
      <c r="B217" s="174"/>
      <c r="C217" s="83" t="s">
        <v>360</v>
      </c>
      <c r="D217" s="94">
        <f>(51.77)*10.764</f>
        <v>557.25228000000004</v>
      </c>
      <c r="E217" s="94">
        <f>(3+0.75*(4.85+3))*10.764</f>
        <v>95.665049999999979</v>
      </c>
      <c r="F217" s="83">
        <f t="shared" si="13"/>
        <v>652.91732999999999</v>
      </c>
      <c r="G217" s="83">
        <v>0</v>
      </c>
      <c r="H217" s="95">
        <v>1100</v>
      </c>
      <c r="I217" s="36"/>
      <c r="J217" s="84">
        <f t="shared" si="15"/>
        <v>5500000</v>
      </c>
      <c r="L217" s="95">
        <v>1100</v>
      </c>
      <c r="M217" s="93">
        <f t="shared" si="12"/>
        <v>1.6847462143484535</v>
      </c>
      <c r="N217" s="36"/>
    </row>
    <row r="218" spans="1:14" s="84" customFormat="1" x14ac:dyDescent="0.35">
      <c r="A218" s="174">
        <f t="shared" si="14"/>
        <v>12</v>
      </c>
      <c r="B218" s="174"/>
      <c r="C218" s="83" t="s">
        <v>360</v>
      </c>
      <c r="D218" s="94">
        <f>(51.74)*10.764</f>
        <v>556.92935999999997</v>
      </c>
      <c r="E218" s="94">
        <f>(3+0.75*(4.85+3))*10.764</f>
        <v>95.665049999999979</v>
      </c>
      <c r="F218" s="83">
        <f t="shared" si="13"/>
        <v>652.59440999999993</v>
      </c>
      <c r="G218" s="83">
        <v>0</v>
      </c>
      <c r="H218" s="95">
        <v>1105</v>
      </c>
      <c r="I218" s="36"/>
      <c r="J218" s="84">
        <f t="shared" si="15"/>
        <v>5525000</v>
      </c>
      <c r="L218" s="95">
        <v>1105</v>
      </c>
      <c r="M218" s="93">
        <f t="shared" si="12"/>
        <v>1.6932415954957385</v>
      </c>
      <c r="N218" s="36"/>
    </row>
    <row r="219" spans="1:14" s="84" customFormat="1" x14ac:dyDescent="0.35">
      <c r="A219" s="174">
        <f t="shared" si="14"/>
        <v>13</v>
      </c>
      <c r="B219" s="174"/>
      <c r="C219" s="83" t="s">
        <v>360</v>
      </c>
      <c r="D219" s="94">
        <f>(49.98)*10.764</f>
        <v>537.98471999999992</v>
      </c>
      <c r="E219" s="94">
        <f>(3+0.75*(2.75+3+2.45))*10.764</f>
        <v>98.490599999999972</v>
      </c>
      <c r="F219" s="83">
        <f t="shared" si="13"/>
        <v>636.4753199999999</v>
      </c>
      <c r="G219" s="83">
        <v>0</v>
      </c>
      <c r="H219" s="95">
        <v>1040</v>
      </c>
      <c r="I219" s="36"/>
      <c r="J219" s="84">
        <f>J$206*H219</f>
        <v>5200000</v>
      </c>
      <c r="L219" s="95">
        <v>1040</v>
      </c>
      <c r="M219" s="93">
        <f t="shared" si="12"/>
        <v>1.6339989428026842</v>
      </c>
      <c r="N219" s="36"/>
    </row>
    <row r="220" spans="1:14" s="84" customFormat="1" x14ac:dyDescent="0.35">
      <c r="A220" s="174">
        <f t="shared" si="14"/>
        <v>14</v>
      </c>
      <c r="B220" s="174"/>
      <c r="C220" s="83" t="s">
        <v>359</v>
      </c>
      <c r="D220" s="94">
        <f>(34.2)*10.764</f>
        <v>368.12880000000001</v>
      </c>
      <c r="E220" s="94">
        <f>(0.75*(2.15+2.05+2.25))*10.764</f>
        <v>52.070849999999993</v>
      </c>
      <c r="F220" s="83">
        <f t="shared" si="13"/>
        <v>420.19965000000002</v>
      </c>
      <c r="G220" s="83">
        <v>0</v>
      </c>
      <c r="H220" s="95">
        <v>730</v>
      </c>
      <c r="I220" s="36"/>
      <c r="J220" s="84">
        <f t="shared" si="15"/>
        <v>3650000</v>
      </c>
      <c r="L220" s="95">
        <v>730</v>
      </c>
      <c r="M220" s="93">
        <f t="shared" si="12"/>
        <v>1.7372694146699075</v>
      </c>
      <c r="N220" s="36"/>
    </row>
    <row r="221" spans="1:14" s="84" customFormat="1" x14ac:dyDescent="0.35">
      <c r="A221" s="174">
        <f t="shared" si="14"/>
        <v>15</v>
      </c>
      <c r="B221" s="174"/>
      <c r="C221" s="83" t="s">
        <v>359</v>
      </c>
      <c r="D221" s="94">
        <f>(34.2)*10.764</f>
        <v>368.12880000000001</v>
      </c>
      <c r="E221" s="94">
        <f>(0.75*(2.15+2.05+2.25))*10.764</f>
        <v>52.070849999999993</v>
      </c>
      <c r="F221" s="83">
        <f t="shared" si="13"/>
        <v>420.19965000000002</v>
      </c>
      <c r="G221" s="83">
        <v>0</v>
      </c>
      <c r="H221" s="95">
        <v>720</v>
      </c>
      <c r="I221" s="36"/>
      <c r="J221" s="84">
        <f t="shared" si="15"/>
        <v>3600000</v>
      </c>
      <c r="L221" s="95">
        <v>720</v>
      </c>
      <c r="M221" s="93">
        <f t="shared" si="12"/>
        <v>1.7134712035100457</v>
      </c>
      <c r="N221" s="36"/>
    </row>
    <row r="222" spans="1:14" s="84" customFormat="1" x14ac:dyDescent="0.35">
      <c r="A222" s="174">
        <f t="shared" si="14"/>
        <v>16</v>
      </c>
      <c r="B222" s="174"/>
      <c r="C222" s="83" t="s">
        <v>359</v>
      </c>
      <c r="D222" s="94">
        <f>(34.47)*10.764</f>
        <v>371.03507999999999</v>
      </c>
      <c r="E222" s="94">
        <f>(0.75*(2.75+5.2))*10.764</f>
        <v>64.180350000000004</v>
      </c>
      <c r="F222" s="83">
        <f t="shared" si="13"/>
        <v>435.21542999999997</v>
      </c>
      <c r="G222" s="83">
        <v>0</v>
      </c>
      <c r="H222" s="95">
        <v>770</v>
      </c>
      <c r="I222" s="36"/>
      <c r="J222" s="84">
        <f t="shared" si="15"/>
        <v>3850000</v>
      </c>
      <c r="L222" s="95">
        <v>770</v>
      </c>
      <c r="M222" s="93">
        <f t="shared" si="12"/>
        <v>1.7692387422936728</v>
      </c>
      <c r="N222" s="36"/>
    </row>
    <row r="223" spans="1:14" s="84" customFormat="1" x14ac:dyDescent="0.35">
      <c r="A223" s="174">
        <f t="shared" si="14"/>
        <v>17</v>
      </c>
      <c r="B223" s="174"/>
      <c r="C223" s="83" t="s">
        <v>359</v>
      </c>
      <c r="D223" s="94">
        <f>(34.47)*10.764</f>
        <v>371.03507999999999</v>
      </c>
      <c r="E223" s="94">
        <f>(0.75*(2.75+5.2))*10.764</f>
        <v>64.180350000000004</v>
      </c>
      <c r="F223" s="83">
        <f t="shared" si="13"/>
        <v>435.21542999999997</v>
      </c>
      <c r="G223" s="83">
        <v>0</v>
      </c>
      <c r="H223" s="95">
        <v>770</v>
      </c>
      <c r="I223" s="36"/>
      <c r="J223" s="84">
        <f t="shared" si="15"/>
        <v>3850000</v>
      </c>
      <c r="L223" s="95">
        <v>770</v>
      </c>
      <c r="M223" s="93">
        <f t="shared" si="12"/>
        <v>1.7692387422936728</v>
      </c>
      <c r="N223" s="36"/>
    </row>
    <row r="224" spans="1:14" s="84" customFormat="1" x14ac:dyDescent="0.35">
      <c r="A224" s="202" t="s">
        <v>361</v>
      </c>
      <c r="B224" s="202"/>
      <c r="C224" s="202"/>
      <c r="D224" s="202"/>
      <c r="E224" s="202"/>
      <c r="F224" s="202"/>
      <c r="G224" s="202"/>
      <c r="H224" s="202"/>
      <c r="I224" s="36"/>
      <c r="M224" s="93" t="e">
        <f t="shared" si="12"/>
        <v>#DIV/0!</v>
      </c>
    </row>
    <row r="225" spans="1:14" s="84" customFormat="1" x14ac:dyDescent="0.35">
      <c r="A225" s="174">
        <v>1</v>
      </c>
      <c r="B225" s="174"/>
      <c r="C225" s="83" t="s">
        <v>359</v>
      </c>
      <c r="D225" s="94">
        <f>(34.2)*10.764</f>
        <v>368.12880000000001</v>
      </c>
      <c r="E225" s="94">
        <f>(0.75*(2+2.05+2.2))*10.764</f>
        <v>50.456249999999997</v>
      </c>
      <c r="F225" s="83">
        <f t="shared" ref="F225:F237" si="16">D225+E225</f>
        <v>418.58505000000002</v>
      </c>
      <c r="G225" s="83">
        <v>0</v>
      </c>
      <c r="H225" s="83">
        <v>720</v>
      </c>
      <c r="I225" s="36"/>
      <c r="L225" s="95">
        <v>720</v>
      </c>
      <c r="M225" s="93">
        <f t="shared" si="12"/>
        <v>1.7200805427714152</v>
      </c>
      <c r="N225" s="36"/>
    </row>
    <row r="226" spans="1:14" s="84" customFormat="1" x14ac:dyDescent="0.35">
      <c r="A226" s="174">
        <f t="shared" ref="A226:A241" si="17">A225+1</f>
        <v>2</v>
      </c>
      <c r="B226" s="174"/>
      <c r="C226" s="83" t="s">
        <v>362</v>
      </c>
      <c r="D226" s="94">
        <f>(21.17)*10.764</f>
        <v>227.87388000000001</v>
      </c>
      <c r="E226" s="94">
        <f>(0.75*(2+2.05))*10.764</f>
        <v>32.695649999999993</v>
      </c>
      <c r="F226" s="83">
        <f t="shared" si="16"/>
        <v>260.56952999999999</v>
      </c>
      <c r="G226" s="83">
        <v>0</v>
      </c>
      <c r="H226" s="83">
        <v>445</v>
      </c>
      <c r="I226" s="36"/>
      <c r="L226" s="95">
        <v>445</v>
      </c>
      <c r="M226" s="93">
        <f t="shared" si="12"/>
        <v>1.7077975310467037</v>
      </c>
      <c r="N226" s="36"/>
    </row>
    <row r="227" spans="1:14" s="84" customFormat="1" x14ac:dyDescent="0.35">
      <c r="A227" s="174">
        <f t="shared" si="17"/>
        <v>3</v>
      </c>
      <c r="B227" s="174"/>
      <c r="C227" s="83" t="s">
        <v>359</v>
      </c>
      <c r="D227" s="94">
        <f>(33.59)*10.764</f>
        <v>361.56276000000003</v>
      </c>
      <c r="E227" s="94">
        <f>(2.75+0.75*(2.75+2))*10.764</f>
        <v>67.947749999999999</v>
      </c>
      <c r="F227" s="83">
        <f t="shared" si="16"/>
        <v>429.51051000000001</v>
      </c>
      <c r="G227" s="83">
        <v>0</v>
      </c>
      <c r="H227" s="83">
        <v>715</v>
      </c>
      <c r="I227" s="36"/>
      <c r="L227" s="95">
        <v>715</v>
      </c>
      <c r="M227" s="93">
        <f t="shared" si="12"/>
        <v>1.6646856906947398</v>
      </c>
      <c r="N227" s="36"/>
    </row>
    <row r="228" spans="1:14" s="84" customFormat="1" x14ac:dyDescent="0.35">
      <c r="A228" s="174">
        <f t="shared" si="17"/>
        <v>4</v>
      </c>
      <c r="B228" s="174"/>
      <c r="C228" s="83" t="s">
        <v>359</v>
      </c>
      <c r="D228" s="94">
        <f>(33.59)*10.764</f>
        <v>361.56276000000003</v>
      </c>
      <c r="E228" s="94">
        <f>(2.75+0.75*(2.75+2))*10.764</f>
        <v>67.947749999999999</v>
      </c>
      <c r="F228" s="83">
        <f t="shared" si="16"/>
        <v>429.51051000000001</v>
      </c>
      <c r="G228" s="83">
        <v>0</v>
      </c>
      <c r="H228" s="83">
        <v>715</v>
      </c>
      <c r="I228" s="36"/>
      <c r="L228" s="95">
        <v>715</v>
      </c>
      <c r="M228" s="93">
        <f t="shared" si="12"/>
        <v>1.6646856906947398</v>
      </c>
      <c r="N228" s="36"/>
    </row>
    <row r="229" spans="1:14" s="84" customFormat="1" x14ac:dyDescent="0.35">
      <c r="A229" s="174">
        <f t="shared" si="17"/>
        <v>5</v>
      </c>
      <c r="B229" s="174"/>
      <c r="C229" s="83" t="s">
        <v>359</v>
      </c>
      <c r="D229" s="94">
        <f>(33.59)*10.764</f>
        <v>361.56276000000003</v>
      </c>
      <c r="E229" s="94">
        <f>(2.75+0.75*(2.75+2))*10.764</f>
        <v>67.947749999999999</v>
      </c>
      <c r="F229" s="83">
        <f t="shared" si="16"/>
        <v>429.51051000000001</v>
      </c>
      <c r="G229" s="83">
        <v>0</v>
      </c>
      <c r="H229" s="83">
        <v>715</v>
      </c>
      <c r="I229" s="36"/>
      <c r="L229" s="95">
        <v>715</v>
      </c>
      <c r="M229" s="93">
        <f t="shared" si="12"/>
        <v>1.6646856906947398</v>
      </c>
      <c r="N229" s="36"/>
    </row>
    <row r="230" spans="1:14" s="84" customFormat="1" x14ac:dyDescent="0.35">
      <c r="A230" s="174">
        <f t="shared" si="17"/>
        <v>6</v>
      </c>
      <c r="B230" s="174"/>
      <c r="C230" s="83" t="s">
        <v>359</v>
      </c>
      <c r="D230" s="94">
        <f>(33.59)*10.764</f>
        <v>361.56276000000003</v>
      </c>
      <c r="E230" s="94">
        <f>(2.75+0.75*(2.75+2))*10.764</f>
        <v>67.947749999999999</v>
      </c>
      <c r="F230" s="83">
        <f t="shared" si="16"/>
        <v>429.51051000000001</v>
      </c>
      <c r="G230" s="83">
        <v>0</v>
      </c>
      <c r="H230" s="83">
        <v>715</v>
      </c>
      <c r="I230" s="36"/>
      <c r="L230" s="95">
        <v>715</v>
      </c>
      <c r="M230" s="93">
        <f t="shared" si="12"/>
        <v>1.6646856906947398</v>
      </c>
      <c r="N230" s="36"/>
    </row>
    <row r="231" spans="1:14" s="84" customFormat="1" x14ac:dyDescent="0.35">
      <c r="A231" s="174">
        <f t="shared" si="17"/>
        <v>7</v>
      </c>
      <c r="B231" s="174"/>
      <c r="C231" s="83" t="s">
        <v>360</v>
      </c>
      <c r="D231" s="94">
        <f>(50.62)*10.764</f>
        <v>544.87367999999992</v>
      </c>
      <c r="E231" s="94">
        <f>(3.05+0.75*(5.25+2.15))*10.764</f>
        <v>92.570400000000006</v>
      </c>
      <c r="F231" s="83">
        <f t="shared" si="16"/>
        <v>637.44407999999999</v>
      </c>
      <c r="G231" s="83">
        <v>0</v>
      </c>
      <c r="H231" s="83">
        <v>1050</v>
      </c>
      <c r="I231" s="36"/>
      <c r="L231" s="95">
        <v>1050</v>
      </c>
      <c r="M231" s="93">
        <f t="shared" si="12"/>
        <v>1.6472033123281968</v>
      </c>
      <c r="N231" s="36"/>
    </row>
    <row r="232" spans="1:14" s="84" customFormat="1" x14ac:dyDescent="0.35">
      <c r="A232" s="174">
        <f t="shared" si="17"/>
        <v>8</v>
      </c>
      <c r="B232" s="174"/>
      <c r="C232" s="83" t="s">
        <v>360</v>
      </c>
      <c r="D232" s="94">
        <f>(47.7)*10.764</f>
        <v>513.44280000000003</v>
      </c>
      <c r="E232" s="94">
        <f>(2.75+0.75*(5.25+2.75))*10.764</f>
        <v>94.184999999999988</v>
      </c>
      <c r="F232" s="83">
        <f t="shared" si="16"/>
        <v>607.62779999999998</v>
      </c>
      <c r="G232" s="83">
        <v>0</v>
      </c>
      <c r="H232" s="83">
        <v>1025</v>
      </c>
      <c r="I232" s="36"/>
      <c r="L232" s="95">
        <v>1025</v>
      </c>
      <c r="M232" s="93">
        <f t="shared" si="12"/>
        <v>1.6868879271159087</v>
      </c>
      <c r="N232" s="36"/>
    </row>
    <row r="233" spans="1:14" s="84" customFormat="1" x14ac:dyDescent="0.35">
      <c r="A233" s="174">
        <f t="shared" si="17"/>
        <v>9</v>
      </c>
      <c r="B233" s="174"/>
      <c r="C233" s="83" t="s">
        <v>360</v>
      </c>
      <c r="D233" s="94">
        <f>(47.7)*10.764</f>
        <v>513.44280000000003</v>
      </c>
      <c r="E233" s="94">
        <f>(2.75+0.75*(5.25+2.75))*10.764</f>
        <v>94.184999999999988</v>
      </c>
      <c r="F233" s="83">
        <f t="shared" si="16"/>
        <v>607.62779999999998</v>
      </c>
      <c r="G233" s="83">
        <v>0</v>
      </c>
      <c r="H233" s="83">
        <v>1025</v>
      </c>
      <c r="I233" s="36"/>
      <c r="L233" s="95">
        <v>1025</v>
      </c>
      <c r="M233" s="93">
        <f t="shared" si="12"/>
        <v>1.6868879271159087</v>
      </c>
      <c r="N233" s="36"/>
    </row>
    <row r="234" spans="1:14" s="84" customFormat="1" x14ac:dyDescent="0.35">
      <c r="A234" s="174">
        <f t="shared" si="17"/>
        <v>10</v>
      </c>
      <c r="B234" s="174"/>
      <c r="C234" s="83" t="s">
        <v>360</v>
      </c>
      <c r="D234" s="94">
        <f>(51.55)*10.764</f>
        <v>554.88419999999996</v>
      </c>
      <c r="E234" s="94">
        <f>(3.05+0.75*(5.25+3.1))*10.764</f>
        <v>100.23975</v>
      </c>
      <c r="F234" s="83">
        <f t="shared" si="16"/>
        <v>655.12394999999992</v>
      </c>
      <c r="G234" s="83">
        <v>0</v>
      </c>
      <c r="H234" s="83">
        <v>1080</v>
      </c>
      <c r="I234" s="36"/>
      <c r="L234" s="95">
        <v>1080</v>
      </c>
      <c r="M234" s="93">
        <f t="shared" si="12"/>
        <v>1.6485429970923824</v>
      </c>
      <c r="N234" s="36"/>
    </row>
    <row r="235" spans="1:14" s="84" customFormat="1" x14ac:dyDescent="0.35">
      <c r="A235" s="174">
        <f t="shared" si="17"/>
        <v>11</v>
      </c>
      <c r="B235" s="174"/>
      <c r="C235" s="83" t="s">
        <v>360</v>
      </c>
      <c r="D235" s="94">
        <f>(51.77)*10.764</f>
        <v>557.25228000000004</v>
      </c>
      <c r="E235" s="94">
        <f>(3+0.75*(4.85+3))*10.764</f>
        <v>95.665049999999979</v>
      </c>
      <c r="F235" s="83">
        <f t="shared" si="16"/>
        <v>652.91732999999999</v>
      </c>
      <c r="G235" s="83">
        <v>0</v>
      </c>
      <c r="H235" s="83">
        <v>1100</v>
      </c>
      <c r="I235" s="36"/>
      <c r="L235" s="95">
        <v>1100</v>
      </c>
      <c r="M235" s="93">
        <f t="shared" si="12"/>
        <v>1.6847462143484535</v>
      </c>
      <c r="N235" s="36"/>
    </row>
    <row r="236" spans="1:14" s="84" customFormat="1" x14ac:dyDescent="0.35">
      <c r="A236" s="174">
        <f t="shared" si="17"/>
        <v>12</v>
      </c>
      <c r="B236" s="174"/>
      <c r="C236" s="83" t="s">
        <v>360</v>
      </c>
      <c r="D236" s="94">
        <f>(51.74)*10.764</f>
        <v>556.92935999999997</v>
      </c>
      <c r="E236" s="94">
        <f>(3+0.75*(4.85+3))*10.764</f>
        <v>95.665049999999979</v>
      </c>
      <c r="F236" s="83">
        <f t="shared" si="16"/>
        <v>652.59440999999993</v>
      </c>
      <c r="G236" s="83">
        <v>0</v>
      </c>
      <c r="H236" s="83">
        <v>1105</v>
      </c>
      <c r="I236" s="36"/>
      <c r="L236" s="95">
        <v>1105</v>
      </c>
      <c r="M236" s="93">
        <f t="shared" si="12"/>
        <v>1.6932415954957385</v>
      </c>
      <c r="N236" s="36"/>
    </row>
    <row r="237" spans="1:14" s="84" customFormat="1" x14ac:dyDescent="0.35">
      <c r="A237" s="174">
        <f t="shared" si="17"/>
        <v>13</v>
      </c>
      <c r="B237" s="174"/>
      <c r="C237" s="83" t="s">
        <v>360</v>
      </c>
      <c r="D237" s="94">
        <f>(49.98)*10.764</f>
        <v>537.98471999999992</v>
      </c>
      <c r="E237" s="94">
        <f>(3+0.75*(2.75+3+2.45))*10.764</f>
        <v>98.490599999999972</v>
      </c>
      <c r="F237" s="83">
        <f t="shared" si="16"/>
        <v>636.4753199999999</v>
      </c>
      <c r="G237" s="83">
        <v>0</v>
      </c>
      <c r="H237" s="83">
        <v>1040</v>
      </c>
      <c r="I237" s="36"/>
      <c r="L237" s="95">
        <v>1040</v>
      </c>
      <c r="M237" s="93">
        <f t="shared" si="12"/>
        <v>1.6339989428026842</v>
      </c>
      <c r="N237" s="36"/>
    </row>
    <row r="238" spans="1:14" s="84" customFormat="1" x14ac:dyDescent="0.35">
      <c r="A238" s="174">
        <f t="shared" si="17"/>
        <v>14</v>
      </c>
      <c r="B238" s="174"/>
      <c r="C238" s="106" t="s">
        <v>369</v>
      </c>
      <c r="D238" s="198"/>
      <c r="E238" s="198"/>
      <c r="F238" s="198"/>
      <c r="G238" s="198"/>
      <c r="H238" s="107"/>
      <c r="I238" s="36"/>
      <c r="L238" s="95">
        <v>730</v>
      </c>
      <c r="M238" s="93" t="e">
        <f t="shared" si="12"/>
        <v>#DIV/0!</v>
      </c>
      <c r="N238" s="36"/>
    </row>
    <row r="239" spans="1:14" s="84" customFormat="1" x14ac:dyDescent="0.35">
      <c r="A239" s="174">
        <f t="shared" si="17"/>
        <v>15</v>
      </c>
      <c r="B239" s="174"/>
      <c r="C239" s="83" t="s">
        <v>359</v>
      </c>
      <c r="D239" s="94">
        <f>(34.2)*10.764</f>
        <v>368.12880000000001</v>
      </c>
      <c r="E239" s="94">
        <f>(0.75*(2.15+2.05+2.25))*10.764</f>
        <v>52.070849999999993</v>
      </c>
      <c r="F239" s="83">
        <f>D239+E239</f>
        <v>420.19965000000002</v>
      </c>
      <c r="G239" s="83">
        <v>0</v>
      </c>
      <c r="H239" s="83">
        <v>720</v>
      </c>
      <c r="I239" s="36"/>
      <c r="L239" s="95">
        <v>720</v>
      </c>
      <c r="M239" s="93">
        <f t="shared" si="12"/>
        <v>1.7134712035100457</v>
      </c>
      <c r="N239" s="36"/>
    </row>
    <row r="240" spans="1:14" s="84" customFormat="1" x14ac:dyDescent="0.35">
      <c r="A240" s="174">
        <f t="shared" si="17"/>
        <v>16</v>
      </c>
      <c r="B240" s="174"/>
      <c r="C240" s="83" t="s">
        <v>359</v>
      </c>
      <c r="D240" s="94">
        <f>(34.47)*10.764</f>
        <v>371.03507999999999</v>
      </c>
      <c r="E240" s="94">
        <f>(0.75*(2.75+5.2))*10.764</f>
        <v>64.180350000000004</v>
      </c>
      <c r="F240" s="83">
        <f>D240+E240</f>
        <v>435.21542999999997</v>
      </c>
      <c r="G240" s="83">
        <v>0</v>
      </c>
      <c r="H240" s="83">
        <v>770</v>
      </c>
      <c r="I240" s="36"/>
      <c r="L240" s="95">
        <v>770</v>
      </c>
      <c r="M240" s="93">
        <f t="shared" si="12"/>
        <v>1.7692387422936728</v>
      </c>
      <c r="N240" s="36"/>
    </row>
    <row r="241" spans="1:14" s="84" customFormat="1" x14ac:dyDescent="0.35">
      <c r="A241" s="174">
        <f t="shared" si="17"/>
        <v>17</v>
      </c>
      <c r="B241" s="174"/>
      <c r="C241" s="83" t="s">
        <v>359</v>
      </c>
      <c r="D241" s="94">
        <f>(34.47)*10.764</f>
        <v>371.03507999999999</v>
      </c>
      <c r="E241" s="94">
        <f>(0.75*(2.75+5.2))*10.764</f>
        <v>64.180350000000004</v>
      </c>
      <c r="F241" s="83">
        <f>D241+E241</f>
        <v>435.21542999999997</v>
      </c>
      <c r="G241" s="83">
        <v>0</v>
      </c>
      <c r="H241" s="83">
        <v>770</v>
      </c>
      <c r="I241" s="36"/>
      <c r="L241" s="95">
        <v>770</v>
      </c>
      <c r="M241" s="93">
        <f t="shared" si="12"/>
        <v>1.7692387422936728</v>
      </c>
      <c r="N241" s="36"/>
    </row>
    <row r="242" spans="1:14" s="84" customFormat="1" x14ac:dyDescent="0.35">
      <c r="A242" s="202" t="s">
        <v>363</v>
      </c>
      <c r="B242" s="202"/>
      <c r="C242" s="202"/>
      <c r="D242" s="202"/>
      <c r="E242" s="202"/>
      <c r="F242" s="202"/>
      <c r="G242" s="202"/>
      <c r="H242" s="202"/>
      <c r="I242" s="36"/>
    </row>
    <row r="243" spans="1:14" s="84" customFormat="1" x14ac:dyDescent="0.35">
      <c r="A243" s="174">
        <v>1</v>
      </c>
      <c r="B243" s="174"/>
      <c r="C243" s="242" t="s">
        <v>364</v>
      </c>
      <c r="D243" s="243"/>
      <c r="E243" s="243"/>
      <c r="F243" s="243"/>
      <c r="G243" s="243"/>
      <c r="H243" s="244"/>
      <c r="I243" s="36"/>
      <c r="N243" s="36"/>
    </row>
    <row r="244" spans="1:14" s="84" customFormat="1" x14ac:dyDescent="0.35">
      <c r="A244" s="174">
        <f t="shared" ref="A244:A259" si="18">A243+1</f>
        <v>2</v>
      </c>
      <c r="B244" s="174"/>
      <c r="C244" s="245"/>
      <c r="D244" s="246"/>
      <c r="E244" s="246"/>
      <c r="F244" s="246"/>
      <c r="G244" s="246"/>
      <c r="H244" s="247"/>
      <c r="I244" s="36"/>
      <c r="N244" s="36"/>
    </row>
    <row r="245" spans="1:14" s="84" customFormat="1" x14ac:dyDescent="0.35">
      <c r="A245" s="174">
        <f t="shared" si="18"/>
        <v>3</v>
      </c>
      <c r="B245" s="174"/>
      <c r="C245" s="83" t="s">
        <v>359</v>
      </c>
      <c r="D245" s="94">
        <f>(33.59)*10.764</f>
        <v>361.56276000000003</v>
      </c>
      <c r="E245" s="94">
        <f>(2.75+0.75*(2.75+2))*10.764</f>
        <v>67.947749999999999</v>
      </c>
      <c r="F245" s="83">
        <f t="shared" ref="F245:F255" si="19">D245+E245</f>
        <v>429.51051000000001</v>
      </c>
      <c r="G245" s="94">
        <v>0</v>
      </c>
      <c r="H245" s="83">
        <v>715</v>
      </c>
      <c r="I245" s="36"/>
      <c r="N245" s="36"/>
    </row>
    <row r="246" spans="1:14" s="84" customFormat="1" x14ac:dyDescent="0.35">
      <c r="A246" s="174">
        <f t="shared" si="18"/>
        <v>4</v>
      </c>
      <c r="B246" s="174"/>
      <c r="C246" s="83" t="s">
        <v>359</v>
      </c>
      <c r="D246" s="94">
        <f>(33.59)*10.764</f>
        <v>361.56276000000003</v>
      </c>
      <c r="E246" s="94">
        <f>(0.75*(2.75+2))*10.764</f>
        <v>38.34675</v>
      </c>
      <c r="F246" s="83">
        <f t="shared" si="19"/>
        <v>399.90951000000001</v>
      </c>
      <c r="G246" s="94">
        <f>(2.75)*10.764</f>
        <v>29.600999999999999</v>
      </c>
      <c r="H246" s="83">
        <v>715</v>
      </c>
      <c r="I246" s="36"/>
      <c r="N246" s="36"/>
    </row>
    <row r="247" spans="1:14" s="84" customFormat="1" x14ac:dyDescent="0.35">
      <c r="A247" s="174">
        <f t="shared" si="18"/>
        <v>5</v>
      </c>
      <c r="B247" s="174"/>
      <c r="C247" s="83" t="s">
        <v>359</v>
      </c>
      <c r="D247" s="94">
        <f>(33.59)*10.764</f>
        <v>361.56276000000003</v>
      </c>
      <c r="E247" s="94">
        <f>(0.75*(2.75+2))*10.764</f>
        <v>38.34675</v>
      </c>
      <c r="F247" s="83">
        <f t="shared" si="19"/>
        <v>399.90951000000001</v>
      </c>
      <c r="G247" s="94">
        <f>(2.75)*10.764</f>
        <v>29.600999999999999</v>
      </c>
      <c r="H247" s="83">
        <v>715</v>
      </c>
      <c r="I247" s="36"/>
      <c r="N247" s="36"/>
    </row>
    <row r="248" spans="1:14" s="84" customFormat="1" x14ac:dyDescent="0.35">
      <c r="A248" s="174">
        <f t="shared" si="18"/>
        <v>6</v>
      </c>
      <c r="B248" s="174"/>
      <c r="C248" s="83" t="s">
        <v>359</v>
      </c>
      <c r="D248" s="94">
        <f>(33.59)*10.764</f>
        <v>361.56276000000003</v>
      </c>
      <c r="E248" s="94">
        <f>(2.75+0.75*(2.75+2))*10.764</f>
        <v>67.947749999999999</v>
      </c>
      <c r="F248" s="83">
        <f t="shared" si="19"/>
        <v>429.51051000000001</v>
      </c>
      <c r="G248" s="94">
        <v>0</v>
      </c>
      <c r="H248" s="83">
        <v>715</v>
      </c>
      <c r="I248" s="36"/>
      <c r="N248" s="36"/>
    </row>
    <row r="249" spans="1:14" s="84" customFormat="1" x14ac:dyDescent="0.35">
      <c r="A249" s="174">
        <f t="shared" si="18"/>
        <v>7</v>
      </c>
      <c r="B249" s="174"/>
      <c r="C249" s="83" t="s">
        <v>360</v>
      </c>
      <c r="D249" s="94">
        <f>(50.62)*10.764</f>
        <v>544.87367999999992</v>
      </c>
      <c r="E249" s="94">
        <f>(3.05+0.75*(5.25+2.15))*10.764</f>
        <v>92.570400000000006</v>
      </c>
      <c r="F249" s="83">
        <f t="shared" si="19"/>
        <v>637.44407999999999</v>
      </c>
      <c r="G249" s="94">
        <v>0</v>
      </c>
      <c r="H249" s="83">
        <v>1050</v>
      </c>
      <c r="I249" s="36"/>
      <c r="N249" s="36"/>
    </row>
    <row r="250" spans="1:14" s="84" customFormat="1" x14ac:dyDescent="0.35">
      <c r="A250" s="174">
        <f t="shared" si="18"/>
        <v>8</v>
      </c>
      <c r="B250" s="174"/>
      <c r="C250" s="83" t="s">
        <v>360</v>
      </c>
      <c r="D250" s="94">
        <f>(47.7)*10.764</f>
        <v>513.44280000000003</v>
      </c>
      <c r="E250" s="94">
        <f>(2.75+0.75*(5.25+2.75))*10.764</f>
        <v>94.184999999999988</v>
      </c>
      <c r="F250" s="83">
        <f t="shared" si="19"/>
        <v>607.62779999999998</v>
      </c>
      <c r="G250" s="94">
        <v>0</v>
      </c>
      <c r="H250" s="83">
        <v>1025</v>
      </c>
      <c r="I250" s="36"/>
      <c r="N250" s="36"/>
    </row>
    <row r="251" spans="1:14" s="84" customFormat="1" x14ac:dyDescent="0.35">
      <c r="A251" s="174">
        <f t="shared" si="18"/>
        <v>9</v>
      </c>
      <c r="B251" s="174"/>
      <c r="C251" s="83" t="s">
        <v>360</v>
      </c>
      <c r="D251" s="94">
        <f>(47.7)*10.764</f>
        <v>513.44280000000003</v>
      </c>
      <c r="E251" s="94">
        <f>(2.75+0.75*(5.25+2.75))*10.764</f>
        <v>94.184999999999988</v>
      </c>
      <c r="F251" s="83">
        <f t="shared" si="19"/>
        <v>607.62779999999998</v>
      </c>
      <c r="G251" s="94">
        <v>0</v>
      </c>
      <c r="H251" s="83">
        <v>1025</v>
      </c>
      <c r="I251" s="36"/>
      <c r="N251" s="36"/>
    </row>
    <row r="252" spans="1:14" s="84" customFormat="1" x14ac:dyDescent="0.35">
      <c r="A252" s="174">
        <f t="shared" si="18"/>
        <v>10</v>
      </c>
      <c r="B252" s="174"/>
      <c r="C252" s="83" t="s">
        <v>360</v>
      </c>
      <c r="D252" s="94">
        <f>(51.55)*10.764</f>
        <v>554.88419999999996</v>
      </c>
      <c r="E252" s="94">
        <f>(3.05+0.75*(5.25+3.1))*10.764</f>
        <v>100.23975</v>
      </c>
      <c r="F252" s="83">
        <f t="shared" si="19"/>
        <v>655.12394999999992</v>
      </c>
      <c r="G252" s="94">
        <v>0</v>
      </c>
      <c r="H252" s="83">
        <v>1080</v>
      </c>
      <c r="I252" s="36"/>
      <c r="N252" s="36"/>
    </row>
    <row r="253" spans="1:14" s="84" customFormat="1" x14ac:dyDescent="0.35">
      <c r="A253" s="174">
        <f t="shared" si="18"/>
        <v>11</v>
      </c>
      <c r="B253" s="174"/>
      <c r="C253" s="83" t="s">
        <v>360</v>
      </c>
      <c r="D253" s="94">
        <f>(51.77)*10.764</f>
        <v>557.25228000000004</v>
      </c>
      <c r="E253" s="94">
        <f>(0.75*(4.85+3))*10.764</f>
        <v>63.373049999999985</v>
      </c>
      <c r="F253" s="83">
        <f t="shared" si="19"/>
        <v>620.62533000000008</v>
      </c>
      <c r="G253" s="94">
        <f>(3)*10.764</f>
        <v>32.292000000000002</v>
      </c>
      <c r="H253" s="83">
        <v>1100</v>
      </c>
      <c r="I253" s="36"/>
      <c r="N253" s="36"/>
    </row>
    <row r="254" spans="1:14" s="84" customFormat="1" x14ac:dyDescent="0.35">
      <c r="A254" s="174">
        <f t="shared" si="18"/>
        <v>12</v>
      </c>
      <c r="B254" s="174"/>
      <c r="C254" s="83" t="s">
        <v>360</v>
      </c>
      <c r="D254" s="94">
        <f>(51.74)*10.764</f>
        <v>556.92935999999997</v>
      </c>
      <c r="E254" s="94">
        <f>(0.75*(4.85+3))*10.764</f>
        <v>63.373049999999985</v>
      </c>
      <c r="F254" s="83">
        <f t="shared" si="19"/>
        <v>620.30241000000001</v>
      </c>
      <c r="G254" s="94">
        <f>(3)*10.764</f>
        <v>32.292000000000002</v>
      </c>
      <c r="H254" s="83">
        <v>1105</v>
      </c>
      <c r="I254" s="36"/>
      <c r="N254" s="36"/>
    </row>
    <row r="255" spans="1:14" s="84" customFormat="1" x14ac:dyDescent="0.35">
      <c r="A255" s="174">
        <f t="shared" si="18"/>
        <v>13</v>
      </c>
      <c r="B255" s="174"/>
      <c r="C255" s="83" t="s">
        <v>360</v>
      </c>
      <c r="D255" s="94">
        <f>(49.98)*10.764</f>
        <v>537.98471999999992</v>
      </c>
      <c r="E255" s="94">
        <f>(3+0.75*(2.75+3+2.45))*10.764</f>
        <v>98.490599999999972</v>
      </c>
      <c r="F255" s="83">
        <f t="shared" si="19"/>
        <v>636.4753199999999</v>
      </c>
      <c r="G255" s="94">
        <v>0</v>
      </c>
      <c r="H255" s="83">
        <v>1040</v>
      </c>
      <c r="I255" s="36"/>
      <c r="N255" s="36"/>
    </row>
    <row r="256" spans="1:14" s="84" customFormat="1" x14ac:dyDescent="0.35">
      <c r="A256" s="174">
        <f t="shared" si="18"/>
        <v>14</v>
      </c>
      <c r="B256" s="174"/>
      <c r="C256" s="242" t="s">
        <v>364</v>
      </c>
      <c r="D256" s="243"/>
      <c r="E256" s="243"/>
      <c r="F256" s="243"/>
      <c r="G256" s="243"/>
      <c r="H256" s="244"/>
      <c r="I256" s="36"/>
      <c r="N256" s="36"/>
    </row>
    <row r="257" spans="1:16" s="84" customFormat="1" x14ac:dyDescent="0.35">
      <c r="A257" s="174">
        <f t="shared" si="18"/>
        <v>15</v>
      </c>
      <c r="B257" s="174"/>
      <c r="C257" s="248"/>
      <c r="D257" s="249"/>
      <c r="E257" s="249"/>
      <c r="F257" s="249"/>
      <c r="G257" s="249"/>
      <c r="H257" s="250"/>
      <c r="I257" s="36"/>
      <c r="N257" s="36"/>
    </row>
    <row r="258" spans="1:16" s="84" customFormat="1" x14ac:dyDescent="0.35">
      <c r="A258" s="174">
        <f t="shared" si="18"/>
        <v>16</v>
      </c>
      <c r="B258" s="174"/>
      <c r="C258" s="248"/>
      <c r="D258" s="249"/>
      <c r="E258" s="249"/>
      <c r="F258" s="249"/>
      <c r="G258" s="249"/>
      <c r="H258" s="250"/>
      <c r="I258" s="36"/>
      <c r="N258" s="36"/>
    </row>
    <row r="259" spans="1:16" s="84" customFormat="1" x14ac:dyDescent="0.35">
      <c r="A259" s="174">
        <f t="shared" si="18"/>
        <v>17</v>
      </c>
      <c r="B259" s="174"/>
      <c r="C259" s="245"/>
      <c r="D259" s="246"/>
      <c r="E259" s="246"/>
      <c r="F259" s="246"/>
      <c r="G259" s="246"/>
      <c r="H259" s="247"/>
      <c r="I259" s="36"/>
      <c r="N259" s="36"/>
    </row>
    <row r="260" spans="1:16" s="37" customFormat="1" ht="15.65" hidden="1" customHeight="1" x14ac:dyDescent="0.35">
      <c r="A260" s="202" t="s">
        <v>117</v>
      </c>
      <c r="B260" s="202"/>
      <c r="C260" s="202"/>
      <c r="D260" s="202"/>
      <c r="E260" s="202"/>
      <c r="F260" s="202"/>
      <c r="G260" s="202"/>
      <c r="H260" s="202"/>
      <c r="I260" s="36"/>
      <c r="J260" s="84"/>
      <c r="K260" s="84"/>
      <c r="L260" s="84"/>
      <c r="M260" s="84"/>
      <c r="N260" s="84"/>
      <c r="O260" s="84"/>
      <c r="P260" s="84"/>
    </row>
    <row r="261" spans="1:16" s="37" customFormat="1" ht="15.65" hidden="1" customHeight="1" x14ac:dyDescent="0.35">
      <c r="A261" s="174">
        <f>LEFT(A260,SUM(LEN(A260)-LEN(SUBSTITUTE(A260,{"0","1","2","3","4","5","6","7","8","9"},""))))*100+1</f>
        <v>201</v>
      </c>
      <c r="B261" s="174"/>
      <c r="C261" s="42"/>
      <c r="D261" s="42"/>
      <c r="E261" s="57">
        <v>0</v>
      </c>
      <c r="F261" s="57">
        <f>D261+E261</f>
        <v>0</v>
      </c>
      <c r="G261" s="57">
        <v>0</v>
      </c>
      <c r="H261" s="57">
        <f>F261*(($H$190)+1)+(IF(G261&lt;101,G261,IF(G261&lt;201,G261/2,IF(G261&lt;=301,G261/3,G261/4))))</f>
        <v>0</v>
      </c>
      <c r="I261" s="36"/>
      <c r="J261" s="84"/>
      <c r="K261" s="84"/>
      <c r="L261" s="84"/>
      <c r="M261" s="84"/>
      <c r="N261" s="36"/>
      <c r="O261" s="84"/>
      <c r="P261" s="84"/>
    </row>
    <row r="262" spans="1:16" s="37" customFormat="1" ht="15.65" hidden="1" customHeight="1" x14ac:dyDescent="0.35">
      <c r="A262" s="174">
        <f>A261+1</f>
        <v>202</v>
      </c>
      <c r="B262" s="174"/>
      <c r="C262" s="42"/>
      <c r="D262" s="42"/>
      <c r="E262" s="57">
        <v>0</v>
      </c>
      <c r="F262" s="57">
        <f>D262+E262</f>
        <v>0</v>
      </c>
      <c r="G262" s="57">
        <v>0</v>
      </c>
      <c r="H262" s="57">
        <f>F262*(($H$190)+1)+(IF(G262&lt;101,G262,IF(G262&lt;201,G262/2,IF(G262&lt;=301,G262/3,G262/4))))</f>
        <v>0</v>
      </c>
      <c r="I262" s="36"/>
      <c r="J262" s="84"/>
      <c r="K262" s="84"/>
      <c r="L262" s="84"/>
      <c r="M262" s="84"/>
      <c r="N262" s="36"/>
      <c r="O262" s="84"/>
      <c r="P262" s="84"/>
    </row>
    <row r="263" spans="1:16" s="37" customFormat="1" ht="15.65" hidden="1" customHeight="1" x14ac:dyDescent="0.35">
      <c r="A263" s="174">
        <f>A262+1</f>
        <v>203</v>
      </c>
      <c r="B263" s="174"/>
      <c r="C263" s="42"/>
      <c r="D263" s="42"/>
      <c r="E263" s="57">
        <v>0</v>
      </c>
      <c r="F263" s="57">
        <f>D263+E263</f>
        <v>0</v>
      </c>
      <c r="G263" s="57">
        <v>0</v>
      </c>
      <c r="H263" s="57">
        <f>F263*(($H$190)+1)+(IF(G263&lt;101,G263,IF(G263&lt;201,G263/2,IF(G263&lt;=301,G263/3,G263/4))))</f>
        <v>0</v>
      </c>
      <c r="I263" s="36"/>
      <c r="J263" s="84"/>
      <c r="K263" s="84"/>
      <c r="L263" s="84"/>
      <c r="M263" s="84"/>
      <c r="N263" s="36"/>
      <c r="O263" s="84"/>
      <c r="P263" s="84"/>
    </row>
    <row r="264" spans="1:16" s="37" customFormat="1" ht="15.65" hidden="1" customHeight="1" x14ac:dyDescent="0.35">
      <c r="A264" s="174">
        <f>A263+1</f>
        <v>204</v>
      </c>
      <c r="B264" s="174"/>
      <c r="C264" s="42"/>
      <c r="D264" s="42"/>
      <c r="E264" s="57">
        <v>0</v>
      </c>
      <c r="F264" s="57">
        <f>D264+E264</f>
        <v>0</v>
      </c>
      <c r="G264" s="57">
        <v>0</v>
      </c>
      <c r="H264" s="57">
        <f>F264*(($H$190)+1)+(IF(G264&lt;101,G264,IF(G264&lt;201,G264/2,IF(G264&lt;=301,G264/3,G264/4))))</f>
        <v>0</v>
      </c>
      <c r="I264" s="36"/>
      <c r="J264" s="84"/>
      <c r="K264" s="84"/>
      <c r="L264" s="84"/>
      <c r="M264" s="84"/>
      <c r="N264" s="36"/>
      <c r="O264" s="84"/>
      <c r="P264" s="84"/>
    </row>
    <row r="265" spans="1:16" s="37" customFormat="1" ht="15.65" hidden="1" customHeight="1" x14ac:dyDescent="0.35">
      <c r="A265" s="174">
        <f>A264+1</f>
        <v>205</v>
      </c>
      <c r="B265" s="174"/>
      <c r="C265" s="42"/>
      <c r="D265" s="42"/>
      <c r="E265" s="57">
        <v>0</v>
      </c>
      <c r="F265" s="57">
        <f>D265+E265</f>
        <v>0</v>
      </c>
      <c r="G265" s="57">
        <v>0</v>
      </c>
      <c r="H265" s="57">
        <f>F265*(($H$190)+1)+(IF(G265&lt;101,G265,IF(G265&lt;201,G265/2,IF(G265&lt;=301,G265/3,G265/4))))</f>
        <v>0</v>
      </c>
      <c r="I265" s="36"/>
      <c r="J265" s="84"/>
      <c r="K265" s="84"/>
      <c r="L265" s="84"/>
      <c r="M265" s="84"/>
      <c r="N265" s="36"/>
      <c r="O265" s="84"/>
      <c r="P265" s="84"/>
    </row>
    <row r="266" spans="1:16" s="37" customFormat="1" ht="15.75" hidden="1" customHeight="1" x14ac:dyDescent="0.35">
      <c r="A266" s="113" t="s">
        <v>150</v>
      </c>
      <c r="B266" s="114"/>
      <c r="C266" s="114"/>
      <c r="D266" s="114"/>
      <c r="E266" s="114"/>
      <c r="F266" s="114"/>
      <c r="G266" s="114"/>
      <c r="H266" s="115"/>
      <c r="I266" s="36"/>
      <c r="J266" s="84"/>
      <c r="K266" s="84"/>
      <c r="L266" s="84"/>
      <c r="M266" s="84"/>
      <c r="N266" s="84"/>
      <c r="O266" s="84"/>
      <c r="P266" s="84"/>
    </row>
    <row r="267" spans="1:16" s="37" customFormat="1" ht="15.75" hidden="1" customHeight="1" x14ac:dyDescent="0.35">
      <c r="A267" s="106" t="str">
        <f ca="1">(SUMPRODUCT(MID(0&amp;(LEFT(A266,SUM(LEN(A266)-LEN(SUBSTITUTE(A266,{"0","1","2"},""))))), LARGE(INDEX(ISNUMBER(--MID((LEFT(A266,SUM(LEN(A266)-LEN(SUBSTITUTE(A266,{"0","1","2"},""))))), ROW(INDIRECT("1:"&amp;LEN((LEFT(A266,SUM(LEN(A266)-LEN(SUBSTITUTE(A266,{"0","1","2"},"")))))))), 1)) * ROW(INDIRECT("1:"&amp;LEN((LEFT(A266,SUM(LEN(A266)-LEN(SUBSTITUTE(A266,{"0","1","2"},"")))))))), 0), ROW(INDIRECT("1:"&amp;LEN((LEFT(A266,SUM(LEN(A266)-LEN(SUBSTITUTE(A266,{"0","1","2"},"")))))))))+1, 1) * 10^ROW(INDIRECT("1:"&amp;LEN((LEFT(A266,SUM(LEN(A266)-LEN(SUBSTITUTE(A266,{"0","1","2"},""))))))))/10))*100+1&amp;""&amp;" ,.., "&amp;""&amp;(SUMPRODUCT(MID(0&amp;(--TRIM(RIGHT(SUBSTITUTE(LEFT(A266,_xlfn.AGGREGATE(16,6,FIND({0,1,2,3,4,5,6,7,8,9},A266,ROW(INDIRECT("1:"&amp;LEN(A266)))),1))," ",REPT(" ",LEN(A266))),LEN(A266)))), LARGE(INDEX(ISNUMBER(--MID((--TRIM(RIGHT(SUBSTITUTE(LEFT(A266,_xlfn.AGGREGATE(16,6,FIND({0,1,2,3,4,5,6,7,8,9},A266,ROW(INDIRECT("1:"&amp;LEN(A266)))),1))," ",REPT(" ",LEN(A266))),LEN(A266)))), ROW(INDIRECT("1:"&amp;LEN((--TRIM(RIGHT(SUBSTITUTE(LEFT(A266,_xlfn.AGGREGATE(16,6,FIND({0,1,2,3,4,5,6,7,8,9},A266,ROW(INDIRECT("1:"&amp;LEN(A266)))),1))," ",REPT(" ",LEN(A266))),LEN(A266))))))), 1)) * ROW(INDIRECT("1:"&amp;LEN((--TRIM(RIGHT(SUBSTITUTE(LEFT(A266,_xlfn.AGGREGATE(16,6,FIND({0,1,2,3,4,5,6,7,8,9},A266,ROW(INDIRECT("1:"&amp;LEN(A266)))),1))," ",REPT(" ",LEN(A266))),LEN(A266))))))), 0), ROW(INDIRECT("1:"&amp;LEN((--TRIM(RIGHT(SUBSTITUTE(LEFT(A266,_xlfn.AGGREGATE(16,6,FIND({0,1,2,3,4,5,6,7,8,9},A266,ROW(INDIRECT("1:"&amp;LEN(A266)))),1))," ",REPT(" ",LEN(A266))),LEN(A266))))))))+1, 1) * 10^ROW(INDIRECT("1:"&amp;LEN((--TRIM(RIGHT(SUBSTITUTE(LEFT(A266,_xlfn.AGGREGATE(16,6,FIND({0,1,2,3,4,5,6,7,8,9},A266,ROW(INDIRECT("1:"&amp;LEN(A266)))),1))," ",REPT(" ",LEN(A266))),LEN(A266)))))))/10))*100+1</f>
        <v>301 ,.., 1501</v>
      </c>
      <c r="B267" s="107"/>
      <c r="C267" s="42"/>
      <c r="D267" s="42"/>
      <c r="E267" s="57">
        <v>0</v>
      </c>
      <c r="F267" s="57">
        <f>D267+E267</f>
        <v>0</v>
      </c>
      <c r="G267" s="57">
        <v>0</v>
      </c>
      <c r="H267" s="57">
        <f>F267*(($H$190)+1)+(IF(G267&lt;101,G267,IF(G267&lt;201,G267/2,IF(G267&lt;=301,G267/3,G267/4))))</f>
        <v>0</v>
      </c>
      <c r="I267" s="36"/>
      <c r="J267" s="84"/>
      <c r="K267" s="84"/>
      <c r="L267" s="84"/>
      <c r="M267" s="84"/>
      <c r="N267" s="84"/>
      <c r="O267" s="84"/>
      <c r="P267" s="84"/>
    </row>
    <row r="268" spans="1:16" s="37" customFormat="1" ht="15.75" hidden="1" customHeight="1" x14ac:dyDescent="0.35">
      <c r="A268" s="106" t="str">
        <f ca="1">(SUMPRODUCT(MID(0&amp;(LEFT(A267,SUM(LEN(A267)-LEN(SUBSTITUTE(A267,{"0","1","2"},""))))), LARGE(INDEX(ISNUMBER(--MID((LEFT(A267,SUM(LEN(A267)-LEN(SUBSTITUTE(A267,{"0","1","2"},""))))), ROW(INDIRECT("1:"&amp;LEN((LEFT(A267,SUM(LEN(A267)-LEN(SUBSTITUTE(A267,{"0","1","2"},"")))))))), 1)) * ROW(INDIRECT("1:"&amp;LEN((LEFT(A267,SUM(LEN(A267)-LEN(SUBSTITUTE(A267,{"0","1","2"},"")))))))), 0), ROW(INDIRECT("1:"&amp;LEN((LEFT(A267,SUM(LEN(A267)-LEN(SUBSTITUTE(A267,{"0","1","2"},"")))))))))+1, 1) * 10^ROW(INDIRECT("1:"&amp;LEN((LEFT(A267,SUM(LEN(A267)-LEN(SUBSTITUTE(A267,{"0","1","2"},""))))))))/10))*1+1&amp;""&amp;" ,.., "&amp;""&amp;(SUMPRODUCT(MID(0&amp;(--TRIM(RIGHT(SUBSTITUTE(LEFT(A267,_xlfn.AGGREGATE(16,6,FIND({0,1,2,3,4,5,6,7,8,9},A267,ROW(INDIRECT("1:"&amp;LEN(A267)))),1))," ",REPT(" ",LEN(A267))),LEN(A267)))), LARGE(INDEX(ISNUMBER(--MID((--TRIM(RIGHT(SUBSTITUTE(LEFT(A267,_xlfn.AGGREGATE(16,6,FIND({0,1,2,3,4,5,6,7,8,9},A267,ROW(INDIRECT("1:"&amp;LEN(A267)))),1))," ",REPT(" ",LEN(A267))),LEN(A267)))), ROW(INDIRECT("1:"&amp;LEN((--TRIM(RIGHT(SUBSTITUTE(LEFT(A267,_xlfn.AGGREGATE(16,6,FIND({0,1,2,3,4,5,6,7,8,9},A267,ROW(INDIRECT("1:"&amp;LEN(A267)))),1))," ",REPT(" ",LEN(A267))),LEN(A267))))))), 1)) * ROW(INDIRECT("1:"&amp;LEN((--TRIM(RIGHT(SUBSTITUTE(LEFT(A267,_xlfn.AGGREGATE(16,6,FIND({0,1,2,3,4,5,6,7,8,9},A267,ROW(INDIRECT("1:"&amp;LEN(A267)))),1))," ",REPT(" ",LEN(A267))),LEN(A267))))))), 0), ROW(INDIRECT("1:"&amp;LEN((--TRIM(RIGHT(SUBSTITUTE(LEFT(A267,_xlfn.AGGREGATE(16,6,FIND({0,1,2,3,4,5,6,7,8,9},A267,ROW(INDIRECT("1:"&amp;LEN(A267)))),1))," ",REPT(" ",LEN(A267))),LEN(A267))))))))+1, 1) * 10^ROW(INDIRECT("1:"&amp;LEN((--TRIM(RIGHT(SUBSTITUTE(LEFT(A267,_xlfn.AGGREGATE(16,6,FIND({0,1,2,3,4,5,6,7,8,9},A267,ROW(INDIRECT("1:"&amp;LEN(A267)))),1))," ",REPT(" ",LEN(A267))),LEN(A267)))))))/10))*1+1</f>
        <v>302 ,.., 1502</v>
      </c>
      <c r="B268" s="107"/>
      <c r="C268" s="42"/>
      <c r="D268" s="42"/>
      <c r="E268" s="57">
        <v>0</v>
      </c>
      <c r="F268" s="57">
        <f>D268+E268</f>
        <v>0</v>
      </c>
      <c r="G268" s="57">
        <v>0</v>
      </c>
      <c r="H268" s="57">
        <f>F268*(($H$190)+1)+(IF(G268&lt;101,G268,IF(G268&lt;201,G268/2,IF(G268&lt;=301,G268/3,G268/4))))</f>
        <v>0</v>
      </c>
      <c r="I268" s="36"/>
      <c r="J268" s="84"/>
      <c r="K268" s="84"/>
      <c r="L268" s="84"/>
      <c r="M268" s="84"/>
      <c r="N268" s="84"/>
      <c r="O268" s="84"/>
      <c r="P268" s="84"/>
    </row>
    <row r="269" spans="1:16" s="37" customFormat="1" ht="15.75" hidden="1" customHeight="1" x14ac:dyDescent="0.35">
      <c r="A269" s="106" t="str">
        <f ca="1">(SUMPRODUCT(MID(0&amp;(LEFT(A268,SUM(LEN(A268)-LEN(SUBSTITUTE(A268,{"0","1","2"},""))))), LARGE(INDEX(ISNUMBER(--MID((LEFT(A268,SUM(LEN(A268)-LEN(SUBSTITUTE(A268,{"0","1","2"},""))))), ROW(INDIRECT("1:"&amp;LEN((LEFT(A268,SUM(LEN(A268)-LEN(SUBSTITUTE(A268,{"0","1","2"},"")))))))), 1)) * ROW(INDIRECT("1:"&amp;LEN((LEFT(A268,SUM(LEN(A268)-LEN(SUBSTITUTE(A268,{"0","1","2"},"")))))))), 0), ROW(INDIRECT("1:"&amp;LEN((LEFT(A268,SUM(LEN(A268)-LEN(SUBSTITUTE(A268,{"0","1","2"},"")))))))))+1, 1) * 10^ROW(INDIRECT("1:"&amp;LEN((LEFT(A268,SUM(LEN(A268)-LEN(SUBSTITUTE(A268,{"0","1","2"},""))))))))/10))*1+1&amp;""&amp;" ,.., "&amp;""&amp;(SUMPRODUCT(MID(0&amp;(--TRIM(RIGHT(SUBSTITUTE(LEFT(A268,_xlfn.AGGREGATE(16,6,FIND({0,1,2,3,4,5,6,7,8,9},A268,ROW(INDIRECT("1:"&amp;LEN(A268)))),1))," ",REPT(" ",LEN(A268))),LEN(A268)))), LARGE(INDEX(ISNUMBER(--MID((--TRIM(RIGHT(SUBSTITUTE(LEFT(A268,_xlfn.AGGREGATE(16,6,FIND({0,1,2,3,4,5,6,7,8,9},A268,ROW(INDIRECT("1:"&amp;LEN(A268)))),1))," ",REPT(" ",LEN(A268))),LEN(A268)))), ROW(INDIRECT("1:"&amp;LEN((--TRIM(RIGHT(SUBSTITUTE(LEFT(A268,_xlfn.AGGREGATE(16,6,FIND({0,1,2,3,4,5,6,7,8,9},A268,ROW(INDIRECT("1:"&amp;LEN(A268)))),1))," ",REPT(" ",LEN(A268))),LEN(A268))))))), 1)) * ROW(INDIRECT("1:"&amp;LEN((--TRIM(RIGHT(SUBSTITUTE(LEFT(A268,_xlfn.AGGREGATE(16,6,FIND({0,1,2,3,4,5,6,7,8,9},A268,ROW(INDIRECT("1:"&amp;LEN(A268)))),1))," ",REPT(" ",LEN(A268))),LEN(A268))))))), 0), ROW(INDIRECT("1:"&amp;LEN((--TRIM(RIGHT(SUBSTITUTE(LEFT(A268,_xlfn.AGGREGATE(16,6,FIND({0,1,2,3,4,5,6,7,8,9},A268,ROW(INDIRECT("1:"&amp;LEN(A268)))),1))," ",REPT(" ",LEN(A268))),LEN(A268))))))))+1, 1) * 10^ROW(INDIRECT("1:"&amp;LEN((--TRIM(RIGHT(SUBSTITUTE(LEFT(A268,_xlfn.AGGREGATE(16,6,FIND({0,1,2,3,4,5,6,7,8,9},A268,ROW(INDIRECT("1:"&amp;LEN(A268)))),1))," ",REPT(" ",LEN(A268))),LEN(A268)))))))/10))*1+1</f>
        <v>303 ,.., 1503</v>
      </c>
      <c r="B269" s="107"/>
      <c r="C269" s="42"/>
      <c r="D269" s="42"/>
      <c r="E269" s="57">
        <v>0</v>
      </c>
      <c r="F269" s="57">
        <f>D269+E269</f>
        <v>0</v>
      </c>
      <c r="G269" s="57">
        <v>0</v>
      </c>
      <c r="H269" s="57">
        <f>F269*(($H$190)+1)+(IF(G269&lt;101,G269,IF(G269&lt;201,G269/2,IF(G269&lt;=301,G269/3,G269/4))))</f>
        <v>0</v>
      </c>
      <c r="I269" s="36"/>
      <c r="J269" s="84"/>
      <c r="K269" s="84"/>
      <c r="L269" s="84"/>
      <c r="M269" s="84"/>
      <c r="N269" s="84"/>
      <c r="O269" s="84"/>
      <c r="P269" s="84"/>
    </row>
    <row r="270" spans="1:16" s="37" customFormat="1" ht="15.75" hidden="1" customHeight="1" x14ac:dyDescent="0.35">
      <c r="A270" s="106" t="str">
        <f ca="1">(SUMPRODUCT(MID(0&amp;(LEFT(A269,SUM(LEN(A269)-LEN(SUBSTITUTE(A269,{"0","1","2"},""))))), LARGE(INDEX(ISNUMBER(--MID((LEFT(A269,SUM(LEN(A269)-LEN(SUBSTITUTE(A269,{"0","1","2"},""))))), ROW(INDIRECT("1:"&amp;LEN((LEFT(A269,SUM(LEN(A269)-LEN(SUBSTITUTE(A269,{"0","1","2"},"")))))))), 1)) * ROW(INDIRECT("1:"&amp;LEN((LEFT(A269,SUM(LEN(A269)-LEN(SUBSTITUTE(A269,{"0","1","2"},"")))))))), 0), ROW(INDIRECT("1:"&amp;LEN((LEFT(A269,SUM(LEN(A269)-LEN(SUBSTITUTE(A269,{"0","1","2"},"")))))))))+1, 1) * 10^ROW(INDIRECT("1:"&amp;LEN((LEFT(A269,SUM(LEN(A269)-LEN(SUBSTITUTE(A269,{"0","1","2"},""))))))))/10))*1+1&amp;""&amp;" ,.., "&amp;""&amp;(SUMPRODUCT(MID(0&amp;(--TRIM(RIGHT(SUBSTITUTE(LEFT(A269,_xlfn.AGGREGATE(16,6,FIND({0,1,2,3,4,5,6,7,8,9},A269,ROW(INDIRECT("1:"&amp;LEN(A269)))),1))," ",REPT(" ",LEN(A269))),LEN(A269)))), LARGE(INDEX(ISNUMBER(--MID((--TRIM(RIGHT(SUBSTITUTE(LEFT(A269,_xlfn.AGGREGATE(16,6,FIND({0,1,2,3,4,5,6,7,8,9},A269,ROW(INDIRECT("1:"&amp;LEN(A269)))),1))," ",REPT(" ",LEN(A269))),LEN(A269)))), ROW(INDIRECT("1:"&amp;LEN((--TRIM(RIGHT(SUBSTITUTE(LEFT(A269,_xlfn.AGGREGATE(16,6,FIND({0,1,2,3,4,5,6,7,8,9},A269,ROW(INDIRECT("1:"&amp;LEN(A269)))),1))," ",REPT(" ",LEN(A269))),LEN(A269))))))), 1)) * ROW(INDIRECT("1:"&amp;LEN((--TRIM(RIGHT(SUBSTITUTE(LEFT(A269,_xlfn.AGGREGATE(16,6,FIND({0,1,2,3,4,5,6,7,8,9},A269,ROW(INDIRECT("1:"&amp;LEN(A269)))),1))," ",REPT(" ",LEN(A269))),LEN(A269))))))), 0), ROW(INDIRECT("1:"&amp;LEN((--TRIM(RIGHT(SUBSTITUTE(LEFT(A269,_xlfn.AGGREGATE(16,6,FIND({0,1,2,3,4,5,6,7,8,9},A269,ROW(INDIRECT("1:"&amp;LEN(A269)))),1))," ",REPT(" ",LEN(A269))),LEN(A269))))))))+1, 1) * 10^ROW(INDIRECT("1:"&amp;LEN((--TRIM(RIGHT(SUBSTITUTE(LEFT(A269,_xlfn.AGGREGATE(16,6,FIND({0,1,2,3,4,5,6,7,8,9},A269,ROW(INDIRECT("1:"&amp;LEN(A269)))),1))," ",REPT(" ",LEN(A269))),LEN(A269)))))))/10))*1+1</f>
        <v>304 ,.., 1504</v>
      </c>
      <c r="B270" s="107"/>
      <c r="C270" s="42"/>
      <c r="D270" s="42"/>
      <c r="E270" s="57">
        <v>0</v>
      </c>
      <c r="F270" s="57">
        <f>D270+E270</f>
        <v>0</v>
      </c>
      <c r="G270" s="57">
        <v>0</v>
      </c>
      <c r="H270" s="57">
        <f>F270*(($H$190)+1)+(IF(G270&lt;101,G270,IF(G270&lt;201,G270/2,IF(G270&lt;=301,G270/3,G270/4))))</f>
        <v>0</v>
      </c>
      <c r="I270" s="36"/>
      <c r="J270" s="84"/>
      <c r="K270" s="84"/>
      <c r="L270" s="84"/>
      <c r="M270" s="84"/>
      <c r="N270" s="84"/>
      <c r="O270" s="84"/>
      <c r="P270" s="84"/>
    </row>
    <row r="271" spans="1:16" s="37" customFormat="1" ht="15.75" hidden="1" customHeight="1" x14ac:dyDescent="0.35">
      <c r="A271" s="106" t="str">
        <f ca="1">(SUMPRODUCT(MID(0&amp;(LEFT(A270,SUM(LEN(A270)-LEN(SUBSTITUTE(A270,{"0","1","2"},""))))), LARGE(INDEX(ISNUMBER(--MID((LEFT(A270,SUM(LEN(A270)-LEN(SUBSTITUTE(A270,{"0","1","2"},""))))), ROW(INDIRECT("1:"&amp;LEN((LEFT(A270,SUM(LEN(A270)-LEN(SUBSTITUTE(A270,{"0","1","2"},"")))))))), 1)) * ROW(INDIRECT("1:"&amp;LEN((LEFT(A270,SUM(LEN(A270)-LEN(SUBSTITUTE(A270,{"0","1","2"},"")))))))), 0), ROW(INDIRECT("1:"&amp;LEN((LEFT(A270,SUM(LEN(A270)-LEN(SUBSTITUTE(A270,{"0","1","2"},"")))))))))+1, 1) * 10^ROW(INDIRECT("1:"&amp;LEN((LEFT(A270,SUM(LEN(A270)-LEN(SUBSTITUTE(A270,{"0","1","2"},""))))))))/10))*1+1&amp;""&amp;" ,.., "&amp;""&amp;(SUMPRODUCT(MID(0&amp;(--TRIM(RIGHT(SUBSTITUTE(LEFT(A270,_xlfn.AGGREGATE(16,6,FIND({0,1,2,3,4,5,6,7,8,9},A270,ROW(INDIRECT("1:"&amp;LEN(A270)))),1))," ",REPT(" ",LEN(A270))),LEN(A270)))), LARGE(INDEX(ISNUMBER(--MID((--TRIM(RIGHT(SUBSTITUTE(LEFT(A270,_xlfn.AGGREGATE(16,6,FIND({0,1,2,3,4,5,6,7,8,9},A270,ROW(INDIRECT("1:"&amp;LEN(A270)))),1))," ",REPT(" ",LEN(A270))),LEN(A270)))), ROW(INDIRECT("1:"&amp;LEN((--TRIM(RIGHT(SUBSTITUTE(LEFT(A270,_xlfn.AGGREGATE(16,6,FIND({0,1,2,3,4,5,6,7,8,9},A270,ROW(INDIRECT("1:"&amp;LEN(A270)))),1))," ",REPT(" ",LEN(A270))),LEN(A270))))))), 1)) * ROW(INDIRECT("1:"&amp;LEN((--TRIM(RIGHT(SUBSTITUTE(LEFT(A270,_xlfn.AGGREGATE(16,6,FIND({0,1,2,3,4,5,6,7,8,9},A270,ROW(INDIRECT("1:"&amp;LEN(A270)))),1))," ",REPT(" ",LEN(A270))),LEN(A270))))))), 0), ROW(INDIRECT("1:"&amp;LEN((--TRIM(RIGHT(SUBSTITUTE(LEFT(A270,_xlfn.AGGREGATE(16,6,FIND({0,1,2,3,4,5,6,7,8,9},A270,ROW(INDIRECT("1:"&amp;LEN(A270)))),1))," ",REPT(" ",LEN(A270))),LEN(A270))))))))+1, 1) * 10^ROW(INDIRECT("1:"&amp;LEN((--TRIM(RIGHT(SUBSTITUTE(LEFT(A270,_xlfn.AGGREGATE(16,6,FIND({0,1,2,3,4,5,6,7,8,9},A270,ROW(INDIRECT("1:"&amp;LEN(A270)))),1))," ",REPT(" ",LEN(A270))),LEN(A270)))))))/10))*1+1</f>
        <v>305 ,.., 1505</v>
      </c>
      <c r="B271" s="107"/>
      <c r="C271" s="42"/>
      <c r="D271" s="42"/>
      <c r="E271" s="57">
        <v>0</v>
      </c>
      <c r="F271" s="57">
        <f>D271+E271</f>
        <v>0</v>
      </c>
      <c r="G271" s="57">
        <v>0</v>
      </c>
      <c r="H271" s="57">
        <f>F271*(($H$190)+1)+(IF(G271&lt;101,G271,IF(G271&lt;201,G271/2,IF(G271&lt;=301,G271/3,G271/4))))</f>
        <v>0</v>
      </c>
      <c r="I271" s="36"/>
      <c r="J271" s="84"/>
      <c r="K271" s="84"/>
      <c r="L271" s="84"/>
      <c r="M271" s="84"/>
      <c r="N271" s="84"/>
      <c r="O271" s="84"/>
      <c r="P271" s="84"/>
    </row>
    <row r="272" spans="1:16" s="37" customFormat="1" ht="15.65" hidden="1" customHeight="1" x14ac:dyDescent="0.35">
      <c r="A272" s="113" t="s">
        <v>144</v>
      </c>
      <c r="B272" s="114"/>
      <c r="C272" s="114"/>
      <c r="D272" s="114"/>
      <c r="E272" s="114"/>
      <c r="F272" s="114"/>
      <c r="G272" s="114"/>
      <c r="H272" s="115"/>
      <c r="I272" s="36"/>
      <c r="J272" s="84"/>
      <c r="K272" s="84"/>
      <c r="L272" s="84"/>
      <c r="M272" s="84"/>
      <c r="N272" s="84"/>
      <c r="O272" s="84"/>
      <c r="P272" s="84"/>
    </row>
    <row r="273" spans="1:20" s="37" customFormat="1" ht="15.75" hidden="1" customHeight="1" x14ac:dyDescent="0.35">
      <c r="A273" s="106" t="str">
        <f ca="1">(SUMPRODUCT(MID(0&amp;(LEFT(A272,SUM(LEN(A272)-LEN(SUBSTITUTE(A272,{"0","1","2"},""))))), LARGE(INDEX(ISNUMBER(--MID((LEFT(A272,SUM(LEN(A272)-LEN(SUBSTITUTE(A272,{"0","1","2"},""))))), ROW(INDIRECT("1:"&amp;LEN((LEFT(A272,SUM(LEN(A272)-LEN(SUBSTITUTE(A272,{"0","1","2"},"")))))))), 1)) * ROW(INDIRECT("1:"&amp;LEN((LEFT(A272,SUM(LEN(A272)-LEN(SUBSTITUTE(A272,{"0","1","2"},"")))))))), 0), ROW(INDIRECT("1:"&amp;LEN((LEFT(A272,SUM(LEN(A272)-LEN(SUBSTITUTE(A272,{"0","1","2"},"")))))))))+1, 1) * 10^ROW(INDIRECT("1:"&amp;LEN((LEFT(A272,SUM(LEN(A272)-LEN(SUBSTITUTE(A272,{"0","1","2"},""))))))))/10))*100+1&amp;""&amp;" to "&amp;""&amp;(SUMPRODUCT(MID(0&amp;(--TRIM(RIGHT(SUBSTITUTE(LEFT(A272,_xlfn.AGGREGATE(16,6,FIND({0,1,2,3,4,5,6,7,8,9},A272,ROW(INDIRECT("1:"&amp;LEN(A272)))),1))," ",REPT(" ",LEN(A272))),LEN(A272)))), LARGE(INDEX(ISNUMBER(--MID((--TRIM(RIGHT(SUBSTITUTE(LEFT(A272,_xlfn.AGGREGATE(16,6,FIND({0,1,2,3,4,5,6,7,8,9},A272,ROW(INDIRECT("1:"&amp;LEN(A272)))),1))," ",REPT(" ",LEN(A272))),LEN(A272)))), ROW(INDIRECT("1:"&amp;LEN((--TRIM(RIGHT(SUBSTITUTE(LEFT(A272,_xlfn.AGGREGATE(16,6,FIND({0,1,2,3,4,5,6,7,8,9},A272,ROW(INDIRECT("1:"&amp;LEN(A272)))),1))," ",REPT(" ",LEN(A272))),LEN(A272))))))), 1)) * ROW(INDIRECT("1:"&amp;LEN((--TRIM(RIGHT(SUBSTITUTE(LEFT(A272,_xlfn.AGGREGATE(16,6,FIND({0,1,2,3,4,5,6,7,8,9},A272,ROW(INDIRECT("1:"&amp;LEN(A272)))),1))," ",REPT(" ",LEN(A272))),LEN(A272))))))), 0), ROW(INDIRECT("1:"&amp;LEN((--TRIM(RIGHT(SUBSTITUTE(LEFT(A272,_xlfn.AGGREGATE(16,6,FIND({0,1,2,3,4,5,6,7,8,9},A272,ROW(INDIRECT("1:"&amp;LEN(A272)))),1))," ",REPT(" ",LEN(A272))),LEN(A272))))))))+1, 1) * 10^ROW(INDIRECT("1:"&amp;LEN((--TRIM(RIGHT(SUBSTITUTE(LEFT(A272,_xlfn.AGGREGATE(16,6,FIND({0,1,2,3,4,5,6,7,8,9},A272,ROW(INDIRECT("1:"&amp;LEN(A272)))),1))," ",REPT(" ",LEN(A272))),LEN(A272)))))))/10))*100+1</f>
        <v>201 to 501</v>
      </c>
      <c r="B273" s="107"/>
      <c r="C273" s="42"/>
      <c r="D273" s="42"/>
      <c r="E273" s="57">
        <v>0</v>
      </c>
      <c r="F273" s="57">
        <f>D273+E273</f>
        <v>0</v>
      </c>
      <c r="G273" s="57">
        <v>0</v>
      </c>
      <c r="H273" s="57">
        <f>F273*(($H$190)+1)+(IF(G273&lt;101,G273,IF(G273&lt;201,G273/2,IF(G273&lt;=301,G273/3,G273/4))))</f>
        <v>0</v>
      </c>
      <c r="I273" s="36"/>
      <c r="J273" s="84"/>
      <c r="K273" s="84"/>
      <c r="L273" s="84"/>
      <c r="M273" s="84"/>
      <c r="N273" s="84"/>
      <c r="O273" s="84"/>
      <c r="P273" s="84"/>
    </row>
    <row r="274" spans="1:20" s="37" customFormat="1" ht="15.75" hidden="1" customHeight="1" x14ac:dyDescent="0.35">
      <c r="A274" s="106" t="str">
        <f ca="1">(SUMPRODUCT(MID(0&amp;(LEFT(A273,SUM(LEN(A273)-LEN(SUBSTITUTE(A273,{"0","1","2"},""))))), LARGE(INDEX(ISNUMBER(--MID((LEFT(A273,SUM(LEN(A273)-LEN(SUBSTITUTE(A273,{"0","1","2"},""))))), ROW(INDIRECT("1:"&amp;LEN((LEFT(A273,SUM(LEN(A273)-LEN(SUBSTITUTE(A273,{"0","1","2"},"")))))))), 1)) * ROW(INDIRECT("1:"&amp;LEN((LEFT(A273,SUM(LEN(A273)-LEN(SUBSTITUTE(A273,{"0","1","2"},"")))))))), 0), ROW(INDIRECT("1:"&amp;LEN((LEFT(A273,SUM(LEN(A273)-LEN(SUBSTITUTE(A273,{"0","1","2"},"")))))))))+1, 1) * 10^ROW(INDIRECT("1:"&amp;LEN((LEFT(A273,SUM(LEN(A273)-LEN(SUBSTITUTE(A273,{"0","1","2"},""))))))))/10))*1+1&amp;""&amp;" to "&amp;""&amp;(SUMPRODUCT(MID(0&amp;(--TRIM(RIGHT(SUBSTITUTE(LEFT(A273,_xlfn.AGGREGATE(16,6,FIND({0,1,2,3,4,5,6,7,8,9},A273,ROW(INDIRECT("1:"&amp;LEN(A273)))),1))," ",REPT(" ",LEN(A273))),LEN(A273)))), LARGE(INDEX(ISNUMBER(--MID((--TRIM(RIGHT(SUBSTITUTE(LEFT(A273,_xlfn.AGGREGATE(16,6,FIND({0,1,2,3,4,5,6,7,8,9},A273,ROW(INDIRECT("1:"&amp;LEN(A273)))),1))," ",REPT(" ",LEN(A273))),LEN(A273)))), ROW(INDIRECT("1:"&amp;LEN((--TRIM(RIGHT(SUBSTITUTE(LEFT(A273,_xlfn.AGGREGATE(16,6,FIND({0,1,2,3,4,5,6,7,8,9},A273,ROW(INDIRECT("1:"&amp;LEN(A273)))),1))," ",REPT(" ",LEN(A273))),LEN(A273))))))), 1)) * ROW(INDIRECT("1:"&amp;LEN((--TRIM(RIGHT(SUBSTITUTE(LEFT(A273,_xlfn.AGGREGATE(16,6,FIND({0,1,2,3,4,5,6,7,8,9},A273,ROW(INDIRECT("1:"&amp;LEN(A273)))),1))," ",REPT(" ",LEN(A273))),LEN(A273))))))), 0), ROW(INDIRECT("1:"&amp;LEN((--TRIM(RIGHT(SUBSTITUTE(LEFT(A273,_xlfn.AGGREGATE(16,6,FIND({0,1,2,3,4,5,6,7,8,9},A273,ROW(INDIRECT("1:"&amp;LEN(A273)))),1))," ",REPT(" ",LEN(A273))),LEN(A273))))))))+1, 1) * 10^ROW(INDIRECT("1:"&amp;LEN((--TRIM(RIGHT(SUBSTITUTE(LEFT(A273,_xlfn.AGGREGATE(16,6,FIND({0,1,2,3,4,5,6,7,8,9},A273,ROW(INDIRECT("1:"&amp;LEN(A273)))),1))," ",REPT(" ",LEN(A273))),LEN(A273)))))))/10))*1+1</f>
        <v>202 to 502</v>
      </c>
      <c r="B274" s="107"/>
      <c r="C274" s="42"/>
      <c r="D274" s="42"/>
      <c r="E274" s="57">
        <v>0</v>
      </c>
      <c r="F274" s="57">
        <f>D274+E274</f>
        <v>0</v>
      </c>
      <c r="G274" s="57">
        <v>0</v>
      </c>
      <c r="H274" s="57">
        <f>F274*(($H$190)+1)+(IF(G274&lt;101,G274,IF(G274&lt;201,G274/2,IF(G274&lt;=301,G274/3,G274/4))))</f>
        <v>0</v>
      </c>
      <c r="I274" s="36"/>
      <c r="J274" s="84"/>
      <c r="K274" s="84"/>
      <c r="L274" s="84"/>
      <c r="M274" s="84"/>
      <c r="N274" s="84"/>
      <c r="O274" s="84"/>
      <c r="P274" s="84"/>
    </row>
    <row r="275" spans="1:20" s="37" customFormat="1" ht="15.75" hidden="1" customHeight="1" x14ac:dyDescent="0.35">
      <c r="A275" s="106" t="str">
        <f ca="1">(SUMPRODUCT(MID(0&amp;(LEFT(A274,SUM(LEN(A274)-LEN(SUBSTITUTE(A274,{"0","1","2"},""))))), LARGE(INDEX(ISNUMBER(--MID((LEFT(A274,SUM(LEN(A274)-LEN(SUBSTITUTE(A274,{"0","1","2"},""))))), ROW(INDIRECT("1:"&amp;LEN((LEFT(A274,SUM(LEN(A274)-LEN(SUBSTITUTE(A274,{"0","1","2"},"")))))))), 1)) * ROW(INDIRECT("1:"&amp;LEN((LEFT(A274,SUM(LEN(A274)-LEN(SUBSTITUTE(A274,{"0","1","2"},"")))))))), 0), ROW(INDIRECT("1:"&amp;LEN((LEFT(A274,SUM(LEN(A274)-LEN(SUBSTITUTE(A274,{"0","1","2"},"")))))))))+1, 1) * 10^ROW(INDIRECT("1:"&amp;LEN((LEFT(A274,SUM(LEN(A274)-LEN(SUBSTITUTE(A274,{"0","1","2"},""))))))))/10))*1+1&amp;""&amp;" to "&amp;""&amp;(SUMPRODUCT(MID(0&amp;(--TRIM(RIGHT(SUBSTITUTE(LEFT(A274,_xlfn.AGGREGATE(16,6,FIND({0,1,2,3,4,5,6,7,8,9},A274,ROW(INDIRECT("1:"&amp;LEN(A274)))),1))," ",REPT(" ",LEN(A274))),LEN(A274)))), LARGE(INDEX(ISNUMBER(--MID((--TRIM(RIGHT(SUBSTITUTE(LEFT(A274,_xlfn.AGGREGATE(16,6,FIND({0,1,2,3,4,5,6,7,8,9},A274,ROW(INDIRECT("1:"&amp;LEN(A274)))),1))," ",REPT(" ",LEN(A274))),LEN(A274)))), ROW(INDIRECT("1:"&amp;LEN((--TRIM(RIGHT(SUBSTITUTE(LEFT(A274,_xlfn.AGGREGATE(16,6,FIND({0,1,2,3,4,5,6,7,8,9},A274,ROW(INDIRECT("1:"&amp;LEN(A274)))),1))," ",REPT(" ",LEN(A274))),LEN(A274))))))), 1)) * ROW(INDIRECT("1:"&amp;LEN((--TRIM(RIGHT(SUBSTITUTE(LEFT(A274,_xlfn.AGGREGATE(16,6,FIND({0,1,2,3,4,5,6,7,8,9},A274,ROW(INDIRECT("1:"&amp;LEN(A274)))),1))," ",REPT(" ",LEN(A274))),LEN(A274))))))), 0), ROW(INDIRECT("1:"&amp;LEN((--TRIM(RIGHT(SUBSTITUTE(LEFT(A274,_xlfn.AGGREGATE(16,6,FIND({0,1,2,3,4,5,6,7,8,9},A274,ROW(INDIRECT("1:"&amp;LEN(A274)))),1))," ",REPT(" ",LEN(A274))),LEN(A274))))))))+1, 1) * 10^ROW(INDIRECT("1:"&amp;LEN((--TRIM(RIGHT(SUBSTITUTE(LEFT(A274,_xlfn.AGGREGATE(16,6,FIND({0,1,2,3,4,5,6,7,8,9},A274,ROW(INDIRECT("1:"&amp;LEN(A274)))),1))," ",REPT(" ",LEN(A274))),LEN(A274)))))))/10))*1+1</f>
        <v>203 to 503</v>
      </c>
      <c r="B275" s="107"/>
      <c r="C275" s="42"/>
      <c r="D275" s="42"/>
      <c r="E275" s="57">
        <v>0</v>
      </c>
      <c r="F275" s="57">
        <f>D275+E275</f>
        <v>0</v>
      </c>
      <c r="G275" s="57">
        <v>0</v>
      </c>
      <c r="H275" s="57">
        <f>F275*(($H$190)+1)+(IF(G275&lt;101,G275,IF(G275&lt;201,G275/2,IF(G275&lt;=301,G275/3,G275/4))))</f>
        <v>0</v>
      </c>
      <c r="I275" s="36"/>
      <c r="J275" s="84"/>
      <c r="K275" s="84"/>
      <c r="L275" s="84"/>
      <c r="M275" s="84"/>
      <c r="N275" s="84"/>
      <c r="O275" s="84"/>
      <c r="P275" s="84"/>
    </row>
    <row r="276" spans="1:20" s="37" customFormat="1" ht="15.75" hidden="1" customHeight="1" x14ac:dyDescent="0.35">
      <c r="A276" s="106" t="str">
        <f ca="1">(SUMPRODUCT(MID(0&amp;(LEFT(A275,SUM(LEN(A275)-LEN(SUBSTITUTE(A275,{"0","1","2"},""))))), LARGE(INDEX(ISNUMBER(--MID((LEFT(A275,SUM(LEN(A275)-LEN(SUBSTITUTE(A275,{"0","1","2"},""))))), ROW(INDIRECT("1:"&amp;LEN((LEFT(A275,SUM(LEN(A275)-LEN(SUBSTITUTE(A275,{"0","1","2"},"")))))))), 1)) * ROW(INDIRECT("1:"&amp;LEN((LEFT(A275,SUM(LEN(A275)-LEN(SUBSTITUTE(A275,{"0","1","2"},"")))))))), 0), ROW(INDIRECT("1:"&amp;LEN((LEFT(A275,SUM(LEN(A275)-LEN(SUBSTITUTE(A275,{"0","1","2"},"")))))))))+1, 1) * 10^ROW(INDIRECT("1:"&amp;LEN((LEFT(A275,SUM(LEN(A275)-LEN(SUBSTITUTE(A275,{"0","1","2"},""))))))))/10))*1+1&amp;""&amp;" to "&amp;""&amp;(SUMPRODUCT(MID(0&amp;(--TRIM(RIGHT(SUBSTITUTE(LEFT(A275,_xlfn.AGGREGATE(16,6,FIND({0,1,2,3,4,5,6,7,8,9},A275,ROW(INDIRECT("1:"&amp;LEN(A275)))),1))," ",REPT(" ",LEN(A275))),LEN(A275)))), LARGE(INDEX(ISNUMBER(--MID((--TRIM(RIGHT(SUBSTITUTE(LEFT(A275,_xlfn.AGGREGATE(16,6,FIND({0,1,2,3,4,5,6,7,8,9},A275,ROW(INDIRECT("1:"&amp;LEN(A275)))),1))," ",REPT(" ",LEN(A275))),LEN(A275)))), ROW(INDIRECT("1:"&amp;LEN((--TRIM(RIGHT(SUBSTITUTE(LEFT(A275,_xlfn.AGGREGATE(16,6,FIND({0,1,2,3,4,5,6,7,8,9},A275,ROW(INDIRECT("1:"&amp;LEN(A275)))),1))," ",REPT(" ",LEN(A275))),LEN(A275))))))), 1)) * ROW(INDIRECT("1:"&amp;LEN((--TRIM(RIGHT(SUBSTITUTE(LEFT(A275,_xlfn.AGGREGATE(16,6,FIND({0,1,2,3,4,5,6,7,8,9},A275,ROW(INDIRECT("1:"&amp;LEN(A275)))),1))," ",REPT(" ",LEN(A275))),LEN(A275))))))), 0), ROW(INDIRECT("1:"&amp;LEN((--TRIM(RIGHT(SUBSTITUTE(LEFT(A275,_xlfn.AGGREGATE(16,6,FIND({0,1,2,3,4,5,6,7,8,9},A275,ROW(INDIRECT("1:"&amp;LEN(A275)))),1))," ",REPT(" ",LEN(A275))),LEN(A275))))))))+1, 1) * 10^ROW(INDIRECT("1:"&amp;LEN((--TRIM(RIGHT(SUBSTITUTE(LEFT(A275,_xlfn.AGGREGATE(16,6,FIND({0,1,2,3,4,5,6,7,8,9},A275,ROW(INDIRECT("1:"&amp;LEN(A275)))),1))," ",REPT(" ",LEN(A275))),LEN(A275)))))))/10))*1+1</f>
        <v>204 to 504</v>
      </c>
      <c r="B276" s="107"/>
      <c r="C276" s="42"/>
      <c r="D276" s="42"/>
      <c r="E276" s="57">
        <v>0</v>
      </c>
      <c r="F276" s="57">
        <f>D276+E276</f>
        <v>0</v>
      </c>
      <c r="G276" s="57">
        <v>0</v>
      </c>
      <c r="H276" s="57">
        <f>F276*(($H$190)+1)+(IF(G276&lt;101,G276,IF(G276&lt;201,G276/2,IF(G276&lt;=301,G276/3,G276/4))))</f>
        <v>0</v>
      </c>
      <c r="I276" s="36"/>
      <c r="J276" s="84"/>
      <c r="K276" s="84"/>
      <c r="L276" s="84"/>
      <c r="M276" s="84"/>
      <c r="N276" s="84"/>
      <c r="O276" s="84"/>
      <c r="P276" s="84"/>
    </row>
    <row r="277" spans="1:20" s="37" customFormat="1" ht="15.75" hidden="1" customHeight="1" x14ac:dyDescent="0.35">
      <c r="A277" s="106" t="str">
        <f ca="1">(SUMPRODUCT(MID(0&amp;(LEFT(A276,SUM(LEN(A276)-LEN(SUBSTITUTE(A276,{"0","1","2"},""))))), LARGE(INDEX(ISNUMBER(--MID((LEFT(A276,SUM(LEN(A276)-LEN(SUBSTITUTE(A276,{"0","1","2"},""))))), ROW(INDIRECT("1:"&amp;LEN((LEFT(A276,SUM(LEN(A276)-LEN(SUBSTITUTE(A276,{"0","1","2"},"")))))))), 1)) * ROW(INDIRECT("1:"&amp;LEN((LEFT(A276,SUM(LEN(A276)-LEN(SUBSTITUTE(A276,{"0","1","2"},"")))))))), 0), ROW(INDIRECT("1:"&amp;LEN((LEFT(A276,SUM(LEN(A276)-LEN(SUBSTITUTE(A276,{"0","1","2"},"")))))))))+1, 1) * 10^ROW(INDIRECT("1:"&amp;LEN((LEFT(A276,SUM(LEN(A276)-LEN(SUBSTITUTE(A276,{"0","1","2"},""))))))))/10))*1+1&amp;""&amp;" to "&amp;""&amp;(SUMPRODUCT(MID(0&amp;(--TRIM(RIGHT(SUBSTITUTE(LEFT(A276,_xlfn.AGGREGATE(16,6,FIND({0,1,2,3,4,5,6,7,8,9},A276,ROW(INDIRECT("1:"&amp;LEN(A276)))),1))," ",REPT(" ",LEN(A276))),LEN(A276)))), LARGE(INDEX(ISNUMBER(--MID((--TRIM(RIGHT(SUBSTITUTE(LEFT(A276,_xlfn.AGGREGATE(16,6,FIND({0,1,2,3,4,5,6,7,8,9},A276,ROW(INDIRECT("1:"&amp;LEN(A276)))),1))," ",REPT(" ",LEN(A276))),LEN(A276)))), ROW(INDIRECT("1:"&amp;LEN((--TRIM(RIGHT(SUBSTITUTE(LEFT(A276,_xlfn.AGGREGATE(16,6,FIND({0,1,2,3,4,5,6,7,8,9},A276,ROW(INDIRECT("1:"&amp;LEN(A276)))),1))," ",REPT(" ",LEN(A276))),LEN(A276))))))), 1)) * ROW(INDIRECT("1:"&amp;LEN((--TRIM(RIGHT(SUBSTITUTE(LEFT(A276,_xlfn.AGGREGATE(16,6,FIND({0,1,2,3,4,5,6,7,8,9},A276,ROW(INDIRECT("1:"&amp;LEN(A276)))),1))," ",REPT(" ",LEN(A276))),LEN(A276))))))), 0), ROW(INDIRECT("1:"&amp;LEN((--TRIM(RIGHT(SUBSTITUTE(LEFT(A276,_xlfn.AGGREGATE(16,6,FIND({0,1,2,3,4,5,6,7,8,9},A276,ROW(INDIRECT("1:"&amp;LEN(A276)))),1))," ",REPT(" ",LEN(A276))),LEN(A276))))))))+1, 1) * 10^ROW(INDIRECT("1:"&amp;LEN((--TRIM(RIGHT(SUBSTITUTE(LEFT(A276,_xlfn.AGGREGATE(16,6,FIND({0,1,2,3,4,5,6,7,8,9},A276,ROW(INDIRECT("1:"&amp;LEN(A276)))),1))," ",REPT(" ",LEN(A276))),LEN(A276)))))))/10))*1+1</f>
        <v>205 to 505</v>
      </c>
      <c r="B277" s="107"/>
      <c r="C277" s="42"/>
      <c r="D277" s="42"/>
      <c r="E277" s="57">
        <v>0</v>
      </c>
      <c r="F277" s="57">
        <f>D277+E277</f>
        <v>0</v>
      </c>
      <c r="G277" s="57">
        <v>0</v>
      </c>
      <c r="H277" s="57">
        <f>F277*(($H$190)+1)+(IF(G277&lt;101,G277,IF(G277&lt;201,G277/2,IF(G277&lt;=301,G277/3,G277/4))))</f>
        <v>0</v>
      </c>
      <c r="I277" s="36"/>
      <c r="J277" s="84"/>
      <c r="K277" s="84"/>
      <c r="L277" s="84"/>
      <c r="M277" s="84"/>
      <c r="N277" s="84"/>
      <c r="O277" s="84"/>
      <c r="P277" s="84"/>
    </row>
    <row r="278" spans="1:20" s="37" customFormat="1" ht="15.65" hidden="1" customHeight="1" x14ac:dyDescent="0.35">
      <c r="A278" s="113" t="s">
        <v>145</v>
      </c>
      <c r="B278" s="114"/>
      <c r="C278" s="114"/>
      <c r="D278" s="114"/>
      <c r="E278" s="114"/>
      <c r="F278" s="114"/>
      <c r="G278" s="114"/>
      <c r="H278" s="115"/>
      <c r="I278" s="36"/>
      <c r="J278" s="84"/>
      <c r="K278" s="84"/>
      <c r="L278" s="84"/>
      <c r="M278" s="84"/>
      <c r="N278" s="84"/>
      <c r="O278" s="84"/>
      <c r="P278" s="84"/>
    </row>
    <row r="279" spans="1:20" s="37" customFormat="1" ht="15.75" hidden="1" customHeight="1" x14ac:dyDescent="0.35">
      <c r="A279" s="106" t="str">
        <f ca="1">(SUMPRODUCT(MID(0&amp;(LEFT(A278,SUM(LEN(A278)-LEN(SUBSTITUTE(A278,{"0","1","2"},""))))), LARGE(INDEX(ISNUMBER(--MID((LEFT(A278,SUM(LEN(A278)-LEN(SUBSTITUTE(A278,{"0","1","2"},""))))), ROW(INDIRECT("1:"&amp;LEN((LEFT(A278,SUM(LEN(A278)-LEN(SUBSTITUTE(A278,{"0","1","2"},"")))))))), 1)) * ROW(INDIRECT("1:"&amp;LEN((LEFT(A278,SUM(LEN(A278)-LEN(SUBSTITUTE(A278,{"0","1","2"},"")))))))), 0), ROW(INDIRECT("1:"&amp;LEN((LEFT(A278,SUM(LEN(A278)-LEN(SUBSTITUTE(A278,{"0","1","2"},"")))))))))+1, 1) * 10^ROW(INDIRECT("1:"&amp;LEN((LEFT(A278,SUM(LEN(A278)-LEN(SUBSTITUTE(A278,{"0","1","2"},""))))))))/10))*100+1&amp;""&amp;" &amp; "&amp;""&amp;(SUMPRODUCT(MID(0&amp;(--TRIM(RIGHT(SUBSTITUTE(LEFT(A278,_xlfn.AGGREGATE(16,6,FIND({0,1,2,3,4,5,6,7,8,9},A278,ROW(INDIRECT("1:"&amp;LEN(A278)))),1))," ",REPT(" ",LEN(A278))),LEN(A278)))), LARGE(INDEX(ISNUMBER(--MID((--TRIM(RIGHT(SUBSTITUTE(LEFT(A278,_xlfn.AGGREGATE(16,6,FIND({0,1,2,3,4,5,6,7,8,9},A278,ROW(INDIRECT("1:"&amp;LEN(A278)))),1))," ",REPT(" ",LEN(A278))),LEN(A278)))), ROW(INDIRECT("1:"&amp;LEN((--TRIM(RIGHT(SUBSTITUTE(LEFT(A278,_xlfn.AGGREGATE(16,6,FIND({0,1,2,3,4,5,6,7,8,9},A278,ROW(INDIRECT("1:"&amp;LEN(A278)))),1))," ",REPT(" ",LEN(A278))),LEN(A278))))))), 1)) * ROW(INDIRECT("1:"&amp;LEN((--TRIM(RIGHT(SUBSTITUTE(LEFT(A278,_xlfn.AGGREGATE(16,6,FIND({0,1,2,3,4,5,6,7,8,9},A278,ROW(INDIRECT("1:"&amp;LEN(A278)))),1))," ",REPT(" ",LEN(A278))),LEN(A278))))))), 0), ROW(INDIRECT("1:"&amp;LEN((--TRIM(RIGHT(SUBSTITUTE(LEFT(A278,_xlfn.AGGREGATE(16,6,FIND({0,1,2,3,4,5,6,7,8,9},A278,ROW(INDIRECT("1:"&amp;LEN(A278)))),1))," ",REPT(" ",LEN(A278))),LEN(A278))))))))+1, 1) * 10^ROW(INDIRECT("1:"&amp;LEN((--TRIM(RIGHT(SUBSTITUTE(LEFT(A278,_xlfn.AGGREGATE(16,6,FIND({0,1,2,3,4,5,6,7,8,9},A278,ROW(INDIRECT("1:"&amp;LEN(A278)))),1))," ",REPT(" ",LEN(A278))),LEN(A278)))))))/10))*100+1</f>
        <v>201 &amp; 501</v>
      </c>
      <c r="B279" s="107"/>
      <c r="C279" s="42"/>
      <c r="D279" s="42"/>
      <c r="E279" s="57">
        <v>0</v>
      </c>
      <c r="F279" s="57">
        <f>D279+E279</f>
        <v>0</v>
      </c>
      <c r="G279" s="57">
        <v>0</v>
      </c>
      <c r="H279" s="57">
        <f>F279*(($H$190)+1)+(IF(G279&lt;101,G279,IF(G279&lt;201,G279/2,IF(G279&lt;=301,G279/3,G279/4))))</f>
        <v>0</v>
      </c>
      <c r="I279" s="36"/>
      <c r="J279" s="84"/>
      <c r="K279" s="84"/>
      <c r="L279" s="84"/>
      <c r="M279" s="84"/>
      <c r="N279" s="84"/>
      <c r="O279" s="84"/>
      <c r="P279" s="84"/>
    </row>
    <row r="280" spans="1:20" s="37" customFormat="1" ht="15.75" hidden="1" customHeight="1" x14ac:dyDescent="0.35">
      <c r="A280" s="106" t="str">
        <f ca="1">(SUMPRODUCT(MID(0&amp;(LEFT(A279,SUM(LEN(A279)-LEN(SUBSTITUTE(A279,{"0","1","2"},""))))), LARGE(INDEX(ISNUMBER(--MID((LEFT(A279,SUM(LEN(A279)-LEN(SUBSTITUTE(A279,{"0","1","2"},""))))), ROW(INDIRECT("1:"&amp;LEN((LEFT(A279,SUM(LEN(A279)-LEN(SUBSTITUTE(A279,{"0","1","2"},"")))))))), 1)) * ROW(INDIRECT("1:"&amp;LEN((LEFT(A279,SUM(LEN(A279)-LEN(SUBSTITUTE(A279,{"0","1","2"},"")))))))), 0), ROW(INDIRECT("1:"&amp;LEN((LEFT(A279,SUM(LEN(A279)-LEN(SUBSTITUTE(A279,{"0","1","2"},"")))))))))+1, 1) * 10^ROW(INDIRECT("1:"&amp;LEN((LEFT(A279,SUM(LEN(A279)-LEN(SUBSTITUTE(A279,{"0","1","2"},""))))))))/10))*1+1&amp;""&amp;" &amp; "&amp;""&amp;(SUMPRODUCT(MID(0&amp;(--TRIM(RIGHT(SUBSTITUTE(LEFT(A279,_xlfn.AGGREGATE(16,6,FIND({0,1,2,3,4,5,6,7,8,9},A279,ROW(INDIRECT("1:"&amp;LEN(A279)))),1))," ",REPT(" ",LEN(A279))),LEN(A279)))), LARGE(INDEX(ISNUMBER(--MID((--TRIM(RIGHT(SUBSTITUTE(LEFT(A279,_xlfn.AGGREGATE(16,6,FIND({0,1,2,3,4,5,6,7,8,9},A279,ROW(INDIRECT("1:"&amp;LEN(A279)))),1))," ",REPT(" ",LEN(A279))),LEN(A279)))), ROW(INDIRECT("1:"&amp;LEN((--TRIM(RIGHT(SUBSTITUTE(LEFT(A279,_xlfn.AGGREGATE(16,6,FIND({0,1,2,3,4,5,6,7,8,9},A279,ROW(INDIRECT("1:"&amp;LEN(A279)))),1))," ",REPT(" ",LEN(A279))),LEN(A279))))))), 1)) * ROW(INDIRECT("1:"&amp;LEN((--TRIM(RIGHT(SUBSTITUTE(LEFT(A279,_xlfn.AGGREGATE(16,6,FIND({0,1,2,3,4,5,6,7,8,9},A279,ROW(INDIRECT("1:"&amp;LEN(A279)))),1))," ",REPT(" ",LEN(A279))),LEN(A279))))))), 0), ROW(INDIRECT("1:"&amp;LEN((--TRIM(RIGHT(SUBSTITUTE(LEFT(A279,_xlfn.AGGREGATE(16,6,FIND({0,1,2,3,4,5,6,7,8,9},A279,ROW(INDIRECT("1:"&amp;LEN(A279)))),1))," ",REPT(" ",LEN(A279))),LEN(A279))))))))+1, 1) * 10^ROW(INDIRECT("1:"&amp;LEN((--TRIM(RIGHT(SUBSTITUTE(LEFT(A279,_xlfn.AGGREGATE(16,6,FIND({0,1,2,3,4,5,6,7,8,9},A279,ROW(INDIRECT("1:"&amp;LEN(A279)))),1))," ",REPT(" ",LEN(A279))),LEN(A279)))))))/10))*1+1</f>
        <v>202 &amp; 502</v>
      </c>
      <c r="B280" s="107"/>
      <c r="C280" s="42"/>
      <c r="D280" s="42"/>
      <c r="E280" s="57">
        <v>0</v>
      </c>
      <c r="F280" s="57">
        <f>D280+E280</f>
        <v>0</v>
      </c>
      <c r="G280" s="57">
        <v>0</v>
      </c>
      <c r="H280" s="57">
        <f>F280*(($H$190)+1)+(IF(G280&lt;101,G280,IF(G280&lt;201,G280/2,IF(G280&lt;=301,G280/3,G280/4))))</f>
        <v>0</v>
      </c>
      <c r="I280" s="36"/>
      <c r="J280" s="84"/>
      <c r="K280" s="84"/>
      <c r="L280" s="84"/>
      <c r="M280" s="84"/>
      <c r="N280" s="84"/>
      <c r="O280" s="84"/>
      <c r="P280" s="84"/>
    </row>
    <row r="281" spans="1:20" s="37" customFormat="1" ht="15.75" hidden="1" customHeight="1" x14ac:dyDescent="0.35">
      <c r="A281" s="106" t="str">
        <f ca="1">(SUMPRODUCT(MID(0&amp;(LEFT(A280,SUM(LEN(A280)-LEN(SUBSTITUTE(A280,{"0","1","2"},""))))), LARGE(INDEX(ISNUMBER(--MID((LEFT(A280,SUM(LEN(A280)-LEN(SUBSTITUTE(A280,{"0","1","2"},""))))), ROW(INDIRECT("1:"&amp;LEN((LEFT(A280,SUM(LEN(A280)-LEN(SUBSTITUTE(A280,{"0","1","2"},"")))))))), 1)) * ROW(INDIRECT("1:"&amp;LEN((LEFT(A280,SUM(LEN(A280)-LEN(SUBSTITUTE(A280,{"0","1","2"},"")))))))), 0), ROW(INDIRECT("1:"&amp;LEN((LEFT(A280,SUM(LEN(A280)-LEN(SUBSTITUTE(A280,{"0","1","2"},"")))))))))+1, 1) * 10^ROW(INDIRECT("1:"&amp;LEN((LEFT(A280,SUM(LEN(A280)-LEN(SUBSTITUTE(A280,{"0","1","2"},""))))))))/10))*1+1&amp;""&amp;" &amp; "&amp;""&amp;(SUMPRODUCT(MID(0&amp;(--TRIM(RIGHT(SUBSTITUTE(LEFT(A280,_xlfn.AGGREGATE(16,6,FIND({0,1,2,3,4,5,6,7,8,9},A280,ROW(INDIRECT("1:"&amp;LEN(A280)))),1))," ",REPT(" ",LEN(A280))),LEN(A280)))), LARGE(INDEX(ISNUMBER(--MID((--TRIM(RIGHT(SUBSTITUTE(LEFT(A280,_xlfn.AGGREGATE(16,6,FIND({0,1,2,3,4,5,6,7,8,9},A280,ROW(INDIRECT("1:"&amp;LEN(A280)))),1))," ",REPT(" ",LEN(A280))),LEN(A280)))), ROW(INDIRECT("1:"&amp;LEN((--TRIM(RIGHT(SUBSTITUTE(LEFT(A280,_xlfn.AGGREGATE(16,6,FIND({0,1,2,3,4,5,6,7,8,9},A280,ROW(INDIRECT("1:"&amp;LEN(A280)))),1))," ",REPT(" ",LEN(A280))),LEN(A280))))))), 1)) * ROW(INDIRECT("1:"&amp;LEN((--TRIM(RIGHT(SUBSTITUTE(LEFT(A280,_xlfn.AGGREGATE(16,6,FIND({0,1,2,3,4,5,6,7,8,9},A280,ROW(INDIRECT("1:"&amp;LEN(A280)))),1))," ",REPT(" ",LEN(A280))),LEN(A280))))))), 0), ROW(INDIRECT("1:"&amp;LEN((--TRIM(RIGHT(SUBSTITUTE(LEFT(A280,_xlfn.AGGREGATE(16,6,FIND({0,1,2,3,4,5,6,7,8,9},A280,ROW(INDIRECT("1:"&amp;LEN(A280)))),1))," ",REPT(" ",LEN(A280))),LEN(A280))))))))+1, 1) * 10^ROW(INDIRECT("1:"&amp;LEN((--TRIM(RIGHT(SUBSTITUTE(LEFT(A280,_xlfn.AGGREGATE(16,6,FIND({0,1,2,3,4,5,6,7,8,9},A280,ROW(INDIRECT("1:"&amp;LEN(A280)))),1))," ",REPT(" ",LEN(A280))),LEN(A280)))))))/10))*1+1</f>
        <v>203 &amp; 503</v>
      </c>
      <c r="B281" s="107"/>
      <c r="C281" s="42"/>
      <c r="D281" s="42"/>
      <c r="E281" s="57">
        <v>0</v>
      </c>
      <c r="F281" s="57">
        <f>D281+E281</f>
        <v>0</v>
      </c>
      <c r="G281" s="57">
        <v>0</v>
      </c>
      <c r="H281" s="57">
        <f>F281*(($H$190)+1)+(IF(G281&lt;101,G281,IF(G281&lt;201,G281/2,IF(G281&lt;=301,G281/3,G281/4))))</f>
        <v>0</v>
      </c>
      <c r="I281" s="36"/>
      <c r="J281" s="84"/>
      <c r="K281" s="84"/>
      <c r="L281" s="84"/>
      <c r="M281" s="84"/>
      <c r="N281" s="84"/>
      <c r="O281" s="84"/>
      <c r="P281" s="84"/>
    </row>
    <row r="282" spans="1:20" s="37" customFormat="1" ht="15.75" hidden="1" customHeight="1" x14ac:dyDescent="0.35">
      <c r="A282" s="106" t="str">
        <f ca="1">(SUMPRODUCT(MID(0&amp;(LEFT(A281,SUM(LEN(A281)-LEN(SUBSTITUTE(A281,{"0","1","2"},""))))), LARGE(INDEX(ISNUMBER(--MID((LEFT(A281,SUM(LEN(A281)-LEN(SUBSTITUTE(A281,{"0","1","2"},""))))), ROW(INDIRECT("1:"&amp;LEN((LEFT(A281,SUM(LEN(A281)-LEN(SUBSTITUTE(A281,{"0","1","2"},"")))))))), 1)) * ROW(INDIRECT("1:"&amp;LEN((LEFT(A281,SUM(LEN(A281)-LEN(SUBSTITUTE(A281,{"0","1","2"},"")))))))), 0), ROW(INDIRECT("1:"&amp;LEN((LEFT(A281,SUM(LEN(A281)-LEN(SUBSTITUTE(A281,{"0","1","2"},"")))))))))+1, 1) * 10^ROW(INDIRECT("1:"&amp;LEN((LEFT(A281,SUM(LEN(A281)-LEN(SUBSTITUTE(A281,{"0","1","2"},""))))))))/10))*1+1&amp;""&amp;" &amp; "&amp;""&amp;(SUMPRODUCT(MID(0&amp;(--TRIM(RIGHT(SUBSTITUTE(LEFT(A281,_xlfn.AGGREGATE(16,6,FIND({0,1,2,3,4,5,6,7,8,9},A281,ROW(INDIRECT("1:"&amp;LEN(A281)))),1))," ",REPT(" ",LEN(A281))),LEN(A281)))), LARGE(INDEX(ISNUMBER(--MID((--TRIM(RIGHT(SUBSTITUTE(LEFT(A281,_xlfn.AGGREGATE(16,6,FIND({0,1,2,3,4,5,6,7,8,9},A281,ROW(INDIRECT("1:"&amp;LEN(A281)))),1))," ",REPT(" ",LEN(A281))),LEN(A281)))), ROW(INDIRECT("1:"&amp;LEN((--TRIM(RIGHT(SUBSTITUTE(LEFT(A281,_xlfn.AGGREGATE(16,6,FIND({0,1,2,3,4,5,6,7,8,9},A281,ROW(INDIRECT("1:"&amp;LEN(A281)))),1))," ",REPT(" ",LEN(A281))),LEN(A281))))))), 1)) * ROW(INDIRECT("1:"&amp;LEN((--TRIM(RIGHT(SUBSTITUTE(LEFT(A281,_xlfn.AGGREGATE(16,6,FIND({0,1,2,3,4,5,6,7,8,9},A281,ROW(INDIRECT("1:"&amp;LEN(A281)))),1))," ",REPT(" ",LEN(A281))),LEN(A281))))))), 0), ROW(INDIRECT("1:"&amp;LEN((--TRIM(RIGHT(SUBSTITUTE(LEFT(A281,_xlfn.AGGREGATE(16,6,FIND({0,1,2,3,4,5,6,7,8,9},A281,ROW(INDIRECT("1:"&amp;LEN(A281)))),1))," ",REPT(" ",LEN(A281))),LEN(A281))))))))+1, 1) * 10^ROW(INDIRECT("1:"&amp;LEN((--TRIM(RIGHT(SUBSTITUTE(LEFT(A281,_xlfn.AGGREGATE(16,6,FIND({0,1,2,3,4,5,6,7,8,9},A281,ROW(INDIRECT("1:"&amp;LEN(A281)))),1))," ",REPT(" ",LEN(A281))),LEN(A281)))))))/10))*1+1</f>
        <v>204 &amp; 504</v>
      </c>
      <c r="B282" s="107"/>
      <c r="C282" s="42"/>
      <c r="D282" s="42"/>
      <c r="E282" s="57">
        <v>0</v>
      </c>
      <c r="F282" s="57">
        <f>D282+E282</f>
        <v>0</v>
      </c>
      <c r="G282" s="57">
        <v>0</v>
      </c>
      <c r="H282" s="57">
        <f>F282*(($H$190)+1)+(IF(G282&lt;101,G282,IF(G282&lt;201,G282/2,IF(G282&lt;=301,G282/3,G282/4))))</f>
        <v>0</v>
      </c>
      <c r="I282" s="36"/>
      <c r="J282" s="84"/>
      <c r="K282" s="84"/>
      <c r="L282" s="84"/>
      <c r="M282" s="84"/>
      <c r="N282" s="84"/>
      <c r="O282" s="84"/>
      <c r="P282" s="84"/>
    </row>
    <row r="283" spans="1:20" s="37" customFormat="1" ht="15.75" hidden="1" customHeight="1" x14ac:dyDescent="0.35">
      <c r="A283" s="106" t="str">
        <f ca="1">(SUMPRODUCT(MID(0&amp;(LEFT(A282,SUM(LEN(A282)-LEN(SUBSTITUTE(A282,{"0","1","2"},""))))), LARGE(INDEX(ISNUMBER(--MID((LEFT(A282,SUM(LEN(A282)-LEN(SUBSTITUTE(A282,{"0","1","2"},""))))), ROW(INDIRECT("1:"&amp;LEN((LEFT(A282,SUM(LEN(A282)-LEN(SUBSTITUTE(A282,{"0","1","2"},"")))))))), 1)) * ROW(INDIRECT("1:"&amp;LEN((LEFT(A282,SUM(LEN(A282)-LEN(SUBSTITUTE(A282,{"0","1","2"},"")))))))), 0), ROW(INDIRECT("1:"&amp;LEN((LEFT(A282,SUM(LEN(A282)-LEN(SUBSTITUTE(A282,{"0","1","2"},"")))))))))+1, 1) * 10^ROW(INDIRECT("1:"&amp;LEN((LEFT(A282,SUM(LEN(A282)-LEN(SUBSTITUTE(A282,{"0","1","2"},""))))))))/10))*1+1&amp;""&amp;" &amp; "&amp;""&amp;(SUMPRODUCT(MID(0&amp;(--TRIM(RIGHT(SUBSTITUTE(LEFT(A282,_xlfn.AGGREGATE(16,6,FIND({0,1,2,3,4,5,6,7,8,9},A282,ROW(INDIRECT("1:"&amp;LEN(A282)))),1))," ",REPT(" ",LEN(A282))),LEN(A282)))), LARGE(INDEX(ISNUMBER(--MID((--TRIM(RIGHT(SUBSTITUTE(LEFT(A282,_xlfn.AGGREGATE(16,6,FIND({0,1,2,3,4,5,6,7,8,9},A282,ROW(INDIRECT("1:"&amp;LEN(A282)))),1))," ",REPT(" ",LEN(A282))),LEN(A282)))), ROW(INDIRECT("1:"&amp;LEN((--TRIM(RIGHT(SUBSTITUTE(LEFT(A282,_xlfn.AGGREGATE(16,6,FIND({0,1,2,3,4,5,6,7,8,9},A282,ROW(INDIRECT("1:"&amp;LEN(A282)))),1))," ",REPT(" ",LEN(A282))),LEN(A282))))))), 1)) * ROW(INDIRECT("1:"&amp;LEN((--TRIM(RIGHT(SUBSTITUTE(LEFT(A282,_xlfn.AGGREGATE(16,6,FIND({0,1,2,3,4,5,6,7,8,9},A282,ROW(INDIRECT("1:"&amp;LEN(A282)))),1))," ",REPT(" ",LEN(A282))),LEN(A282))))))), 0), ROW(INDIRECT("1:"&amp;LEN((--TRIM(RIGHT(SUBSTITUTE(LEFT(A282,_xlfn.AGGREGATE(16,6,FIND({0,1,2,3,4,5,6,7,8,9},A282,ROW(INDIRECT("1:"&amp;LEN(A282)))),1))," ",REPT(" ",LEN(A282))),LEN(A282))))))))+1, 1) * 10^ROW(INDIRECT("1:"&amp;LEN((--TRIM(RIGHT(SUBSTITUTE(LEFT(A282,_xlfn.AGGREGATE(16,6,FIND({0,1,2,3,4,5,6,7,8,9},A282,ROW(INDIRECT("1:"&amp;LEN(A282)))),1))," ",REPT(" ",LEN(A282))),LEN(A282)))))))/10))*1+1</f>
        <v>205 &amp; 505</v>
      </c>
      <c r="B283" s="107"/>
      <c r="C283" s="42"/>
      <c r="D283" s="42"/>
      <c r="E283" s="57">
        <v>0</v>
      </c>
      <c r="F283" s="57">
        <f>D283+E283</f>
        <v>0</v>
      </c>
      <c r="G283" s="57">
        <v>0</v>
      </c>
      <c r="H283" s="57">
        <f>F283*(($H$190)+1)+(IF(G283&lt;101,G283,IF(G283&lt;201,G283/2,IF(G283&lt;=301,G283/3,G283/4))))</f>
        <v>0</v>
      </c>
      <c r="I283" s="36"/>
      <c r="J283" s="84"/>
      <c r="K283" s="84"/>
      <c r="L283" s="84"/>
      <c r="M283" s="84"/>
      <c r="N283" s="84"/>
      <c r="O283" s="84"/>
      <c r="P283" s="84"/>
    </row>
    <row r="284" spans="1:20" s="35" customFormat="1" x14ac:dyDescent="0.35">
      <c r="A284" s="196" t="s">
        <v>65</v>
      </c>
      <c r="B284" s="196"/>
      <c r="C284" s="196"/>
      <c r="D284" s="196"/>
      <c r="E284" s="196"/>
      <c r="F284" s="196"/>
      <c r="G284" s="196"/>
      <c r="H284" s="196"/>
      <c r="T284" s="37"/>
    </row>
    <row r="285" spans="1:20" s="35" customFormat="1" x14ac:dyDescent="0.35">
      <c r="A285" s="46" t="s">
        <v>154</v>
      </c>
      <c r="B285" s="193" t="s">
        <v>376</v>
      </c>
      <c r="C285" s="194"/>
      <c r="D285" s="194"/>
      <c r="E285" s="194"/>
      <c r="F285" s="194"/>
      <c r="G285" s="194"/>
      <c r="H285" s="195"/>
      <c r="T285" s="37"/>
    </row>
    <row r="286" spans="1:20" s="35" customFormat="1" x14ac:dyDescent="0.35">
      <c r="A286" s="46" t="s">
        <v>154</v>
      </c>
      <c r="B286" s="193" t="str">
        <f>(IF(H189="Saleable area Loading :","We have considered Saleable area of Flats as per our Calculation.","We considered Saleable area of Flat as per Builder area Sheet."))</f>
        <v>We considered Saleable area of Flat as per Builder area Sheet.</v>
      </c>
      <c r="C286" s="194"/>
      <c r="D286" s="194"/>
      <c r="E286" s="194"/>
      <c r="F286" s="194"/>
      <c r="G286" s="194"/>
      <c r="H286" s="195"/>
      <c r="T286" s="37"/>
    </row>
    <row r="287" spans="1:20" s="35" customFormat="1" x14ac:dyDescent="0.35">
      <c r="A287" s="46" t="s">
        <v>154</v>
      </c>
      <c r="B287" s="193" t="str">
        <f>(IF(H143="Saleable area Loading :","We have considered Saleable area of Commercial as per our Calculation.","We considered Saleable area of Commercial as per Builder area Sheet."))</f>
        <v>We have considered Saleable area of Commercial as per our Calculation.</v>
      </c>
      <c r="C287" s="194"/>
      <c r="D287" s="194"/>
      <c r="E287" s="194"/>
      <c r="F287" s="194"/>
      <c r="G287" s="194"/>
      <c r="H287" s="195"/>
      <c r="T287" s="37"/>
    </row>
    <row r="288" spans="1:20" s="35" customFormat="1" x14ac:dyDescent="0.35">
      <c r="A288" s="46" t="s">
        <v>154</v>
      </c>
      <c r="B288" s="190" t="s">
        <v>121</v>
      </c>
      <c r="C288" s="191"/>
      <c r="D288" s="191"/>
      <c r="E288" s="191"/>
      <c r="F288" s="191"/>
      <c r="G288" s="191"/>
      <c r="H288" s="192"/>
      <c r="T288" s="37"/>
    </row>
    <row r="289" spans="1:20" s="35" customFormat="1" x14ac:dyDescent="0.35">
      <c r="A289" s="46" t="s">
        <v>154</v>
      </c>
      <c r="B289" s="190" t="s">
        <v>377</v>
      </c>
      <c r="C289" s="191"/>
      <c r="D289" s="191"/>
      <c r="E289" s="191"/>
      <c r="F289" s="191"/>
      <c r="G289" s="191"/>
      <c r="H289" s="192"/>
      <c r="T289" s="37"/>
    </row>
    <row r="290" spans="1:20" s="35" customFormat="1" x14ac:dyDescent="0.35">
      <c r="A290" s="46" t="s">
        <v>154</v>
      </c>
      <c r="B290" s="190" t="s">
        <v>153</v>
      </c>
      <c r="C290" s="191"/>
      <c r="D290" s="191"/>
      <c r="E290" s="191"/>
      <c r="F290" s="191"/>
      <c r="G290" s="191"/>
      <c r="H290" s="192"/>
    </row>
    <row r="291" spans="1:20" s="35" customFormat="1" x14ac:dyDescent="0.35">
      <c r="A291" s="46" t="s">
        <v>154</v>
      </c>
      <c r="B291" s="190" t="s">
        <v>122</v>
      </c>
      <c r="C291" s="191"/>
      <c r="D291" s="191"/>
      <c r="E291" s="191"/>
      <c r="F291" s="191"/>
      <c r="G291" s="191"/>
      <c r="H291" s="192"/>
    </row>
    <row r="292" spans="1:20" s="35" customFormat="1" ht="34.5" hidden="1" customHeight="1" x14ac:dyDescent="0.35">
      <c r="A292" s="46" t="s">
        <v>154</v>
      </c>
      <c r="B292" s="190" t="s">
        <v>155</v>
      </c>
      <c r="C292" s="191"/>
      <c r="D292" s="191"/>
      <c r="E292" s="191"/>
      <c r="F292" s="191"/>
      <c r="G292" s="191"/>
      <c r="H292" s="192"/>
    </row>
    <row r="293" spans="1:20" s="35" customFormat="1" x14ac:dyDescent="0.35">
      <c r="A293" s="46" t="s">
        <v>154</v>
      </c>
      <c r="B293" s="190" t="s">
        <v>123</v>
      </c>
      <c r="C293" s="191"/>
      <c r="D293" s="191"/>
      <c r="E293" s="191"/>
      <c r="F293" s="191"/>
      <c r="G293" s="191"/>
      <c r="H293" s="192"/>
    </row>
    <row r="294" spans="1:20" s="35" customFormat="1" ht="32.25" hidden="1" customHeight="1" x14ac:dyDescent="0.35">
      <c r="A294" s="54" t="s">
        <v>154</v>
      </c>
      <c r="B294" s="183" t="s">
        <v>181</v>
      </c>
      <c r="C294" s="184"/>
      <c r="D294" s="184"/>
      <c r="E294" s="184"/>
      <c r="F294" s="184"/>
      <c r="G294" s="184"/>
      <c r="H294" s="185"/>
    </row>
    <row r="295" spans="1:20" s="35" customFormat="1" hidden="1" x14ac:dyDescent="0.35">
      <c r="A295" s="58" t="s">
        <v>154</v>
      </c>
      <c r="B295" s="183" t="s">
        <v>237</v>
      </c>
      <c r="C295" s="184"/>
      <c r="D295" s="184"/>
      <c r="E295" s="184"/>
      <c r="F295" s="184"/>
      <c r="G295" s="184"/>
      <c r="H295" s="185"/>
    </row>
    <row r="296" spans="1:20" x14ac:dyDescent="0.35">
      <c r="A296" s="162" t="s">
        <v>58</v>
      </c>
      <c r="B296" s="162"/>
      <c r="C296" s="162"/>
      <c r="D296" s="162"/>
      <c r="E296" s="162"/>
      <c r="F296" s="162"/>
      <c r="G296" s="162"/>
      <c r="H296" s="162"/>
      <c r="T296" s="35"/>
    </row>
    <row r="297" spans="1:20" x14ac:dyDescent="0.35">
      <c r="A297" s="117" t="s">
        <v>59</v>
      </c>
      <c r="B297" s="117"/>
      <c r="C297" s="117"/>
      <c r="D297" s="117"/>
      <c r="E297" s="117"/>
      <c r="F297" s="117"/>
      <c r="G297" s="117"/>
      <c r="H297" s="117"/>
      <c r="T297" s="35"/>
    </row>
    <row r="298" spans="1:20" ht="15.75" customHeight="1" x14ac:dyDescent="0.35">
      <c r="A298" s="173" t="s">
        <v>60</v>
      </c>
      <c r="B298" s="173"/>
      <c r="C298" s="173"/>
      <c r="D298" s="173"/>
      <c r="E298" s="173"/>
      <c r="F298" s="173"/>
      <c r="G298" s="173"/>
      <c r="H298" s="173"/>
      <c r="T298" s="35"/>
    </row>
    <row r="299" spans="1:20" x14ac:dyDescent="0.35">
      <c r="A299" s="117" t="s">
        <v>61</v>
      </c>
      <c r="B299" s="117"/>
      <c r="C299" s="117"/>
      <c r="D299" s="117"/>
      <c r="E299" s="117"/>
      <c r="F299" s="117"/>
      <c r="G299" s="117"/>
      <c r="H299" s="117"/>
      <c r="T299" s="35"/>
    </row>
    <row r="300" spans="1:20" x14ac:dyDescent="0.35">
      <c r="A300" s="117" t="s">
        <v>62</v>
      </c>
      <c r="B300" s="117"/>
      <c r="C300" s="117"/>
      <c r="D300" s="117"/>
      <c r="E300" s="117"/>
      <c r="F300" s="117"/>
      <c r="G300" s="117"/>
      <c r="H300" s="117"/>
      <c r="T300" s="35"/>
    </row>
    <row r="301" spans="1:20" x14ac:dyDescent="0.35">
      <c r="A301" s="117" t="s">
        <v>124</v>
      </c>
      <c r="B301" s="117"/>
      <c r="C301" s="117"/>
      <c r="D301" s="117"/>
      <c r="E301" s="117"/>
      <c r="F301" s="117"/>
      <c r="G301" s="117"/>
      <c r="H301" s="117"/>
      <c r="T301" s="35"/>
    </row>
    <row r="302" spans="1:20" ht="34" customHeight="1" x14ac:dyDescent="0.35">
      <c r="A302" s="159" t="s">
        <v>125</v>
      </c>
      <c r="B302" s="159"/>
      <c r="C302" s="159"/>
      <c r="D302" s="159"/>
      <c r="E302" s="159"/>
      <c r="F302" s="159"/>
      <c r="G302" s="159"/>
      <c r="H302" s="159"/>
    </row>
    <row r="303" spans="1:20" x14ac:dyDescent="0.35">
      <c r="A303" s="204" t="s">
        <v>74</v>
      </c>
      <c r="B303" s="204"/>
      <c r="C303" s="204" t="s">
        <v>384</v>
      </c>
      <c r="D303" s="204"/>
      <c r="E303" s="204" t="s">
        <v>104</v>
      </c>
      <c r="F303" s="204"/>
      <c r="G303" s="204" t="s">
        <v>338</v>
      </c>
      <c r="H303" s="204"/>
    </row>
    <row r="304" spans="1:20" x14ac:dyDescent="0.35">
      <c r="A304" s="203" t="s">
        <v>76</v>
      </c>
      <c r="B304" s="203"/>
      <c r="C304" s="203"/>
      <c r="D304" s="203"/>
      <c r="E304" s="203"/>
      <c r="F304" s="203"/>
      <c r="G304" s="203"/>
      <c r="H304" s="203"/>
    </row>
    <row r="305" spans="1:8" x14ac:dyDescent="0.35">
      <c r="A305" s="203"/>
      <c r="B305" s="203"/>
      <c r="C305" s="203"/>
      <c r="D305" s="203"/>
      <c r="E305" s="203"/>
      <c r="F305" s="203"/>
      <c r="G305" s="203"/>
      <c r="H305" s="203"/>
    </row>
    <row r="306" spans="1:8" x14ac:dyDescent="0.35">
      <c r="A306" s="203"/>
      <c r="B306" s="203"/>
      <c r="C306" s="203"/>
      <c r="D306" s="203"/>
      <c r="E306" s="203"/>
      <c r="F306" s="203"/>
      <c r="G306" s="203"/>
      <c r="H306" s="203"/>
    </row>
    <row r="307" spans="1:8" x14ac:dyDescent="0.35">
      <c r="A307" s="203"/>
      <c r="B307" s="203"/>
      <c r="C307" s="203"/>
      <c r="D307" s="203"/>
      <c r="E307" s="203"/>
      <c r="F307" s="203"/>
      <c r="G307" s="203"/>
      <c r="H307" s="203"/>
    </row>
    <row r="308" spans="1:8" x14ac:dyDescent="0.35">
      <c r="A308" s="38" t="s">
        <v>63</v>
      </c>
      <c r="B308" s="39"/>
      <c r="C308" s="39"/>
      <c r="D308" s="38" t="str">
        <f>E9</f>
        <v>Dani Sky</v>
      </c>
      <c r="F308" s="39"/>
      <c r="G308" s="39"/>
      <c r="H308" s="39"/>
    </row>
    <row r="309" spans="1:8" x14ac:dyDescent="0.35">
      <c r="A309" s="39"/>
      <c r="B309" s="39"/>
      <c r="C309" s="39"/>
      <c r="D309" s="39"/>
      <c r="E309" s="39"/>
      <c r="F309" s="39"/>
      <c r="G309" s="39"/>
      <c r="H309" s="39"/>
    </row>
    <row r="310" spans="1:8" x14ac:dyDescent="0.35">
      <c r="A310" s="39"/>
      <c r="B310" s="39"/>
      <c r="C310" s="39"/>
      <c r="D310" s="39"/>
      <c r="E310" s="39"/>
      <c r="F310" s="39"/>
      <c r="G310" s="39"/>
      <c r="H310" s="39"/>
    </row>
    <row r="311" spans="1:8" ht="15" customHeight="1" x14ac:dyDescent="0.35"/>
    <row r="351" spans="1:1" x14ac:dyDescent="0.35">
      <c r="A351" s="41" t="s">
        <v>165</v>
      </c>
    </row>
    <row r="394" spans="1:1" x14ac:dyDescent="0.35">
      <c r="A394" s="41" t="s">
        <v>64</v>
      </c>
    </row>
  </sheetData>
  <mergeCells count="454">
    <mergeCell ref="A250:B250"/>
    <mergeCell ref="A251:B251"/>
    <mergeCell ref="A252:B252"/>
    <mergeCell ref="A236:B236"/>
    <mergeCell ref="A237:B237"/>
    <mergeCell ref="A238:B238"/>
    <mergeCell ref="A239:B239"/>
    <mergeCell ref="A218:B218"/>
    <mergeCell ref="A240:B240"/>
    <mergeCell ref="A241:B241"/>
    <mergeCell ref="A242:H242"/>
    <mergeCell ref="A243:B243"/>
    <mergeCell ref="C238:H238"/>
    <mergeCell ref="A227:B227"/>
    <mergeCell ref="A228:B228"/>
    <mergeCell ref="A229:B229"/>
    <mergeCell ref="A230:B230"/>
    <mergeCell ref="A231:B231"/>
    <mergeCell ref="A232:B232"/>
    <mergeCell ref="A233:B233"/>
    <mergeCell ref="A234:B234"/>
    <mergeCell ref="A235:B235"/>
    <mergeCell ref="C243:H244"/>
    <mergeCell ref="A244:B244"/>
    <mergeCell ref="A207:B207"/>
    <mergeCell ref="A208:B208"/>
    <mergeCell ref="A209:B209"/>
    <mergeCell ref="A210:B210"/>
    <mergeCell ref="A211:B211"/>
    <mergeCell ref="A212:B212"/>
    <mergeCell ref="A213:B213"/>
    <mergeCell ref="A214:B214"/>
    <mergeCell ref="A217:B217"/>
    <mergeCell ref="A262:B262"/>
    <mergeCell ref="A263:B263"/>
    <mergeCell ref="A273:B273"/>
    <mergeCell ref="A219:B219"/>
    <mergeCell ref="A220:B220"/>
    <mergeCell ref="A221:B221"/>
    <mergeCell ref="A222:B222"/>
    <mergeCell ref="A223:B223"/>
    <mergeCell ref="A224:H224"/>
    <mergeCell ref="A225:B225"/>
    <mergeCell ref="A226:B226"/>
    <mergeCell ref="A253:B253"/>
    <mergeCell ref="A254:B254"/>
    <mergeCell ref="A255:B255"/>
    <mergeCell ref="A256:B256"/>
    <mergeCell ref="A257:B257"/>
    <mergeCell ref="A258:B258"/>
    <mergeCell ref="A259:B259"/>
    <mergeCell ref="C256:H259"/>
    <mergeCell ref="A245:B245"/>
    <mergeCell ref="A246:B246"/>
    <mergeCell ref="A247:B247"/>
    <mergeCell ref="A248:B248"/>
    <mergeCell ref="A249:B249"/>
    <mergeCell ref="A274:B274"/>
    <mergeCell ref="A81:B81"/>
    <mergeCell ref="A77:B77"/>
    <mergeCell ref="B295:H295"/>
    <mergeCell ref="A122:E122"/>
    <mergeCell ref="A102:B102"/>
    <mergeCell ref="A107:B107"/>
    <mergeCell ref="A139:B139"/>
    <mergeCell ref="E139:F139"/>
    <mergeCell ref="C105:H105"/>
    <mergeCell ref="A106:B106"/>
    <mergeCell ref="A128:E128"/>
    <mergeCell ref="G139:H139"/>
    <mergeCell ref="C134:D134"/>
    <mergeCell ref="E134:F134"/>
    <mergeCell ref="G134:H134"/>
    <mergeCell ref="A135:B135"/>
    <mergeCell ref="C135:D135"/>
    <mergeCell ref="E135:F135"/>
    <mergeCell ref="G135:H135"/>
    <mergeCell ref="B292:H292"/>
    <mergeCell ref="A275:B275"/>
    <mergeCell ref="A264:B264"/>
    <mergeCell ref="A265:B265"/>
    <mergeCell ref="A108:B108"/>
    <mergeCell ref="A109:B109"/>
    <mergeCell ref="G93:H102"/>
    <mergeCell ref="A94:B94"/>
    <mergeCell ref="A95:B95"/>
    <mergeCell ref="A96:B96"/>
    <mergeCell ref="F119:H119"/>
    <mergeCell ref="A119:E119"/>
    <mergeCell ref="D143:D144"/>
    <mergeCell ref="A121:E121"/>
    <mergeCell ref="A112:B112"/>
    <mergeCell ref="A114:B114"/>
    <mergeCell ref="A115:B115"/>
    <mergeCell ref="A120:E120"/>
    <mergeCell ref="A117:E117"/>
    <mergeCell ref="F121:H121"/>
    <mergeCell ref="G106:H106"/>
    <mergeCell ref="A105:B105"/>
    <mergeCell ref="G143:G144"/>
    <mergeCell ref="A123:E123"/>
    <mergeCell ref="F123:H123"/>
    <mergeCell ref="C40:H40"/>
    <mergeCell ref="F143:F144"/>
    <mergeCell ref="C133:D133"/>
    <mergeCell ref="E133:F133"/>
    <mergeCell ref="B143:B144"/>
    <mergeCell ref="A143:A144"/>
    <mergeCell ref="C189:C190"/>
    <mergeCell ref="G189:G190"/>
    <mergeCell ref="A45:D45"/>
    <mergeCell ref="A49:B49"/>
    <mergeCell ref="A83:B83"/>
    <mergeCell ref="A70:C70"/>
    <mergeCell ref="D70:H70"/>
    <mergeCell ref="C77:H77"/>
    <mergeCell ref="A80:B80"/>
    <mergeCell ref="A82:B82"/>
    <mergeCell ref="E78:F78"/>
    <mergeCell ref="A71:C71"/>
    <mergeCell ref="D71:H71"/>
    <mergeCell ref="A74:C74"/>
    <mergeCell ref="D74:H74"/>
    <mergeCell ref="A72:C72"/>
    <mergeCell ref="D73:H73"/>
    <mergeCell ref="C49:H49"/>
    <mergeCell ref="G140:H140"/>
    <mergeCell ref="A195:B195"/>
    <mergeCell ref="C55:H55"/>
    <mergeCell ref="A196:B196"/>
    <mergeCell ref="A78:B78"/>
    <mergeCell ref="C39:H39"/>
    <mergeCell ref="A46:D46"/>
    <mergeCell ref="A86:B86"/>
    <mergeCell ref="C138:D138"/>
    <mergeCell ref="E138:F138"/>
    <mergeCell ref="G138:H138"/>
    <mergeCell ref="A118:E118"/>
    <mergeCell ref="A103:B103"/>
    <mergeCell ref="C103:H103"/>
    <mergeCell ref="A145:H145"/>
    <mergeCell ref="E143:E144"/>
    <mergeCell ref="A93:B93"/>
    <mergeCell ref="A47:D47"/>
    <mergeCell ref="A48:H48"/>
    <mergeCell ref="D64:H64"/>
    <mergeCell ref="A64:C64"/>
    <mergeCell ref="A85:B85"/>
    <mergeCell ref="C91:H91"/>
    <mergeCell ref="A40:B40"/>
    <mergeCell ref="A38:H38"/>
    <mergeCell ref="A37:B37"/>
    <mergeCell ref="C37:E37"/>
    <mergeCell ref="G107:H116"/>
    <mergeCell ref="A42:D42"/>
    <mergeCell ref="E42:H42"/>
    <mergeCell ref="A41:H41"/>
    <mergeCell ref="A68:C68"/>
    <mergeCell ref="A69:C69"/>
    <mergeCell ref="D68:H68"/>
    <mergeCell ref="E79:F88"/>
    <mergeCell ref="G79:H88"/>
    <mergeCell ref="A87:B87"/>
    <mergeCell ref="A88:B88"/>
    <mergeCell ref="D69:H69"/>
    <mergeCell ref="A44:D44"/>
    <mergeCell ref="E44:H44"/>
    <mergeCell ref="E45:H45"/>
    <mergeCell ref="E46:H46"/>
    <mergeCell ref="A92:B92"/>
    <mergeCell ref="E47:H47"/>
    <mergeCell ref="C57:H57"/>
    <mergeCell ref="A91:B91"/>
    <mergeCell ref="A39:B39"/>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79:B79"/>
    <mergeCell ref="G78:H78"/>
    <mergeCell ref="A304:H307"/>
    <mergeCell ref="A303:B303"/>
    <mergeCell ref="E303:F303"/>
    <mergeCell ref="C303:D303"/>
    <mergeCell ref="G303:H303"/>
    <mergeCell ref="A131:H131"/>
    <mergeCell ref="A129:E129"/>
    <mergeCell ref="F129:H129"/>
    <mergeCell ref="A130:E130"/>
    <mergeCell ref="F130:H130"/>
    <mergeCell ref="A260:H260"/>
    <mergeCell ref="A138:B138"/>
    <mergeCell ref="A269:B269"/>
    <mergeCell ref="A133:B133"/>
    <mergeCell ref="A299:H299"/>
    <mergeCell ref="A136:H136"/>
    <mergeCell ref="A302:H302"/>
    <mergeCell ref="A300:H300"/>
    <mergeCell ref="A296:H296"/>
    <mergeCell ref="G137:H137"/>
    <mergeCell ref="A271:B271"/>
    <mergeCell ref="C143:C144"/>
    <mergeCell ref="A297:H297"/>
    <mergeCell ref="A276:B276"/>
    <mergeCell ref="A277:B277"/>
    <mergeCell ref="A272:H272"/>
    <mergeCell ref="A266:H266"/>
    <mergeCell ref="F117:H117"/>
    <mergeCell ref="F122:H122"/>
    <mergeCell ref="A193:B193"/>
    <mergeCell ref="A149:B149"/>
    <mergeCell ref="A148:B148"/>
    <mergeCell ref="A124:E124"/>
    <mergeCell ref="F124:H124"/>
    <mergeCell ref="A126:E126"/>
    <mergeCell ref="F120:H120"/>
    <mergeCell ref="A125:E125"/>
    <mergeCell ref="A188:H188"/>
    <mergeCell ref="E137:F137"/>
    <mergeCell ref="A141:H141"/>
    <mergeCell ref="A189:A190"/>
    <mergeCell ref="F189:F190"/>
    <mergeCell ref="A206:H206"/>
    <mergeCell ref="A215:B215"/>
    <mergeCell ref="A216:B216"/>
    <mergeCell ref="A194:B194"/>
    <mergeCell ref="B293:H293"/>
    <mergeCell ref="B291:H291"/>
    <mergeCell ref="B287:H287"/>
    <mergeCell ref="A281:B281"/>
    <mergeCell ref="A278:H278"/>
    <mergeCell ref="A279:B279"/>
    <mergeCell ref="A280:B280"/>
    <mergeCell ref="A283:B283"/>
    <mergeCell ref="A282:B282"/>
    <mergeCell ref="B285:H285"/>
    <mergeCell ref="B286:H286"/>
    <mergeCell ref="B288:H288"/>
    <mergeCell ref="B289:H289"/>
    <mergeCell ref="A284:H284"/>
    <mergeCell ref="B290:H290"/>
    <mergeCell ref="A301:H301"/>
    <mergeCell ref="A298:H298"/>
    <mergeCell ref="A261:B261"/>
    <mergeCell ref="A137:B137"/>
    <mergeCell ref="D189:D190"/>
    <mergeCell ref="E189:E190"/>
    <mergeCell ref="A97:B97"/>
    <mergeCell ref="A98:B98"/>
    <mergeCell ref="A99:B99"/>
    <mergeCell ref="A113:B113"/>
    <mergeCell ref="F118:H118"/>
    <mergeCell ref="G133:H133"/>
    <mergeCell ref="A116:B116"/>
    <mergeCell ref="F125:H125"/>
    <mergeCell ref="C132:D132"/>
    <mergeCell ref="C139:D139"/>
    <mergeCell ref="A192:H192"/>
    <mergeCell ref="A270:B270"/>
    <mergeCell ref="A267:B267"/>
    <mergeCell ref="A146:B146"/>
    <mergeCell ref="B294:H294"/>
    <mergeCell ref="A140:B140"/>
    <mergeCell ref="C140:D140"/>
    <mergeCell ref="E140:F140"/>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9:E59"/>
    <mergeCell ref="G59:H59"/>
    <mergeCell ref="C52:E52"/>
    <mergeCell ref="C51:E51"/>
    <mergeCell ref="F128:H128"/>
    <mergeCell ref="F126:H126"/>
    <mergeCell ref="A268:B268"/>
    <mergeCell ref="A142:H142"/>
    <mergeCell ref="G132:H132"/>
    <mergeCell ref="A127:E127"/>
    <mergeCell ref="A147:B147"/>
    <mergeCell ref="A60:B60"/>
    <mergeCell ref="C60:E60"/>
    <mergeCell ref="D62:H62"/>
    <mergeCell ref="F127:H127"/>
    <mergeCell ref="E132:F132"/>
    <mergeCell ref="A132:B132"/>
    <mergeCell ref="A134:B134"/>
    <mergeCell ref="C137:D137"/>
    <mergeCell ref="D72:H72"/>
    <mergeCell ref="A73:C73"/>
    <mergeCell ref="A152:B152"/>
    <mergeCell ref="A153:B153"/>
    <mergeCell ref="A154:B154"/>
    <mergeCell ref="A155:B155"/>
    <mergeCell ref="A156:B156"/>
    <mergeCell ref="A157:B157"/>
    <mergeCell ref="A158:B158"/>
    <mergeCell ref="E43:H43"/>
    <mergeCell ref="A43:D43"/>
    <mergeCell ref="A89:B89"/>
    <mergeCell ref="C89:H89"/>
    <mergeCell ref="A84:B84"/>
    <mergeCell ref="A50:B50"/>
    <mergeCell ref="C53:H53"/>
    <mergeCell ref="A150:B150"/>
    <mergeCell ref="A151:B151"/>
    <mergeCell ref="D67:H67"/>
    <mergeCell ref="A65:C67"/>
    <mergeCell ref="D65:H65"/>
    <mergeCell ref="D66:H66"/>
    <mergeCell ref="E92:F92"/>
    <mergeCell ref="G92:H92"/>
    <mergeCell ref="A110:B110"/>
    <mergeCell ref="A111:B111"/>
    <mergeCell ref="E93:F102"/>
    <mergeCell ref="A100:B100"/>
    <mergeCell ref="A101:B101"/>
    <mergeCell ref="E106:F106"/>
    <mergeCell ref="E107:F116"/>
    <mergeCell ref="A75:B75"/>
    <mergeCell ref="C75:H75"/>
    <mergeCell ref="A164:B164"/>
    <mergeCell ref="A165:B165"/>
    <mergeCell ref="A166:B166"/>
    <mergeCell ref="A167:H167"/>
    <mergeCell ref="A159:B159"/>
    <mergeCell ref="A160:B160"/>
    <mergeCell ref="A161:B161"/>
    <mergeCell ref="A162:B162"/>
    <mergeCell ref="A163:B163"/>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80:B180"/>
    <mergeCell ref="A181:B181"/>
    <mergeCell ref="A182:B182"/>
    <mergeCell ref="A183:B183"/>
    <mergeCell ref="A184:B184"/>
    <mergeCell ref="A185:B185"/>
    <mergeCell ref="A203:B203"/>
    <mergeCell ref="A204:B204"/>
    <mergeCell ref="A205:B205"/>
    <mergeCell ref="A186:B186"/>
    <mergeCell ref="A187:B187"/>
    <mergeCell ref="A191:H191"/>
    <mergeCell ref="A197:B197"/>
    <mergeCell ref="A198:B198"/>
    <mergeCell ref="A199:B199"/>
    <mergeCell ref="A200:B200"/>
    <mergeCell ref="A201:B201"/>
    <mergeCell ref="A202:B202"/>
    <mergeCell ref="B189:B190"/>
  </mergeCells>
  <dataValidations count="18">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303:H303">
      <formula1>"Kunal Kadam,Pranita Mhatre,Shruti Fule,Pooja Kawale,Neha Dhokale,Shruti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9:H129">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89:B190">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89:E190">
      <formula1>"Fungible area,Balcony Area,Chajja Area,Cornice Area,AP Area,WS Area"</formula1>
    </dataValidation>
    <dataValidation type="list" allowBlank="1" showInputMessage="1" showErrorMessage="1" sqref="H144 H190">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4">
      <formula1>0</formula1>
      <formula2>H76</formula2>
    </dataValidation>
    <dataValidation type="list" allowBlank="1" showInputMessage="1" showErrorMessage="1" sqref="H143 H189">
      <formula1>"Saleable area Loading :,Builder Saleable Area"</formula1>
    </dataValidation>
    <dataValidation type="list" allowBlank="1" showInputMessage="1" showErrorMessage="1" sqref="D143:D144 D189:D190">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4" max="16383" man="1"/>
    <brk id="307" max="16383" man="1"/>
    <brk id="350" max="16383" man="1"/>
    <brk id="39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7" sqref="C7"/>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51" t="s">
        <v>105</v>
      </c>
      <c r="C3" s="251"/>
      <c r="D3" s="251"/>
      <c r="E3" s="251"/>
      <c r="F3" s="251"/>
      <c r="G3" s="251"/>
      <c r="H3" s="251"/>
    </row>
    <row r="4" spans="1:9" x14ac:dyDescent="0.35">
      <c r="A4" s="2"/>
      <c r="B4" s="3" t="s">
        <v>106</v>
      </c>
      <c r="C4" s="3" t="s">
        <v>107</v>
      </c>
      <c r="D4" s="3" t="s">
        <v>66</v>
      </c>
      <c r="E4" s="3" t="s">
        <v>108</v>
      </c>
      <c r="F4" s="3" t="s">
        <v>114</v>
      </c>
      <c r="G4" s="3" t="s">
        <v>115</v>
      </c>
      <c r="H4" s="3" t="s">
        <v>109</v>
      </c>
    </row>
    <row r="5" spans="1:9" ht="15" customHeight="1" x14ac:dyDescent="0.35">
      <c r="A5" s="2"/>
      <c r="B5" s="5" t="s">
        <v>110</v>
      </c>
      <c r="C5" s="6"/>
      <c r="D5" s="5"/>
      <c r="E5" s="5"/>
      <c r="F5" s="7">
        <f>E5*1.6</f>
        <v>0</v>
      </c>
      <c r="G5" s="7" t="e">
        <f>H5/F5</f>
        <v>#DIV/0!</v>
      </c>
      <c r="H5" s="8"/>
    </row>
    <row r="6" spans="1:9" x14ac:dyDescent="0.35">
      <c r="A6" s="2"/>
      <c r="B6" s="5" t="s">
        <v>110</v>
      </c>
      <c r="C6" s="9"/>
      <c r="D6" s="5"/>
      <c r="E6" s="5"/>
      <c r="F6" s="7">
        <f t="shared" ref="F6:F11" si="0">E6*1.6</f>
        <v>0</v>
      </c>
      <c r="G6" s="7" t="e">
        <f t="shared" ref="G6:G11" si="1">H6/F6</f>
        <v>#DIV/0!</v>
      </c>
      <c r="H6" s="8"/>
    </row>
    <row r="7" spans="1:9" ht="15" customHeight="1" x14ac:dyDescent="0.35">
      <c r="A7" s="2"/>
      <c r="B7" s="5" t="s">
        <v>110</v>
      </c>
      <c r="C7" s="6"/>
      <c r="D7" s="5"/>
      <c r="E7" s="5"/>
      <c r="F7" s="7">
        <f t="shared" si="0"/>
        <v>0</v>
      </c>
      <c r="G7" s="7" t="e">
        <f t="shared" si="1"/>
        <v>#DIV/0!</v>
      </c>
      <c r="H7" s="8"/>
    </row>
    <row r="8" spans="1:9" x14ac:dyDescent="0.35">
      <c r="A8" s="2"/>
      <c r="B8" s="5" t="s">
        <v>110</v>
      </c>
      <c r="C8" s="9"/>
      <c r="D8" s="5"/>
      <c r="E8" s="5"/>
      <c r="F8" s="7">
        <f t="shared" si="0"/>
        <v>0</v>
      </c>
      <c r="G8" s="7" t="e">
        <f t="shared" si="1"/>
        <v>#DIV/0!</v>
      </c>
      <c r="H8" s="8"/>
    </row>
    <row r="9" spans="1:9" ht="15" customHeight="1" x14ac:dyDescent="0.35">
      <c r="A9" s="2"/>
      <c r="B9" s="5" t="s">
        <v>110</v>
      </c>
      <c r="C9" s="9"/>
      <c r="D9" s="5"/>
      <c r="E9" s="5"/>
      <c r="F9" s="7">
        <f t="shared" si="0"/>
        <v>0</v>
      </c>
      <c r="G9" s="7" t="e">
        <f t="shared" si="1"/>
        <v>#DIV/0!</v>
      </c>
      <c r="H9" s="8"/>
    </row>
    <row r="10" spans="1:9" ht="15" customHeight="1" x14ac:dyDescent="0.35">
      <c r="A10" s="2"/>
      <c r="B10" s="5" t="s">
        <v>111</v>
      </c>
      <c r="C10" s="6"/>
      <c r="D10" s="5"/>
      <c r="E10" s="5"/>
      <c r="F10" s="7">
        <f t="shared" si="0"/>
        <v>0</v>
      </c>
      <c r="G10" s="7" t="e">
        <f t="shared" si="1"/>
        <v>#DIV/0!</v>
      </c>
      <c r="H10" s="8"/>
    </row>
    <row r="11" spans="1:9" ht="15" customHeight="1" x14ac:dyDescent="0.35">
      <c r="A11" s="2"/>
      <c r="B11" s="5" t="s">
        <v>111</v>
      </c>
      <c r="C11" s="6"/>
      <c r="D11" s="5"/>
      <c r="E11" s="5"/>
      <c r="F11" s="7">
        <f t="shared" si="0"/>
        <v>0</v>
      </c>
      <c r="G11" s="7" t="e">
        <f t="shared" si="1"/>
        <v>#DIV/0!</v>
      </c>
      <c r="H11" s="8"/>
    </row>
    <row r="12" spans="1:9" ht="15" customHeight="1" x14ac:dyDescent="0.35">
      <c r="A12" s="2"/>
      <c r="B12" s="10" t="s">
        <v>112</v>
      </c>
      <c r="C12" s="5"/>
      <c r="D12" s="5"/>
      <c r="E12" s="5"/>
      <c r="F12" s="5"/>
      <c r="G12" s="11" t="e">
        <f>AVERAGE(G5:G11)</f>
        <v>#DIV/0!</v>
      </c>
      <c r="H12" s="5"/>
    </row>
    <row r="13" spans="1:9" ht="15" customHeight="1" x14ac:dyDescent="0.35">
      <c r="B13" s="10" t="s">
        <v>113</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5"/>
      <c r="C4" s="55" t="s">
        <v>11</v>
      </c>
      <c r="D4" s="56" t="s">
        <v>182</v>
      </c>
      <c r="E4" s="56" t="s">
        <v>192</v>
      </c>
      <c r="F4" s="56" t="s">
        <v>175</v>
      </c>
      <c r="G4" s="56" t="s">
        <v>197</v>
      </c>
      <c r="H4" s="56" t="s">
        <v>215</v>
      </c>
      <c r="J4" t="s">
        <v>197</v>
      </c>
      <c r="K4" t="s">
        <v>213</v>
      </c>
    </row>
    <row r="5" spans="2:11" x14ac:dyDescent="0.35">
      <c r="B5" s="55"/>
      <c r="C5" s="55"/>
      <c r="D5" s="56" t="s">
        <v>183</v>
      </c>
      <c r="E5" s="56" t="s">
        <v>190</v>
      </c>
      <c r="F5" s="56" t="s">
        <v>212</v>
      </c>
      <c r="G5" s="56" t="s">
        <v>198</v>
      </c>
      <c r="H5" s="56" t="s">
        <v>216</v>
      </c>
    </row>
    <row r="6" spans="2:11" x14ac:dyDescent="0.35">
      <c r="B6" s="55"/>
      <c r="C6" s="55"/>
      <c r="D6" s="56" t="s">
        <v>184</v>
      </c>
      <c r="E6" s="56" t="s">
        <v>191</v>
      </c>
      <c r="F6" s="56" t="s">
        <v>213</v>
      </c>
      <c r="G6" s="56" t="s">
        <v>199</v>
      </c>
      <c r="H6" s="56" t="s">
        <v>229</v>
      </c>
    </row>
    <row r="7" spans="2:11" x14ac:dyDescent="0.35">
      <c r="B7" s="55"/>
      <c r="C7" s="55"/>
      <c r="D7" s="56" t="s">
        <v>185</v>
      </c>
      <c r="E7" s="56" t="s">
        <v>193</v>
      </c>
      <c r="F7" s="56" t="s">
        <v>214</v>
      </c>
      <c r="G7" s="56" t="s">
        <v>200</v>
      </c>
      <c r="H7" s="56" t="s">
        <v>217</v>
      </c>
    </row>
    <row r="8" spans="2:11" x14ac:dyDescent="0.35">
      <c r="B8" s="55"/>
      <c r="C8" s="55"/>
      <c r="D8" s="56" t="s">
        <v>186</v>
      </c>
      <c r="E8" s="56" t="s">
        <v>194</v>
      </c>
      <c r="F8" s="56"/>
      <c r="G8" s="56" t="s">
        <v>201</v>
      </c>
      <c r="H8" s="56" t="s">
        <v>218</v>
      </c>
    </row>
    <row r="9" spans="2:11" x14ac:dyDescent="0.35">
      <c r="B9" s="55"/>
      <c r="C9" s="55"/>
      <c r="D9" s="56" t="s">
        <v>187</v>
      </c>
      <c r="E9" s="56" t="s">
        <v>192</v>
      </c>
      <c r="F9" s="56"/>
      <c r="G9" s="56" t="s">
        <v>202</v>
      </c>
      <c r="H9" s="56" t="s">
        <v>219</v>
      </c>
    </row>
    <row r="10" spans="2:11" x14ac:dyDescent="0.35">
      <c r="B10" s="55"/>
      <c r="C10" s="55"/>
      <c r="D10" s="56" t="s">
        <v>188</v>
      </c>
      <c r="E10" s="56" t="s">
        <v>195</v>
      </c>
      <c r="F10" s="56"/>
      <c r="G10" s="56" t="s">
        <v>203</v>
      </c>
      <c r="H10" s="56" t="s">
        <v>220</v>
      </c>
    </row>
    <row r="11" spans="2:11" x14ac:dyDescent="0.35">
      <c r="B11" s="55"/>
      <c r="C11" s="55"/>
      <c r="D11" s="56" t="s">
        <v>189</v>
      </c>
      <c r="E11" s="56" t="s">
        <v>196</v>
      </c>
      <c r="F11" s="56"/>
      <c r="G11" s="56" t="s">
        <v>204</v>
      </c>
      <c r="H11" s="56" t="s">
        <v>221</v>
      </c>
    </row>
    <row r="12" spans="2:11" x14ac:dyDescent="0.35">
      <c r="B12" s="55"/>
      <c r="C12" s="55"/>
      <c r="D12" s="56"/>
      <c r="E12" s="56"/>
      <c r="F12" s="56"/>
      <c r="G12" s="56" t="s">
        <v>205</v>
      </c>
      <c r="H12" s="56" t="s">
        <v>222</v>
      </c>
    </row>
    <row r="13" spans="2:11" x14ac:dyDescent="0.35">
      <c r="B13" s="55"/>
      <c r="C13" s="55"/>
      <c r="D13" s="56"/>
      <c r="E13" s="56"/>
      <c r="F13" s="56"/>
      <c r="G13" s="56" t="s">
        <v>206</v>
      </c>
      <c r="H13" s="56" t="s">
        <v>223</v>
      </c>
    </row>
    <row r="14" spans="2:11" x14ac:dyDescent="0.35">
      <c r="B14" s="55"/>
      <c r="C14" s="55"/>
      <c r="D14" s="56"/>
      <c r="E14" s="56"/>
      <c r="F14" s="56"/>
      <c r="G14" s="56" t="s">
        <v>207</v>
      </c>
      <c r="H14" s="56" t="s">
        <v>224</v>
      </c>
    </row>
    <row r="15" spans="2:11" x14ac:dyDescent="0.35">
      <c r="B15" s="55"/>
      <c r="C15" s="55"/>
      <c r="D15" s="56"/>
      <c r="E15" s="56"/>
      <c r="F15" s="56"/>
      <c r="G15" s="56" t="s">
        <v>208</v>
      </c>
      <c r="H15" s="56" t="s">
        <v>225</v>
      </c>
    </row>
    <row r="16" spans="2:11" x14ac:dyDescent="0.35">
      <c r="B16" s="55"/>
      <c r="C16" s="55"/>
      <c r="D16" s="56"/>
      <c r="E16" s="56"/>
      <c r="F16" s="56"/>
      <c r="G16" s="56" t="s">
        <v>209</v>
      </c>
      <c r="H16" s="56" t="s">
        <v>226</v>
      </c>
    </row>
    <row r="17" spans="2:8" x14ac:dyDescent="0.35">
      <c r="B17" s="55"/>
      <c r="C17" s="55"/>
      <c r="D17" s="56"/>
      <c r="E17" s="56"/>
      <c r="F17" s="56"/>
      <c r="G17" s="56" t="s">
        <v>210</v>
      </c>
      <c r="H17" s="56" t="s">
        <v>227</v>
      </c>
    </row>
    <row r="18" spans="2:8" x14ac:dyDescent="0.35">
      <c r="B18" s="55"/>
      <c r="C18" s="55"/>
      <c r="D18" s="56"/>
      <c r="E18" s="56"/>
      <c r="F18" s="56"/>
      <c r="G18" s="56" t="s">
        <v>211</v>
      </c>
      <c r="H18" s="56" t="s">
        <v>228</v>
      </c>
    </row>
    <row r="24" spans="2:8" x14ac:dyDescent="0.35">
      <c r="C24" t="s">
        <v>172</v>
      </c>
    </row>
    <row r="25" spans="2:8" x14ac:dyDescent="0.35">
      <c r="C25" t="s">
        <v>230</v>
      </c>
    </row>
    <row r="26" spans="2:8" x14ac:dyDescent="0.35">
      <c r="C26" t="s">
        <v>231</v>
      </c>
    </row>
    <row r="27" spans="2:8" x14ac:dyDescent="0.35">
      <c r="C27" t="s">
        <v>232</v>
      </c>
    </row>
    <row r="28" spans="2:8" x14ac:dyDescent="0.35">
      <c r="C28" t="s">
        <v>233</v>
      </c>
    </row>
    <row r="29" spans="2:8" x14ac:dyDescent="0.35">
      <c r="C29" t="s">
        <v>234</v>
      </c>
    </row>
    <row r="30" spans="2:8" x14ac:dyDescent="0.35">
      <c r="C30" t="s">
        <v>172</v>
      </c>
    </row>
    <row r="33" spans="3:11" x14ac:dyDescent="0.35">
      <c r="J33">
        <v>1</v>
      </c>
      <c r="K33">
        <v>2</v>
      </c>
    </row>
    <row r="34" spans="3:11" x14ac:dyDescent="0.35">
      <c r="C34" s="59" t="s">
        <v>241</v>
      </c>
      <c r="D34" s="56" t="s">
        <v>239</v>
      </c>
      <c r="E34" s="56" t="s">
        <v>244</v>
      </c>
      <c r="F34" s="56" t="s">
        <v>242</v>
      </c>
      <c r="G34" s="56" t="s">
        <v>243</v>
      </c>
      <c r="H34" s="56" t="s">
        <v>245</v>
      </c>
      <c r="J34" t="s">
        <v>197</v>
      </c>
      <c r="K34" t="s">
        <v>213</v>
      </c>
    </row>
    <row r="35" spans="3:11" x14ac:dyDescent="0.35">
      <c r="C35" s="55" t="s">
        <v>240</v>
      </c>
      <c r="D35" s="56" t="s">
        <v>173</v>
      </c>
      <c r="E35" s="56" t="s">
        <v>249</v>
      </c>
      <c r="F35" s="56" t="s">
        <v>251</v>
      </c>
      <c r="G35" s="56" t="s">
        <v>253</v>
      </c>
      <c r="H35" s="56"/>
    </row>
    <row r="36" spans="3:11" x14ac:dyDescent="0.35">
      <c r="C36" s="55"/>
      <c r="D36" s="56" t="s">
        <v>246</v>
      </c>
      <c r="E36" s="56" t="s">
        <v>250</v>
      </c>
      <c r="F36" s="56" t="s">
        <v>252</v>
      </c>
      <c r="G36" s="56" t="s">
        <v>254</v>
      </c>
      <c r="H36" s="56"/>
    </row>
    <row r="37" spans="3:11" x14ac:dyDescent="0.35">
      <c r="C37" s="55"/>
      <c r="D37" s="56" t="s">
        <v>247</v>
      </c>
      <c r="E37" s="56"/>
      <c r="F37" s="56"/>
      <c r="G37" s="56" t="s">
        <v>255</v>
      </c>
      <c r="H37" s="56"/>
    </row>
    <row r="38" spans="3:11" x14ac:dyDescent="0.35">
      <c r="C38" s="55"/>
      <c r="D38" s="56" t="s">
        <v>248</v>
      </c>
      <c r="E38" s="56"/>
      <c r="F38" s="56"/>
      <c r="G38" s="56" t="s">
        <v>255</v>
      </c>
      <c r="H38" s="56"/>
    </row>
    <row r="39" spans="3:11" x14ac:dyDescent="0.35">
      <c r="C39" s="55"/>
      <c r="D39" s="56"/>
      <c r="E39" s="56"/>
      <c r="F39" s="56"/>
      <c r="G39" s="56" t="s">
        <v>256</v>
      </c>
      <c r="H39" s="56"/>
    </row>
    <row r="40" spans="3:11" x14ac:dyDescent="0.35">
      <c r="C40" s="55"/>
      <c r="D40" s="56"/>
      <c r="E40" s="56"/>
      <c r="F40" s="56"/>
      <c r="G40" s="56" t="s">
        <v>257</v>
      </c>
      <c r="H40" s="56"/>
    </row>
    <row r="41" spans="3:11" x14ac:dyDescent="0.35">
      <c r="C41" s="55"/>
      <c r="D41" s="56"/>
      <c r="E41" s="56"/>
      <c r="F41" s="56"/>
      <c r="G41" s="56"/>
      <c r="H41" s="56"/>
    </row>
    <row r="43" spans="3:11" x14ac:dyDescent="0.35">
      <c r="C43" t="s">
        <v>258</v>
      </c>
    </row>
    <row r="44" spans="3:11" x14ac:dyDescent="0.35">
      <c r="C44" t="s">
        <v>175</v>
      </c>
      <c r="D44" t="s">
        <v>259</v>
      </c>
    </row>
    <row r="45" spans="3:11" x14ac:dyDescent="0.35">
      <c r="D45" t="s">
        <v>260</v>
      </c>
    </row>
    <row r="46" spans="3:11" x14ac:dyDescent="0.35">
      <c r="D46" t="s">
        <v>261</v>
      </c>
    </row>
    <row r="47" spans="3:11" x14ac:dyDescent="0.35">
      <c r="D47" t="s">
        <v>262</v>
      </c>
    </row>
    <row r="48" spans="3:11" x14ac:dyDescent="0.35">
      <c r="D48" t="s">
        <v>263</v>
      </c>
    </row>
    <row r="49" spans="3:4" x14ac:dyDescent="0.35">
      <c r="C49" t="s">
        <v>182</v>
      </c>
      <c r="D49" t="s">
        <v>264</v>
      </c>
    </row>
    <row r="50" spans="3:4" x14ac:dyDescent="0.35">
      <c r="D50" t="s">
        <v>265</v>
      </c>
    </row>
    <row r="51" spans="3:4" x14ac:dyDescent="0.35">
      <c r="D51" t="s">
        <v>266</v>
      </c>
    </row>
    <row r="52" spans="3:4" x14ac:dyDescent="0.35">
      <c r="D52" t="s">
        <v>269</v>
      </c>
    </row>
    <row r="53" spans="3:4" x14ac:dyDescent="0.35">
      <c r="D53" t="s">
        <v>267</v>
      </c>
    </row>
    <row r="54" spans="3:4" x14ac:dyDescent="0.35">
      <c r="D54" t="s">
        <v>268</v>
      </c>
    </row>
    <row r="55" spans="3:4" x14ac:dyDescent="0.35">
      <c r="D55" t="s">
        <v>270</v>
      </c>
    </row>
    <row r="56" spans="3:4" x14ac:dyDescent="0.35">
      <c r="D56" t="s">
        <v>271</v>
      </c>
    </row>
    <row r="57" spans="3:4" x14ac:dyDescent="0.35">
      <c r="D57" t="s">
        <v>272</v>
      </c>
    </row>
    <row r="58" spans="3:4" x14ac:dyDescent="0.35">
      <c r="D58" t="s">
        <v>274</v>
      </c>
    </row>
    <row r="59" spans="3:4" x14ac:dyDescent="0.35">
      <c r="D59" t="s">
        <v>283</v>
      </c>
    </row>
    <row r="60" spans="3:4" x14ac:dyDescent="0.35">
      <c r="C60" t="s">
        <v>197</v>
      </c>
      <c r="D60" t="s">
        <v>275</v>
      </c>
    </row>
    <row r="61" spans="3:4" x14ac:dyDescent="0.35">
      <c r="D61" t="s">
        <v>273</v>
      </c>
    </row>
    <row r="62" spans="3:4" x14ac:dyDescent="0.35">
      <c r="D62" t="s">
        <v>263</v>
      </c>
    </row>
    <row r="63" spans="3:4" x14ac:dyDescent="0.35">
      <c r="D63" t="s">
        <v>276</v>
      </c>
    </row>
    <row r="64" spans="3:4" x14ac:dyDescent="0.35">
      <c r="D64" t="s">
        <v>277</v>
      </c>
    </row>
    <row r="65" spans="3:4" x14ac:dyDescent="0.35">
      <c r="D65" t="s">
        <v>278</v>
      </c>
    </row>
    <row r="66" spans="3:4" x14ac:dyDescent="0.35">
      <c r="D66" t="s">
        <v>279</v>
      </c>
    </row>
    <row r="67" spans="3:4" x14ac:dyDescent="0.35">
      <c r="C67" t="s">
        <v>192</v>
      </c>
      <c r="D67" t="s">
        <v>280</v>
      </c>
    </row>
    <row r="68" spans="3:4" x14ac:dyDescent="0.35">
      <c r="D68" t="s">
        <v>281</v>
      </c>
    </row>
    <row r="69" spans="3:4" x14ac:dyDescent="0.35">
      <c r="D69" t="s">
        <v>282</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19" workbookViewId="0">
      <selection activeCell="E24" sqref="E24"/>
    </sheetView>
  </sheetViews>
  <sheetFormatPr defaultRowHeight="14.5" x14ac:dyDescent="0.35"/>
  <cols>
    <col min="2" max="2" width="3" bestFit="1" customWidth="1"/>
    <col min="3" max="3" width="130" customWidth="1"/>
  </cols>
  <sheetData>
    <row r="2" spans="2:3" ht="15" customHeight="1" x14ac:dyDescent="0.35">
      <c r="B2" s="60">
        <v>1</v>
      </c>
      <c r="C2" s="63" t="s">
        <v>289</v>
      </c>
    </row>
    <row r="3" spans="2:3" x14ac:dyDescent="0.35">
      <c r="B3" s="60">
        <v>2</v>
      </c>
      <c r="C3" s="61" t="s">
        <v>290</v>
      </c>
    </row>
    <row r="4" spans="2:3" x14ac:dyDescent="0.35">
      <c r="B4" s="60">
        <v>3</v>
      </c>
      <c r="C4" s="62" t="s">
        <v>291</v>
      </c>
    </row>
    <row r="5" spans="2:3" x14ac:dyDescent="0.35">
      <c r="B5" s="60">
        <v>4</v>
      </c>
      <c r="C5" s="61" t="s">
        <v>292</v>
      </c>
    </row>
    <row r="6" spans="2:3" x14ac:dyDescent="0.35">
      <c r="B6" s="60">
        <v>5</v>
      </c>
      <c r="C6" s="62" t="s">
        <v>293</v>
      </c>
    </row>
    <row r="7" spans="2:3" ht="29" x14ac:dyDescent="0.35">
      <c r="B7" s="60">
        <v>6</v>
      </c>
      <c r="C7" s="61" t="s">
        <v>294</v>
      </c>
    </row>
    <row r="8" spans="2:3" ht="72.5" x14ac:dyDescent="0.35">
      <c r="B8" s="60">
        <v>7</v>
      </c>
      <c r="C8" s="61" t="s">
        <v>295</v>
      </c>
    </row>
    <row r="9" spans="2:3" x14ac:dyDescent="0.35">
      <c r="B9" s="60">
        <v>8</v>
      </c>
      <c r="C9" s="62" t="s">
        <v>296</v>
      </c>
    </row>
    <row r="10" spans="2:3" x14ac:dyDescent="0.35">
      <c r="B10" s="60">
        <v>9</v>
      </c>
      <c r="C10" s="62" t="s">
        <v>297</v>
      </c>
    </row>
    <row r="11" spans="2:3" x14ac:dyDescent="0.35">
      <c r="B11" s="60">
        <v>10</v>
      </c>
      <c r="C11" s="62" t="s">
        <v>298</v>
      </c>
    </row>
    <row r="12" spans="2:3" x14ac:dyDescent="0.35">
      <c r="B12" s="60">
        <v>11</v>
      </c>
      <c r="C12" s="62" t="s">
        <v>299</v>
      </c>
    </row>
    <row r="13" spans="2:3" x14ac:dyDescent="0.35">
      <c r="B13" s="60">
        <v>12</v>
      </c>
      <c r="C13" s="62" t="s">
        <v>300</v>
      </c>
    </row>
    <row r="14" spans="2:3" x14ac:dyDescent="0.35">
      <c r="B14" s="60">
        <v>13</v>
      </c>
      <c r="C14" s="62" t="s">
        <v>301</v>
      </c>
    </row>
    <row r="15" spans="2:3" x14ac:dyDescent="0.35">
      <c r="B15" s="60">
        <v>14</v>
      </c>
      <c r="C15" s="62" t="s">
        <v>291</v>
      </c>
    </row>
    <row r="16" spans="2:3" x14ac:dyDescent="0.35">
      <c r="B16" s="60">
        <v>15</v>
      </c>
      <c r="C16" s="62" t="s">
        <v>304</v>
      </c>
    </row>
    <row r="17" spans="2:3" ht="31.5" customHeight="1" x14ac:dyDescent="0.35">
      <c r="B17" s="68">
        <v>16</v>
      </c>
      <c r="C17" s="70" t="s">
        <v>305</v>
      </c>
    </row>
    <row r="18" spans="2:3" x14ac:dyDescent="0.35">
      <c r="B18" s="69">
        <v>17</v>
      </c>
      <c r="C18" s="70" t="s">
        <v>306</v>
      </c>
    </row>
    <row r="19" spans="2:3" x14ac:dyDescent="0.35">
      <c r="B19" s="68">
        <v>18</v>
      </c>
      <c r="C19" s="60" t="s">
        <v>307</v>
      </c>
    </row>
    <row r="20" spans="2:3" x14ac:dyDescent="0.35">
      <c r="B20" s="69">
        <v>19</v>
      </c>
      <c r="C20" s="60" t="s">
        <v>308</v>
      </c>
    </row>
    <row r="21" spans="2:3" x14ac:dyDescent="0.35">
      <c r="B21" s="71">
        <v>20</v>
      </c>
      <c r="C21" s="60" t="s">
        <v>309</v>
      </c>
    </row>
    <row r="22" spans="2:3" x14ac:dyDescent="0.35">
      <c r="B22" s="69">
        <v>21</v>
      </c>
      <c r="C22" s="60" t="s">
        <v>307</v>
      </c>
    </row>
    <row r="23" spans="2:3" s="79" customFormat="1" ht="29.25" customHeight="1" x14ac:dyDescent="0.35">
      <c r="B23" s="78">
        <v>22</v>
      </c>
      <c r="C23" s="63" t="s">
        <v>336</v>
      </c>
    </row>
    <row r="24" spans="2:3" s="79" customFormat="1" ht="30.75" customHeight="1" x14ac:dyDescent="0.35">
      <c r="B24" s="80">
        <v>23</v>
      </c>
      <c r="C24" s="63" t="s">
        <v>337</v>
      </c>
    </row>
    <row r="25" spans="2:3" x14ac:dyDescent="0.35">
      <c r="B25" s="71">
        <v>24</v>
      </c>
      <c r="C25" s="60"/>
    </row>
    <row r="26" spans="2:3" x14ac:dyDescent="0.35">
      <c r="B26" s="69">
        <v>25</v>
      </c>
      <c r="C26" s="60"/>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activeCell="G36" sqref="G36"/>
    </sheetView>
  </sheetViews>
  <sheetFormatPr defaultColWidth="9.1796875" defaultRowHeight="14.5" x14ac:dyDescent="0.35"/>
  <cols>
    <col min="1" max="1" width="9.1796875" style="55"/>
    <col min="2" max="2" width="12.26953125" style="55" customWidth="1"/>
    <col min="3" max="16384" width="9.1796875" style="55"/>
  </cols>
  <sheetData>
    <row r="2" spans="1:12" x14ac:dyDescent="0.35">
      <c r="B2" s="72" t="s">
        <v>310</v>
      </c>
      <c r="C2" s="252"/>
      <c r="D2" s="252"/>
    </row>
    <row r="3" spans="1:12" x14ac:dyDescent="0.35">
      <c r="D3" s="73"/>
      <c r="E3" s="73"/>
      <c r="F3" s="73"/>
      <c r="G3" s="73"/>
      <c r="H3" s="73"/>
      <c r="I3" s="73"/>
    </row>
    <row r="4" spans="1:12" x14ac:dyDescent="0.35">
      <c r="A4" s="72" t="s">
        <v>66</v>
      </c>
      <c r="B4" s="74" t="s">
        <v>311</v>
      </c>
      <c r="C4" s="253" t="s">
        <v>312</v>
      </c>
      <c r="D4" s="253"/>
      <c r="E4" s="253"/>
      <c r="F4" s="74"/>
      <c r="G4" s="254" t="s">
        <v>313</v>
      </c>
      <c r="H4" s="254"/>
      <c r="I4" s="254"/>
      <c r="J4" s="255" t="s">
        <v>314</v>
      </c>
      <c r="K4" s="255"/>
      <c r="L4" s="255"/>
    </row>
    <row r="5" spans="1:12" x14ac:dyDescent="0.35">
      <c r="A5" s="72"/>
      <c r="B5" s="74"/>
      <c r="C5" s="74" t="s">
        <v>315</v>
      </c>
      <c r="D5" s="74" t="s">
        <v>316</v>
      </c>
      <c r="E5" s="74" t="s">
        <v>317</v>
      </c>
      <c r="F5" s="74"/>
      <c r="G5" s="74" t="s">
        <v>315</v>
      </c>
      <c r="H5" s="74" t="s">
        <v>316</v>
      </c>
      <c r="I5" s="74" t="s">
        <v>317</v>
      </c>
      <c r="J5" s="74" t="s">
        <v>315</v>
      </c>
      <c r="K5" s="74" t="s">
        <v>316</v>
      </c>
      <c r="L5" s="74" t="s">
        <v>317</v>
      </c>
    </row>
    <row r="6" spans="1:12" x14ac:dyDescent="0.35">
      <c r="B6" s="56" t="s">
        <v>318</v>
      </c>
      <c r="C6" s="56"/>
      <c r="D6" s="56"/>
      <c r="E6" s="56">
        <f>C6*D6</f>
        <v>0</v>
      </c>
      <c r="F6" s="56" t="s">
        <v>335</v>
      </c>
      <c r="G6" s="56"/>
      <c r="H6" s="56"/>
      <c r="I6" s="56">
        <f>G6*H6</f>
        <v>0</v>
      </c>
      <c r="J6" s="56"/>
      <c r="K6" s="56"/>
      <c r="L6" s="56">
        <f>J6*K6</f>
        <v>0</v>
      </c>
    </row>
    <row r="7" spans="1:12" x14ac:dyDescent="0.35">
      <c r="B7" s="56"/>
      <c r="C7" s="56"/>
      <c r="D7" s="56"/>
      <c r="E7" s="56">
        <f t="shared" ref="E7:E41" si="0">C7*D7</f>
        <v>0</v>
      </c>
      <c r="F7" s="56" t="s">
        <v>335</v>
      </c>
      <c r="G7" s="56"/>
      <c r="H7" s="56"/>
      <c r="I7" s="56">
        <f t="shared" ref="I7:I35" si="1">G7*H7</f>
        <v>0</v>
      </c>
      <c r="J7" s="56"/>
      <c r="K7" s="56"/>
      <c r="L7" s="56">
        <f t="shared" ref="L7:L35" si="2">J7*K7</f>
        <v>0</v>
      </c>
    </row>
    <row r="8" spans="1:12" x14ac:dyDescent="0.35">
      <c r="B8" s="56"/>
      <c r="C8" s="56"/>
      <c r="D8" s="56"/>
      <c r="E8" s="56">
        <f t="shared" si="0"/>
        <v>0</v>
      </c>
      <c r="F8" s="56"/>
      <c r="G8" s="56"/>
      <c r="H8" s="56"/>
      <c r="I8" s="56">
        <f t="shared" si="1"/>
        <v>0</v>
      </c>
      <c r="J8" s="56"/>
      <c r="K8" s="56"/>
      <c r="L8" s="56">
        <f t="shared" si="2"/>
        <v>0</v>
      </c>
    </row>
    <row r="9" spans="1:12" x14ac:dyDescent="0.35">
      <c r="B9" s="56"/>
      <c r="C9" s="56"/>
      <c r="D9" s="56"/>
      <c r="E9" s="56">
        <f t="shared" si="0"/>
        <v>0</v>
      </c>
      <c r="F9" s="56" t="s">
        <v>319</v>
      </c>
      <c r="G9" s="56"/>
      <c r="H9" s="56"/>
      <c r="I9" s="56">
        <f t="shared" si="1"/>
        <v>0</v>
      </c>
      <c r="J9" s="56"/>
      <c r="K9" s="56"/>
      <c r="L9" s="56">
        <f t="shared" si="2"/>
        <v>0</v>
      </c>
    </row>
    <row r="10" spans="1:12" x14ac:dyDescent="0.35">
      <c r="B10" s="56" t="s">
        <v>320</v>
      </c>
      <c r="C10" s="56"/>
      <c r="D10" s="56"/>
      <c r="E10" s="56">
        <f t="shared" si="0"/>
        <v>0</v>
      </c>
      <c r="F10" s="56" t="s">
        <v>319</v>
      </c>
      <c r="G10" s="56"/>
      <c r="H10" s="56"/>
      <c r="I10" s="56">
        <f t="shared" si="1"/>
        <v>0</v>
      </c>
      <c r="J10" s="56"/>
      <c r="K10" s="56"/>
      <c r="L10" s="56">
        <f t="shared" si="2"/>
        <v>0</v>
      </c>
    </row>
    <row r="11" spans="1:12" x14ac:dyDescent="0.35">
      <c r="B11" s="56"/>
      <c r="C11" s="56"/>
      <c r="D11" s="56"/>
      <c r="E11" s="56">
        <f t="shared" si="0"/>
        <v>0</v>
      </c>
      <c r="F11" s="56" t="s">
        <v>321</v>
      </c>
      <c r="G11" s="56"/>
      <c r="H11" s="56"/>
      <c r="I11" s="56">
        <f t="shared" si="1"/>
        <v>0</v>
      </c>
      <c r="J11" s="56"/>
      <c r="K11" s="56"/>
      <c r="L11" s="56">
        <f t="shared" si="2"/>
        <v>0</v>
      </c>
    </row>
    <row r="12" spans="1:12" x14ac:dyDescent="0.35">
      <c r="B12" s="56"/>
      <c r="C12" s="56"/>
      <c r="D12" s="56"/>
      <c r="E12" s="56">
        <f t="shared" si="0"/>
        <v>0</v>
      </c>
      <c r="F12" s="56"/>
      <c r="G12" s="56"/>
      <c r="H12" s="56"/>
      <c r="I12" s="56">
        <f t="shared" si="1"/>
        <v>0</v>
      </c>
      <c r="J12" s="56"/>
      <c r="K12" s="56"/>
      <c r="L12" s="56">
        <f t="shared" si="2"/>
        <v>0</v>
      </c>
    </row>
    <row r="13" spans="1:12" x14ac:dyDescent="0.35">
      <c r="B13" s="56"/>
      <c r="C13" s="56"/>
      <c r="D13" s="56"/>
      <c r="E13" s="56">
        <f t="shared" si="0"/>
        <v>0</v>
      </c>
      <c r="F13" s="56"/>
      <c r="G13" s="56"/>
      <c r="H13" s="56"/>
      <c r="I13" s="56">
        <f t="shared" si="1"/>
        <v>0</v>
      </c>
      <c r="J13" s="56"/>
      <c r="K13" s="56"/>
      <c r="L13" s="56">
        <f t="shared" si="2"/>
        <v>0</v>
      </c>
    </row>
    <row r="14" spans="1:12" x14ac:dyDescent="0.35">
      <c r="B14" s="56" t="s">
        <v>322</v>
      </c>
      <c r="C14" s="56"/>
      <c r="D14" s="56"/>
      <c r="E14" s="56">
        <f t="shared" si="0"/>
        <v>0</v>
      </c>
      <c r="F14" s="56" t="s">
        <v>319</v>
      </c>
      <c r="G14" s="56"/>
      <c r="H14" s="56"/>
      <c r="I14" s="56">
        <f t="shared" si="1"/>
        <v>0</v>
      </c>
      <c r="J14" s="56"/>
      <c r="K14" s="56"/>
      <c r="L14" s="56">
        <f t="shared" si="2"/>
        <v>0</v>
      </c>
    </row>
    <row r="15" spans="1:12" x14ac:dyDescent="0.35">
      <c r="B15" s="56"/>
      <c r="C15" s="56"/>
      <c r="D15" s="56"/>
      <c r="E15" s="56">
        <f t="shared" si="0"/>
        <v>0</v>
      </c>
      <c r="F15" s="56" t="s">
        <v>321</v>
      </c>
      <c r="G15" s="56"/>
      <c r="H15" s="56"/>
      <c r="I15" s="56">
        <f t="shared" si="1"/>
        <v>0</v>
      </c>
      <c r="J15" s="56"/>
      <c r="K15" s="56"/>
      <c r="L15" s="56">
        <f t="shared" si="2"/>
        <v>0</v>
      </c>
    </row>
    <row r="16" spans="1:12" x14ac:dyDescent="0.35">
      <c r="B16" s="56"/>
      <c r="C16" s="56"/>
      <c r="D16" s="56"/>
      <c r="E16" s="56">
        <f t="shared" si="0"/>
        <v>0</v>
      </c>
      <c r="F16" s="56"/>
      <c r="G16" s="56"/>
      <c r="H16" s="56"/>
      <c r="I16" s="56">
        <f t="shared" si="1"/>
        <v>0</v>
      </c>
      <c r="J16" s="56"/>
      <c r="K16" s="56"/>
      <c r="L16" s="56">
        <f t="shared" si="2"/>
        <v>0</v>
      </c>
    </row>
    <row r="17" spans="2:12" x14ac:dyDescent="0.35">
      <c r="B17" s="56"/>
      <c r="C17" s="56"/>
      <c r="D17" s="56"/>
      <c r="E17" s="56">
        <f t="shared" si="0"/>
        <v>0</v>
      </c>
      <c r="F17" s="56"/>
      <c r="G17" s="56"/>
      <c r="H17" s="56"/>
      <c r="I17" s="56">
        <f t="shared" si="1"/>
        <v>0</v>
      </c>
      <c r="J17" s="56"/>
      <c r="K17" s="56"/>
      <c r="L17" s="56">
        <f t="shared" si="2"/>
        <v>0</v>
      </c>
    </row>
    <row r="18" spans="2:12" x14ac:dyDescent="0.35">
      <c r="B18" s="56" t="s">
        <v>323</v>
      </c>
      <c r="C18" s="56"/>
      <c r="D18" s="56"/>
      <c r="E18" s="56">
        <f t="shared" si="0"/>
        <v>0</v>
      </c>
      <c r="F18" s="56" t="s">
        <v>319</v>
      </c>
      <c r="G18" s="56"/>
      <c r="H18" s="56"/>
      <c r="I18" s="56">
        <f t="shared" si="1"/>
        <v>0</v>
      </c>
      <c r="J18" s="56"/>
      <c r="K18" s="56"/>
      <c r="L18" s="56">
        <f t="shared" si="2"/>
        <v>0</v>
      </c>
    </row>
    <row r="19" spans="2:12" x14ac:dyDescent="0.35">
      <c r="B19" s="56"/>
      <c r="C19" s="56"/>
      <c r="D19" s="56"/>
      <c r="E19" s="56">
        <f t="shared" si="0"/>
        <v>0</v>
      </c>
      <c r="F19" s="56" t="s">
        <v>321</v>
      </c>
      <c r="G19" s="56"/>
      <c r="H19" s="56"/>
      <c r="I19" s="56">
        <f t="shared" si="1"/>
        <v>0</v>
      </c>
      <c r="J19" s="56"/>
      <c r="K19" s="56"/>
      <c r="L19" s="56">
        <f t="shared" si="2"/>
        <v>0</v>
      </c>
    </row>
    <row r="20" spans="2:12" x14ac:dyDescent="0.35">
      <c r="B20" s="56"/>
      <c r="C20" s="56"/>
      <c r="D20" s="56"/>
      <c r="E20" s="56">
        <f t="shared" si="0"/>
        <v>0</v>
      </c>
      <c r="F20" s="56"/>
      <c r="G20" s="56"/>
      <c r="H20" s="56"/>
      <c r="I20" s="56">
        <f t="shared" si="1"/>
        <v>0</v>
      </c>
      <c r="J20" s="56"/>
      <c r="K20" s="56"/>
      <c r="L20" s="56">
        <f t="shared" si="2"/>
        <v>0</v>
      </c>
    </row>
    <row r="21" spans="2:12" x14ac:dyDescent="0.35">
      <c r="B21" s="56" t="s">
        <v>324</v>
      </c>
      <c r="C21" s="56"/>
      <c r="D21" s="56"/>
      <c r="E21" s="56">
        <f t="shared" si="0"/>
        <v>0</v>
      </c>
      <c r="F21" s="56" t="s">
        <v>319</v>
      </c>
      <c r="G21" s="56"/>
      <c r="H21" s="56"/>
      <c r="I21" s="56">
        <f t="shared" si="1"/>
        <v>0</v>
      </c>
      <c r="J21" s="56"/>
      <c r="K21" s="56"/>
      <c r="L21" s="56">
        <f t="shared" si="2"/>
        <v>0</v>
      </c>
    </row>
    <row r="22" spans="2:12" x14ac:dyDescent="0.35">
      <c r="B22" s="56"/>
      <c r="C22" s="56"/>
      <c r="D22" s="56"/>
      <c r="E22" s="56">
        <f t="shared" si="0"/>
        <v>0</v>
      </c>
      <c r="F22" s="56" t="s">
        <v>321</v>
      </c>
      <c r="G22" s="56"/>
      <c r="H22" s="56"/>
      <c r="I22" s="56">
        <f t="shared" si="1"/>
        <v>0</v>
      </c>
      <c r="J22" s="56"/>
      <c r="K22" s="56"/>
      <c r="L22" s="56">
        <f t="shared" si="2"/>
        <v>0</v>
      </c>
    </row>
    <row r="23" spans="2:12" x14ac:dyDescent="0.35">
      <c r="B23" s="56"/>
      <c r="C23" s="56"/>
      <c r="D23" s="56"/>
      <c r="E23" s="56">
        <f t="shared" si="0"/>
        <v>0</v>
      </c>
      <c r="F23" s="56"/>
      <c r="G23" s="56"/>
      <c r="H23" s="56"/>
      <c r="I23" s="56">
        <f t="shared" si="1"/>
        <v>0</v>
      </c>
      <c r="J23" s="56"/>
      <c r="K23" s="56"/>
      <c r="L23" s="56">
        <f t="shared" si="2"/>
        <v>0</v>
      </c>
    </row>
    <row r="24" spans="2:12" x14ac:dyDescent="0.35">
      <c r="B24" s="56" t="s">
        <v>325</v>
      </c>
      <c r="C24" s="56"/>
      <c r="D24" s="56"/>
      <c r="E24" s="56">
        <f t="shared" si="0"/>
        <v>0</v>
      </c>
      <c r="F24" s="56" t="s">
        <v>326</v>
      </c>
      <c r="G24" s="56"/>
      <c r="H24" s="56"/>
      <c r="I24" s="56">
        <f t="shared" si="1"/>
        <v>0</v>
      </c>
      <c r="J24" s="56"/>
      <c r="K24" s="56"/>
      <c r="L24" s="56">
        <f t="shared" si="2"/>
        <v>0</v>
      </c>
    </row>
    <row r="25" spans="2:12" x14ac:dyDescent="0.35">
      <c r="B25" s="56"/>
      <c r="C25" s="56"/>
      <c r="D25" s="56"/>
      <c r="E25" s="56">
        <f t="shared" ref="E25:E27" si="3">C25*D25</f>
        <v>0</v>
      </c>
      <c r="F25" s="56" t="s">
        <v>326</v>
      </c>
      <c r="G25" s="56"/>
      <c r="H25" s="56"/>
      <c r="I25" s="56">
        <f t="shared" ref="I25:I27" si="4">G25*H25</f>
        <v>0</v>
      </c>
      <c r="J25" s="56"/>
      <c r="K25" s="56"/>
      <c r="L25" s="56">
        <f t="shared" ref="L25:L27" si="5">J25*K25</f>
        <v>0</v>
      </c>
    </row>
    <row r="26" spans="2:12" x14ac:dyDescent="0.35">
      <c r="B26" s="56"/>
      <c r="C26" s="56"/>
      <c r="D26" s="56"/>
      <c r="E26" s="56">
        <f t="shared" si="3"/>
        <v>0</v>
      </c>
      <c r="F26" s="56" t="s">
        <v>326</v>
      </c>
      <c r="G26" s="56"/>
      <c r="H26" s="56"/>
      <c r="I26" s="56">
        <f t="shared" si="4"/>
        <v>0</v>
      </c>
      <c r="J26" s="56"/>
      <c r="K26" s="56"/>
      <c r="L26" s="56">
        <f t="shared" si="5"/>
        <v>0</v>
      </c>
    </row>
    <row r="27" spans="2:12" x14ac:dyDescent="0.35">
      <c r="B27" s="56"/>
      <c r="C27" s="56"/>
      <c r="D27" s="56"/>
      <c r="E27" s="56">
        <f t="shared" si="3"/>
        <v>0</v>
      </c>
      <c r="F27" s="56" t="s">
        <v>326</v>
      </c>
      <c r="G27" s="56"/>
      <c r="H27" s="56"/>
      <c r="I27" s="56">
        <f t="shared" si="4"/>
        <v>0</v>
      </c>
      <c r="J27" s="56"/>
      <c r="K27" s="56"/>
      <c r="L27" s="56">
        <f t="shared" si="5"/>
        <v>0</v>
      </c>
    </row>
    <row r="28" spans="2:12" x14ac:dyDescent="0.35">
      <c r="B28" s="56" t="s">
        <v>327</v>
      </c>
      <c r="C28" s="56"/>
      <c r="D28" s="56"/>
      <c r="E28" s="56">
        <f t="shared" si="0"/>
        <v>0</v>
      </c>
      <c r="F28" s="56" t="s">
        <v>326</v>
      </c>
      <c r="G28" s="56"/>
      <c r="H28" s="56"/>
      <c r="I28" s="56">
        <f t="shared" si="1"/>
        <v>0</v>
      </c>
      <c r="J28" s="56"/>
      <c r="K28" s="56"/>
      <c r="L28" s="56">
        <f t="shared" si="2"/>
        <v>0</v>
      </c>
    </row>
    <row r="29" spans="2:12" x14ac:dyDescent="0.35">
      <c r="B29" s="56" t="s">
        <v>328</v>
      </c>
      <c r="C29" s="56"/>
      <c r="D29" s="56"/>
      <c r="E29" s="56">
        <f t="shared" si="0"/>
        <v>0</v>
      </c>
      <c r="F29" s="56" t="s">
        <v>326</v>
      </c>
      <c r="G29" s="56"/>
      <c r="H29" s="56"/>
      <c r="I29" s="56">
        <f t="shared" si="1"/>
        <v>0</v>
      </c>
      <c r="J29" s="56"/>
      <c r="K29" s="56"/>
      <c r="L29" s="56">
        <f t="shared" si="2"/>
        <v>0</v>
      </c>
    </row>
    <row r="30" spans="2:12" x14ac:dyDescent="0.35">
      <c r="B30" s="56" t="s">
        <v>332</v>
      </c>
      <c r="C30" s="56"/>
      <c r="D30" s="56"/>
      <c r="E30" s="56">
        <f t="shared" si="0"/>
        <v>0</v>
      </c>
      <c r="F30" s="56"/>
      <c r="G30" s="56"/>
      <c r="H30" s="56"/>
      <c r="I30" s="56">
        <f t="shared" si="1"/>
        <v>0</v>
      </c>
      <c r="J30" s="56"/>
      <c r="K30" s="56"/>
      <c r="L30" s="56">
        <f t="shared" si="2"/>
        <v>0</v>
      </c>
    </row>
    <row r="31" spans="2:12" x14ac:dyDescent="0.35">
      <c r="B31" s="56"/>
      <c r="C31" s="56"/>
      <c r="D31" s="56"/>
      <c r="E31" s="56">
        <f t="shared" ref="E31:E32" si="6">C31*D31</f>
        <v>0</v>
      </c>
      <c r="F31" s="56"/>
      <c r="G31" s="56"/>
      <c r="H31" s="56"/>
      <c r="I31" s="56">
        <f t="shared" ref="I31:I32" si="7">G31*H31</f>
        <v>0</v>
      </c>
      <c r="J31" s="56"/>
      <c r="K31" s="56"/>
      <c r="L31" s="56">
        <f t="shared" ref="L31:L32" si="8">J31*K31</f>
        <v>0</v>
      </c>
    </row>
    <row r="32" spans="2:12" x14ac:dyDescent="0.35">
      <c r="B32" s="56"/>
      <c r="C32" s="56"/>
      <c r="D32" s="56"/>
      <c r="E32" s="56">
        <f t="shared" si="6"/>
        <v>0</v>
      </c>
      <c r="F32" s="56"/>
      <c r="G32" s="56"/>
      <c r="H32" s="56"/>
      <c r="I32" s="56">
        <f t="shared" si="7"/>
        <v>0</v>
      </c>
      <c r="J32" s="56"/>
      <c r="K32" s="56"/>
      <c r="L32" s="56">
        <f t="shared" si="8"/>
        <v>0</v>
      </c>
    </row>
    <row r="33" spans="2:12" x14ac:dyDescent="0.35">
      <c r="B33" s="56" t="s">
        <v>329</v>
      </c>
      <c r="C33" s="56"/>
      <c r="D33" s="56"/>
      <c r="E33" s="56">
        <f t="shared" si="0"/>
        <v>0</v>
      </c>
      <c r="F33" s="56"/>
      <c r="G33" s="56"/>
      <c r="H33" s="56"/>
      <c r="I33" s="56">
        <f t="shared" si="1"/>
        <v>0</v>
      </c>
      <c r="J33" s="56"/>
      <c r="K33" s="56"/>
      <c r="L33" s="56">
        <f t="shared" si="2"/>
        <v>0</v>
      </c>
    </row>
    <row r="34" spans="2:12" x14ac:dyDescent="0.35">
      <c r="B34" s="56" t="s">
        <v>333</v>
      </c>
      <c r="C34" s="56"/>
      <c r="D34" s="56"/>
      <c r="E34" s="56">
        <f t="shared" si="0"/>
        <v>0</v>
      </c>
      <c r="F34" s="56"/>
      <c r="G34" s="56"/>
      <c r="H34" s="56"/>
      <c r="I34" s="56">
        <f t="shared" si="1"/>
        <v>0</v>
      </c>
      <c r="J34" s="56"/>
      <c r="K34" s="56"/>
      <c r="L34" s="56">
        <f t="shared" si="2"/>
        <v>0</v>
      </c>
    </row>
    <row r="35" spans="2:12" x14ac:dyDescent="0.35">
      <c r="B35" s="56" t="s">
        <v>330</v>
      </c>
      <c r="C35" s="56"/>
      <c r="D35" s="56"/>
      <c r="E35" s="56">
        <f t="shared" si="0"/>
        <v>0</v>
      </c>
      <c r="F35" s="56"/>
      <c r="G35" s="56"/>
      <c r="H35" s="56"/>
      <c r="I35" s="56">
        <f t="shared" si="1"/>
        <v>0</v>
      </c>
      <c r="J35" s="56"/>
      <c r="K35" s="56"/>
      <c r="L35" s="56">
        <f t="shared" si="2"/>
        <v>0</v>
      </c>
    </row>
    <row r="36" spans="2:12" x14ac:dyDescent="0.35">
      <c r="B36" s="56" t="s">
        <v>331</v>
      </c>
      <c r="C36" s="56"/>
      <c r="D36" s="56"/>
      <c r="E36" s="56">
        <f t="shared" si="0"/>
        <v>0</v>
      </c>
      <c r="F36" s="56"/>
      <c r="G36" s="56"/>
      <c r="H36" s="56"/>
      <c r="I36" s="56">
        <f>G36*H36</f>
        <v>0</v>
      </c>
      <c r="J36" s="56"/>
      <c r="K36" s="56"/>
      <c r="L36" s="56">
        <f>J36*K36</f>
        <v>0</v>
      </c>
    </row>
    <row r="37" spans="2:12" x14ac:dyDescent="0.35">
      <c r="B37" s="56"/>
      <c r="C37" s="56"/>
      <c r="D37" s="56"/>
      <c r="E37" s="56">
        <f t="shared" ref="E37:E38" si="9">C37*D37</f>
        <v>0</v>
      </c>
      <c r="F37" s="56"/>
      <c r="G37" s="56"/>
      <c r="H37" s="56"/>
      <c r="I37" s="56">
        <f t="shared" ref="I37:I38" si="10">G37*H37</f>
        <v>0</v>
      </c>
      <c r="J37" s="56"/>
      <c r="K37" s="56"/>
      <c r="L37" s="56">
        <f t="shared" ref="L37:L38" si="11">J37*K37</f>
        <v>0</v>
      </c>
    </row>
    <row r="38" spans="2:12" x14ac:dyDescent="0.35">
      <c r="B38" s="56" t="s">
        <v>334</v>
      </c>
      <c r="C38" s="56"/>
      <c r="D38" s="56"/>
      <c r="E38" s="56">
        <f t="shared" si="9"/>
        <v>0</v>
      </c>
      <c r="F38" s="56"/>
      <c r="G38" s="56"/>
      <c r="H38" s="56"/>
      <c r="I38" s="56">
        <f t="shared" si="10"/>
        <v>0</v>
      </c>
      <c r="J38" s="56"/>
      <c r="K38" s="56"/>
      <c r="L38" s="56">
        <f t="shared" si="11"/>
        <v>0</v>
      </c>
    </row>
    <row r="39" spans="2:12" x14ac:dyDescent="0.35">
      <c r="B39" s="56"/>
      <c r="C39" s="56"/>
      <c r="D39" s="56"/>
      <c r="E39" s="56">
        <f t="shared" si="0"/>
        <v>0</v>
      </c>
      <c r="F39" s="56"/>
      <c r="G39" s="56"/>
      <c r="H39" s="56"/>
      <c r="I39" s="56">
        <f>G39*H39</f>
        <v>0</v>
      </c>
      <c r="J39" s="56"/>
      <c r="K39" s="56"/>
      <c r="L39" s="56">
        <f>J39*K39</f>
        <v>0</v>
      </c>
    </row>
    <row r="40" spans="2:12" x14ac:dyDescent="0.35">
      <c r="B40" s="56"/>
      <c r="C40" s="56"/>
      <c r="D40" s="56"/>
      <c r="E40" s="56">
        <f t="shared" si="0"/>
        <v>0</v>
      </c>
      <c r="F40" s="56"/>
      <c r="G40" s="56"/>
      <c r="H40" s="56"/>
      <c r="I40" s="56">
        <f>G40*H40</f>
        <v>0</v>
      </c>
      <c r="J40" s="56"/>
      <c r="K40" s="56"/>
      <c r="L40" s="56">
        <f>J40*K40</f>
        <v>0</v>
      </c>
    </row>
    <row r="41" spans="2:12" x14ac:dyDescent="0.35">
      <c r="B41" s="56"/>
      <c r="C41" s="56"/>
      <c r="D41" s="56"/>
      <c r="E41" s="56">
        <f t="shared" si="0"/>
        <v>0</v>
      </c>
      <c r="F41" s="56"/>
      <c r="G41" s="56"/>
      <c r="H41" s="56"/>
      <c r="I41" s="56">
        <f>G41*H41</f>
        <v>0</v>
      </c>
      <c r="J41" s="56"/>
      <c r="K41" s="56"/>
      <c r="L41" s="56">
        <f>J41*K41</f>
        <v>0</v>
      </c>
    </row>
    <row r="42" spans="2:12" x14ac:dyDescent="0.35">
      <c r="B42" s="56" t="s">
        <v>151</v>
      </c>
      <c r="C42" s="56"/>
      <c r="D42" s="56">
        <f>E42*10.764</f>
        <v>0</v>
      </c>
      <c r="E42" s="77">
        <f>SUM(E6:E41)</f>
        <v>0</v>
      </c>
      <c r="F42" s="56"/>
      <c r="G42" s="56"/>
      <c r="H42" s="56">
        <f>I42*10.764</f>
        <v>0</v>
      </c>
      <c r="I42" s="76">
        <f>SUM(I6:I41)</f>
        <v>0</v>
      </c>
      <c r="J42" s="56"/>
      <c r="K42" s="56">
        <f>L42*10.764</f>
        <v>0</v>
      </c>
      <c r="L42" s="75">
        <f>SUM(L6:L41)</f>
        <v>0</v>
      </c>
    </row>
    <row r="44" spans="2:12" x14ac:dyDescent="0.35">
      <c r="D44" s="55">
        <f>D42+H42</f>
        <v>0</v>
      </c>
      <c r="E44" s="5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2024-05-22T12:32:10Z</cp:lastPrinted>
  <dcterms:created xsi:type="dcterms:W3CDTF">2019-07-16T09:29:46Z</dcterms:created>
  <dcterms:modified xsi:type="dcterms:W3CDTF">2025-07-18T06:27:28Z</dcterms:modified>
</cp:coreProperties>
</file>