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Mira Residency\"/>
    </mc:Choice>
  </mc:AlternateContent>
  <bookViews>
    <workbookView xWindow="-120" yWindow="-120" windowWidth="20730" windowHeight="1116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0" i="1" l="1"/>
  <c r="J124" i="1"/>
  <c r="J125" i="1"/>
  <c r="J126" i="1"/>
  <c r="J127" i="1"/>
  <c r="J128" i="1"/>
  <c r="J129" i="1"/>
  <c r="J130" i="1"/>
  <c r="J131" i="1"/>
  <c r="J123" i="1"/>
  <c r="G108" i="1"/>
  <c r="E108" i="1"/>
  <c r="C108" i="1"/>
  <c r="E131" i="1"/>
  <c r="E126" i="1"/>
  <c r="E43" i="1"/>
  <c r="C52" i="1"/>
  <c r="E133" i="1" l="1"/>
  <c r="E123" i="1"/>
  <c r="E128" i="1"/>
  <c r="I133" i="1"/>
  <c r="C109" i="1" l="1"/>
  <c r="D133" i="1"/>
  <c r="D131" i="1"/>
  <c r="F131" i="1" s="1"/>
  <c r="H131" i="1" s="1"/>
  <c r="E130" i="1"/>
  <c r="D130" i="1"/>
  <c r="F130" i="1" s="1"/>
  <c r="H130" i="1" s="1"/>
  <c r="A130" i="1"/>
  <c r="A131" i="1" s="1"/>
  <c r="F129" i="1"/>
  <c r="H129" i="1" s="1"/>
  <c r="E129" i="1"/>
  <c r="D129" i="1"/>
  <c r="A129" i="1"/>
  <c r="D128" i="1"/>
  <c r="F128" i="1" s="1"/>
  <c r="H128" i="1" s="1"/>
  <c r="F133" i="1"/>
  <c r="G123" i="1"/>
  <c r="D126" i="1"/>
  <c r="D125" i="1"/>
  <c r="D124" i="1"/>
  <c r="F124" i="1" s="1"/>
  <c r="H124" i="1" s="1"/>
  <c r="D123" i="1"/>
  <c r="E125" i="1"/>
  <c r="F125" i="1" s="1"/>
  <c r="H125" i="1" s="1"/>
  <c r="E124" i="1"/>
  <c r="F123" i="1"/>
  <c r="H123" i="1" s="1"/>
  <c r="I126" i="1"/>
  <c r="I125" i="1"/>
  <c r="I123" i="1"/>
  <c r="F126" i="1"/>
  <c r="H126" i="1" s="1"/>
  <c r="A124" i="1"/>
  <c r="A125" i="1" s="1"/>
  <c r="A126" i="1" s="1"/>
  <c r="C104" i="1"/>
  <c r="C105" i="1" s="1"/>
  <c r="E105" i="1"/>
  <c r="E104" i="1"/>
  <c r="I117" i="1"/>
  <c r="I116" i="1"/>
  <c r="D118" i="1"/>
  <c r="D117" i="1"/>
  <c r="D116" i="1"/>
  <c r="E109" i="1" l="1"/>
  <c r="C75" i="1"/>
  <c r="F116" i="1" l="1"/>
  <c r="B38" i="6"/>
  <c r="B39" i="6" s="1"/>
  <c r="B40" i="6" s="1"/>
  <c r="B41" i="6" s="1"/>
  <c r="B42" i="6" s="1"/>
  <c r="B43" i="6" s="1"/>
  <c r="B44" i="6" s="1"/>
  <c r="B45" i="6" s="1"/>
  <c r="B46" i="6" s="1"/>
  <c r="B47" i="6" s="1"/>
  <c r="B48" i="6" s="1"/>
  <c r="B49" i="6" s="1"/>
  <c r="B50" i="6" s="1"/>
  <c r="B51" i="6" s="1"/>
  <c r="B52" i="6" s="1"/>
  <c r="B53" i="6" s="1"/>
  <c r="B54" i="6" s="1"/>
  <c r="H116"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9" i="1"/>
  <c r="B164" i="1"/>
  <c r="B163" i="1"/>
  <c r="F160" i="1"/>
  <c r="H160" i="1" s="1"/>
  <c r="F159" i="1"/>
  <c r="H159" i="1" s="1"/>
  <c r="F158" i="1"/>
  <c r="H158" i="1" s="1"/>
  <c r="F157" i="1"/>
  <c r="H157" i="1" s="1"/>
  <c r="F156" i="1"/>
  <c r="H156" i="1" s="1"/>
  <c r="F154" i="1"/>
  <c r="H154" i="1" s="1"/>
  <c r="F153" i="1"/>
  <c r="H153" i="1" s="1"/>
  <c r="F152" i="1"/>
  <c r="H152" i="1" s="1"/>
  <c r="F151" i="1"/>
  <c r="H151" i="1" s="1"/>
  <c r="F150" i="1"/>
  <c r="H150" i="1" s="1"/>
  <c r="F148" i="1"/>
  <c r="H148" i="1" s="1"/>
  <c r="F147" i="1"/>
  <c r="H147" i="1" s="1"/>
  <c r="F146" i="1"/>
  <c r="H146" i="1" s="1"/>
  <c r="F145" i="1"/>
  <c r="H145" i="1" s="1"/>
  <c r="F144" i="1"/>
  <c r="H144" i="1" s="1"/>
  <c r="F142" i="1"/>
  <c r="H142" i="1" s="1"/>
  <c r="F141" i="1"/>
  <c r="H141" i="1" s="1"/>
  <c r="F140" i="1"/>
  <c r="H140" i="1" s="1"/>
  <c r="F139" i="1"/>
  <c r="H139" i="1" s="1"/>
  <c r="F138" i="1"/>
  <c r="H138" i="1" s="1"/>
  <c r="A138" i="1"/>
  <c r="A139" i="1" s="1"/>
  <c r="A140" i="1" s="1"/>
  <c r="A141" i="1" s="1"/>
  <c r="A142" i="1" s="1"/>
  <c r="A134" i="1"/>
  <c r="A135" i="1" s="1"/>
  <c r="A136" i="1" s="1"/>
  <c r="H133" i="1"/>
  <c r="G109" i="1" s="1"/>
  <c r="F118" i="1"/>
  <c r="H118" i="1" s="1"/>
  <c r="F117" i="1"/>
  <c r="H117" i="1" s="1"/>
  <c r="G104" i="1" s="1"/>
  <c r="G105" i="1" s="1"/>
  <c r="A117" i="1"/>
  <c r="A118" i="1" s="1"/>
  <c r="E110" i="1"/>
  <c r="C110" i="1"/>
  <c r="F101" i="1"/>
  <c r="B76" i="1"/>
  <c r="D69" i="1"/>
  <c r="D64" i="1"/>
  <c r="G57" i="1"/>
  <c r="C57" i="1"/>
  <c r="K55" i="1"/>
  <c r="C55" i="1"/>
  <c r="G51" i="1"/>
  <c r="C51" i="1"/>
  <c r="E44" i="1"/>
  <c r="E45" i="1" s="1"/>
  <c r="S33" i="1"/>
  <c r="E31" i="1"/>
  <c r="E28" i="1"/>
  <c r="E26" i="1"/>
  <c r="C16" i="1"/>
  <c r="I15" i="1"/>
  <c r="Z13" i="1"/>
  <c r="E8" i="1"/>
  <c r="E3" i="1"/>
  <c r="B174" i="1" s="1"/>
  <c r="A144" i="1"/>
  <c r="A156" i="1"/>
  <c r="A150" i="1"/>
  <c r="G110" i="1" l="1"/>
  <c r="E42" i="7"/>
  <c r="J83" i="1"/>
  <c r="J84" i="1"/>
  <c r="I42" i="7"/>
  <c r="H42" i="7" s="1"/>
  <c r="L42" i="7"/>
  <c r="K42" i="7" s="1"/>
  <c r="D42" i="7"/>
  <c r="L55" i="1"/>
  <c r="J85" i="1"/>
  <c r="J86" i="1"/>
  <c r="I52" i="1"/>
  <c r="A157" i="1"/>
  <c r="H76" i="1"/>
  <c r="A151" i="1"/>
  <c r="A145" i="1"/>
  <c r="D87" i="1" l="1"/>
  <c r="D81" i="1"/>
  <c r="J81" i="1"/>
  <c r="J82" i="1" s="1"/>
  <c r="J87" i="1" s="1"/>
  <c r="J88" i="1" s="1"/>
  <c r="C80" i="1" s="1"/>
  <c r="E79" i="1" s="1"/>
  <c r="J80" i="1"/>
  <c r="C79" i="1" s="1"/>
  <c r="D79" i="1" s="1"/>
  <c r="D86" i="1"/>
  <c r="D85" i="1"/>
  <c r="J75" i="1"/>
  <c r="J77" i="1" s="1"/>
  <c r="D84" i="1"/>
  <c r="D88" i="1"/>
  <c r="D82" i="1"/>
  <c r="J79" i="1"/>
  <c r="J78" i="1"/>
  <c r="D83" i="1"/>
  <c r="D44" i="7"/>
  <c r="E44" i="7"/>
  <c r="A152" i="1"/>
  <c r="A158" i="1"/>
  <c r="A146" i="1"/>
  <c r="G79" i="1" l="1"/>
  <c r="D73" i="1" s="1"/>
  <c r="D74" i="1" s="1"/>
  <c r="D80" i="1"/>
  <c r="I76" i="1" s="1"/>
  <c r="I77" i="1" s="1"/>
  <c r="J76" i="1"/>
  <c r="A153" i="1"/>
  <c r="A159" i="1"/>
  <c r="A147" i="1"/>
  <c r="F74" i="1" l="1"/>
  <c r="I75" i="1"/>
  <c r="C77" i="1" s="1"/>
  <c r="A154" i="1"/>
  <c r="A148" i="1"/>
  <c r="A160"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<sst xmlns="http://schemas.openxmlformats.org/spreadsheetml/2006/main" count="628" uniqueCount="432">
  <si>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</si>
  <si>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</si>
  <si>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</si>
  <si>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</si>
  <si>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</si>
  <si>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</si>
  <si>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</si>
  <si>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</si>
  <si>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</si>
  <si>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</si>
  <si>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</si>
  <si>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</si>
  <si>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</si>
  <si>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</si>
  <si>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</si>
  <si>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</si>
  <si>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</si>
  <si>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</si>
  <si>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</si>
  <si>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</si>
  <si>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</si>
  <si>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</si>
  <si>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</si>
  <si>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</si>
  <si>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</si>
  <si>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</si>
  <si>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</si>
  <si>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</si>
  <si>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</si>
  <si>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</si>
  <si>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</si>
  <si>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</si>
  <si>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</si>
  <si>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</si>
  <si>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</si>
  <si>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</si>
  <si>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</si>
  <si>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</si>
  <si>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</si>
  <si>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</si>
  <si>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</si>
  <si>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</si>
  <si>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</si>
  <si>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</si>
  <si>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</si>
  <si>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</si>
  <si>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</si>
  <si>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</si>
  <si>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</si>
  <si>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</si>
  <si>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</si>
  <si>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</si>
  <si>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</si>
  <si>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</si>
  <si>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</si>
  <si>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</si>
  <si>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</si>
  <si>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</si>
  <si>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</si>
  <si>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</si>
  <si>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</si>
  <si>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</si>
  <si>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</si>
  <si>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</si>
  <si>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</si>
  <si>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</si>
  <si>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</si>
  <si>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</si>
  <si>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</si>
  <si>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</si>
  <si>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</si>
  <si>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</si>
  <si>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</si>
  <si>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</si>
  <si>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</si>
  <si>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</si>
  <si>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</si>
  <si>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</si>
  <si>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</si>
  <si>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</si>
  <si>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</si>
  <si>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</si>
  <si>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</si>
  <si>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</si>
  <si>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</si>
  <si>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</si>
  <si>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</si>
  <si>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</si>
  <si>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</si>
  <si>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</si>
  <si>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</si>
  <si>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</si>
  <si>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</si>
  <si>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</si>
  <si>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</si>
  <si>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</si>
  <si>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</si>
  <si>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</si>
  <si>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</si>
  <si>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</si>
  <si>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</si>
  <si>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</si>
  <si>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</si>
  <si>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</si>
  <si>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</si>
  <si>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</si>
  <si>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</si>
  <si>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</si>
  <si>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</si>
  <si>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</si>
  <si>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</si>
  <si>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</si>
  <si>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</si>
  <si>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</si>
  <si>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</si>
  <si>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</si>
  <si>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</si>
  <si>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</si>
  <si>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</si>
  <si>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</si>
  <si>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</si>
  <si>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</si>
  <si>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</si>
  <si>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</si>
  <si>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</si>
  <si>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</si>
  <si>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</si>
  <si>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</si>
  <si>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</si>
  <si>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</si>
  <si>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</si>
  <si>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</si>
  <si>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</si>
  <si>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</si>
  <si>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</si>
  <si>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</si>
  <si>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</si>
  <si>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</si>
  <si>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</si>
  <si>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</si>
  <si>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</si>
  <si>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</si>
  <si>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</si>
  <si>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</si>
  <si>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</si>
  <si>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</si>
  <si>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</si>
  <si>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</si>
  <si>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</si>
  <si>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</si>
  <si>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</si>
  <si>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</si>
  <si>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</si>
  <si>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</si>
  <si>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</si>
  <si>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</si>
  <si>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</si>
  <si>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</si>
  <si>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</si>
  <si>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</si>
  <si>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</si>
  <si>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</si>
  <si>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</si>
  <si>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</si>
  <si>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</si>
  <si>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</si>
  <si>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</si>
  <si>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</si>
  <si>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</si>
  <si>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</si>
  <si>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</si>
  <si>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</si>
  <si>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</si>
  <si>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</si>
  <si>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</si>
  <si>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</si>
  <si>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</si>
  <si>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</si>
  <si>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</si>
  <si>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</si>
  <si>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</si>
  <si>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</si>
  <si>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</si>
  <si>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</si>
  <si>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</si>
  <si>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</si>
  <si>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</si>
  <si>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</si>
  <si>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</si>
  <si>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</si>
  <si>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</si>
  <si>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</si>
  <si>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</si>
  <si>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</si>
  <si>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</si>
  <si>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</si>
  <si>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</si>
  <si>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</si>
  <si>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</si>
  <si>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</si>
  <si>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</si>
  <si>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</si>
  <si>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</si>
  <si>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</si>
  <si>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</si>
  <si>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</si>
  <si>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</si>
  <si>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</si>
  <si>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</si>
  <si>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</si>
  <si>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</si>
  <si>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</si>
  <si>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</si>
  <si>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</si>
  <si>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</si>
  <si>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</si>
  <si>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</si>
  <si>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</si>
  <si>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</si>
  <si>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</si>
  <si>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</si>
  <si>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</si>
  <si>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</si>
  <si>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</si>
  <si>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</si>
  <si>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</si>
  <si>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</si>
  <si>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</si>
  <si>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</si>
  <si>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</si>
  <si>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</si>
  <si>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</si>
  <si>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</si>
  <si>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</si>
  <si>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</si>
  <si>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</si>
  <si>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</si>
  <si>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</si>
  <si>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</si>
  <si>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</si>
  <si>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</si>
  <si>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</si>
  <si>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</si>
  <si>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</si>
  <si>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</si>
  <si>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</si>
  <si>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</si>
  <si>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</si>
  <si>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</si>
  <si>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</si>
  <si>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</si>
  <si>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</si>
  <si>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</si>
  <si>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</si>
  <si>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</si>
  <si>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</si>
  <si>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</si>
  <si>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</si>
  <si>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</si>
  <si>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</si>
  <si>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</si>
  <si>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</si>
  <si>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</si>
  <si>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</si>
  <si>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</si>
  <si>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</si>
  <si>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</si>
  <si>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</si>
  <si>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</si>
  <si>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</si>
  <si>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</si>
  <si>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</si>
  <si>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</si>
  <si>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</si>
  <si>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</si>
  <si>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</si>
  <si>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</si>
  <si>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</si>
  <si>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</si>
  <si>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</si>
  <si>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</si>
  <si>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</si>
  <si>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</si>
  <si>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</si>
  <si>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</si>
  <si>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</si>
  <si>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</si>
  <si>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</si>
  <si>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</si>
  <si>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</si>
  <si>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</si>
  <si>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</si>
  <si>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</si>
  <si>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</si>
  <si>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</si>
  <si>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</si>
  <si>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</si>
  <si>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</si>
  <si>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</si>
  <si>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</si>
  <si>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</si>
  <si>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</si>
  <si>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</si>
  <si>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</si>
  <si>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</si>
  <si>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</si>
  <si>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</si>
  <si>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</si>
  <si>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</si>
  <si>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</si>
  <si>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</si>
  <si>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</si>
  <si>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</si>
  <si>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</si>
  <si>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</si>
  <si>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</si>
  <si>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</si>
  <si>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</si>
  <si>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</si>
  <si>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</si>
  <si>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</si>
  <si>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</si>
  <si>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</si>
  <si>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</si>
  <si>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</si>
  <si>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</si>
  <si>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</si>
  <si>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</si>
  <si>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</si>
  <si>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</si>
  <si>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</si>
  <si>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</si>
  <si>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</si>
  <si>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</si>
  <si>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</si>
  <si>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</si>
  <si>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</si>
  <si>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</si>
  <si>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</si>
  <si>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</si>
  <si>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</si>
  <si>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</si>
  <si>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</si>
  <si>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</si>
  <si>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</si>
  <si>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</si>
  <si>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</si>
  <si>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</si>
  <si>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</si>
  <si>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</si>
  <si>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</si>
  <si>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</si>
  <si>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</si>
  <si>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</si>
  <si>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</si>
  <si>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</si>
  <si>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</si>
  <si>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</si>
  <si>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</si>
  <si>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</si>
  <si>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</si>
  <si>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</si>
  <si>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</si>
  <si>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</si>
  <si>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</si>
  <si>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</si>
  <si>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</si>
  <si>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</si>
  <si>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</si>
  <si>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</si>
  <si>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</si>
  <si>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</si>
  <si>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</si>
  <si>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</si>
  <si>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</si>
  <si>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</si>
  <si>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</si>
  <si>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</si>
  <si>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</si>
  <si>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</si>
  <si>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</si>
  <si>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</si>
  <si>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</si>
  <si>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</si>
  <si>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</si>
  <si>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</si>
  <si>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</si>
  <si>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Mira Developers</t>
  </si>
  <si>
    <t>Mira Residency</t>
  </si>
  <si>
    <t>19.035969, 73.311547</t>
  </si>
  <si>
    <t>https://maps.app.goo.gl/yJJTezJ3y12XsVig9</t>
  </si>
  <si>
    <t>Mr. Iqbal Gogda (Builder) 9320501431</t>
  </si>
  <si>
    <t>P52000080229</t>
  </si>
  <si>
    <t>Survey No</t>
  </si>
  <si>
    <t>150 &amp; Plot No.10</t>
  </si>
  <si>
    <t>Mamdapur</t>
  </si>
  <si>
    <t>Neral</t>
  </si>
  <si>
    <t>Neral - Badlapur Road</t>
  </si>
  <si>
    <t>1.5KM from Neral Railway Station</t>
  </si>
  <si>
    <t>Plot No. 11</t>
  </si>
  <si>
    <t>Plot No. 8 / Plot No. 9</t>
  </si>
  <si>
    <t>18.00M Wide DP Road</t>
  </si>
  <si>
    <t>6.00M Wide Internal Road</t>
  </si>
  <si>
    <t>Internal Road</t>
  </si>
  <si>
    <t>RJP/BD/NSVP/293/2023</t>
  </si>
  <si>
    <t>G + 1st to 8th Floor
Total BUA = 1136.10 Sq.mt</t>
  </si>
  <si>
    <t>G +1st to 8th Floor</t>
  </si>
  <si>
    <t>As per RERA - 29/05/2026</t>
  </si>
  <si>
    <t>Vitrified tiles flooring, Granite Kitchen Platform, Decorative Entrance, etc.</t>
  </si>
  <si>
    <r>
      <t xml:space="preserve">Proposed Amenities :                                                                                                                                                                                                                         </t>
    </r>
    <r>
      <rPr>
        <b/>
        <sz val="12"/>
        <color theme="1"/>
        <rFont val="Times New Roman"/>
        <family val="1"/>
      </rPr>
      <t xml:space="preserve">                                               </t>
    </r>
  </si>
  <si>
    <t>Shop</t>
  </si>
  <si>
    <t>Ground Floor For Commercial, Entrance Lobby &amp; Parking</t>
  </si>
  <si>
    <r>
      <t xml:space="preserve">Flat No.
</t>
    </r>
    <r>
      <rPr>
        <b/>
        <sz val="11"/>
        <color theme="1"/>
        <rFont val="Times New Roman"/>
        <family val="1"/>
      </rPr>
      <t>(Approved Plan)</t>
    </r>
  </si>
  <si>
    <t>Flats</t>
  </si>
  <si>
    <t>2BHK</t>
  </si>
  <si>
    <t>1BHK</t>
  </si>
  <si>
    <t>1st Floor For Residential</t>
  </si>
  <si>
    <t>Balcony + Enclosed balcony + WS Area</t>
  </si>
  <si>
    <t>2nd to 7th Floor</t>
  </si>
  <si>
    <t>8th Floor (Part Terrace Area)</t>
  </si>
  <si>
    <t>Terrace Area</t>
  </si>
  <si>
    <t>Construction work is in process at the time of Visit (labour found)</t>
  </si>
  <si>
    <t>We considered Gross carpet area = Net carpet + Enclose balcony + Balcony Area + WS Area.</t>
  </si>
  <si>
    <t>Gaurav Panchal</t>
  </si>
  <si>
    <t>Naynesh Sunil Lovanshi</t>
  </si>
  <si>
    <t>SALE PLAN QUERY 8TH FLOOR</t>
  </si>
  <si>
    <t>Az Dreams Residency</t>
  </si>
  <si>
    <t>Internal Road/Unity Castle Apartments</t>
  </si>
  <si>
    <t>Golden Palace Building</t>
  </si>
  <si>
    <t>We have not drafted the 8th-floor area because the additional staircase area was given inside the flat without any exit.</t>
  </si>
  <si>
    <t>Remark No. 11 :</t>
  </si>
  <si>
    <t>Flats - 28, Shops - 03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</si>
</sst>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1" xfId="0" applyFill="1" applyBorder="1" applyAlignment="1">
      <alignment vertical="top" wrapText="1"/>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1" fontId="10" fillId="0" borderId="3" xfId="1" applyNumberFormat="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17" fillId="0" borderId="0" xfId="1" applyFont="1"/>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3"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4" fontId="6" fillId="0" borderId="17" xfId="1" applyNumberFormat="1" applyFont="1" applyBorder="1" applyAlignment="1" applyProtection="1">
      <alignment horizontal="left" vertical="top" wrapText="1"/>
      <protection locked="0"/>
    </xf>
    <xf numFmtId="14" fontId="6" fillId="0" borderId="18" xfId="1" applyNumberFormat="1" applyFont="1" applyBorder="1" applyAlignment="1" applyProtection="1">
      <alignment horizontal="left" vertical="top" wrapText="1"/>
      <protection locked="0"/>
    </xf>
    <xf numFmtId="14" fontId="6" fillId="0" borderId="19" xfId="1" applyNumberFormat="1" applyFont="1" applyBorder="1" applyAlignment="1" applyProtection="1">
      <alignment horizontal="left" vertical="top" wrapText="1"/>
      <protection locked="0"/>
    </xf>
    <xf numFmtId="14" fontId="6" fillId="0" borderId="20" xfId="1" applyNumberFormat="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10" fillId="0" borderId="17" xfId="1" applyNumberFormat="1" applyFont="1" applyBorder="1" applyAlignment="1" applyProtection="1">
      <alignment horizontal="center" vertical="top" wrapText="1"/>
      <protection locked="0"/>
    </xf>
    <xf numFmtId="1" fontId="10"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7" fillId="0" borderId="8" xfId="1" applyNumberFormat="1" applyFont="1" applyBorder="1" applyAlignment="1" applyProtection="1">
      <alignment horizontal="center" vertical="center" wrapText="1"/>
      <protection locked="0"/>
    </xf>
    <xf numFmtId="1" fontId="17" fillId="0" borderId="21" xfId="1" applyNumberFormat="1" applyFont="1" applyBorder="1" applyAlignment="1" applyProtection="1">
      <alignment horizontal="center" vertical="center" wrapText="1"/>
      <protection locked="0"/>
    </xf>
    <xf numFmtId="1" fontId="17" fillId="0" borderId="9" xfId="1" applyNumberFormat="1" applyFont="1" applyBorder="1" applyAlignment="1" applyProtection="1">
      <alignment horizontal="center" vertical="center"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 xfId="1" applyFont="1" applyBorder="1" applyAlignment="1" applyProtection="1">
      <alignment horizontal="left"/>
      <protection locked="0"/>
    </xf>
    <xf numFmtId="16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3"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0" fillId="0" borderId="16" xfId="1" applyFont="1" applyBorder="1" applyAlignment="1" applyProtection="1">
      <alignment horizontal="center" vertical="top"/>
      <protection locked="0"/>
    </xf>
    <xf numFmtId="167" fontId="7" fillId="0" borderId="1" xfId="9" applyNumberFormat="1" applyFont="1" applyFill="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8</xdr:col>
      <xdr:colOff>485775</xdr:colOff>
      <xdr:row>15</xdr:row>
      <xdr:rowOff>85725</xdr:rowOff>
    </xdr:from>
    <xdr:to>
      <xdr:col>12</xdr:col>
      <xdr:colOff>124277</xdr:colOff>
      <xdr:row>17</xdr:row>
      <xdr:rowOff>66757</xdr:rowOff>
    </xdr:to>
    <xdr:pic>
      <xdr:nvPicPr>
        <xdr:cNvPr id="2" name="Picture 1">
          <a:extLst>
            <a:ext uri="{FF2B5EF4-FFF2-40B4-BE49-F238E27FC236}">
              <a16:creationId xmlns:a16="http://schemas.microsoft.com/office/drawing/2014/main" xmlns="" id="{71AEA007-5646-4B73-83C4-059BA23A2C71}"/>
            </a:ext>
          </a:extLst>
        </xdr:cNvPr>
        <xdr:cNvPicPr>
          <a:picLocks noChangeAspect="1"/>
        </xdr:cNvPicPr>
      </xdr:nvPicPr>
      <xdr:blipFill>
        <a:blip xmlns:r="http://schemas.openxmlformats.org/officeDocument/2006/relationships" r:embed="rId1"/>
        <a:stretch>
          <a:fillRect/>
        </a:stretch>
      </xdr:blipFill>
      <xdr:spPr>
        <a:xfrm>
          <a:off x="6800850" y="3467100"/>
          <a:ext cx="3238952" cy="590632"/>
        </a:xfrm>
        <a:prstGeom prst="rect">
          <a:avLst/>
        </a:prstGeom>
      </xdr:spPr>
    </xdr:pic>
    <xdr:clientData/>
  </xdr:twoCellAnchor>
  <xdr:twoCellAnchor>
    <xdr:from>
      <xdr:col>0</xdr:col>
      <xdr:colOff>266700</xdr:colOff>
      <xdr:row>189</xdr:row>
      <xdr:rowOff>152400</xdr:rowOff>
    </xdr:from>
    <xdr:to>
      <xdr:col>7</xdr:col>
      <xdr:colOff>523875</xdr:colOff>
      <xdr:row>226</xdr:row>
      <xdr:rowOff>19050</xdr:rowOff>
    </xdr:to>
    <xdr:grpSp>
      <xdr:nvGrpSpPr>
        <xdr:cNvPr id="3" name="Group 2">
          <a:extLst>
            <a:ext uri="{FF2B5EF4-FFF2-40B4-BE49-F238E27FC236}">
              <a16:creationId xmlns:a16="http://schemas.microsoft.com/office/drawing/2014/main" xmlns="" id="{C0B8151E-F9D7-41FC-BAB4-F74AFB1267F9}"/>
            </a:ext>
          </a:extLst>
        </xdr:cNvPr>
        <xdr:cNvGrpSpPr/>
      </xdr:nvGrpSpPr>
      <xdr:grpSpPr>
        <a:xfrm>
          <a:off x="266700" y="32042100"/>
          <a:ext cx="5838825" cy="7258050"/>
          <a:chOff x="93267" y="340659"/>
          <a:chExt cx="6413103" cy="7604894"/>
        </a:xfrm>
      </xdr:grpSpPr>
      <xdr:pic>
        <xdr:nvPicPr>
          <xdr:cNvPr id="4" name="Picture 3">
            <a:extLst>
              <a:ext uri="{FF2B5EF4-FFF2-40B4-BE49-F238E27FC236}">
                <a16:creationId xmlns:a16="http://schemas.microsoft.com/office/drawing/2014/main" xmlns="" id="{465F9D6A-DF70-47A9-878F-AF25183A1B0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92467" y="340659"/>
            <a:ext cx="2427469" cy="3240000"/>
          </a:xfrm>
          <a:prstGeom prst="rect">
            <a:avLst/>
          </a:prstGeom>
          <a:ln>
            <a:solidFill>
              <a:schemeClr val="tx1"/>
            </a:solidFill>
          </a:ln>
        </xdr:spPr>
      </xdr:pic>
      <xdr:pic>
        <xdr:nvPicPr>
          <xdr:cNvPr id="5" name="Picture 4">
            <a:extLst>
              <a:ext uri="{FF2B5EF4-FFF2-40B4-BE49-F238E27FC236}">
                <a16:creationId xmlns:a16="http://schemas.microsoft.com/office/drawing/2014/main" xmlns="" id="{970CBFE8-719D-47E6-BC9D-D5DE85256AF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29000" y="340659"/>
            <a:ext cx="2427469" cy="3240000"/>
          </a:xfrm>
          <a:prstGeom prst="rect">
            <a:avLst/>
          </a:prstGeom>
          <a:ln>
            <a:solidFill>
              <a:schemeClr val="tx1"/>
            </a:solidFill>
          </a:ln>
        </xdr:spPr>
      </xdr:pic>
      <xdr:pic>
        <xdr:nvPicPr>
          <xdr:cNvPr id="6" name="Picture 5">
            <a:extLst>
              <a:ext uri="{FF2B5EF4-FFF2-40B4-BE49-F238E27FC236}">
                <a16:creationId xmlns:a16="http://schemas.microsoft.com/office/drawing/2014/main" xmlns="" id="{7FFE8B67-EE31-4A5E-934D-C81629C3AD6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3267" y="3783106"/>
            <a:ext cx="1483453" cy="1980000"/>
          </a:xfrm>
          <a:prstGeom prst="rect">
            <a:avLst/>
          </a:prstGeom>
          <a:ln>
            <a:solidFill>
              <a:schemeClr val="tx1"/>
            </a:solidFill>
          </a:ln>
        </xdr:spPr>
      </xdr:pic>
      <xdr:pic>
        <xdr:nvPicPr>
          <xdr:cNvPr id="7" name="Picture 6">
            <a:extLst>
              <a:ext uri="{FF2B5EF4-FFF2-40B4-BE49-F238E27FC236}">
                <a16:creationId xmlns:a16="http://schemas.microsoft.com/office/drawing/2014/main" xmlns="" id="{6F2FD449-056D-4152-9F09-6095D712C56F}"/>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736483" y="3783106"/>
            <a:ext cx="1483453" cy="1980000"/>
          </a:xfrm>
          <a:prstGeom prst="rect">
            <a:avLst/>
          </a:prstGeom>
          <a:ln>
            <a:solidFill>
              <a:schemeClr val="tx1"/>
            </a:solidFill>
          </a:ln>
        </xdr:spPr>
      </xdr:pic>
      <xdr:pic>
        <xdr:nvPicPr>
          <xdr:cNvPr id="8" name="Picture 7">
            <a:extLst>
              <a:ext uri="{FF2B5EF4-FFF2-40B4-BE49-F238E27FC236}">
                <a16:creationId xmlns:a16="http://schemas.microsoft.com/office/drawing/2014/main" xmlns="" id="{153D7BFF-51CE-40CA-ACC9-0FB8616466E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379700" y="3783106"/>
            <a:ext cx="1483453" cy="1980000"/>
          </a:xfrm>
          <a:prstGeom prst="rect">
            <a:avLst/>
          </a:prstGeom>
          <a:ln>
            <a:solidFill>
              <a:schemeClr val="tx1"/>
            </a:solidFill>
          </a:ln>
        </xdr:spPr>
      </xdr:pic>
      <xdr:pic>
        <xdr:nvPicPr>
          <xdr:cNvPr id="9" name="Picture 8">
            <a:extLst>
              <a:ext uri="{FF2B5EF4-FFF2-40B4-BE49-F238E27FC236}">
                <a16:creationId xmlns:a16="http://schemas.microsoft.com/office/drawing/2014/main" xmlns="" id="{7D0DAC14-E964-4F4C-8DB3-113D90FCD5C1}"/>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5022917" y="3783106"/>
            <a:ext cx="1483453" cy="1980000"/>
          </a:xfrm>
          <a:prstGeom prst="rect">
            <a:avLst/>
          </a:prstGeom>
          <a:ln>
            <a:solidFill>
              <a:schemeClr val="tx1"/>
            </a:solidFill>
          </a:ln>
        </xdr:spPr>
      </xdr:pic>
      <xdr:pic>
        <xdr:nvPicPr>
          <xdr:cNvPr id="10" name="Picture 9">
            <a:extLst>
              <a:ext uri="{FF2B5EF4-FFF2-40B4-BE49-F238E27FC236}">
                <a16:creationId xmlns:a16="http://schemas.microsoft.com/office/drawing/2014/main" xmlns="" id="{77D7894F-CBDB-45A4-B3CF-FEF42CB46B1E}"/>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22131" y="5965553"/>
            <a:ext cx="1483453" cy="1980000"/>
          </a:xfrm>
          <a:prstGeom prst="rect">
            <a:avLst/>
          </a:prstGeom>
          <a:ln>
            <a:solidFill>
              <a:schemeClr val="tx1"/>
            </a:solidFill>
          </a:ln>
        </xdr:spPr>
      </xdr:pic>
      <xdr:pic>
        <xdr:nvPicPr>
          <xdr:cNvPr id="11" name="Picture 10">
            <a:extLst>
              <a:ext uri="{FF2B5EF4-FFF2-40B4-BE49-F238E27FC236}">
                <a16:creationId xmlns:a16="http://schemas.microsoft.com/office/drawing/2014/main" xmlns="" id="{89E7950B-3EE9-45C2-BCB5-E63DE6580705}"/>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561773" y="5965553"/>
            <a:ext cx="1483453" cy="1980000"/>
          </a:xfrm>
          <a:prstGeom prst="rect">
            <a:avLst/>
          </a:prstGeom>
          <a:ln>
            <a:solidFill>
              <a:schemeClr val="tx1"/>
            </a:solidFill>
          </a:ln>
        </xdr:spPr>
      </xdr:pic>
      <xdr:pic>
        <xdr:nvPicPr>
          <xdr:cNvPr id="12" name="Picture 11">
            <a:extLst>
              <a:ext uri="{FF2B5EF4-FFF2-40B4-BE49-F238E27FC236}">
                <a16:creationId xmlns:a16="http://schemas.microsoft.com/office/drawing/2014/main" xmlns="" id="{F2123263-7AC4-48D1-8141-D4E2C313B97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254291" y="5965553"/>
            <a:ext cx="1483453" cy="1980000"/>
          </a:xfrm>
          <a:prstGeom prst="rect">
            <a:avLst/>
          </a:prstGeom>
          <a:ln>
            <a:solidFill>
              <a:schemeClr val="tx1"/>
            </a:solidFill>
          </a:ln>
        </xdr:spPr>
      </xdr:pic>
    </xdr:grpSp>
    <xdr:clientData/>
  </xdr:twoCellAnchor>
  <xdr:twoCellAnchor editAs="oneCell">
    <xdr:from>
      <xdr:col>8</xdr:col>
      <xdr:colOff>704850</xdr:colOff>
      <xdr:row>202</xdr:row>
      <xdr:rowOff>57150</xdr:rowOff>
    </xdr:from>
    <xdr:to>
      <xdr:col>12</xdr:col>
      <xdr:colOff>704400</xdr:colOff>
      <xdr:row>226</xdr:row>
      <xdr:rowOff>61555</xdr:rowOff>
    </xdr:to>
    <xdr:pic>
      <xdr:nvPicPr>
        <xdr:cNvPr id="13" name="Picture 12">
          <a:extLst>
            <a:ext uri="{FF2B5EF4-FFF2-40B4-BE49-F238E27FC236}">
              <a16:creationId xmlns:a16="http://schemas.microsoft.com/office/drawing/2014/main" xmlns="" id="{8CA3FD67-891C-4CF6-950E-8E2A6D17CC3E}"/>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019925" y="37109400"/>
          <a:ext cx="3600000" cy="4805005"/>
        </a:xfrm>
        <a:prstGeom prst="rect">
          <a:avLst/>
        </a:prstGeom>
        <a:ln>
          <a:solidFill>
            <a:schemeClr val="tx1"/>
          </a:solidFill>
        </a:ln>
      </xdr:spPr>
    </xdr:pic>
    <xdr:clientData/>
  </xdr:twoCellAnchor>
  <xdr:twoCellAnchor>
    <xdr:from>
      <xdr:col>1</xdr:col>
      <xdr:colOff>257175</xdr:colOff>
      <xdr:row>234</xdr:row>
      <xdr:rowOff>95250</xdr:rowOff>
    </xdr:from>
    <xdr:to>
      <xdr:col>6</xdr:col>
      <xdr:colOff>302200</xdr:colOff>
      <xdr:row>272</xdr:row>
      <xdr:rowOff>9984</xdr:rowOff>
    </xdr:to>
    <xdr:grpSp>
      <xdr:nvGrpSpPr>
        <xdr:cNvPr id="14" name="Group 13">
          <a:extLst>
            <a:ext uri="{FF2B5EF4-FFF2-40B4-BE49-F238E27FC236}">
              <a16:creationId xmlns:a16="http://schemas.microsoft.com/office/drawing/2014/main" xmlns="" id="{326473C1-C89E-41A3-ABF2-15FCCA92CCA3}"/>
            </a:ext>
          </a:extLst>
        </xdr:cNvPr>
        <xdr:cNvGrpSpPr/>
      </xdr:nvGrpSpPr>
      <xdr:grpSpPr>
        <a:xfrm>
          <a:off x="1019175" y="40976550"/>
          <a:ext cx="4131250" cy="7515684"/>
          <a:chOff x="1363375" y="433158"/>
          <a:chExt cx="4131250" cy="7515684"/>
        </a:xfrm>
      </xdr:grpSpPr>
      <xdr:grpSp>
        <xdr:nvGrpSpPr>
          <xdr:cNvPr id="15" name="Group 14">
            <a:extLst>
              <a:ext uri="{FF2B5EF4-FFF2-40B4-BE49-F238E27FC236}">
                <a16:creationId xmlns:a16="http://schemas.microsoft.com/office/drawing/2014/main" xmlns="" id="{D3FA55FC-19DA-4746-8583-62672017E8BD}"/>
              </a:ext>
            </a:extLst>
          </xdr:cNvPr>
          <xdr:cNvGrpSpPr/>
        </xdr:nvGrpSpPr>
        <xdr:grpSpPr>
          <a:xfrm>
            <a:off x="1363375" y="433158"/>
            <a:ext cx="4131250" cy="7515684"/>
            <a:chOff x="1363375" y="433158"/>
            <a:chExt cx="4131250" cy="7515684"/>
          </a:xfrm>
        </xdr:grpSpPr>
        <xdr:pic>
          <xdr:nvPicPr>
            <xdr:cNvPr id="17" name="Picture 16">
              <a:extLst>
                <a:ext uri="{FF2B5EF4-FFF2-40B4-BE49-F238E27FC236}">
                  <a16:creationId xmlns:a16="http://schemas.microsoft.com/office/drawing/2014/main" xmlns="" id="{EF9BA12F-6A7B-45C2-A27C-635CD06376B9}"/>
                </a:ext>
              </a:extLst>
            </xdr:cNvPr>
            <xdr:cNvPicPr>
              <a:picLocks noChangeAspect="1"/>
            </xdr:cNvPicPr>
          </xdr:nvPicPr>
          <xdr:blipFill>
            <a:blip xmlns:r="http://schemas.openxmlformats.org/officeDocument/2006/relationships" r:embed="rId12"/>
            <a:stretch>
              <a:fillRect/>
            </a:stretch>
          </xdr:blipFill>
          <xdr:spPr>
            <a:xfrm>
              <a:off x="1363375" y="4781550"/>
              <a:ext cx="4131250" cy="3167292"/>
            </a:xfrm>
            <a:prstGeom prst="rect">
              <a:avLst/>
            </a:prstGeom>
            <a:ln>
              <a:solidFill>
                <a:schemeClr val="tx1"/>
              </a:solidFill>
            </a:ln>
          </xdr:spPr>
        </xdr:pic>
        <xdr:pic>
          <xdr:nvPicPr>
            <xdr:cNvPr id="18" name="Picture 17">
              <a:extLst>
                <a:ext uri="{FF2B5EF4-FFF2-40B4-BE49-F238E27FC236}">
                  <a16:creationId xmlns:a16="http://schemas.microsoft.com/office/drawing/2014/main" xmlns="" id="{67A63145-1E9D-45C0-986F-66E07EE87E81}"/>
                </a:ext>
              </a:extLst>
            </xdr:cNvPr>
            <xdr:cNvPicPr>
              <a:picLocks noChangeAspect="1"/>
            </xdr:cNvPicPr>
          </xdr:nvPicPr>
          <xdr:blipFill>
            <a:blip xmlns:r="http://schemas.openxmlformats.org/officeDocument/2006/relationships" r:embed="rId13"/>
            <a:stretch>
              <a:fillRect/>
            </a:stretch>
          </xdr:blipFill>
          <xdr:spPr>
            <a:xfrm>
              <a:off x="2411094" y="433158"/>
              <a:ext cx="2035811" cy="4138842"/>
            </a:xfrm>
            <a:prstGeom prst="rect">
              <a:avLst/>
            </a:prstGeom>
            <a:ln>
              <a:solidFill>
                <a:schemeClr val="tx1"/>
              </a:solidFill>
            </a:ln>
          </xdr:spPr>
        </xdr:pic>
      </xdr:grpSp>
      <xdr:sp macro="" textlink="">
        <xdr:nvSpPr>
          <xdr:cNvPr id="16" name="Rectangle 15">
            <a:extLst>
              <a:ext uri="{FF2B5EF4-FFF2-40B4-BE49-F238E27FC236}">
                <a16:creationId xmlns:a16="http://schemas.microsoft.com/office/drawing/2014/main" xmlns="" id="{0E81FD7C-6BE1-4367-B031-1F1D0470944D}"/>
              </a:ext>
            </a:extLst>
          </xdr:cNvPr>
          <xdr:cNvSpPr/>
        </xdr:nvSpPr>
        <xdr:spPr>
          <a:xfrm>
            <a:off x="3149600" y="5778500"/>
            <a:ext cx="368300" cy="7620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514350</xdr:colOff>
      <xdr:row>322</xdr:row>
      <xdr:rowOff>19050</xdr:rowOff>
    </xdr:from>
    <xdr:to>
      <xdr:col>7</xdr:col>
      <xdr:colOff>171450</xdr:colOff>
      <xdr:row>357</xdr:row>
      <xdr:rowOff>28575</xdr:rowOff>
    </xdr:to>
    <xdr:grpSp>
      <xdr:nvGrpSpPr>
        <xdr:cNvPr id="19" name="Group 18">
          <a:extLst>
            <a:ext uri="{FF2B5EF4-FFF2-40B4-BE49-F238E27FC236}">
              <a16:creationId xmlns:a16="http://schemas.microsoft.com/office/drawing/2014/main" xmlns="" id="{C5E448E6-679B-4063-8E33-203D2C680D5D}"/>
            </a:ext>
          </a:extLst>
        </xdr:cNvPr>
        <xdr:cNvGrpSpPr/>
      </xdr:nvGrpSpPr>
      <xdr:grpSpPr>
        <a:xfrm>
          <a:off x="514350" y="58502550"/>
          <a:ext cx="5238750" cy="7010400"/>
          <a:chOff x="1075764" y="1111623"/>
          <a:chExt cx="4472704" cy="5793226"/>
        </a:xfrm>
      </xdr:grpSpPr>
      <xdr:pic>
        <xdr:nvPicPr>
          <xdr:cNvPr id="20" name="Picture 19">
            <a:extLst>
              <a:ext uri="{FF2B5EF4-FFF2-40B4-BE49-F238E27FC236}">
                <a16:creationId xmlns:a16="http://schemas.microsoft.com/office/drawing/2014/main" xmlns="" id="{5862B044-BD03-4BAC-B1C0-963D71EE3E7C}"/>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1075764" y="1111623"/>
            <a:ext cx="4446495" cy="2779059"/>
          </a:xfrm>
          <a:prstGeom prst="rect">
            <a:avLst/>
          </a:prstGeom>
          <a:ln>
            <a:solidFill>
              <a:schemeClr val="tx1"/>
            </a:solidFill>
          </a:ln>
        </xdr:spPr>
      </xdr:pic>
      <xdr:sp macro="" textlink="">
        <xdr:nvSpPr>
          <xdr:cNvPr id="21" name="Rectangle 20">
            <a:extLst>
              <a:ext uri="{FF2B5EF4-FFF2-40B4-BE49-F238E27FC236}">
                <a16:creationId xmlns:a16="http://schemas.microsoft.com/office/drawing/2014/main" xmlns="" id="{50CFDBE9-B1FB-4A7A-8CF0-4046C3B17626}"/>
              </a:ext>
            </a:extLst>
          </xdr:cNvPr>
          <xdr:cNvSpPr/>
        </xdr:nvSpPr>
        <xdr:spPr>
          <a:xfrm rot="20731253">
            <a:off x="3238499" y="2315414"/>
            <a:ext cx="657225" cy="37147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TextBox 30">
            <a:extLst>
              <a:ext uri="{FF2B5EF4-FFF2-40B4-BE49-F238E27FC236}">
                <a16:creationId xmlns:a16="http://schemas.microsoft.com/office/drawing/2014/main" xmlns="" id="{1CE34A02-CF14-4798-8E12-3E3D46CDE6FF}"/>
              </a:ext>
            </a:extLst>
          </xdr:cNvPr>
          <xdr:cNvSpPr txBox="1"/>
        </xdr:nvSpPr>
        <xdr:spPr>
          <a:xfrm>
            <a:off x="3905518" y="2316485"/>
            <a:ext cx="164295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Mira Residency</a:t>
            </a:r>
            <a:endParaRPr lang="en-IN" b="1">
              <a:solidFill>
                <a:srgbClr val="FFFF00"/>
              </a:solidFill>
            </a:endParaRPr>
          </a:p>
        </xdr:txBody>
      </xdr:sp>
      <xdr:pic>
        <xdr:nvPicPr>
          <xdr:cNvPr id="23" name="Picture 22">
            <a:extLst>
              <a:ext uri="{FF2B5EF4-FFF2-40B4-BE49-F238E27FC236}">
                <a16:creationId xmlns:a16="http://schemas.microsoft.com/office/drawing/2014/main" xmlns="" id="{A0CC6AE7-C6EB-4584-B5C9-8AC2E4087537}"/>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818196" y="4263248"/>
            <a:ext cx="2959100" cy="2641601"/>
          </a:xfrm>
          <a:prstGeom prst="rect">
            <a:avLst/>
          </a:prstGeom>
          <a:ln>
            <a:solidFill>
              <a:schemeClr val="tx1"/>
            </a:solidFill>
          </a:ln>
        </xdr:spPr>
      </xdr:pic>
    </xdr:grpSp>
    <xdr:clientData/>
  </xdr:twoCellAnchor>
  <xdr:twoCellAnchor editAs="oneCell">
    <xdr:from>
      <xdr:col>8</xdr:col>
      <xdr:colOff>257175</xdr:colOff>
      <xdr:row>43</xdr:row>
      <xdr:rowOff>123826</xdr:rowOff>
    </xdr:from>
    <xdr:to>
      <xdr:col>13</xdr:col>
      <xdr:colOff>186150</xdr:colOff>
      <xdr:row>51</xdr:row>
      <xdr:rowOff>52541</xdr:rowOff>
    </xdr:to>
    <xdr:pic>
      <xdr:nvPicPr>
        <xdr:cNvPr id="24" name="Picture 23">
          <a:extLst>
            <a:ext uri="{FF2B5EF4-FFF2-40B4-BE49-F238E27FC236}">
              <a16:creationId xmlns:a16="http://schemas.microsoft.com/office/drawing/2014/main" xmlns="" id="{801CD047-2B83-4BA7-B4BB-73FE79B23A69}"/>
            </a:ext>
          </a:extLst>
        </xdr:cNvPr>
        <xdr:cNvPicPr>
          <a:picLocks noChangeAspect="1"/>
        </xdr:cNvPicPr>
      </xdr:nvPicPr>
      <xdr:blipFill>
        <a:blip xmlns:r="http://schemas.openxmlformats.org/officeDocument/2006/relationships" r:embed="rId16"/>
        <a:stretch>
          <a:fillRect/>
        </a:stretch>
      </xdr:blipFill>
      <xdr:spPr>
        <a:xfrm>
          <a:off x="6572250" y="9601201"/>
          <a:ext cx="4320000" cy="1757515"/>
        </a:xfrm>
        <a:prstGeom prst="rect">
          <a:avLst/>
        </a:prstGeom>
      </xdr:spPr>
    </xdr:pic>
    <xdr:clientData/>
  </xdr:twoCellAnchor>
  <xdr:twoCellAnchor editAs="oneCell">
    <xdr:from>
      <xdr:col>8</xdr:col>
      <xdr:colOff>295275</xdr:colOff>
      <xdr:row>51</xdr:row>
      <xdr:rowOff>161925</xdr:rowOff>
    </xdr:from>
    <xdr:to>
      <xdr:col>13</xdr:col>
      <xdr:colOff>224250</xdr:colOff>
      <xdr:row>65</xdr:row>
      <xdr:rowOff>144683</xdr:rowOff>
    </xdr:to>
    <xdr:pic>
      <xdr:nvPicPr>
        <xdr:cNvPr id="25" name="Picture 24">
          <a:extLst>
            <a:ext uri="{FF2B5EF4-FFF2-40B4-BE49-F238E27FC236}">
              <a16:creationId xmlns:a16="http://schemas.microsoft.com/office/drawing/2014/main" xmlns="" id="{E0933B6F-A6E8-431B-899B-7773C8894562}"/>
            </a:ext>
          </a:extLst>
        </xdr:cNvPr>
        <xdr:cNvPicPr>
          <a:picLocks noChangeAspect="1"/>
        </xdr:cNvPicPr>
      </xdr:nvPicPr>
      <xdr:blipFill>
        <a:blip xmlns:r="http://schemas.openxmlformats.org/officeDocument/2006/relationships" r:embed="rId17"/>
        <a:stretch>
          <a:fillRect/>
        </a:stretch>
      </xdr:blipFill>
      <xdr:spPr>
        <a:xfrm>
          <a:off x="6610350" y="11468100"/>
          <a:ext cx="4320000" cy="1430558"/>
        </a:xfrm>
        <a:prstGeom prst="rect">
          <a:avLst/>
        </a:prstGeom>
      </xdr:spPr>
    </xdr:pic>
    <xdr:clientData/>
  </xdr:twoCellAnchor>
  <xdr:twoCellAnchor editAs="oneCell">
    <xdr:from>
      <xdr:col>10</xdr:col>
      <xdr:colOff>419100</xdr:colOff>
      <xdr:row>112</xdr:row>
      <xdr:rowOff>447675</xdr:rowOff>
    </xdr:from>
    <xdr:to>
      <xdr:col>19</xdr:col>
      <xdr:colOff>582002</xdr:colOff>
      <xdr:row>122</xdr:row>
      <xdr:rowOff>114644</xdr:rowOff>
    </xdr:to>
    <xdr:pic>
      <xdr:nvPicPr>
        <xdr:cNvPr id="26" name="Picture 25">
          <a:extLst>
            <a:ext uri="{FF2B5EF4-FFF2-40B4-BE49-F238E27FC236}">
              <a16:creationId xmlns:a16="http://schemas.microsoft.com/office/drawing/2014/main" xmlns="" id="{46CC8F85-BC22-44F8-8C2B-23A2AF9A7E7C}"/>
            </a:ext>
          </a:extLst>
        </xdr:cNvPr>
        <xdr:cNvPicPr>
          <a:picLocks noChangeAspect="1"/>
        </xdr:cNvPicPr>
      </xdr:nvPicPr>
      <xdr:blipFill>
        <a:blip xmlns:r="http://schemas.openxmlformats.org/officeDocument/2006/relationships" r:embed="rId18"/>
        <a:stretch>
          <a:fillRect/>
        </a:stretch>
      </xdr:blipFill>
      <xdr:spPr>
        <a:xfrm>
          <a:off x="8658225" y="23460075"/>
          <a:ext cx="7001852" cy="2467319"/>
        </a:xfrm>
        <a:prstGeom prst="rect">
          <a:avLst/>
        </a:prstGeom>
      </xdr:spPr>
    </xdr:pic>
    <xdr:clientData/>
  </xdr:twoCellAnchor>
  <xdr:twoCellAnchor editAs="oneCell">
    <xdr:from>
      <xdr:col>8</xdr:col>
      <xdr:colOff>219075</xdr:colOff>
      <xdr:row>65</xdr:row>
      <xdr:rowOff>47625</xdr:rowOff>
    </xdr:from>
    <xdr:to>
      <xdr:col>14</xdr:col>
      <xdr:colOff>553226</xdr:colOff>
      <xdr:row>70</xdr:row>
      <xdr:rowOff>47765</xdr:rowOff>
    </xdr:to>
    <xdr:pic>
      <xdr:nvPicPr>
        <xdr:cNvPr id="27" name="Picture 26">
          <a:extLst>
            <a:ext uri="{FF2B5EF4-FFF2-40B4-BE49-F238E27FC236}">
              <a16:creationId xmlns:a16="http://schemas.microsoft.com/office/drawing/2014/main" xmlns="" id="{C649D095-257C-498A-84A3-EB7AEDCB7835}"/>
            </a:ext>
          </a:extLst>
        </xdr:cNvPr>
        <xdr:cNvPicPr>
          <a:picLocks noChangeAspect="1"/>
        </xdr:cNvPicPr>
      </xdr:nvPicPr>
      <xdr:blipFill>
        <a:blip xmlns:r="http://schemas.openxmlformats.org/officeDocument/2006/relationships" r:embed="rId19"/>
        <a:stretch>
          <a:fillRect/>
        </a:stretch>
      </xdr:blipFill>
      <xdr:spPr>
        <a:xfrm>
          <a:off x="6534150" y="13011150"/>
          <a:ext cx="5563376" cy="1000265"/>
        </a:xfrm>
        <a:prstGeom prst="rect">
          <a:avLst/>
        </a:prstGeom>
      </xdr:spPr>
    </xdr:pic>
    <xdr:clientData/>
  </xdr:twoCellAnchor>
  <xdr:twoCellAnchor editAs="oneCell">
    <xdr:from>
      <xdr:col>2</xdr:col>
      <xdr:colOff>0</xdr:colOff>
      <xdr:row>278</xdr:row>
      <xdr:rowOff>0</xdr:rowOff>
    </xdr:from>
    <xdr:to>
      <xdr:col>5</xdr:col>
      <xdr:colOff>58950</xdr:colOff>
      <xdr:row>304</xdr:row>
      <xdr:rowOff>199350</xdr:rowOff>
    </xdr:to>
    <xdr:pic>
      <xdr:nvPicPr>
        <xdr:cNvPr id="33" name="Picture 32"/>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562100" y="51282600"/>
          <a:ext cx="2602125" cy="5400000"/>
        </a:xfrm>
        <a:prstGeom prst="rect">
          <a:avLst/>
        </a:prstGeom>
        <a:ln>
          <a:solidFill>
            <a:schemeClr val="tx1"/>
          </a:solidFill>
        </a:ln>
      </xdr:spPr>
    </xdr:pic>
    <xdr:clientData/>
  </xdr:twoCellAnchor>
  <xdr:twoCellAnchor>
    <xdr:from>
      <xdr:col>3</xdr:col>
      <xdr:colOff>133351</xdr:colOff>
      <xdr:row>283</xdr:row>
      <xdr:rowOff>76201</xdr:rowOff>
    </xdr:from>
    <xdr:to>
      <xdr:col>3</xdr:col>
      <xdr:colOff>819150</xdr:colOff>
      <xdr:row>287</xdr:row>
      <xdr:rowOff>57151</xdr:rowOff>
    </xdr:to>
    <xdr:sp macro="" textlink="">
      <xdr:nvSpPr>
        <xdr:cNvPr id="35" name="Rectangle 34"/>
        <xdr:cNvSpPr/>
      </xdr:nvSpPr>
      <xdr:spPr>
        <a:xfrm>
          <a:off x="2543176" y="52358926"/>
          <a:ext cx="685799" cy="7810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JJTezJ3y12XsVig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1"/>
  <sheetViews>
    <sheetView tabSelected="1" view="pageBreakPreview" topLeftCell="A109" zoomScaleNormal="100" zoomScaleSheetLayoutView="100" zoomScalePageLayoutView="85" workbookViewId="0">
      <selection activeCell="J115" sqref="J115"/>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210" t="s">
        <v>380</v>
      </c>
      <c r="B1" s="210"/>
      <c r="C1" s="210"/>
      <c r="D1" s="210"/>
      <c r="E1" s="210"/>
      <c r="F1" s="210"/>
      <c r="G1" s="210"/>
      <c r="H1" s="210"/>
      <c r="I1" s="103" t="s">
        <v>425</v>
      </c>
    </row>
    <row r="2" spans="1:26" ht="16.5" customHeight="1" x14ac:dyDescent="0.25">
      <c r="A2" s="211" t="s">
        <v>0</v>
      </c>
      <c r="B2" s="211"/>
      <c r="C2" s="211"/>
      <c r="D2" s="211"/>
      <c r="E2" s="211"/>
      <c r="F2" s="211"/>
      <c r="G2" s="211"/>
      <c r="H2" s="211"/>
    </row>
    <row r="3" spans="1:26" x14ac:dyDescent="0.25">
      <c r="A3" s="212" t="s">
        <v>1</v>
      </c>
      <c r="B3" s="212"/>
      <c r="C3" s="212"/>
      <c r="D3" s="212"/>
      <c r="E3" s="212" t="str">
        <f ca="1">TEXT(TODAY(),"DD/MM/YYYY")</f>
        <v>18/07/2025</v>
      </c>
      <c r="F3" s="212"/>
      <c r="G3" s="212"/>
      <c r="H3" s="212"/>
      <c r="K3" s="54" t="s">
        <v>236</v>
      </c>
      <c r="L3" s="53" t="s">
        <v>234</v>
      </c>
      <c r="M3" s="53" t="s">
        <v>239</v>
      </c>
      <c r="N3" s="53" t="s">
        <v>237</v>
      </c>
      <c r="O3" s="53" t="s">
        <v>357</v>
      </c>
      <c r="P3" s="53" t="s">
        <v>383</v>
      </c>
    </row>
    <row r="4" spans="1:26" ht="15" customHeight="1" x14ac:dyDescent="0.25">
      <c r="A4" s="212" t="s">
        <v>233</v>
      </c>
      <c r="B4" s="212"/>
      <c r="C4" s="212"/>
      <c r="D4" s="212"/>
      <c r="E4" s="157" t="s">
        <v>234</v>
      </c>
      <c r="F4" s="157"/>
      <c r="G4" s="157"/>
      <c r="H4" s="157"/>
      <c r="K4" s="52" t="s">
        <v>235</v>
      </c>
      <c r="L4" s="53" t="s">
        <v>170</v>
      </c>
      <c r="M4" s="53" t="s">
        <v>244</v>
      </c>
      <c r="N4" s="53" t="s">
        <v>246</v>
      </c>
      <c r="O4" s="53" t="s">
        <v>341</v>
      </c>
      <c r="P4" s="53" t="s">
        <v>384</v>
      </c>
    </row>
    <row r="5" spans="1:26" ht="15" customHeight="1" x14ac:dyDescent="0.25">
      <c r="A5" s="212" t="s">
        <v>2</v>
      </c>
      <c r="B5" s="212"/>
      <c r="C5" s="212"/>
      <c r="D5" s="212"/>
      <c r="E5" s="157" t="s">
        <v>170</v>
      </c>
      <c r="F5" s="157"/>
      <c r="G5" s="157"/>
      <c r="H5" s="157"/>
      <c r="K5" s="52"/>
      <c r="L5" s="53" t="s">
        <v>241</v>
      </c>
      <c r="M5" s="53" t="s">
        <v>245</v>
      </c>
      <c r="N5" s="53" t="s">
        <v>247</v>
      </c>
      <c r="O5" s="53" t="s">
        <v>342</v>
      </c>
      <c r="P5" s="53"/>
    </row>
    <row r="6" spans="1:26" x14ac:dyDescent="0.25">
      <c r="A6" s="212" t="s">
        <v>3</v>
      </c>
      <c r="B6" s="212"/>
      <c r="C6" s="212"/>
      <c r="D6" s="212"/>
      <c r="E6" s="213">
        <v>45855</v>
      </c>
      <c r="F6" s="212"/>
      <c r="G6" s="212"/>
      <c r="H6" s="212"/>
      <c r="K6" s="52"/>
      <c r="L6" s="53" t="s">
        <v>242</v>
      </c>
      <c r="M6" s="53" t="s">
        <v>355</v>
      </c>
      <c r="N6" s="53"/>
      <c r="O6" s="53" t="s">
        <v>343</v>
      </c>
      <c r="P6" s="53"/>
    </row>
    <row r="7" spans="1:26" ht="16.5" customHeight="1" x14ac:dyDescent="0.25">
      <c r="A7" s="212" t="s">
        <v>4</v>
      </c>
      <c r="B7" s="212"/>
      <c r="C7" s="212"/>
      <c r="D7" s="212"/>
      <c r="E7" s="212" t="s">
        <v>387</v>
      </c>
      <c r="F7" s="212"/>
      <c r="G7" s="212"/>
      <c r="H7" s="212"/>
      <c r="K7" s="52"/>
      <c r="L7" s="53" t="s">
        <v>243</v>
      </c>
      <c r="M7" s="53"/>
      <c r="N7" s="53"/>
      <c r="O7" s="53" t="s">
        <v>343</v>
      </c>
      <c r="P7" s="53"/>
    </row>
    <row r="8" spans="1:26" ht="15" customHeight="1" x14ac:dyDescent="0.25">
      <c r="A8" s="212" t="s">
        <v>5</v>
      </c>
      <c r="B8" s="212"/>
      <c r="C8" s="212"/>
      <c r="D8" s="212"/>
      <c r="E8" s="212" t="str">
        <f>E7</f>
        <v>Mira Developers</v>
      </c>
      <c r="F8" s="212"/>
      <c r="G8" s="212"/>
      <c r="H8" s="212"/>
      <c r="K8" s="52"/>
      <c r="L8" s="53"/>
      <c r="M8" s="53"/>
      <c r="N8" s="53"/>
      <c r="O8" s="53" t="s">
        <v>344</v>
      </c>
      <c r="P8" s="53"/>
    </row>
    <row r="9" spans="1:26" x14ac:dyDescent="0.25">
      <c r="A9" s="212" t="s">
        <v>6</v>
      </c>
      <c r="B9" s="212"/>
      <c r="C9" s="212"/>
      <c r="D9" s="212"/>
      <c r="E9" s="147" t="s">
        <v>388</v>
      </c>
      <c r="F9" s="147"/>
      <c r="G9" s="147"/>
      <c r="H9" s="147"/>
      <c r="K9" s="52"/>
      <c r="L9" s="53"/>
      <c r="M9" s="53"/>
      <c r="N9" s="53"/>
      <c r="O9" s="53" t="s">
        <v>345</v>
      </c>
      <c r="P9" s="53"/>
    </row>
    <row r="10" spans="1:26" x14ac:dyDescent="0.25">
      <c r="A10" s="212" t="s">
        <v>167</v>
      </c>
      <c r="B10" s="212"/>
      <c r="C10" s="212"/>
      <c r="D10" s="212"/>
      <c r="E10" s="212" t="s">
        <v>391</v>
      </c>
      <c r="F10" s="212"/>
      <c r="G10" s="212"/>
      <c r="H10" s="212"/>
      <c r="K10" s="52"/>
      <c r="L10" s="53"/>
      <c r="M10" s="53"/>
      <c r="N10" s="53"/>
      <c r="O10" s="53" t="s">
        <v>346</v>
      </c>
      <c r="P10" s="53"/>
    </row>
    <row r="11" spans="1:26" x14ac:dyDescent="0.25">
      <c r="A11" s="212" t="s">
        <v>168</v>
      </c>
      <c r="B11" s="212"/>
      <c r="C11" s="212"/>
      <c r="D11" s="212"/>
      <c r="E11" s="215" t="s">
        <v>391</v>
      </c>
      <c r="F11" s="216"/>
      <c r="G11" s="216"/>
      <c r="H11" s="217"/>
      <c r="O11" s="53" t="s">
        <v>347</v>
      </c>
    </row>
    <row r="12" spans="1:26" x14ac:dyDescent="0.25">
      <c r="A12" s="212" t="s">
        <v>7</v>
      </c>
      <c r="B12" s="212"/>
      <c r="C12" s="212"/>
      <c r="D12" s="212"/>
      <c r="E12" s="212" t="s">
        <v>118</v>
      </c>
      <c r="F12" s="212"/>
      <c r="G12" s="212"/>
      <c r="H12" s="212"/>
    </row>
    <row r="13" spans="1:26" x14ac:dyDescent="0.25">
      <c r="A13" s="157" t="s">
        <v>171</v>
      </c>
      <c r="B13" s="157"/>
      <c r="C13" s="157"/>
      <c r="D13" s="157"/>
      <c r="E13" s="212" t="s">
        <v>28</v>
      </c>
      <c r="F13" s="212"/>
      <c r="G13" s="212"/>
      <c r="H13" s="212"/>
      <c r="S13" s="53" t="s">
        <v>180</v>
      </c>
      <c r="T13" s="53" t="s">
        <v>189</v>
      </c>
      <c r="U13" s="53" t="s">
        <v>172</v>
      </c>
      <c r="V13" s="53" t="s">
        <v>194</v>
      </c>
      <c r="W13" s="53" t="s">
        <v>212</v>
      </c>
      <c r="X13"/>
      <c r="Y13" t="s">
        <v>194</v>
      </c>
      <c r="Z13" t="e">
        <f ca="1">OFFSET($S$13,1,MATCH($G20,$S$13:$W$13,0)-1,15,1)</f>
        <v>#VALUE!</v>
      </c>
    </row>
    <row r="14" spans="1:26" x14ac:dyDescent="0.25">
      <c r="A14" s="153" t="s">
        <v>279</v>
      </c>
      <c r="B14" s="153"/>
      <c r="C14" s="153"/>
      <c r="D14" s="153"/>
      <c r="E14" s="214" t="s">
        <v>227</v>
      </c>
      <c r="F14" s="214"/>
      <c r="G14" s="214"/>
      <c r="H14" s="214"/>
      <c r="S14" s="53" t="s">
        <v>180</v>
      </c>
      <c r="T14" s="53" t="s">
        <v>187</v>
      </c>
      <c r="U14" s="53" t="s">
        <v>209</v>
      </c>
      <c r="V14" s="53" t="s">
        <v>195</v>
      </c>
      <c r="W14" s="53" t="s">
        <v>213</v>
      </c>
      <c r="X14"/>
      <c r="Y14"/>
      <c r="Z14"/>
    </row>
    <row r="15" spans="1:26" x14ac:dyDescent="0.25">
      <c r="A15" s="153" t="s">
        <v>8</v>
      </c>
      <c r="B15" s="153"/>
      <c r="C15" s="153"/>
      <c r="D15" s="153"/>
      <c r="E15" s="214" t="s">
        <v>392</v>
      </c>
      <c r="F15" s="157"/>
      <c r="G15" s="157"/>
      <c r="H15" s="157"/>
      <c r="I15" s="174" t="e">
        <f ca="1">OFFSET($D$5,1,MATCH($J13,$D$5:$H$5,0)-1,15,1)</f>
        <v>#N/A</v>
      </c>
      <c r="J15" s="175"/>
      <c r="K15" s="175"/>
      <c r="L15" s="175"/>
      <c r="M15" s="175"/>
      <c r="N15" s="175"/>
      <c r="O15" s="175"/>
      <c r="P15" s="175"/>
      <c r="S15" s="53" t="s">
        <v>181</v>
      </c>
      <c r="T15" s="53" t="s">
        <v>188</v>
      </c>
      <c r="U15" s="53" t="s">
        <v>210</v>
      </c>
      <c r="V15" s="53" t="s">
        <v>196</v>
      </c>
      <c r="W15" s="53" t="s">
        <v>226</v>
      </c>
      <c r="X15"/>
      <c r="Y15"/>
      <c r="Z15"/>
    </row>
    <row r="16" spans="1:26" ht="32.25" customHeight="1" x14ac:dyDescent="0.25">
      <c r="A16" s="154" t="s">
        <v>9</v>
      </c>
      <c r="B16" s="154"/>
      <c r="C16" s="154" t="str">
        <f>CONCATENATE((IF(OR(E9="",E9="NA"),"",E9)),", ",(IF(OR(A17="",A17="NA"),"",A17)),".",(IF(OR(C17="",C17="NA"),"",C17)),", near ",(IF(OR(C22="",C22="NA"),"",C22)),", ",(IF(OR(C19="",C19="NA"),"",C19)),", ",(IF(OR(C18="",C18="NA"),"",C18)),", ",(IF(OR(G19="",G19="NA"),"",G19)),", ",(IF(OR(C20="",C20="NA"),"",C20)),", ",(IF(OR(C21="",C21="NA"),"",C21)),", ",(IF(OR(G20="",G20="NA"),"",G20))," - ",(IF(OR(G21="",G21="NA"),"",G21)),".")</f>
        <v>Mira Residency, Survey No.150 &amp; Plot No.10, near Az Dreams Residency, Neral - Badlapur Road, , Mamdapur, Neral, Karjat, Raigad - 410101.</v>
      </c>
      <c r="D16" s="154"/>
      <c r="E16" s="154"/>
      <c r="F16" s="154"/>
      <c r="G16" s="154"/>
      <c r="H16" s="154"/>
      <c r="S16" s="53" t="s">
        <v>182</v>
      </c>
      <c r="T16" s="53" t="s">
        <v>190</v>
      </c>
      <c r="U16" s="53" t="s">
        <v>211</v>
      </c>
      <c r="V16" s="53" t="s">
        <v>197</v>
      </c>
      <c r="W16" s="53" t="s">
        <v>214</v>
      </c>
      <c r="X16"/>
      <c r="Y16"/>
      <c r="Z16"/>
    </row>
    <row r="17" spans="1:26" x14ac:dyDescent="0.25">
      <c r="A17" s="214" t="s">
        <v>393</v>
      </c>
      <c r="B17" s="214"/>
      <c r="C17" s="214" t="s">
        <v>394</v>
      </c>
      <c r="D17" s="214"/>
      <c r="E17" s="214"/>
      <c r="F17" s="214"/>
      <c r="G17" s="214"/>
      <c r="H17" s="214"/>
      <c r="S17" s="53" t="s">
        <v>183</v>
      </c>
      <c r="T17" s="53" t="s">
        <v>191</v>
      </c>
      <c r="U17" s="53" t="s">
        <v>172</v>
      </c>
      <c r="V17" s="53" t="s">
        <v>198</v>
      </c>
      <c r="W17" s="53" t="s">
        <v>215</v>
      </c>
      <c r="X17"/>
      <c r="Y17"/>
      <c r="Z17"/>
    </row>
    <row r="18" spans="1:26" ht="15.75" customHeight="1" x14ac:dyDescent="0.25">
      <c r="A18" s="158" t="s">
        <v>163</v>
      </c>
      <c r="B18" s="158"/>
      <c r="C18" s="158" t="s">
        <v>28</v>
      </c>
      <c r="D18" s="158"/>
      <c r="E18" s="158"/>
      <c r="F18" s="158"/>
      <c r="G18" s="158"/>
      <c r="H18" s="158"/>
      <c r="S18" s="53" t="s">
        <v>184</v>
      </c>
      <c r="T18" s="53" t="s">
        <v>189</v>
      </c>
      <c r="U18" s="53"/>
      <c r="V18" s="53" t="s">
        <v>199</v>
      </c>
      <c r="W18" s="53" t="s">
        <v>216</v>
      </c>
      <c r="X18"/>
      <c r="Y18"/>
      <c r="Z18"/>
    </row>
    <row r="19" spans="1:26" ht="15.75" customHeight="1" x14ac:dyDescent="0.25">
      <c r="A19" s="154" t="s">
        <v>10</v>
      </c>
      <c r="B19" s="154"/>
      <c r="C19" s="212" t="s">
        <v>397</v>
      </c>
      <c r="D19" s="212"/>
      <c r="E19" s="154" t="s">
        <v>69</v>
      </c>
      <c r="F19" s="154"/>
      <c r="G19" s="158" t="s">
        <v>395</v>
      </c>
      <c r="H19" s="158"/>
      <c r="S19" s="53" t="s">
        <v>185</v>
      </c>
      <c r="T19" s="53" t="s">
        <v>192</v>
      </c>
      <c r="U19" s="53"/>
      <c r="V19" s="53" t="s">
        <v>200</v>
      </c>
      <c r="W19" s="53" t="s">
        <v>217</v>
      </c>
      <c r="X19"/>
      <c r="Y19"/>
      <c r="Z19"/>
    </row>
    <row r="20" spans="1:26" x14ac:dyDescent="0.25">
      <c r="A20" s="153" t="s">
        <v>12</v>
      </c>
      <c r="B20" s="153"/>
      <c r="C20" s="158" t="s">
        <v>396</v>
      </c>
      <c r="D20" s="158"/>
      <c r="E20" s="154" t="s">
        <v>11</v>
      </c>
      <c r="F20" s="154"/>
      <c r="G20" s="218" t="s">
        <v>194</v>
      </c>
      <c r="H20" s="218"/>
      <c r="S20" s="53" t="s">
        <v>186</v>
      </c>
      <c r="T20" s="53" t="s">
        <v>193</v>
      </c>
      <c r="U20" s="53"/>
      <c r="V20" s="53" t="s">
        <v>201</v>
      </c>
      <c r="W20" s="53" t="s">
        <v>218</v>
      </c>
      <c r="X20"/>
      <c r="Y20"/>
      <c r="Z20"/>
    </row>
    <row r="21" spans="1:26" x14ac:dyDescent="0.25">
      <c r="A21" s="153" t="s">
        <v>70</v>
      </c>
      <c r="B21" s="153"/>
      <c r="C21" s="214" t="s">
        <v>198</v>
      </c>
      <c r="D21" s="214"/>
      <c r="E21" s="154" t="s">
        <v>13</v>
      </c>
      <c r="F21" s="154"/>
      <c r="G21" s="158">
        <v>410101</v>
      </c>
      <c r="H21" s="158"/>
      <c r="S21" s="53"/>
      <c r="T21" s="53"/>
      <c r="U21" s="53"/>
      <c r="V21" s="53" t="s">
        <v>202</v>
      </c>
      <c r="W21" s="53" t="s">
        <v>219</v>
      </c>
      <c r="X21"/>
      <c r="Y21"/>
      <c r="Z21"/>
    </row>
    <row r="22" spans="1:26" ht="32.25" customHeight="1" x14ac:dyDescent="0.25">
      <c r="A22" s="153" t="s">
        <v>119</v>
      </c>
      <c r="B22" s="153"/>
      <c r="C22" s="158" t="s">
        <v>426</v>
      </c>
      <c r="D22" s="158"/>
      <c r="E22" s="154" t="s">
        <v>14</v>
      </c>
      <c r="F22" s="154"/>
      <c r="G22" s="214" t="s">
        <v>398</v>
      </c>
      <c r="H22" s="214"/>
      <c r="S22" s="53"/>
      <c r="T22" s="53"/>
      <c r="U22" s="53"/>
      <c r="V22" s="53" t="s">
        <v>203</v>
      </c>
      <c r="W22" s="53" t="s">
        <v>220</v>
      </c>
      <c r="X22"/>
      <c r="Y22"/>
      <c r="Z22"/>
    </row>
    <row r="23" spans="1:26" ht="15" customHeight="1" x14ac:dyDescent="0.25">
      <c r="A23" s="154" t="s">
        <v>72</v>
      </c>
      <c r="B23" s="154"/>
      <c r="C23" s="154"/>
      <c r="D23" s="154"/>
      <c r="E23" s="212" t="s">
        <v>15</v>
      </c>
      <c r="F23" s="212"/>
      <c r="G23" s="212"/>
      <c r="H23" s="212"/>
      <c r="S23" s="53"/>
      <c r="T23" s="53"/>
      <c r="U23" s="53"/>
      <c r="V23" s="53" t="s">
        <v>204</v>
      </c>
      <c r="W23" s="53" t="s">
        <v>221</v>
      </c>
      <c r="X23"/>
      <c r="Y23"/>
      <c r="Z23"/>
    </row>
    <row r="24" spans="1:26" ht="18.75" customHeight="1" x14ac:dyDescent="0.25">
      <c r="A24" s="154"/>
      <c r="B24" s="154"/>
      <c r="C24" s="154"/>
      <c r="D24" s="154"/>
      <c r="E24" s="212"/>
      <c r="F24" s="212"/>
      <c r="G24" s="212"/>
      <c r="H24" s="212"/>
      <c r="S24" s="53"/>
      <c r="T24" s="53"/>
      <c r="U24" s="53"/>
      <c r="V24" s="53" t="s">
        <v>205</v>
      </c>
      <c r="W24" s="53" t="s">
        <v>222</v>
      </c>
      <c r="X24"/>
      <c r="Y24"/>
      <c r="Z24"/>
    </row>
    <row r="25" spans="1:26" ht="15" customHeight="1" x14ac:dyDescent="0.25">
      <c r="A25" s="154" t="s">
        <v>16</v>
      </c>
      <c r="B25" s="154"/>
      <c r="C25" s="154"/>
      <c r="D25" s="154"/>
      <c r="E25" s="158" t="s">
        <v>17</v>
      </c>
      <c r="F25" s="158"/>
      <c r="G25" s="158"/>
      <c r="H25" s="158"/>
      <c r="S25" s="53"/>
      <c r="T25" s="53"/>
      <c r="U25" s="53"/>
      <c r="V25" s="53" t="s">
        <v>206</v>
      </c>
      <c r="W25" s="53" t="s">
        <v>223</v>
      </c>
      <c r="X25"/>
      <c r="Y25"/>
      <c r="Z25"/>
    </row>
    <row r="26" spans="1:26" ht="15" customHeight="1" x14ac:dyDescent="0.25">
      <c r="A26" s="153" t="s">
        <v>18</v>
      </c>
      <c r="B26" s="153"/>
      <c r="C26" s="153"/>
      <c r="D26" s="153"/>
      <c r="E26" s="158" t="str">
        <f>IF(AND(G20="Mumbai"),"Upper Class","Middle Class")</f>
        <v>Middle Class</v>
      </c>
      <c r="F26" s="158"/>
      <c r="G26" s="158"/>
      <c r="H26" s="158"/>
      <c r="S26" s="53"/>
      <c r="T26" s="53"/>
      <c r="U26" s="53"/>
      <c r="V26" s="53" t="s">
        <v>207</v>
      </c>
      <c r="W26" s="53" t="s">
        <v>224</v>
      </c>
      <c r="X26"/>
      <c r="Y26"/>
      <c r="Z26"/>
    </row>
    <row r="27" spans="1:26" x14ac:dyDescent="0.25">
      <c r="A27" s="153" t="s">
        <v>19</v>
      </c>
      <c r="B27" s="153"/>
      <c r="C27" s="153"/>
      <c r="D27" s="153"/>
      <c r="E27" s="158" t="s">
        <v>20</v>
      </c>
      <c r="F27" s="158"/>
      <c r="G27" s="158"/>
      <c r="H27" s="158"/>
      <c r="S27" s="53"/>
      <c r="T27" s="53"/>
      <c r="U27" s="53"/>
      <c r="V27" s="53" t="s">
        <v>208</v>
      </c>
      <c r="W27" s="53" t="s">
        <v>225</v>
      </c>
      <c r="X27"/>
      <c r="Y27"/>
      <c r="Z27"/>
    </row>
    <row r="28" spans="1:26" ht="15.75" customHeight="1" x14ac:dyDescent="0.25">
      <c r="A28" s="153" t="s">
        <v>21</v>
      </c>
      <c r="B28" s="153"/>
      <c r="C28" s="153"/>
      <c r="D28" s="153"/>
      <c r="E28" s="158" t="str">
        <f>IF(AND(G20="Mumbai"),"Developed","Developing")</f>
        <v>Developing</v>
      </c>
      <c r="F28" s="158"/>
      <c r="G28" s="158"/>
      <c r="H28" s="158"/>
    </row>
    <row r="29" spans="1:26" x14ac:dyDescent="0.25">
      <c r="A29" s="153" t="s">
        <v>22</v>
      </c>
      <c r="B29" s="153"/>
      <c r="C29" s="153"/>
      <c r="D29" s="153"/>
      <c r="E29" s="158" t="s">
        <v>23</v>
      </c>
      <c r="F29" s="158"/>
      <c r="G29" s="158"/>
      <c r="H29" s="158"/>
    </row>
    <row r="30" spans="1:26" ht="15.75" customHeight="1" x14ac:dyDescent="0.25">
      <c r="A30" s="153" t="s">
        <v>77</v>
      </c>
      <c r="B30" s="153"/>
      <c r="C30" s="153"/>
      <c r="D30" s="153"/>
      <c r="E30" s="158" t="s">
        <v>78</v>
      </c>
      <c r="F30" s="158"/>
      <c r="G30" s="158"/>
      <c r="H30" s="158"/>
    </row>
    <row r="31" spans="1:26" ht="15" customHeight="1" x14ac:dyDescent="0.25">
      <c r="A31" s="153" t="s">
        <v>30</v>
      </c>
      <c r="B31" s="153"/>
      <c r="C31" s="153"/>
      <c r="D31" s="153"/>
      <c r="E31" s="158"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58"/>
      <c r="G31" s="158"/>
      <c r="H31" s="158"/>
    </row>
    <row r="32" spans="1:26" ht="15.75" customHeight="1" x14ac:dyDescent="0.25">
      <c r="A32" s="153" t="s">
        <v>89</v>
      </c>
      <c r="B32" s="153"/>
      <c r="C32" s="153"/>
      <c r="D32" s="153"/>
      <c r="E32" s="158" t="s">
        <v>31</v>
      </c>
      <c r="F32" s="158"/>
      <c r="G32" s="158"/>
      <c r="H32" s="158"/>
    </row>
    <row r="33" spans="1:19" s="21" customFormat="1" x14ac:dyDescent="0.25">
      <c r="A33" s="227" t="s">
        <v>90</v>
      </c>
      <c r="B33" s="227"/>
      <c r="C33" s="224" t="s">
        <v>173</v>
      </c>
      <c r="D33" s="225"/>
      <c r="E33" s="226"/>
      <c r="F33" s="224" t="s">
        <v>29</v>
      </c>
      <c r="G33" s="225"/>
      <c r="H33" s="226"/>
      <c r="S33" s="21" t="e">
        <f ca="1">OFFSET($S$13,1,MATCH($G20,$S$13:$W$13,0)-1,15,1)</f>
        <v>#VALUE!</v>
      </c>
    </row>
    <row r="34" spans="1:19" s="21" customFormat="1" x14ac:dyDescent="0.25">
      <c r="A34" s="220" t="s">
        <v>24</v>
      </c>
      <c r="B34" s="220" t="s">
        <v>28</v>
      </c>
      <c r="C34" s="221" t="s">
        <v>402</v>
      </c>
      <c r="D34" s="222"/>
      <c r="E34" s="223"/>
      <c r="F34" s="221" t="s">
        <v>403</v>
      </c>
      <c r="G34" s="222"/>
      <c r="H34" s="223"/>
    </row>
    <row r="35" spans="1:19" x14ac:dyDescent="0.25">
      <c r="A35" s="220" t="s">
        <v>25</v>
      </c>
      <c r="B35" s="220" t="s">
        <v>28</v>
      </c>
      <c r="C35" s="221" t="s">
        <v>401</v>
      </c>
      <c r="D35" s="222"/>
      <c r="E35" s="223"/>
      <c r="F35" s="221" t="s">
        <v>427</v>
      </c>
      <c r="G35" s="222"/>
      <c r="H35" s="223"/>
    </row>
    <row r="36" spans="1:19" s="21" customFormat="1" x14ac:dyDescent="0.25">
      <c r="A36" s="220" t="s">
        <v>27</v>
      </c>
      <c r="B36" s="220" t="s">
        <v>28</v>
      </c>
      <c r="C36" s="221" t="s">
        <v>399</v>
      </c>
      <c r="D36" s="222"/>
      <c r="E36" s="223"/>
      <c r="F36" s="221" t="s">
        <v>428</v>
      </c>
      <c r="G36" s="222"/>
      <c r="H36" s="223"/>
    </row>
    <row r="37" spans="1:19" x14ac:dyDescent="0.25">
      <c r="A37" s="220" t="s">
        <v>26</v>
      </c>
      <c r="B37" s="220" t="s">
        <v>28</v>
      </c>
      <c r="C37" s="221" t="s">
        <v>400</v>
      </c>
      <c r="D37" s="222"/>
      <c r="E37" s="223"/>
      <c r="F37" s="221" t="s">
        <v>426</v>
      </c>
      <c r="G37" s="222"/>
      <c r="H37" s="223"/>
    </row>
    <row r="38" spans="1:19" x14ac:dyDescent="0.25">
      <c r="A38" s="153" t="s">
        <v>280</v>
      </c>
      <c r="B38" s="153"/>
      <c r="C38" s="153"/>
      <c r="D38" s="153"/>
      <c r="E38" s="153"/>
      <c r="F38" s="153"/>
      <c r="G38" s="153"/>
      <c r="H38" s="153"/>
    </row>
    <row r="39" spans="1:19" ht="15.75" customHeight="1" x14ac:dyDescent="0.25">
      <c r="A39" s="153" t="s">
        <v>165</v>
      </c>
      <c r="B39" s="153"/>
      <c r="C39" s="206" t="s">
        <v>389</v>
      </c>
      <c r="D39" s="206"/>
      <c r="E39" s="206"/>
      <c r="F39" s="206"/>
      <c r="G39" s="206"/>
      <c r="H39" s="206"/>
    </row>
    <row r="40" spans="1:19" x14ac:dyDescent="0.25">
      <c r="A40" s="153" t="s">
        <v>162</v>
      </c>
      <c r="B40" s="153"/>
      <c r="C40" s="261" t="s">
        <v>390</v>
      </c>
      <c r="D40" s="158"/>
      <c r="E40" s="158"/>
      <c r="F40" s="158"/>
      <c r="G40" s="158"/>
      <c r="H40" s="158"/>
    </row>
    <row r="41" spans="1:19" x14ac:dyDescent="0.25">
      <c r="A41" s="206" t="s">
        <v>32</v>
      </c>
      <c r="B41" s="206"/>
      <c r="C41" s="206"/>
      <c r="D41" s="206"/>
      <c r="E41" s="206"/>
      <c r="F41" s="206"/>
      <c r="G41" s="206"/>
      <c r="H41" s="206"/>
    </row>
    <row r="42" spans="1:19" x14ac:dyDescent="0.25">
      <c r="A42" s="153" t="s">
        <v>33</v>
      </c>
      <c r="B42" s="153"/>
      <c r="C42" s="153"/>
      <c r="D42" s="153"/>
      <c r="E42" s="231">
        <v>507.25</v>
      </c>
      <c r="F42" s="231"/>
      <c r="G42" s="231"/>
      <c r="H42" s="231"/>
    </row>
    <row r="43" spans="1:19" x14ac:dyDescent="0.25">
      <c r="A43" s="153" t="s">
        <v>34</v>
      </c>
      <c r="B43" s="153"/>
      <c r="C43" s="153"/>
      <c r="D43" s="153"/>
      <c r="E43" s="219">
        <f>557.975/E42</f>
        <v>1.1000000000000001</v>
      </c>
      <c r="F43" s="219"/>
      <c r="G43" s="219"/>
      <c r="H43" s="219"/>
    </row>
    <row r="44" spans="1:19" x14ac:dyDescent="0.25">
      <c r="A44" s="153" t="s">
        <v>35</v>
      </c>
      <c r="B44" s="153"/>
      <c r="C44" s="153"/>
      <c r="D44" s="153"/>
      <c r="E44" s="219">
        <f>E46/E42-E43</f>
        <v>1.1397240019714143</v>
      </c>
      <c r="F44" s="219"/>
      <c r="G44" s="219"/>
      <c r="H44" s="219"/>
    </row>
    <row r="45" spans="1:19" x14ac:dyDescent="0.25">
      <c r="A45" s="153" t="s">
        <v>36</v>
      </c>
      <c r="B45" s="153"/>
      <c r="C45" s="153"/>
      <c r="D45" s="153"/>
      <c r="E45" s="219">
        <f>E43+E44</f>
        <v>2.2397240019714144</v>
      </c>
      <c r="F45" s="219"/>
      <c r="G45" s="219"/>
      <c r="H45" s="219"/>
    </row>
    <row r="46" spans="1:19" x14ac:dyDescent="0.25">
      <c r="A46" s="153" t="s">
        <v>88</v>
      </c>
      <c r="B46" s="153"/>
      <c r="C46" s="153"/>
      <c r="D46" s="153"/>
      <c r="E46" s="233">
        <v>1136.0999999999999</v>
      </c>
      <c r="F46" s="233"/>
      <c r="G46" s="233"/>
      <c r="H46" s="233"/>
    </row>
    <row r="47" spans="1:19" x14ac:dyDescent="0.25">
      <c r="A47" s="212" t="s">
        <v>37</v>
      </c>
      <c r="B47" s="212"/>
      <c r="C47" s="212"/>
      <c r="D47" s="212"/>
      <c r="E47" s="157" t="s">
        <v>118</v>
      </c>
      <c r="F47" s="157"/>
      <c r="G47" s="157"/>
      <c r="H47" s="157"/>
    </row>
    <row r="48" spans="1:19" x14ac:dyDescent="0.25">
      <c r="A48" s="206" t="s">
        <v>38</v>
      </c>
      <c r="B48" s="206"/>
      <c r="C48" s="206"/>
      <c r="D48" s="206"/>
      <c r="E48" s="206"/>
      <c r="F48" s="206"/>
      <c r="G48" s="206"/>
      <c r="H48" s="206"/>
    </row>
    <row r="49" spans="1:24" ht="33.75" customHeight="1" x14ac:dyDescent="0.25">
      <c r="A49" s="136" t="s">
        <v>151</v>
      </c>
      <c r="B49" s="138"/>
      <c r="C49" s="239" t="s">
        <v>273</v>
      </c>
      <c r="D49" s="240"/>
      <c r="E49" s="240"/>
      <c r="F49" s="240"/>
      <c r="G49" s="240"/>
      <c r="H49" s="241"/>
      <c r="R49" t="s">
        <v>253</v>
      </c>
      <c r="S49" s="55" t="s">
        <v>172</v>
      </c>
      <c r="T49" s="55" t="s">
        <v>180</v>
      </c>
      <c r="U49" s="55" t="s">
        <v>194</v>
      </c>
      <c r="V49" s="55" t="s">
        <v>189</v>
      </c>
    </row>
    <row r="50" spans="1:24" ht="15.75" customHeight="1" x14ac:dyDescent="0.25">
      <c r="A50" s="136" t="s">
        <v>39</v>
      </c>
      <c r="B50" s="138"/>
      <c r="C50" s="136" t="s">
        <v>404</v>
      </c>
      <c r="D50" s="137"/>
      <c r="E50" s="138"/>
      <c r="F50" s="17" t="s">
        <v>40</v>
      </c>
      <c r="G50" s="229">
        <v>45163</v>
      </c>
      <c r="H50" s="230"/>
      <c r="R50"/>
      <c r="S50" s="55" t="s">
        <v>254</v>
      </c>
      <c r="T50" s="55" t="s">
        <v>259</v>
      </c>
      <c r="U50" s="55" t="s">
        <v>270</v>
      </c>
      <c r="V50" s="55" t="s">
        <v>275</v>
      </c>
    </row>
    <row r="51" spans="1:24" x14ac:dyDescent="0.25">
      <c r="A51" s="136" t="s">
        <v>41</v>
      </c>
      <c r="B51" s="138"/>
      <c r="C51" s="136" t="str">
        <f>C50</f>
        <v>RJP/BD/NSVP/293/2023</v>
      </c>
      <c r="D51" s="137"/>
      <c r="E51" s="138"/>
      <c r="F51" s="17" t="s">
        <v>40</v>
      </c>
      <c r="G51" s="229">
        <f>G50</f>
        <v>45163</v>
      </c>
      <c r="H51" s="230"/>
      <c r="R51"/>
      <c r="S51" s="55" t="s">
        <v>255</v>
      </c>
      <c r="T51" s="55" t="s">
        <v>358</v>
      </c>
      <c r="U51" s="55" t="s">
        <v>268</v>
      </c>
      <c r="V51" s="55" t="s">
        <v>276</v>
      </c>
    </row>
    <row r="52" spans="1:24" s="22" customFormat="1" ht="15.75" customHeight="1" x14ac:dyDescent="0.25">
      <c r="A52" s="246" t="s">
        <v>155</v>
      </c>
      <c r="B52" s="247"/>
      <c r="C52" s="246" t="str">
        <f>C51</f>
        <v>RJP/BD/NSVP/293/2023</v>
      </c>
      <c r="D52" s="252"/>
      <c r="E52" s="247"/>
      <c r="F52" s="121" t="s">
        <v>40</v>
      </c>
      <c r="G52" s="123">
        <v>45163</v>
      </c>
      <c r="H52" s="124"/>
      <c r="I52" s="21" t="str">
        <f ca="1">IF(G52&gt;EDATE(E3,-48),"NO REMARK","CC REMARK FOR CC")</f>
        <v>NO REMARK</v>
      </c>
      <c r="J52" s="75"/>
      <c r="R52"/>
      <c r="S52" s="55" t="s">
        <v>256</v>
      </c>
      <c r="T52" s="55" t="s">
        <v>261</v>
      </c>
      <c r="U52" s="55" t="s">
        <v>258</v>
      </c>
      <c r="V52" s="55" t="s">
        <v>277</v>
      </c>
    </row>
    <row r="53" spans="1:24" s="22" customFormat="1" ht="1.5" customHeight="1" x14ac:dyDescent="0.25">
      <c r="A53" s="248"/>
      <c r="B53" s="249"/>
      <c r="C53" s="250"/>
      <c r="D53" s="253"/>
      <c r="E53" s="251"/>
      <c r="F53" s="122"/>
      <c r="G53" s="125"/>
      <c r="H53" s="126"/>
      <c r="R53"/>
      <c r="S53" s="55" t="s">
        <v>257</v>
      </c>
      <c r="T53" s="55" t="s">
        <v>264</v>
      </c>
      <c r="U53" s="55" t="s">
        <v>271</v>
      </c>
      <c r="V53" s="71" t="s">
        <v>350</v>
      </c>
    </row>
    <row r="54" spans="1:24" s="22" customFormat="1" ht="33.75" customHeight="1" x14ac:dyDescent="0.25">
      <c r="A54" s="250"/>
      <c r="B54" s="251"/>
      <c r="C54" s="136" t="s">
        <v>405</v>
      </c>
      <c r="D54" s="137"/>
      <c r="E54" s="137"/>
      <c r="F54" s="137"/>
      <c r="G54" s="137"/>
      <c r="H54" s="138"/>
      <c r="R54"/>
      <c r="S54" s="55"/>
      <c r="T54" s="55"/>
      <c r="U54" s="55"/>
      <c r="V54" s="71"/>
    </row>
    <row r="55" spans="1:24" s="22" customFormat="1" hidden="1" x14ac:dyDescent="0.25">
      <c r="A55" s="130" t="s">
        <v>281</v>
      </c>
      <c r="B55" s="131"/>
      <c r="C55" s="136">
        <f>C53</f>
        <v>0</v>
      </c>
      <c r="D55" s="137"/>
      <c r="E55" s="138"/>
      <c r="F55" s="17" t="s">
        <v>40</v>
      </c>
      <c r="G55" s="229"/>
      <c r="H55" s="230"/>
      <c r="K55" s="76">
        <f>EDATE(G52,-48)</f>
        <v>43702</v>
      </c>
      <c r="L55" s="22" t="str">
        <f ca="1">IF(G52&gt;EDATE(E3,-48),"NO REMARK","CC REMARK FOR CC")</f>
        <v>NO REMARK</v>
      </c>
      <c r="R55"/>
      <c r="S55" s="55" t="s">
        <v>256</v>
      </c>
      <c r="T55" s="55" t="s">
        <v>261</v>
      </c>
      <c r="U55" s="55" t="s">
        <v>258</v>
      </c>
      <c r="V55" s="55" t="s">
        <v>277</v>
      </c>
    </row>
    <row r="56" spans="1:24" s="22" customFormat="1" ht="32.25" hidden="1" customHeight="1" x14ac:dyDescent="0.25">
      <c r="A56" s="134"/>
      <c r="B56" s="135"/>
      <c r="C56" s="243"/>
      <c r="D56" s="244"/>
      <c r="E56" s="244"/>
      <c r="F56" s="244"/>
      <c r="G56" s="244"/>
      <c r="H56" s="245"/>
      <c r="R56"/>
      <c r="S56" s="55" t="s">
        <v>258</v>
      </c>
      <c r="T56" s="55" t="s">
        <v>262</v>
      </c>
      <c r="U56" s="55" t="s">
        <v>272</v>
      </c>
      <c r="V56" s="72"/>
      <c r="W56" s="20"/>
      <c r="X56" s="20"/>
    </row>
    <row r="57" spans="1:24" s="22" customFormat="1" ht="34.5" hidden="1" customHeight="1" x14ac:dyDescent="0.25">
      <c r="A57" s="130" t="s">
        <v>282</v>
      </c>
      <c r="B57" s="131"/>
      <c r="C57" s="136">
        <f>C56</f>
        <v>0</v>
      </c>
      <c r="D57" s="137"/>
      <c r="E57" s="138"/>
      <c r="F57" s="17" t="s">
        <v>40</v>
      </c>
      <c r="G57" s="229">
        <f>G56</f>
        <v>0</v>
      </c>
      <c r="H57" s="230"/>
      <c r="R57"/>
      <c r="S57" s="72"/>
      <c r="T57" s="55" t="s">
        <v>263</v>
      </c>
      <c r="U57" s="55" t="s">
        <v>273</v>
      </c>
      <c r="V57" s="72"/>
      <c r="W57" s="20"/>
      <c r="X57" s="20"/>
    </row>
    <row r="58" spans="1:24" s="22" customFormat="1" ht="41.25" hidden="1" customHeight="1" x14ac:dyDescent="0.25">
      <c r="A58" s="134"/>
      <c r="B58" s="135"/>
      <c r="C58" s="136"/>
      <c r="D58" s="137"/>
      <c r="E58" s="137"/>
      <c r="F58" s="137"/>
      <c r="G58" s="137"/>
      <c r="H58" s="138"/>
      <c r="R58"/>
      <c r="S58" s="72"/>
      <c r="T58" s="55" t="s">
        <v>265</v>
      </c>
      <c r="U58" s="55" t="s">
        <v>274</v>
      </c>
      <c r="V58" s="72"/>
      <c r="W58" s="20"/>
      <c r="X58" s="20"/>
    </row>
    <row r="59" spans="1:24" s="22" customFormat="1" ht="15.75" hidden="1" customHeight="1" x14ac:dyDescent="0.25">
      <c r="A59" s="130" t="s">
        <v>353</v>
      </c>
      <c r="B59" s="131"/>
      <c r="C59" s="139"/>
      <c r="D59" s="140"/>
      <c r="E59" s="141"/>
      <c r="F59" s="17" t="s">
        <v>40</v>
      </c>
      <c r="G59" s="229"/>
      <c r="H59" s="230"/>
      <c r="R59"/>
      <c r="S59" s="72"/>
      <c r="T59" s="55" t="s">
        <v>266</v>
      </c>
      <c r="U59" s="72" t="s">
        <v>296</v>
      </c>
      <c r="V59" s="72"/>
      <c r="W59" s="20"/>
      <c r="X59" s="20"/>
    </row>
    <row r="60" spans="1:24" s="22" customFormat="1" ht="33.75" hidden="1" customHeight="1" x14ac:dyDescent="0.25">
      <c r="A60" s="132"/>
      <c r="B60" s="133"/>
      <c r="C60" s="142"/>
      <c r="D60" s="143"/>
      <c r="E60" s="144"/>
      <c r="F60" s="17" t="s">
        <v>354</v>
      </c>
      <c r="G60" s="229"/>
      <c r="H60" s="230"/>
      <c r="R60"/>
      <c r="S60" s="72"/>
      <c r="T60" s="55" t="s">
        <v>267</v>
      </c>
      <c r="U60" s="72"/>
      <c r="V60" s="72"/>
      <c r="W60" s="20"/>
      <c r="X60" s="20"/>
    </row>
    <row r="61" spans="1:24" s="22" customFormat="1" ht="33.75" hidden="1" customHeight="1" x14ac:dyDescent="0.25">
      <c r="A61" s="134"/>
      <c r="B61" s="135"/>
      <c r="C61" s="136" t="s">
        <v>376</v>
      </c>
      <c r="D61" s="137"/>
      <c r="E61" s="137"/>
      <c r="F61" s="137"/>
      <c r="G61" s="137"/>
      <c r="H61" s="138"/>
      <c r="R61"/>
      <c r="S61" s="72"/>
      <c r="T61" s="55"/>
      <c r="U61" s="72"/>
      <c r="V61" s="72"/>
      <c r="W61" s="20"/>
      <c r="X61" s="20"/>
    </row>
    <row r="62" spans="1:24" x14ac:dyDescent="0.25">
      <c r="A62" s="178" t="s">
        <v>42</v>
      </c>
      <c r="B62" s="179"/>
      <c r="C62" s="178" t="s">
        <v>102</v>
      </c>
      <c r="D62" s="180"/>
      <c r="E62" s="179"/>
      <c r="F62" s="44" t="s">
        <v>40</v>
      </c>
      <c r="G62" s="182" t="s">
        <v>28</v>
      </c>
      <c r="H62" s="183"/>
      <c r="R62"/>
      <c r="S62" s="72"/>
      <c r="T62" s="55" t="s">
        <v>269</v>
      </c>
      <c r="U62" s="72"/>
      <c r="V62" s="72"/>
    </row>
    <row r="63" spans="1:24" x14ac:dyDescent="0.25">
      <c r="A63" s="145" t="s">
        <v>44</v>
      </c>
      <c r="B63" s="145"/>
      <c r="C63" s="145"/>
      <c r="D63" s="145"/>
      <c r="E63" s="145"/>
      <c r="F63" s="145"/>
      <c r="G63" s="145"/>
      <c r="H63" s="145"/>
      <c r="S63" s="72"/>
      <c r="T63" s="55" t="s">
        <v>278</v>
      </c>
      <c r="U63" s="72"/>
      <c r="V63" s="72"/>
    </row>
    <row r="64" spans="1:24" x14ac:dyDescent="0.25">
      <c r="A64" s="154" t="s">
        <v>87</v>
      </c>
      <c r="B64" s="154"/>
      <c r="C64" s="154"/>
      <c r="D64" s="153">
        <f>E46</f>
        <v>1136.0999999999999</v>
      </c>
      <c r="E64" s="153"/>
      <c r="F64" s="153"/>
      <c r="G64" s="153"/>
      <c r="H64" s="153"/>
      <c r="R64"/>
    </row>
    <row r="65" spans="1:19" x14ac:dyDescent="0.25">
      <c r="A65" s="158" t="s">
        <v>45</v>
      </c>
      <c r="B65" s="212"/>
      <c r="C65" s="212"/>
      <c r="D65" s="157" t="s">
        <v>431</v>
      </c>
      <c r="E65" s="157"/>
      <c r="F65" s="157"/>
      <c r="G65" s="157"/>
      <c r="H65" s="157"/>
      <c r="I65" s="23"/>
      <c r="R65"/>
    </row>
    <row r="66" spans="1:19" x14ac:dyDescent="0.25">
      <c r="A66" s="236" t="s">
        <v>46</v>
      </c>
      <c r="B66" s="237"/>
      <c r="C66" s="238"/>
      <c r="D66" s="234" t="s">
        <v>406</v>
      </c>
      <c r="E66" s="235"/>
      <c r="F66" s="235"/>
      <c r="G66" s="235"/>
      <c r="H66" s="235"/>
      <c r="R66"/>
    </row>
    <row r="67" spans="1:19" ht="15.75" customHeight="1" x14ac:dyDescent="0.25">
      <c r="A67" s="236" t="s">
        <v>85</v>
      </c>
      <c r="B67" s="237"/>
      <c r="C67" s="237"/>
      <c r="D67" s="214" t="s">
        <v>406</v>
      </c>
      <c r="E67" s="157"/>
      <c r="F67" s="157"/>
      <c r="G67" s="157"/>
      <c r="H67" s="157"/>
      <c r="R67"/>
    </row>
    <row r="68" spans="1:19" ht="15.75" customHeight="1" x14ac:dyDescent="0.25">
      <c r="A68" s="153" t="s">
        <v>43</v>
      </c>
      <c r="B68" s="153"/>
      <c r="C68" s="153"/>
      <c r="D68" s="242" t="s">
        <v>407</v>
      </c>
      <c r="E68" s="242"/>
      <c r="F68" s="242"/>
      <c r="G68" s="242"/>
      <c r="H68" s="242"/>
      <c r="J68" s="24"/>
      <c r="K68" s="23"/>
      <c r="N68" s="23"/>
      <c r="S68"/>
    </row>
    <row r="69" spans="1:19" ht="15.75" customHeight="1" x14ac:dyDescent="0.25">
      <c r="A69" s="153" t="s">
        <v>83</v>
      </c>
      <c r="B69" s="153"/>
      <c r="C69" s="153"/>
      <c r="D69" s="232" t="str">
        <f>(IF(G62="NA","60 Years After Completion",IF(G62&lt;&gt;"NA",""&amp;60-ROUNDDOWN((E3-G62)/360,0)&amp;" Years"," ")))</f>
        <v>60 Years After Completion</v>
      </c>
      <c r="E69" s="232"/>
      <c r="F69" s="232"/>
      <c r="G69" s="232"/>
      <c r="H69" s="232"/>
      <c r="N69" s="23"/>
      <c r="S69"/>
    </row>
    <row r="70" spans="1:19" ht="15.75" customHeight="1" x14ac:dyDescent="0.25">
      <c r="A70" s="153" t="s">
        <v>84</v>
      </c>
      <c r="B70" s="153"/>
      <c r="C70" s="153"/>
      <c r="D70" s="154" t="s">
        <v>23</v>
      </c>
      <c r="E70" s="154"/>
      <c r="F70" s="154"/>
      <c r="G70" s="154"/>
      <c r="H70" s="154"/>
      <c r="J70" s="25"/>
      <c r="K70" s="25"/>
      <c r="S70"/>
    </row>
    <row r="71" spans="1:19" ht="33" customHeight="1" x14ac:dyDescent="0.25">
      <c r="A71" s="157" t="s">
        <v>409</v>
      </c>
      <c r="B71" s="157"/>
      <c r="C71" s="157"/>
      <c r="D71" s="158" t="s">
        <v>408</v>
      </c>
      <c r="E71" s="154"/>
      <c r="F71" s="154"/>
      <c r="G71" s="154"/>
      <c r="H71" s="154"/>
      <c r="S71"/>
    </row>
    <row r="72" spans="1:19" x14ac:dyDescent="0.25">
      <c r="A72" s="154" t="s">
        <v>147</v>
      </c>
      <c r="B72" s="154"/>
      <c r="C72" s="154"/>
      <c r="D72" s="154" t="s">
        <v>28</v>
      </c>
      <c r="E72" s="154"/>
      <c r="F72" s="154"/>
      <c r="G72" s="154"/>
      <c r="H72" s="154"/>
      <c r="I72" s="26"/>
      <c r="J72" s="26"/>
      <c r="K72" s="26"/>
      <c r="L72" s="26"/>
      <c r="M72" s="26"/>
      <c r="N72" s="26"/>
    </row>
    <row r="73" spans="1:19" ht="15.75" customHeight="1" x14ac:dyDescent="0.25">
      <c r="A73" s="228" t="s">
        <v>82</v>
      </c>
      <c r="B73" s="228"/>
      <c r="C73" s="228"/>
      <c r="D73" s="160" t="str">
        <f ca="1">(IF(G79&gt;95%,"Nothing",IF(G79&gt;0%,"Cement, Aggregate, Steel, etc",IF(G79=0%,"Work not yet Started"))))</f>
        <v>Cement, Aggregate, Steel, etc</v>
      </c>
      <c r="E73" s="160"/>
      <c r="F73" s="160"/>
      <c r="G73" s="160"/>
      <c r="H73" s="160"/>
      <c r="J73" s="25"/>
      <c r="S73"/>
    </row>
    <row r="74" spans="1:19" ht="33.75" customHeight="1" thickBot="1" x14ac:dyDescent="0.3">
      <c r="A74" s="121" t="s">
        <v>115</v>
      </c>
      <c r="B74" s="121"/>
      <c r="C74" s="121"/>
      <c r="D74" s="160" t="str">
        <f ca="1">(IF(D73="Nothing","Yes",IF(D73="Cement, Aggregate, Steel, etc","Under Construction",IF(D73="Work not yet Started","Work not yet Started"))))</f>
        <v>Under Construction</v>
      </c>
      <c r="E74" s="160"/>
      <c r="F74" s="160" t="str">
        <f ca="1">(IF(D73="Nothing","Yes",IF(D73="Cement, Aggregate, Steel, etc","Under Construction",IF(D73="Work not yet Started","Work not yet Started"))))</f>
        <v>Under Construction</v>
      </c>
      <c r="G74" s="160"/>
      <c r="H74" s="160"/>
      <c r="S74"/>
    </row>
    <row r="75" spans="1:19" ht="15.75" customHeight="1" x14ac:dyDescent="0.25">
      <c r="A75" s="148" t="s">
        <v>137</v>
      </c>
      <c r="B75" s="149"/>
      <c r="C75" s="150" t="str">
        <f>D67</f>
        <v>G +1st to 8th Floor</v>
      </c>
      <c r="D75" s="151"/>
      <c r="E75" s="151"/>
      <c r="F75" s="151"/>
      <c r="G75" s="151"/>
      <c r="H75" s="152"/>
      <c r="I75" s="48" t="str">
        <f ca="1">IF(D88=100%,"All work Completed. Possession granted to the Building.",IF(D87=100%,"All work Completed, Waiting for OC",I76&amp;""&amp;I77&amp;""&amp;J76&amp;""&amp;J75&amp;" "&amp;J77))</f>
        <v>Excavation, Plinth, RCC Slab, Brickwork Completed, Internal Plaster upto 7 Floor, External Plaster upto 6 Floor, Flooring upto 2 Floor, Painting upto 2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7 Floor, External Plaster upto 6 Floor, Flooring upto 2 Floor, Painting upto 2 Floor</v>
      </c>
      <c r="S75"/>
    </row>
    <row r="76" spans="1:19" x14ac:dyDescent="0.25">
      <c r="A76" s="15" t="s">
        <v>139</v>
      </c>
      <c r="B76" s="46">
        <f>IF(AND(ISNUMBER(SEARCH("1B",C75))),1,IF(AND(ISNUMBER(SEARCH("2B",C75))),2,IF(AND(ISNUMBER(SEARCH("3B",C75))),3,IF(AND(ISNUMBER(SEARCH("4B",C75))),4,IF(ISNUMBER(SEARCH("5B",C75)),5,0)))))</f>
        <v>0</v>
      </c>
      <c r="C76" s="46" t="s">
        <v>68</v>
      </c>
      <c r="D76" s="46">
        <v>1</v>
      </c>
      <c r="E76" s="46" t="s">
        <v>67</v>
      </c>
      <c r="F76" s="98">
        <v>0</v>
      </c>
      <c r="G76" s="47" t="s">
        <v>76</v>
      </c>
      <c r="H76" s="16">
        <f ca="1">--TRIM(RIGHT(SUBSTITUTE(LEFT(C75,_xlfn.AGGREGATE(16,6,FIND({0,1,2,3,4,5,6,7,8,9},C75,ROW(INDIRECT("1:"&amp;LEN(C75)))),1))," ",REPT(" ",LEN(C75))),LEN(C75)))</f>
        <v>8</v>
      </c>
      <c r="I76" s="50" t="str">
        <f ca="1">IF(D79=100%,"Excavation","")&amp;IF(D80=100%,", Plinth","")&amp;IF(D81=100%,", RCC Slab","")&amp;IF(D82=100%,", Brickwork","")&amp;IF(D83=100%,", Internal Plaster","")&amp;IF(D84=100%,", External Plaster","")&amp;IF(D85=100%,", Flooring","")&amp;IF(D86=100%,", Painting","")&amp;IF(D87=100%,", Building common Amenities","")</f>
        <v>Excavation, Plinth, RCC Slab, Brickwork</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52.5" customHeight="1" x14ac:dyDescent="0.25">
      <c r="A77" s="146" t="s">
        <v>86</v>
      </c>
      <c r="B77" s="147"/>
      <c r="C77" s="155" t="str">
        <f ca="1">I75</f>
        <v>Excavation, Plinth, RCC Slab, Brickwork Completed, Internal Plaster upto 7 Floor, External Plaster upto 6 Floor, Flooring upto 2 Floor, Painting upto 2 Floor Completed</v>
      </c>
      <c r="D77" s="155"/>
      <c r="E77" s="155"/>
      <c r="F77" s="155"/>
      <c r="G77" s="155"/>
      <c r="H77" s="156"/>
      <c r="I77" s="50" t="str">
        <f ca="1">IF(I76&lt;&gt;""," Completed","")</f>
        <v xml:space="preserve"> Completed</v>
      </c>
      <c r="J77" s="51" t="str">
        <f ca="1">IF(J75&lt;&gt;"","Completed","")</f>
        <v>Completed</v>
      </c>
      <c r="S77"/>
    </row>
    <row r="78" spans="1:19" ht="15.75" customHeight="1" x14ac:dyDescent="0.25">
      <c r="A78" s="127" t="s">
        <v>47</v>
      </c>
      <c r="B78" s="128"/>
      <c r="C78" s="42" t="s">
        <v>136</v>
      </c>
      <c r="D78" s="42" t="s">
        <v>79</v>
      </c>
      <c r="E78" s="128" t="s">
        <v>81</v>
      </c>
      <c r="F78" s="128"/>
      <c r="G78" s="128" t="s">
        <v>80</v>
      </c>
      <c r="H78" s="161"/>
      <c r="I78" s="13" t="s">
        <v>138</v>
      </c>
      <c r="J78" s="27">
        <f ca="1">H76*25%</f>
        <v>2</v>
      </c>
      <c r="S78"/>
    </row>
    <row r="79" spans="1:19" x14ac:dyDescent="0.25">
      <c r="A79" s="127" t="s">
        <v>125</v>
      </c>
      <c r="B79" s="128"/>
      <c r="C79" s="94">
        <f ca="1">J80</f>
        <v>8</v>
      </c>
      <c r="D79" s="18">
        <f ca="1">((100/H76)*C79)/100</f>
        <v>1</v>
      </c>
      <c r="E79" s="264">
        <f ca="1">(((C80/H76*10)+(40/(D76+F76+H76)*C81)+(7.5/(H76)*C82)+(7.5/(H76)*C83)+(10/H76*C84)+(10/H76*C85)+(5/H76*C86)+(5/H76*C87)+(5/H76*C88))/100)</f>
        <v>0.75312500000000004</v>
      </c>
      <c r="F79" s="265"/>
      <c r="G79" s="264">
        <f ca="1">((((C79/H76)*20)+((C80/H76)*25)+(30/(H76+F76+D76)*C81)+(5/H76*C82)+(5/H76*C83)+(5/H76*C84)+(5/H76*C85)+(0/H76*C86)+(0/H76*C87)+(5/H76*C88))/100)</f>
        <v>0.89375000000000004</v>
      </c>
      <c r="H79" s="270"/>
      <c r="I79" s="13" t="s">
        <v>97</v>
      </c>
      <c r="J79" s="28">
        <f ca="1">H76*50%</f>
        <v>4</v>
      </c>
    </row>
    <row r="80" spans="1:19" x14ac:dyDescent="0.25">
      <c r="A80" s="127" t="s">
        <v>48</v>
      </c>
      <c r="B80" s="128"/>
      <c r="C80" s="42">
        <f ca="1">J88</f>
        <v>8</v>
      </c>
      <c r="D80" s="18">
        <f ca="1">((100/H76)*C80)/100</f>
        <v>1</v>
      </c>
      <c r="E80" s="266"/>
      <c r="F80" s="267"/>
      <c r="G80" s="266"/>
      <c r="H80" s="271"/>
      <c r="I80" s="13" t="s">
        <v>98</v>
      </c>
      <c r="J80" s="28">
        <f ca="1">H76</f>
        <v>8</v>
      </c>
      <c r="L80" s="92"/>
      <c r="S80"/>
    </row>
    <row r="81" spans="1:22" ht="15.75" customHeight="1" x14ac:dyDescent="0.25">
      <c r="A81" s="127" t="s">
        <v>126</v>
      </c>
      <c r="B81" s="128"/>
      <c r="C81" s="42">
        <v>9</v>
      </c>
      <c r="D81" s="18">
        <f ca="1">((100/(D76+F76+H76))*C81)/100</f>
        <v>1</v>
      </c>
      <c r="E81" s="266"/>
      <c r="F81" s="267"/>
      <c r="G81" s="266"/>
      <c r="H81" s="271"/>
      <c r="I81" s="13" t="s">
        <v>99</v>
      </c>
      <c r="J81" s="29">
        <f ca="1">(IF(B76&gt;1,(H76/(B76+2)),H76/4))</f>
        <v>2</v>
      </c>
      <c r="S81"/>
    </row>
    <row r="82" spans="1:22" ht="15.75" customHeight="1" x14ac:dyDescent="0.25">
      <c r="A82" s="127" t="s">
        <v>133</v>
      </c>
      <c r="B82" s="128" t="s">
        <v>127</v>
      </c>
      <c r="C82" s="42">
        <v>8</v>
      </c>
      <c r="D82" s="18">
        <f ca="1">((100/H76)*C82)/100</f>
        <v>1</v>
      </c>
      <c r="E82" s="266"/>
      <c r="F82" s="267"/>
      <c r="G82" s="266"/>
      <c r="H82" s="271"/>
      <c r="I82" s="13" t="s">
        <v>100</v>
      </c>
      <c r="J82" s="29">
        <f ca="1">(IF(B76&gt;1,(H76/(B76+2)+J81),H76/4+J81))</f>
        <v>4</v>
      </c>
    </row>
    <row r="83" spans="1:22" ht="15.75" customHeight="1" x14ac:dyDescent="0.25">
      <c r="A83" s="127" t="s">
        <v>134</v>
      </c>
      <c r="B83" s="128" t="s">
        <v>127</v>
      </c>
      <c r="C83" s="42">
        <v>7</v>
      </c>
      <c r="D83" s="18">
        <f ca="1">((100/H76)*C83)/100</f>
        <v>0.875</v>
      </c>
      <c r="E83" s="266"/>
      <c r="F83" s="267"/>
      <c r="G83" s="266"/>
      <c r="H83" s="271"/>
      <c r="I83" s="13" t="s">
        <v>145</v>
      </c>
      <c r="J83" s="29">
        <f>(IF(B76&gt;1,(H76/(B76+2)+J82),0))</f>
        <v>0</v>
      </c>
    </row>
    <row r="84" spans="1:22" ht="15" customHeight="1" x14ac:dyDescent="0.25">
      <c r="A84" s="127" t="s">
        <v>132</v>
      </c>
      <c r="B84" s="128" t="s">
        <v>129</v>
      </c>
      <c r="C84" s="42">
        <v>6</v>
      </c>
      <c r="D84" s="18">
        <f ca="1">((100/(H76))*C84)/100</f>
        <v>0.75</v>
      </c>
      <c r="E84" s="266"/>
      <c r="F84" s="267"/>
      <c r="G84" s="266"/>
      <c r="H84" s="271"/>
      <c r="I84" s="13" t="s">
        <v>140</v>
      </c>
      <c r="J84" s="29">
        <f>(IF(B76&gt;2,(H76/(B76+2)+J83),0))</f>
        <v>0</v>
      </c>
    </row>
    <row r="85" spans="1:22" ht="15.75" customHeight="1" x14ac:dyDescent="0.25">
      <c r="A85" s="127" t="s">
        <v>128</v>
      </c>
      <c r="B85" s="128" t="s">
        <v>128</v>
      </c>
      <c r="C85" s="42">
        <v>2</v>
      </c>
      <c r="D85" s="18">
        <f ca="1">((100/H76)*C85)/100</f>
        <v>0.25</v>
      </c>
      <c r="E85" s="266"/>
      <c r="F85" s="267"/>
      <c r="G85" s="266"/>
      <c r="H85" s="271"/>
      <c r="I85" s="13" t="s">
        <v>141</v>
      </c>
      <c r="J85" s="30">
        <f>(IF(B76&gt;3,(H76/(B76+2)+J84),0))</f>
        <v>0</v>
      </c>
    </row>
    <row r="86" spans="1:22" ht="15.75" customHeight="1" x14ac:dyDescent="0.25">
      <c r="A86" s="127" t="s">
        <v>135</v>
      </c>
      <c r="B86" s="128"/>
      <c r="C86" s="42">
        <v>2</v>
      </c>
      <c r="D86" s="18">
        <f ca="1">((100/H76)*C86)/100</f>
        <v>0.25</v>
      </c>
      <c r="E86" s="266"/>
      <c r="F86" s="267"/>
      <c r="G86" s="266"/>
      <c r="H86" s="271"/>
      <c r="I86" s="13" t="s">
        <v>142</v>
      </c>
      <c r="J86" s="29">
        <f>(IF(B76&gt;4,(H76/(B76+2)+J85),0))</f>
        <v>0</v>
      </c>
    </row>
    <row r="87" spans="1:22" ht="15.75" customHeight="1" x14ac:dyDescent="0.25">
      <c r="A87" s="127" t="s">
        <v>130</v>
      </c>
      <c r="B87" s="128" t="s">
        <v>130</v>
      </c>
      <c r="C87" s="42">
        <v>0</v>
      </c>
      <c r="D87" s="18">
        <f ca="1">((100/(H76))*C87)/100</f>
        <v>0</v>
      </c>
      <c r="E87" s="266"/>
      <c r="F87" s="267"/>
      <c r="G87" s="266"/>
      <c r="H87" s="271"/>
      <c r="I87" s="13" t="s">
        <v>146</v>
      </c>
      <c r="J87" s="29">
        <f ca="1">(IF(B76=1,(H76/(B76+3)+J82),IF(B76=0,(H76/4+J82),IF(B76&gt;1,0))))</f>
        <v>6</v>
      </c>
    </row>
    <row r="88" spans="1:22" ht="16.5" thickBot="1" x14ac:dyDescent="0.3">
      <c r="A88" s="162" t="s">
        <v>131</v>
      </c>
      <c r="B88" s="163"/>
      <c r="C88" s="43">
        <v>0</v>
      </c>
      <c r="D88" s="19">
        <f ca="1">((100/(H76))*C88)/100</f>
        <v>0</v>
      </c>
      <c r="E88" s="268"/>
      <c r="F88" s="269"/>
      <c r="G88" s="268"/>
      <c r="H88" s="272"/>
      <c r="I88" s="14" t="s">
        <v>101</v>
      </c>
      <c r="J88" s="31">
        <f ca="1">(IF(B76&gt;1.5,(H76/(B76+2)+J82+MAX(0,J83-J82)+MAX(0,J84-J83)+MAX(0,J85-J84)+MAX(0,J86-J85)+MAX(0,J87-J86)),IF(B76=1,(H76/(B76+3)+J87),IF(B76=0,H76/4+J87))))</f>
        <v>8</v>
      </c>
    </row>
    <row r="89" spans="1:22" x14ac:dyDescent="0.25">
      <c r="A89" s="170" t="s">
        <v>157</v>
      </c>
      <c r="B89" s="170"/>
      <c r="C89" s="170"/>
      <c r="D89" s="170"/>
      <c r="E89" s="170"/>
      <c r="F89" s="285" t="s">
        <v>161</v>
      </c>
      <c r="G89" s="285"/>
      <c r="H89" s="285"/>
      <c r="R89" t="s">
        <v>253</v>
      </c>
      <c r="S89" t="s">
        <v>172</v>
      </c>
      <c r="T89" t="s">
        <v>180</v>
      </c>
      <c r="U89" t="s">
        <v>194</v>
      </c>
      <c r="V89" t="s">
        <v>189</v>
      </c>
    </row>
    <row r="90" spans="1:22" x14ac:dyDescent="0.25">
      <c r="A90" s="153" t="s">
        <v>159</v>
      </c>
      <c r="B90" s="153"/>
      <c r="C90" s="153"/>
      <c r="D90" s="153"/>
      <c r="E90" s="153"/>
      <c r="F90" s="286">
        <v>4000</v>
      </c>
      <c r="G90" s="286"/>
      <c r="H90" s="286"/>
      <c r="R90"/>
      <c r="S90">
        <v>800000</v>
      </c>
      <c r="T90">
        <v>150000</v>
      </c>
      <c r="U90">
        <v>100000</v>
      </c>
      <c r="V90">
        <v>100000</v>
      </c>
    </row>
    <row r="91" spans="1:22" x14ac:dyDescent="0.25">
      <c r="A91" s="153" t="s">
        <v>158</v>
      </c>
      <c r="B91" s="153"/>
      <c r="C91" s="153"/>
      <c r="D91" s="153"/>
      <c r="E91" s="153"/>
      <c r="F91" s="286">
        <v>7500</v>
      </c>
      <c r="G91" s="286"/>
      <c r="H91" s="286"/>
      <c r="R91"/>
      <c r="S91">
        <v>900000</v>
      </c>
      <c r="T91">
        <v>200000</v>
      </c>
      <c r="U91">
        <v>150000</v>
      </c>
      <c r="V91">
        <v>150000</v>
      </c>
    </row>
    <row r="92" spans="1:22" hidden="1" x14ac:dyDescent="0.25">
      <c r="A92" s="153" t="s">
        <v>160</v>
      </c>
      <c r="B92" s="153"/>
      <c r="C92" s="153"/>
      <c r="D92" s="153"/>
      <c r="E92" s="153"/>
      <c r="F92" s="286"/>
      <c r="G92" s="286"/>
      <c r="H92" s="286"/>
      <c r="R92"/>
      <c r="S92">
        <v>1000000</v>
      </c>
      <c r="T92">
        <v>250000</v>
      </c>
      <c r="U92">
        <v>200000</v>
      </c>
      <c r="V92">
        <v>200000</v>
      </c>
    </row>
    <row r="93" spans="1:22" s="32" customFormat="1" hidden="1" x14ac:dyDescent="0.25">
      <c r="A93" s="153" t="s">
        <v>175</v>
      </c>
      <c r="B93" s="153"/>
      <c r="C93" s="153"/>
      <c r="D93" s="153"/>
      <c r="E93" s="153"/>
      <c r="F93" s="286"/>
      <c r="G93" s="286"/>
      <c r="H93" s="286"/>
      <c r="R93"/>
      <c r="S93">
        <v>1100000</v>
      </c>
      <c r="T93">
        <v>300000</v>
      </c>
      <c r="U93">
        <v>250000</v>
      </c>
      <c r="V93" s="22">
        <v>250000</v>
      </c>
    </row>
    <row r="94" spans="1:22" s="32" customFormat="1" hidden="1" x14ac:dyDescent="0.25">
      <c r="A94" s="153" t="s">
        <v>91</v>
      </c>
      <c r="B94" s="153"/>
      <c r="C94" s="153"/>
      <c r="D94" s="153"/>
      <c r="E94" s="153"/>
      <c r="F94" s="286"/>
      <c r="G94" s="286"/>
      <c r="H94" s="286"/>
      <c r="R94"/>
      <c r="S94">
        <v>1200000</v>
      </c>
      <c r="T94">
        <v>350000</v>
      </c>
      <c r="U94">
        <v>300000</v>
      </c>
      <c r="V94">
        <v>300000</v>
      </c>
    </row>
    <row r="95" spans="1:22" s="32" customFormat="1" hidden="1" x14ac:dyDescent="0.25">
      <c r="A95" s="153" t="s">
        <v>92</v>
      </c>
      <c r="B95" s="153"/>
      <c r="C95" s="153"/>
      <c r="D95" s="153"/>
      <c r="E95" s="153"/>
      <c r="F95" s="286"/>
      <c r="G95" s="286"/>
      <c r="H95" s="286"/>
      <c r="R95"/>
      <c r="S95">
        <v>1300000</v>
      </c>
      <c r="T95">
        <v>400000</v>
      </c>
      <c r="U95">
        <v>350000</v>
      </c>
      <c r="V95" s="22">
        <v>400000</v>
      </c>
    </row>
    <row r="96" spans="1:22" s="32" customFormat="1" hidden="1" x14ac:dyDescent="0.25">
      <c r="A96" s="153" t="s">
        <v>93</v>
      </c>
      <c r="B96" s="153"/>
      <c r="C96" s="153"/>
      <c r="D96" s="153"/>
      <c r="E96" s="153"/>
      <c r="F96" s="286"/>
      <c r="G96" s="286"/>
      <c r="H96" s="286"/>
      <c r="R96"/>
      <c r="S96">
        <v>1400000</v>
      </c>
      <c r="T96">
        <v>500000</v>
      </c>
      <c r="U96">
        <v>400000</v>
      </c>
      <c r="V96"/>
    </row>
    <row r="97" spans="1:22" s="32" customFormat="1" hidden="1" x14ac:dyDescent="0.25">
      <c r="A97" s="153" t="s">
        <v>94</v>
      </c>
      <c r="B97" s="153"/>
      <c r="C97" s="153"/>
      <c r="D97" s="153"/>
      <c r="E97" s="153"/>
      <c r="F97" s="286"/>
      <c r="G97" s="286"/>
      <c r="H97" s="286"/>
      <c r="R97"/>
      <c r="S97">
        <v>1500000</v>
      </c>
      <c r="T97">
        <v>600000</v>
      </c>
      <c r="U97">
        <v>500000</v>
      </c>
      <c r="V97" s="22"/>
    </row>
    <row r="98" spans="1:22" s="32" customFormat="1" hidden="1" x14ac:dyDescent="0.25">
      <c r="A98" s="153" t="s">
        <v>95</v>
      </c>
      <c r="B98" s="153"/>
      <c r="C98" s="153"/>
      <c r="D98" s="153"/>
      <c r="E98" s="153"/>
      <c r="F98" s="286"/>
      <c r="G98" s="286"/>
      <c r="H98" s="286"/>
      <c r="R98"/>
      <c r="S98">
        <v>1600000</v>
      </c>
      <c r="T98">
        <v>700000</v>
      </c>
      <c r="U98">
        <v>600000</v>
      </c>
      <c r="V98"/>
    </row>
    <row r="99" spans="1:22" s="32" customFormat="1" hidden="1" x14ac:dyDescent="0.25">
      <c r="A99" s="153" t="s">
        <v>96</v>
      </c>
      <c r="B99" s="153"/>
      <c r="C99" s="153"/>
      <c r="D99" s="153"/>
      <c r="E99" s="153"/>
      <c r="F99" s="286"/>
      <c r="G99" s="286"/>
      <c r="H99" s="286"/>
      <c r="R99"/>
      <c r="S99">
        <v>1700000</v>
      </c>
      <c r="T99">
        <v>800000</v>
      </c>
      <c r="U99"/>
      <c r="V99" s="22"/>
    </row>
    <row r="100" spans="1:22" x14ac:dyDescent="0.25">
      <c r="A100" s="153" t="s">
        <v>49</v>
      </c>
      <c r="B100" s="153"/>
      <c r="C100" s="153"/>
      <c r="D100" s="153"/>
      <c r="E100" s="153"/>
      <c r="F100" s="286">
        <v>100000</v>
      </c>
      <c r="G100" s="286"/>
      <c r="H100" s="286"/>
      <c r="R100"/>
      <c r="S100">
        <v>1800000</v>
      </c>
      <c r="T100">
        <v>900000</v>
      </c>
      <c r="U100"/>
    </row>
    <row r="101" spans="1:22" s="33" customFormat="1" x14ac:dyDescent="0.25">
      <c r="A101" s="206" t="s">
        <v>50</v>
      </c>
      <c r="B101" s="206"/>
      <c r="C101" s="206"/>
      <c r="D101" s="206"/>
      <c r="E101" s="206"/>
      <c r="F101" s="129">
        <f>F90*0.8</f>
        <v>3200</v>
      </c>
      <c r="G101" s="129"/>
      <c r="H101" s="129"/>
      <c r="R101" s="20"/>
      <c r="S101" s="20"/>
      <c r="T101">
        <v>1000000</v>
      </c>
      <c r="U101"/>
      <c r="V101" s="20"/>
    </row>
    <row r="102" spans="1:22" s="34" customFormat="1" ht="15.75" customHeight="1" x14ac:dyDescent="0.25">
      <c r="A102" s="205" t="s">
        <v>71</v>
      </c>
      <c r="B102" s="205"/>
      <c r="C102" s="205"/>
      <c r="D102" s="205"/>
      <c r="E102" s="205"/>
      <c r="F102" s="205"/>
      <c r="G102" s="205"/>
      <c r="H102" s="205"/>
      <c r="R102"/>
      <c r="S102" s="20"/>
      <c r="T102"/>
      <c r="U102"/>
      <c r="V102" s="20"/>
    </row>
    <row r="103" spans="1:22" s="34" customFormat="1" ht="15.75" customHeight="1" x14ac:dyDescent="0.25">
      <c r="A103" s="177" t="s">
        <v>51</v>
      </c>
      <c r="B103" s="177"/>
      <c r="C103" s="181" t="s">
        <v>74</v>
      </c>
      <c r="D103" s="181"/>
      <c r="E103" s="164" t="s">
        <v>52</v>
      </c>
      <c r="F103" s="164"/>
      <c r="G103" s="177" t="s">
        <v>53</v>
      </c>
      <c r="H103" s="177"/>
      <c r="R103"/>
      <c r="S103" s="20"/>
      <c r="T103"/>
      <c r="U103" s="20"/>
      <c r="V103" s="20"/>
    </row>
    <row r="104" spans="1:22" s="34" customFormat="1" x14ac:dyDescent="0.25">
      <c r="A104" s="208" t="s">
        <v>410</v>
      </c>
      <c r="B104" s="208"/>
      <c r="C104" s="192">
        <f>COUNT(D116:D118)</f>
        <v>3</v>
      </c>
      <c r="D104" s="193"/>
      <c r="E104" s="192">
        <f t="shared" ref="E104" si="0">SUM(F116:F118)</f>
        <v>864.88740000000007</v>
      </c>
      <c r="F104" s="193"/>
      <c r="G104" s="192">
        <f t="shared" ref="G104" si="1">SUM(H116:H118)</f>
        <v>1297.3310999999999</v>
      </c>
      <c r="H104" s="193"/>
      <c r="R104"/>
      <c r="S104" s="20"/>
      <c r="T104"/>
      <c r="U104" s="20"/>
      <c r="V104" s="20"/>
    </row>
    <row r="105" spans="1:22" s="34" customFormat="1" x14ac:dyDescent="0.25">
      <c r="A105" s="205" t="s">
        <v>150</v>
      </c>
      <c r="B105" s="205"/>
      <c r="C105" s="274">
        <f>C104</f>
        <v>3</v>
      </c>
      <c r="D105" s="181"/>
      <c r="E105" s="274">
        <f t="shared" ref="E105" si="2">E104</f>
        <v>864.88740000000007</v>
      </c>
      <c r="F105" s="181"/>
      <c r="G105" s="274">
        <f t="shared" ref="G105" si="3">G104</f>
        <v>1297.3310999999999</v>
      </c>
      <c r="H105" s="181"/>
      <c r="R105"/>
      <c r="S105" s="20"/>
      <c r="T105"/>
      <c r="U105" s="20"/>
      <c r="V105" s="20"/>
    </row>
    <row r="106" spans="1:22" s="34" customFormat="1" x14ac:dyDescent="0.25">
      <c r="A106" s="205" t="s">
        <v>66</v>
      </c>
      <c r="B106" s="205"/>
      <c r="C106" s="205"/>
      <c r="D106" s="205"/>
      <c r="E106" s="205"/>
      <c r="F106" s="205"/>
      <c r="G106" s="205"/>
      <c r="H106" s="205"/>
      <c r="T106"/>
    </row>
    <row r="107" spans="1:22" s="34" customFormat="1" ht="15.75" customHeight="1" x14ac:dyDescent="0.25">
      <c r="A107" s="177" t="s">
        <v>51</v>
      </c>
      <c r="B107" s="177"/>
      <c r="C107" s="181" t="s">
        <v>74</v>
      </c>
      <c r="D107" s="181"/>
      <c r="E107" s="164" t="s">
        <v>52</v>
      </c>
      <c r="F107" s="164"/>
      <c r="G107" s="177" t="s">
        <v>53</v>
      </c>
      <c r="H107" s="177"/>
      <c r="T107"/>
    </row>
    <row r="108" spans="1:22" s="34" customFormat="1" x14ac:dyDescent="0.25">
      <c r="A108" s="208" t="s">
        <v>413</v>
      </c>
      <c r="B108" s="208"/>
      <c r="C108" s="192">
        <f>COUNT(D123:D126)+COUNT(D128:D131)*6</f>
        <v>28</v>
      </c>
      <c r="D108" s="192"/>
      <c r="E108" s="192">
        <f>SUM(F123:F126)+SUM(F128:F131)*6</f>
        <v>12983.590619999999</v>
      </c>
      <c r="F108" s="192"/>
      <c r="G108" s="192">
        <f>SUM(H123:H126)+SUM(H128:H131)*6</f>
        <v>18896.172398999999</v>
      </c>
      <c r="H108" s="192"/>
      <c r="T108"/>
    </row>
    <row r="109" spans="1:22" s="34" customFormat="1" ht="16.5" thickBot="1" x14ac:dyDescent="0.3">
      <c r="A109" s="273" t="s">
        <v>150</v>
      </c>
      <c r="B109" s="273"/>
      <c r="C109" s="194">
        <f>C108</f>
        <v>28</v>
      </c>
      <c r="D109" s="195"/>
      <c r="E109" s="194">
        <f t="shared" ref="E109" si="4">E108</f>
        <v>12983.590619999999</v>
      </c>
      <c r="F109" s="195"/>
      <c r="G109" s="194">
        <f t="shared" ref="G109" si="5">G108</f>
        <v>18896.172398999999</v>
      </c>
      <c r="H109" s="195"/>
      <c r="T109"/>
    </row>
    <row r="110" spans="1:22" s="34" customFormat="1" ht="16.5" thickBot="1" x14ac:dyDescent="0.3">
      <c r="A110" s="259" t="s">
        <v>166</v>
      </c>
      <c r="B110" s="260"/>
      <c r="C110" s="209">
        <f>C105+C109</f>
        <v>31</v>
      </c>
      <c r="D110" s="209"/>
      <c r="E110" s="256">
        <f>E105+E109</f>
        <v>13848.478019999999</v>
      </c>
      <c r="F110" s="256"/>
      <c r="G110" s="262">
        <f>G105+G109</f>
        <v>20193.503498999999</v>
      </c>
      <c r="H110" s="263"/>
      <c r="T110"/>
    </row>
    <row r="111" spans="1:22" s="33" customFormat="1" x14ac:dyDescent="0.25">
      <c r="A111" s="165" t="s">
        <v>356</v>
      </c>
      <c r="B111" s="165"/>
      <c r="C111" s="165"/>
      <c r="D111" s="165"/>
      <c r="E111" s="165"/>
      <c r="F111" s="165"/>
      <c r="G111" s="165"/>
      <c r="H111" s="165"/>
      <c r="T111" s="34"/>
    </row>
    <row r="112" spans="1:22" x14ac:dyDescent="0.25">
      <c r="A112" s="176" t="s">
        <v>174</v>
      </c>
      <c r="B112" s="176"/>
      <c r="C112" s="176"/>
      <c r="D112" s="176"/>
      <c r="E112" s="176"/>
      <c r="F112" s="176"/>
      <c r="G112" s="176"/>
      <c r="H112" s="176"/>
      <c r="T112" s="34"/>
    </row>
    <row r="113" spans="1:20" ht="47.25" customHeight="1" x14ac:dyDescent="0.25">
      <c r="A113" s="168" t="s">
        <v>117</v>
      </c>
      <c r="B113" s="190" t="s">
        <v>176</v>
      </c>
      <c r="C113" s="168" t="s">
        <v>54</v>
      </c>
      <c r="D113" s="190" t="s">
        <v>232</v>
      </c>
      <c r="E113" s="254" t="s">
        <v>156</v>
      </c>
      <c r="F113" s="168" t="s">
        <v>55</v>
      </c>
      <c r="G113" s="257" t="s">
        <v>56</v>
      </c>
      <c r="H113" s="99" t="s">
        <v>148</v>
      </c>
      <c r="I113" s="95">
        <v>10.763999999999999</v>
      </c>
      <c r="T113" s="34"/>
    </row>
    <row r="114" spans="1:20" s="36" customFormat="1" x14ac:dyDescent="0.25">
      <c r="A114" s="169"/>
      <c r="B114" s="191"/>
      <c r="C114" s="169"/>
      <c r="D114" s="191"/>
      <c r="E114" s="255"/>
      <c r="F114" s="169"/>
      <c r="G114" s="258"/>
      <c r="H114" s="100">
        <v>0.5</v>
      </c>
      <c r="T114" s="34"/>
    </row>
    <row r="115" spans="1:20" s="36" customFormat="1" x14ac:dyDescent="0.25">
      <c r="A115" s="118" t="s">
        <v>411</v>
      </c>
      <c r="B115" s="119"/>
      <c r="C115" s="119"/>
      <c r="D115" s="119"/>
      <c r="E115" s="119"/>
      <c r="F115" s="119"/>
      <c r="G115" s="119"/>
      <c r="H115" s="120"/>
      <c r="J115" s="35"/>
      <c r="T115" s="34"/>
    </row>
    <row r="116" spans="1:20" s="36" customFormat="1" ht="15.75" customHeight="1" x14ac:dyDescent="0.25">
      <c r="A116" s="106">
        <v>1</v>
      </c>
      <c r="B116" s="107"/>
      <c r="C116" s="41" t="s">
        <v>410</v>
      </c>
      <c r="D116" s="95">
        <f>(26.94)*10.764</f>
        <v>289.98216000000002</v>
      </c>
      <c r="E116" s="41">
        <v>0</v>
      </c>
      <c r="F116" s="41">
        <f>D116+(IF(E116&lt;201,E116,IF(E116&lt;301,E116/2,E116/3)))</f>
        <v>289.98216000000002</v>
      </c>
      <c r="G116" s="41">
        <v>0</v>
      </c>
      <c r="H116" s="41">
        <f>(F116+(IF(G116&lt;101,G116,IF(G116&lt;201,G116/2,IF(G116&lt;=301,G116/3,G116/4)))))*(($H$114)+1)</f>
        <v>434.97324000000003</v>
      </c>
      <c r="I116" s="101">
        <f>2.6*9+1.2*2.6</f>
        <v>26.520000000000003</v>
      </c>
      <c r="L116" s="108"/>
      <c r="M116" s="108"/>
      <c r="N116" s="35"/>
      <c r="T116" s="34"/>
    </row>
    <row r="117" spans="1:20" s="36" customFormat="1" ht="15.75" customHeight="1" x14ac:dyDescent="0.25">
      <c r="A117" s="106">
        <f>A116+1</f>
        <v>2</v>
      </c>
      <c r="B117" s="107"/>
      <c r="C117" s="95" t="s">
        <v>410</v>
      </c>
      <c r="D117" s="95">
        <f>(26.47)*10.764</f>
        <v>284.92307999999997</v>
      </c>
      <c r="E117" s="41">
        <v>0</v>
      </c>
      <c r="F117" s="41">
        <f>D117+(IF(E117&lt;201,E117,IF(E117&lt;301,E117/2,E117/3)))</f>
        <v>284.92307999999997</v>
      </c>
      <c r="G117" s="41">
        <v>0</v>
      </c>
      <c r="H117" s="41">
        <f>(F117+(IF(G117&lt;101,G117,IF(G117&lt;201,G117/2,IF(G117&lt;=301,G117/3,G117/4)))))*(($H$114)+1)</f>
        <v>427.38461999999993</v>
      </c>
      <c r="I117" s="35">
        <f>2.55*9+1.2*1.5</f>
        <v>24.75</v>
      </c>
      <c r="L117" s="108"/>
      <c r="M117" s="108"/>
      <c r="N117" s="35"/>
      <c r="T117" s="33"/>
    </row>
    <row r="118" spans="1:20" s="36" customFormat="1" ht="15.75" customHeight="1" x14ac:dyDescent="0.25">
      <c r="A118" s="106">
        <f>A117+1</f>
        <v>3</v>
      </c>
      <c r="B118" s="107"/>
      <c r="C118" s="95" t="s">
        <v>410</v>
      </c>
      <c r="D118" s="95">
        <f>(26.94)*10.764</f>
        <v>289.98216000000002</v>
      </c>
      <c r="E118" s="41">
        <v>0</v>
      </c>
      <c r="F118" s="41">
        <f>D118+(IF(E118&lt;201,E118,IF(E118&lt;301,E118/2,E118/3)))</f>
        <v>289.98216000000002</v>
      </c>
      <c r="G118" s="41">
        <v>0</v>
      </c>
      <c r="H118" s="41">
        <f>(F118+(IF(G118&lt;101,G118,IF(G118&lt;201,G118/2,IF(G118&lt;=301,G118/3,G118/4)))))*(($H$114)+1)</f>
        <v>434.97324000000003</v>
      </c>
      <c r="I118" s="35"/>
      <c r="L118" s="108"/>
      <c r="M118" s="108"/>
      <c r="N118" s="35"/>
      <c r="T118" s="20"/>
    </row>
    <row r="119" spans="1:20" s="36" customFormat="1" x14ac:dyDescent="0.25">
      <c r="A119" s="106"/>
      <c r="B119" s="184"/>
      <c r="C119" s="184"/>
      <c r="D119" s="184"/>
      <c r="E119" s="184"/>
      <c r="F119" s="184"/>
      <c r="G119" s="184"/>
      <c r="H119" s="107"/>
      <c r="I119" s="35"/>
      <c r="N119" s="35"/>
    </row>
    <row r="120" spans="1:20" ht="47.25" customHeight="1" x14ac:dyDescent="0.25">
      <c r="A120" s="166" t="s">
        <v>412</v>
      </c>
      <c r="B120" s="190" t="s">
        <v>177</v>
      </c>
      <c r="C120" s="168" t="s">
        <v>54</v>
      </c>
      <c r="D120" s="190" t="s">
        <v>377</v>
      </c>
      <c r="E120" s="190" t="s">
        <v>417</v>
      </c>
      <c r="F120" s="168" t="s">
        <v>55</v>
      </c>
      <c r="G120" s="257" t="s">
        <v>56</v>
      </c>
      <c r="H120" s="61" t="s">
        <v>148</v>
      </c>
      <c r="I120" s="35"/>
      <c r="J120" s="20">
        <f>7*4</f>
        <v>28</v>
      </c>
      <c r="T120" s="36"/>
    </row>
    <row r="121" spans="1:20" s="36" customFormat="1" x14ac:dyDescent="0.25">
      <c r="A121" s="167"/>
      <c r="B121" s="191"/>
      <c r="C121" s="169"/>
      <c r="D121" s="191"/>
      <c r="E121" s="191"/>
      <c r="F121" s="169"/>
      <c r="G121" s="258"/>
      <c r="H121" s="100">
        <v>0.45</v>
      </c>
      <c r="I121" s="35"/>
    </row>
    <row r="122" spans="1:20" s="96" customFormat="1" x14ac:dyDescent="0.25">
      <c r="A122" s="118" t="s">
        <v>416</v>
      </c>
      <c r="B122" s="119"/>
      <c r="C122" s="119"/>
      <c r="D122" s="119"/>
      <c r="E122" s="119"/>
      <c r="F122" s="119"/>
      <c r="G122" s="119"/>
      <c r="H122" s="120"/>
      <c r="J122" s="35">
        <v>4000</v>
      </c>
    </row>
    <row r="123" spans="1:20" s="96" customFormat="1" ht="15.75" customHeight="1" x14ac:dyDescent="0.25">
      <c r="A123" s="106">
        <v>1</v>
      </c>
      <c r="B123" s="107"/>
      <c r="C123" s="95" t="s">
        <v>414</v>
      </c>
      <c r="D123" s="95">
        <f>(39.97)*10.764</f>
        <v>430.23707999999993</v>
      </c>
      <c r="E123" s="97">
        <f>(1.65*2.6+2.15+0.75*(3+2.6))*10.764</f>
        <v>114.52895999999998</v>
      </c>
      <c r="F123" s="95">
        <f>D123+E123</f>
        <v>544.76603999999998</v>
      </c>
      <c r="G123" s="95">
        <f>(2.6*2.5)*10.764</f>
        <v>69.965999999999994</v>
      </c>
      <c r="H123" s="95">
        <f>F123*(($H$121)+1)+(IF(G123&lt;101,G123,IF(G123&lt;201,G123/2,IF(G123&lt;=301,G123/3,G123/4))))</f>
        <v>859.876758</v>
      </c>
      <c r="I123" s="35">
        <f>3*4.27+2.5*2.15+2.6*(3+3)+0.9*4.5+1.2*(1.8+1.8)-2.15</f>
        <v>40.004999999999995</v>
      </c>
      <c r="J123" s="96">
        <f>J$122*H123</f>
        <v>3439507.0320000001</v>
      </c>
      <c r="L123" s="108"/>
      <c r="M123" s="108"/>
      <c r="N123" s="35"/>
    </row>
    <row r="124" spans="1:20" s="96" customFormat="1" ht="15.75" customHeight="1" x14ac:dyDescent="0.25">
      <c r="A124" s="106">
        <f>A123+1</f>
        <v>2</v>
      </c>
      <c r="B124" s="107"/>
      <c r="C124" s="95" t="s">
        <v>415</v>
      </c>
      <c r="D124" s="95">
        <f>(34.6)*10.764</f>
        <v>372.43439999999998</v>
      </c>
      <c r="E124" s="95">
        <f>(2.15+0.75*(3.8+2.6))*10.764</f>
        <v>74.80980000000001</v>
      </c>
      <c r="F124" s="95">
        <f>D124+E124</f>
        <v>447.24419999999998</v>
      </c>
      <c r="G124" s="95">
        <v>0</v>
      </c>
      <c r="H124" s="95">
        <f>F124*(($H$121)+1)+(IF(G124&lt;101,G124,IF(G124&lt;201,G124/2,IF(G124&lt;=301,G124/3,G124/4))))</f>
        <v>648.50408999999991</v>
      </c>
      <c r="I124" s="35"/>
      <c r="J124" s="104">
        <f t="shared" ref="J124:J131" si="6">J$122*H124</f>
        <v>2594016.3599999994</v>
      </c>
      <c r="L124" s="108"/>
      <c r="M124" s="108"/>
      <c r="N124" s="35"/>
    </row>
    <row r="125" spans="1:20" s="96" customFormat="1" ht="15.75" customHeight="1" x14ac:dyDescent="0.25">
      <c r="A125" s="106">
        <f>A124+1</f>
        <v>3</v>
      </c>
      <c r="B125" s="107"/>
      <c r="C125" s="95" t="s">
        <v>415</v>
      </c>
      <c r="D125" s="95">
        <f>(34.6)*10.764</f>
        <v>372.43439999999998</v>
      </c>
      <c r="E125" s="95">
        <f>(2.15+0.75*(3.8+2.6))*10.764</f>
        <v>74.80980000000001</v>
      </c>
      <c r="F125" s="95">
        <f>D125+E125</f>
        <v>447.24419999999998</v>
      </c>
      <c r="G125" s="95">
        <v>0</v>
      </c>
      <c r="H125" s="95">
        <f>F125*(($H$121)+1)+(IF(G125&lt;101,G125,IF(G125&lt;201,G125/2,IF(G125&lt;=301,G125/3,G125/4))))</f>
        <v>648.50408999999991</v>
      </c>
      <c r="I125" s="35">
        <f>3.8*3.5+2.5*2.15+2.6*3+0.9*(1.35+1.35)+1.2*(1.8+1.8)</f>
        <v>33.224999999999994</v>
      </c>
      <c r="J125" s="104">
        <f t="shared" si="6"/>
        <v>2594016.3599999994</v>
      </c>
      <c r="L125" s="108"/>
      <c r="M125" s="108"/>
      <c r="N125" s="35"/>
    </row>
    <row r="126" spans="1:20" s="96" customFormat="1" ht="15.75" customHeight="1" x14ac:dyDescent="0.25">
      <c r="A126" s="106">
        <f>A125+1</f>
        <v>4</v>
      </c>
      <c r="B126" s="107"/>
      <c r="C126" s="95" t="s">
        <v>415</v>
      </c>
      <c r="D126" s="95">
        <f>(29.98)*10.764</f>
        <v>322.70472000000001</v>
      </c>
      <c r="E126" s="95">
        <f>(2.5*1.65+0.75*(3+3))*10.764</f>
        <v>92.839500000000001</v>
      </c>
      <c r="F126" s="95">
        <f>D126+E126</f>
        <v>415.54422</v>
      </c>
      <c r="G126" s="95">
        <v>0</v>
      </c>
      <c r="H126" s="95">
        <f>F126*(($H$121)+1)+(IF(G126&lt;101,G126,IF(G126&lt;201,G126/2,IF(G126&lt;=301,G126/3,G126/4))))</f>
        <v>602.53911900000003</v>
      </c>
      <c r="I126" s="35">
        <f>3*4.27+2.5*2.15+2.6*3+1.2*(1.8+1.8)+0.9*2.1+1.5</f>
        <v>33.695</v>
      </c>
      <c r="J126" s="104">
        <f t="shared" si="6"/>
        <v>2410156.4760000003</v>
      </c>
      <c r="L126" s="108"/>
      <c r="M126" s="108"/>
      <c r="N126" s="35"/>
      <c r="T126" s="20"/>
    </row>
    <row r="127" spans="1:20" s="96" customFormat="1" x14ac:dyDescent="0.25">
      <c r="A127" s="118" t="s">
        <v>418</v>
      </c>
      <c r="B127" s="119"/>
      <c r="C127" s="119"/>
      <c r="D127" s="119"/>
      <c r="E127" s="119"/>
      <c r="F127" s="119"/>
      <c r="G127" s="119"/>
      <c r="H127" s="120"/>
      <c r="J127" s="104">
        <f t="shared" si="6"/>
        <v>0</v>
      </c>
    </row>
    <row r="128" spans="1:20" s="96" customFormat="1" ht="15.75" customHeight="1" x14ac:dyDescent="0.25">
      <c r="A128" s="106">
        <v>1</v>
      </c>
      <c r="B128" s="107"/>
      <c r="C128" s="95" t="s">
        <v>414</v>
      </c>
      <c r="D128" s="95">
        <f>(39.97)*10.764</f>
        <v>430.23707999999993</v>
      </c>
      <c r="E128" s="95">
        <f>(1.65*2.6+2.15+0.75*(3+2.6))*10.764</f>
        <v>114.52895999999998</v>
      </c>
      <c r="F128" s="95">
        <f>D128+E128</f>
        <v>544.76603999999998</v>
      </c>
      <c r="G128" s="95">
        <v>0</v>
      </c>
      <c r="H128" s="95">
        <f>F128*(($H$121)+1)+(IF(G128&lt;101,G128,IF(G128&lt;201,G128/2,IF(G128&lt;=301,G128/3,G128/4))))</f>
        <v>789.91075799999999</v>
      </c>
      <c r="I128" s="35"/>
      <c r="J128" s="104">
        <f t="shared" si="6"/>
        <v>3159643.0320000001</v>
      </c>
      <c r="L128" s="108"/>
      <c r="M128" s="108"/>
      <c r="N128" s="35"/>
    </row>
    <row r="129" spans="1:20" s="96" customFormat="1" ht="15.75" customHeight="1" x14ac:dyDescent="0.25">
      <c r="A129" s="106">
        <f>A128+1</f>
        <v>2</v>
      </c>
      <c r="B129" s="107"/>
      <c r="C129" s="95" t="s">
        <v>415</v>
      </c>
      <c r="D129" s="95">
        <f>(34.6)*10.764</f>
        <v>372.43439999999998</v>
      </c>
      <c r="E129" s="95">
        <f>(2.15+0.75*(3.8+2.6))*10.764</f>
        <v>74.80980000000001</v>
      </c>
      <c r="F129" s="95">
        <f>D129+E129</f>
        <v>447.24419999999998</v>
      </c>
      <c r="G129" s="95">
        <v>0</v>
      </c>
      <c r="H129" s="95">
        <f>F129*(($H$121)+1)+(IF(G129&lt;101,G129,IF(G129&lt;201,G129/2,IF(G129&lt;=301,G129/3,G129/4))))</f>
        <v>648.50408999999991</v>
      </c>
      <c r="I129" s="35"/>
      <c r="J129" s="104">
        <f t="shared" si="6"/>
        <v>2594016.3599999994</v>
      </c>
      <c r="L129" s="108"/>
      <c r="M129" s="108"/>
      <c r="N129" s="35"/>
    </row>
    <row r="130" spans="1:20" s="96" customFormat="1" ht="15.75" customHeight="1" x14ac:dyDescent="0.25">
      <c r="A130" s="106">
        <f>A129+1</f>
        <v>3</v>
      </c>
      <c r="B130" s="107"/>
      <c r="C130" s="95" t="s">
        <v>415</v>
      </c>
      <c r="D130" s="95">
        <f>(34.6)*10.764</f>
        <v>372.43439999999998</v>
      </c>
      <c r="E130" s="95">
        <f>(2.15+0.75*(3.8+2.6))*10.764</f>
        <v>74.80980000000001</v>
      </c>
      <c r="F130" s="95">
        <f>D130+E130</f>
        <v>447.24419999999998</v>
      </c>
      <c r="G130" s="95">
        <v>0</v>
      </c>
      <c r="H130" s="95">
        <f>F130*(($H$121)+1)+(IF(G130&lt;101,G130,IF(G130&lt;201,G130/2,IF(G130&lt;=301,G130/3,G130/4))))</f>
        <v>648.50408999999991</v>
      </c>
      <c r="I130" s="35"/>
      <c r="J130" s="104">
        <f t="shared" si="6"/>
        <v>2594016.3599999994</v>
      </c>
      <c r="L130" s="108"/>
      <c r="M130" s="108"/>
      <c r="N130" s="35"/>
    </row>
    <row r="131" spans="1:20" s="96" customFormat="1" ht="15.75" customHeight="1" x14ac:dyDescent="0.25">
      <c r="A131" s="106">
        <f>A130+1</f>
        <v>4</v>
      </c>
      <c r="B131" s="107"/>
      <c r="C131" s="95" t="s">
        <v>415</v>
      </c>
      <c r="D131" s="95">
        <f>(29.98)*10.764</f>
        <v>322.70472000000001</v>
      </c>
      <c r="E131" s="95">
        <f>(2.5*1.65+0.75*(3+3))*10.764</f>
        <v>92.839500000000001</v>
      </c>
      <c r="F131" s="95">
        <f>D131+E131</f>
        <v>415.54422</v>
      </c>
      <c r="G131" s="95">
        <v>0</v>
      </c>
      <c r="H131" s="95">
        <f>F131*(($H$121)+1)+(IF(G131&lt;101,G131,IF(G131&lt;201,G131/2,IF(G131&lt;=301,G131/3,G131/4))))</f>
        <v>602.53911900000003</v>
      </c>
      <c r="I131" s="35"/>
      <c r="J131" s="104">
        <f t="shared" si="6"/>
        <v>2410156.4760000003</v>
      </c>
      <c r="L131" s="108"/>
      <c r="M131" s="108"/>
      <c r="N131" s="35"/>
      <c r="T131" s="20"/>
    </row>
    <row r="132" spans="1:20" s="36" customFormat="1" hidden="1" x14ac:dyDescent="0.25">
      <c r="A132" s="196" t="s">
        <v>419</v>
      </c>
      <c r="B132" s="197"/>
      <c r="C132" s="197"/>
      <c r="D132" s="197"/>
      <c r="E132" s="197"/>
      <c r="F132" s="197"/>
      <c r="G132" s="197"/>
      <c r="H132" s="198"/>
      <c r="J132" s="35"/>
    </row>
    <row r="133" spans="1:20" s="36" customFormat="1" ht="15.75" hidden="1" customHeight="1" x14ac:dyDescent="0.25">
      <c r="A133" s="278">
        <v>1</v>
      </c>
      <c r="B133" s="279"/>
      <c r="C133" s="102" t="s">
        <v>414</v>
      </c>
      <c r="D133" s="102">
        <f>(58.64)*10.764</f>
        <v>631.20096000000001</v>
      </c>
      <c r="E133" s="97">
        <f>(1.65*2.6+2.15+0.75*(3+2.6))*10.764</f>
        <v>114.52895999999998</v>
      </c>
      <c r="F133" s="102">
        <f>D133+E133</f>
        <v>745.72991999999999</v>
      </c>
      <c r="G133" s="102">
        <v>0</v>
      </c>
      <c r="H133" s="102">
        <f>F133*(($H$121)+1)+(IF(G133&lt;101,G133,IF(G133&lt;201,G133/2,IF(G133&lt;=301,G133/3,G133/4))))</f>
        <v>1081.3083839999999</v>
      </c>
      <c r="I133" s="101">
        <f>3*4.27+2.5*2.15+2.6*(3+3)+1.2*(1.8+1.8+1.8)+0.9*1.4+1+3.9*1.2+1*1.7+2.65*3.65</f>
        <v>58.577500000000001</v>
      </c>
      <c r="L133" s="108"/>
      <c r="M133" s="108"/>
      <c r="N133" s="35"/>
    </row>
    <row r="134" spans="1:20" s="36" customFormat="1" ht="15.75" hidden="1" customHeight="1" x14ac:dyDescent="0.25">
      <c r="A134" s="106">
        <f>A133+1</f>
        <v>2</v>
      </c>
      <c r="B134" s="107"/>
      <c r="C134" s="109" t="s">
        <v>420</v>
      </c>
      <c r="D134" s="110"/>
      <c r="E134" s="110"/>
      <c r="F134" s="110"/>
      <c r="G134" s="110"/>
      <c r="H134" s="111"/>
      <c r="I134" s="35"/>
      <c r="L134" s="108"/>
      <c r="M134" s="108"/>
      <c r="N134" s="35"/>
    </row>
    <row r="135" spans="1:20" s="36" customFormat="1" ht="15.75" hidden="1" customHeight="1" x14ac:dyDescent="0.25">
      <c r="A135" s="106">
        <f>A134+1</f>
        <v>3</v>
      </c>
      <c r="B135" s="107"/>
      <c r="C135" s="112"/>
      <c r="D135" s="113"/>
      <c r="E135" s="113"/>
      <c r="F135" s="113"/>
      <c r="G135" s="113"/>
      <c r="H135" s="114"/>
      <c r="I135" s="35"/>
      <c r="L135" s="108"/>
      <c r="M135" s="108"/>
      <c r="N135" s="35"/>
    </row>
    <row r="136" spans="1:20" s="36" customFormat="1" ht="15.75" hidden="1" customHeight="1" x14ac:dyDescent="0.25">
      <c r="A136" s="106">
        <f>A135+1</f>
        <v>4</v>
      </c>
      <c r="B136" s="107"/>
      <c r="C136" s="115"/>
      <c r="D136" s="116"/>
      <c r="E136" s="116"/>
      <c r="F136" s="116"/>
      <c r="G136" s="116"/>
      <c r="H136" s="117"/>
      <c r="I136" s="35"/>
      <c r="L136" s="108"/>
      <c r="M136" s="108"/>
      <c r="N136" s="35"/>
      <c r="T136" s="20"/>
    </row>
    <row r="137" spans="1:20" s="36" customFormat="1" hidden="1" x14ac:dyDescent="0.25">
      <c r="A137" s="207" t="s">
        <v>116</v>
      </c>
      <c r="B137" s="207"/>
      <c r="C137" s="207"/>
      <c r="D137" s="207"/>
      <c r="E137" s="207"/>
      <c r="F137" s="207"/>
      <c r="G137" s="207"/>
      <c r="H137" s="207"/>
      <c r="I137" s="35"/>
      <c r="L137" s="108"/>
      <c r="M137" s="108"/>
    </row>
    <row r="138" spans="1:20" s="36" customFormat="1" hidden="1" x14ac:dyDescent="0.25">
      <c r="A138" s="189">
        <f>LEFT(A137,SUM(LEN(A137)-LEN(SUBSTITUTE(A137,{"0","1","2","3","4","5","6","7","8","9"},""))))*100+1</f>
        <v>201</v>
      </c>
      <c r="B138" s="189"/>
      <c r="C138" s="41"/>
      <c r="D138" s="41"/>
      <c r="E138" s="41">
        <v>0</v>
      </c>
      <c r="F138" s="41">
        <f>D138+E138</f>
        <v>0</v>
      </c>
      <c r="G138" s="41">
        <v>0</v>
      </c>
      <c r="H138" s="41">
        <f>F138*(($H$121)+1)+(IF(G138&lt;101,G138,IF(G138&lt;201,G138/2,IF(G138&lt;=301,G138/3,G138/4))))</f>
        <v>0</v>
      </c>
      <c r="I138" s="35"/>
      <c r="N138" s="35"/>
    </row>
    <row r="139" spans="1:20" s="36" customFormat="1" hidden="1" x14ac:dyDescent="0.25">
      <c r="A139" s="189">
        <f>A138+1</f>
        <v>202</v>
      </c>
      <c r="B139" s="189"/>
      <c r="C139" s="41"/>
      <c r="D139" s="41"/>
      <c r="E139" s="41">
        <v>0</v>
      </c>
      <c r="F139" s="41">
        <f>D139+E139</f>
        <v>0</v>
      </c>
      <c r="G139" s="41">
        <v>0</v>
      </c>
      <c r="H139" s="41">
        <f>F139*(($H$121)+1)+(IF(G139&lt;101,G139,IF(G139&lt;201,G139/2,IF(G139&lt;=301,G139/3,G139/4))))</f>
        <v>0</v>
      </c>
      <c r="I139" s="35"/>
      <c r="N139" s="35"/>
    </row>
    <row r="140" spans="1:20" s="36" customFormat="1" hidden="1" x14ac:dyDescent="0.25">
      <c r="A140" s="189">
        <f>A139+1</f>
        <v>203</v>
      </c>
      <c r="B140" s="189"/>
      <c r="C140" s="41"/>
      <c r="D140" s="41"/>
      <c r="E140" s="41">
        <v>0</v>
      </c>
      <c r="F140" s="41">
        <f>D140+E140</f>
        <v>0</v>
      </c>
      <c r="G140" s="41">
        <v>0</v>
      </c>
      <c r="H140" s="41">
        <f>F140*(($H$121)+1)+(IF(G140&lt;101,G140,IF(G140&lt;201,G140/2,IF(G140&lt;=301,G140/3,G140/4))))</f>
        <v>0</v>
      </c>
      <c r="I140" s="35"/>
      <c r="N140" s="35"/>
    </row>
    <row r="141" spans="1:20" s="36" customFormat="1" hidden="1" x14ac:dyDescent="0.25">
      <c r="A141" s="189">
        <f>A140+1</f>
        <v>204</v>
      </c>
      <c r="B141" s="189"/>
      <c r="C141" s="41"/>
      <c r="D141" s="41"/>
      <c r="E141" s="41">
        <v>0</v>
      </c>
      <c r="F141" s="41">
        <f>D141+E141</f>
        <v>0</v>
      </c>
      <c r="G141" s="41">
        <v>0</v>
      </c>
      <c r="H141" s="41">
        <f>F141*(($H$121)+1)+(IF(G141&lt;101,G141,IF(G141&lt;201,G141/2,IF(G141&lt;=301,G141/3,G141/4))))</f>
        <v>0</v>
      </c>
      <c r="I141" s="35"/>
      <c r="N141" s="35"/>
    </row>
    <row r="142" spans="1:20" s="36" customFormat="1" hidden="1" x14ac:dyDescent="0.25">
      <c r="A142" s="189">
        <f>A141+1</f>
        <v>205</v>
      </c>
      <c r="B142" s="189"/>
      <c r="C142" s="41"/>
      <c r="D142" s="41"/>
      <c r="E142" s="41">
        <v>0</v>
      </c>
      <c r="F142" s="41">
        <f>D142+E142</f>
        <v>0</v>
      </c>
      <c r="G142" s="41">
        <v>0</v>
      </c>
      <c r="H142" s="41">
        <f>F142*(($H$121)+1)+(IF(G142&lt;101,G142,IF(G142&lt;201,G142/2,IF(G142&lt;=301,G142/3,G142/4))))</f>
        <v>0</v>
      </c>
      <c r="I142" s="35"/>
      <c r="N142" s="35"/>
    </row>
    <row r="143" spans="1:20" s="36" customFormat="1" ht="15.75" hidden="1" customHeight="1" x14ac:dyDescent="0.25">
      <c r="A143" s="118" t="s">
        <v>149</v>
      </c>
      <c r="B143" s="119"/>
      <c r="C143" s="119"/>
      <c r="D143" s="119"/>
      <c r="E143" s="119"/>
      <c r="F143" s="119"/>
      <c r="G143" s="119"/>
      <c r="H143" s="120"/>
      <c r="I143" s="35"/>
    </row>
    <row r="144" spans="1:20" s="36" customFormat="1" ht="15.75" hidden="1" customHeight="1" x14ac:dyDescent="0.25">
      <c r="A144" s="106"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10^ROW(INDIRECT("1:"&amp;LEN((LEFT(A143,SUM(LEN(A143)-LEN(SUBSTITUTE(A143,{"0","1","2"},""))))))))/10))*100+1&amp;""&amp;" ,..,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",LEN(A143))),LEN(A143)))))))/10))*100+1</f>
        <v>301 ,.., 1501</v>
      </c>
      <c r="B144" s="107"/>
      <c r="C144" s="41"/>
      <c r="D144" s="41"/>
      <c r="E144" s="41">
        <v>0</v>
      </c>
      <c r="F144" s="41">
        <f>D144+E144</f>
        <v>0</v>
      </c>
      <c r="G144" s="41">
        <v>0</v>
      </c>
      <c r="H144" s="41">
        <f>F144*(($H$121)+1)+(IF(G144&lt;101,G144,IF(G144&lt;201,G144/2,IF(G144&lt;=301,G144/3,G144/4))))</f>
        <v>0</v>
      </c>
      <c r="I144" s="35"/>
    </row>
    <row r="145" spans="1:9" s="36" customFormat="1" ht="15.75" hidden="1" customHeight="1" x14ac:dyDescent="0.25">
      <c r="A145" s="106"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302 ,.., 1502</v>
      </c>
      <c r="B145" s="107"/>
      <c r="C145" s="41"/>
      <c r="D145" s="41"/>
      <c r="E145" s="41">
        <v>0</v>
      </c>
      <c r="F145" s="41">
        <f>D145+E145</f>
        <v>0</v>
      </c>
      <c r="G145" s="41">
        <v>0</v>
      </c>
      <c r="H145" s="41">
        <f>F145*(($H$121)+1)+(IF(G145&lt;101,G145,IF(G145&lt;201,G145/2,IF(G145&lt;=301,G145/3,G145/4))))</f>
        <v>0</v>
      </c>
      <c r="I145" s="35"/>
    </row>
    <row r="146" spans="1:9" s="36" customFormat="1" ht="15.75" hidden="1" customHeight="1" x14ac:dyDescent="0.25">
      <c r="A146" s="106"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303 ,.., 1503</v>
      </c>
      <c r="B146" s="107"/>
      <c r="C146" s="41"/>
      <c r="D146" s="41"/>
      <c r="E146" s="41">
        <v>0</v>
      </c>
      <c r="F146" s="41">
        <f>D146+E146</f>
        <v>0</v>
      </c>
      <c r="G146" s="41">
        <v>0</v>
      </c>
      <c r="H146" s="41">
        <f>F146*(($H$121)+1)+(IF(G146&lt;101,G146,IF(G146&lt;201,G146/2,IF(G146&lt;=301,G146/3,G146/4))))</f>
        <v>0</v>
      </c>
      <c r="I146" s="35"/>
    </row>
    <row r="147" spans="1:9" s="36" customFormat="1" ht="15.75" hidden="1" customHeight="1" x14ac:dyDescent="0.25">
      <c r="A147" s="106"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304 ,.., 1504</v>
      </c>
      <c r="B147" s="107"/>
      <c r="C147" s="41"/>
      <c r="D147" s="41"/>
      <c r="E147" s="41">
        <v>0</v>
      </c>
      <c r="F147" s="41">
        <f>D147+E147</f>
        <v>0</v>
      </c>
      <c r="G147" s="41">
        <v>0</v>
      </c>
      <c r="H147" s="41">
        <f>F147*(($H$121)+1)+(IF(G147&lt;101,G147,IF(G147&lt;201,G147/2,IF(G147&lt;=301,G147/3,G147/4))))</f>
        <v>0</v>
      </c>
      <c r="I147" s="35"/>
    </row>
    <row r="148" spans="1:9" s="36" customFormat="1" ht="15.75" hidden="1" customHeight="1" x14ac:dyDescent="0.25">
      <c r="A148" s="106"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305 ,.., 1505</v>
      </c>
      <c r="B148" s="107"/>
      <c r="C148" s="41"/>
      <c r="D148" s="41"/>
      <c r="E148" s="41">
        <v>0</v>
      </c>
      <c r="F148" s="41">
        <f>D148+E148</f>
        <v>0</v>
      </c>
      <c r="G148" s="41">
        <v>0</v>
      </c>
      <c r="H148" s="41">
        <f>F148*(($H$121)+1)+(IF(G148&lt;101,G148,IF(G148&lt;201,G148/2,IF(G148&lt;=301,G148/3,G148/4))))</f>
        <v>0</v>
      </c>
      <c r="I148" s="35"/>
    </row>
    <row r="149" spans="1:9" s="36" customFormat="1" hidden="1" x14ac:dyDescent="0.25">
      <c r="A149" s="118" t="s">
        <v>143</v>
      </c>
      <c r="B149" s="119"/>
      <c r="C149" s="119"/>
      <c r="D149" s="119"/>
      <c r="E149" s="119"/>
      <c r="F149" s="119"/>
      <c r="G149" s="119"/>
      <c r="H149" s="120"/>
      <c r="I149" s="35"/>
    </row>
    <row r="150" spans="1:9" s="36" customFormat="1" ht="15.75" hidden="1" customHeight="1" x14ac:dyDescent="0.25">
      <c r="A150" s="106"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10^ROW(INDIRECT("1:"&amp;LEN((LEFT(A149,SUM(LEN(A149)-LEN(SUBSTITUTE(A149,{"0","1","2"},""))))))))/10))*100+1&amp;""&amp;" to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",LEN(A149))),LEN(A149)))))))/10))*100+1</f>
        <v>201 to 501</v>
      </c>
      <c r="B150" s="107"/>
      <c r="C150" s="41"/>
      <c r="D150" s="41"/>
      <c r="E150" s="41">
        <v>0</v>
      </c>
      <c r="F150" s="41">
        <f>D150+E150</f>
        <v>0</v>
      </c>
      <c r="G150" s="41">
        <v>0</v>
      </c>
      <c r="H150" s="41">
        <f>F150*(($H$121)+1)+(IF(G150&lt;101,G150,IF(G150&lt;201,G150/2,IF(G150&lt;=301,G150/3,G150/4))))</f>
        <v>0</v>
      </c>
      <c r="I150" s="35"/>
    </row>
    <row r="151" spans="1:9" s="36" customFormat="1" ht="15.75" hidden="1" customHeight="1" x14ac:dyDescent="0.25">
      <c r="A151" s="106"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to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202 to 502</v>
      </c>
      <c r="B151" s="107"/>
      <c r="C151" s="41"/>
      <c r="D151" s="41"/>
      <c r="E151" s="41">
        <v>0</v>
      </c>
      <c r="F151" s="41">
        <f>D151+E151</f>
        <v>0</v>
      </c>
      <c r="G151" s="41">
        <v>0</v>
      </c>
      <c r="H151" s="41">
        <f>F151*(($H$121)+1)+(IF(G151&lt;101,G151,IF(G151&lt;201,G151/2,IF(G151&lt;=301,G151/3,G151/4))))</f>
        <v>0</v>
      </c>
      <c r="I151" s="35"/>
    </row>
    <row r="152" spans="1:9" s="36" customFormat="1" ht="15.75" hidden="1" customHeight="1" x14ac:dyDescent="0.25">
      <c r="A152" s="106"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to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203 to 503</v>
      </c>
      <c r="B152" s="107"/>
      <c r="C152" s="41"/>
      <c r="D152" s="41"/>
      <c r="E152" s="41">
        <v>0</v>
      </c>
      <c r="F152" s="41">
        <f>D152+E152</f>
        <v>0</v>
      </c>
      <c r="G152" s="41">
        <v>0</v>
      </c>
      <c r="H152" s="41">
        <f>F152*(($H$121)+1)+(IF(G152&lt;101,G152,IF(G152&lt;201,G152/2,IF(G152&lt;=301,G152/3,G152/4))))</f>
        <v>0</v>
      </c>
      <c r="I152" s="35"/>
    </row>
    <row r="153" spans="1:9" s="36" customFormat="1" ht="15.75" hidden="1" customHeight="1" x14ac:dyDescent="0.25">
      <c r="A153" s="106"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to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204 to 504</v>
      </c>
      <c r="B153" s="107"/>
      <c r="C153" s="41"/>
      <c r="D153" s="41"/>
      <c r="E153" s="41">
        <v>0</v>
      </c>
      <c r="F153" s="41">
        <f>D153+E153</f>
        <v>0</v>
      </c>
      <c r="G153" s="41">
        <v>0</v>
      </c>
      <c r="H153" s="41">
        <f>F153*(($H$121)+1)+(IF(G153&lt;101,G153,IF(G153&lt;201,G153/2,IF(G153&lt;=301,G153/3,G153/4))))</f>
        <v>0</v>
      </c>
      <c r="I153" s="35"/>
    </row>
    <row r="154" spans="1:9" s="36" customFormat="1" ht="15.75" hidden="1" customHeight="1" x14ac:dyDescent="0.25">
      <c r="A154" s="106"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to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205 to 505</v>
      </c>
      <c r="B154" s="107"/>
      <c r="C154" s="41"/>
      <c r="D154" s="41"/>
      <c r="E154" s="41">
        <v>0</v>
      </c>
      <c r="F154" s="41">
        <f>D154+E154</f>
        <v>0</v>
      </c>
      <c r="G154" s="41">
        <v>0</v>
      </c>
      <c r="H154" s="41">
        <f>F154*(($H$121)+1)+(IF(G154&lt;101,G154,IF(G154&lt;201,G154/2,IF(G154&lt;=301,G154/3,G154/4))))</f>
        <v>0</v>
      </c>
      <c r="I154" s="35"/>
    </row>
    <row r="155" spans="1:9" s="36" customFormat="1" hidden="1" x14ac:dyDescent="0.25">
      <c r="A155" s="118" t="s">
        <v>144</v>
      </c>
      <c r="B155" s="119"/>
      <c r="C155" s="119"/>
      <c r="D155" s="119"/>
      <c r="E155" s="119"/>
      <c r="F155" s="119"/>
      <c r="G155" s="119"/>
      <c r="H155" s="120"/>
      <c r="I155" s="35"/>
    </row>
    <row r="156" spans="1:9" s="36" customFormat="1" ht="15.75" hidden="1" customHeight="1" x14ac:dyDescent="0.25">
      <c r="A156" s="106"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10^ROW(INDIRECT("1:"&amp;LEN((LEFT(A155,SUM(LEN(A155)-LEN(SUBSTITUTE(A155,{"0","1","2"},""))))))))/10))*100+1&amp;""&amp;" &amp;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",LEN(A155))),LEN(A155)))))))/10))*100+1</f>
        <v>201 &amp; 501</v>
      </c>
      <c r="B156" s="107"/>
      <c r="C156" s="41"/>
      <c r="D156" s="41"/>
      <c r="E156" s="41">
        <v>0</v>
      </c>
      <c r="F156" s="41">
        <f>D156+E156</f>
        <v>0</v>
      </c>
      <c r="G156" s="41">
        <v>0</v>
      </c>
      <c r="H156" s="41">
        <f>F156*(($H$121)+1)+(IF(G156&lt;101,G156,IF(G156&lt;201,G156/2,IF(G156&lt;=301,G156/3,G156/4))))</f>
        <v>0</v>
      </c>
      <c r="I156" s="35"/>
    </row>
    <row r="157" spans="1:9" s="36" customFormat="1" ht="15.75" hidden="1" customHeight="1" x14ac:dyDescent="0.25">
      <c r="A157" s="106"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&amp;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202 &amp; 502</v>
      </c>
      <c r="B157" s="107"/>
      <c r="C157" s="41"/>
      <c r="D157" s="41"/>
      <c r="E157" s="41">
        <v>0</v>
      </c>
      <c r="F157" s="41">
        <f>D157+E157</f>
        <v>0</v>
      </c>
      <c r="G157" s="41">
        <v>0</v>
      </c>
      <c r="H157" s="41">
        <f>F157*(($H$121)+1)+(IF(G157&lt;101,G157,IF(G157&lt;201,G157/2,IF(G157&lt;=301,G157/3,G157/4))))</f>
        <v>0</v>
      </c>
      <c r="I157" s="35"/>
    </row>
    <row r="158" spans="1:9" s="36" customFormat="1" ht="15.75" hidden="1" customHeight="1" x14ac:dyDescent="0.25">
      <c r="A158" s="106"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&amp;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203 &amp; 503</v>
      </c>
      <c r="B158" s="107"/>
      <c r="C158" s="41"/>
      <c r="D158" s="41"/>
      <c r="E158" s="41">
        <v>0</v>
      </c>
      <c r="F158" s="41">
        <f>D158+E158</f>
        <v>0</v>
      </c>
      <c r="G158" s="41">
        <v>0</v>
      </c>
      <c r="H158" s="41">
        <f>F158*(($H$121)+1)+(IF(G158&lt;101,G158,IF(G158&lt;201,G158/2,IF(G158&lt;=301,G158/3,G158/4))))</f>
        <v>0</v>
      </c>
      <c r="I158" s="35"/>
    </row>
    <row r="159" spans="1:9" s="36" customFormat="1" ht="15.75" hidden="1" customHeight="1" x14ac:dyDescent="0.25">
      <c r="A159" s="106"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&amp;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204 &amp; 504</v>
      </c>
      <c r="B159" s="107"/>
      <c r="C159" s="41"/>
      <c r="D159" s="41"/>
      <c r="E159" s="41">
        <v>0</v>
      </c>
      <c r="F159" s="41">
        <f>D159+E159</f>
        <v>0</v>
      </c>
      <c r="G159" s="41">
        <v>0</v>
      </c>
      <c r="H159" s="41">
        <f>F159*(($H$121)+1)+(IF(G159&lt;101,G159,IF(G159&lt;201,G159/2,IF(G159&lt;=301,G159/3,G159/4))))</f>
        <v>0</v>
      </c>
      <c r="I159" s="35"/>
    </row>
    <row r="160" spans="1:9" s="36" customFormat="1" ht="15.75" hidden="1" customHeight="1" x14ac:dyDescent="0.25">
      <c r="A160" s="106"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&amp;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205 &amp; 505</v>
      </c>
      <c r="B160" s="107"/>
      <c r="C160" s="41"/>
      <c r="D160" s="41"/>
      <c r="E160" s="41">
        <v>0</v>
      </c>
      <c r="F160" s="41">
        <f>D160+E160</f>
        <v>0</v>
      </c>
      <c r="G160" s="41">
        <v>0</v>
      </c>
      <c r="H160" s="41">
        <f>F160*(($H$121)+1)+(IF(G160&lt;101,G160,IF(G160&lt;201,G160/2,IF(G160&lt;=301,G160/3,G160/4))))</f>
        <v>0</v>
      </c>
      <c r="I160" s="35"/>
    </row>
    <row r="161" spans="1:20" s="34" customFormat="1" x14ac:dyDescent="0.25">
      <c r="A161" s="159" t="s">
        <v>64</v>
      </c>
      <c r="B161" s="159"/>
      <c r="C161" s="159"/>
      <c r="D161" s="159"/>
      <c r="E161" s="159"/>
      <c r="F161" s="159"/>
      <c r="G161" s="159"/>
      <c r="H161" s="159"/>
      <c r="T161" s="36"/>
    </row>
    <row r="162" spans="1:20" s="34" customFormat="1" x14ac:dyDescent="0.25">
      <c r="A162" s="45">
        <v>1</v>
      </c>
      <c r="B162" s="199" t="s">
        <v>421</v>
      </c>
      <c r="C162" s="200"/>
      <c r="D162" s="200"/>
      <c r="E162" s="200"/>
      <c r="F162" s="200"/>
      <c r="G162" s="200"/>
      <c r="H162" s="201"/>
      <c r="T162" s="36"/>
    </row>
    <row r="163" spans="1:20" s="34" customFormat="1" x14ac:dyDescent="0.25">
      <c r="A163" s="45">
        <v>2</v>
      </c>
      <c r="B163" s="275" t="str">
        <f>(IF(H120="Saleable area Loading :","We have considered Saleable area of Flats as per our Calculation.","We considered Saleable area of Flat as per Builder area Sheet."))</f>
        <v>We have considered Saleable area of Flats as per our Calculation.</v>
      </c>
      <c r="C163" s="276"/>
      <c r="D163" s="276"/>
      <c r="E163" s="276"/>
      <c r="F163" s="276"/>
      <c r="G163" s="276"/>
      <c r="H163" s="277"/>
      <c r="T163" s="36"/>
    </row>
    <row r="164" spans="1:20" s="34" customFormat="1" x14ac:dyDescent="0.25">
      <c r="A164" s="45">
        <v>3</v>
      </c>
      <c r="B164" s="199" t="str">
        <f>(IF(H113="Saleable area Loading :","We have considered Saleable area of Commercial as per our Calculation.","We considered Saleable area of Commercial as per Builder area Sheet."))</f>
        <v>We have considered Saleable area of Commercial as per our Calculation.</v>
      </c>
      <c r="C164" s="200"/>
      <c r="D164" s="200"/>
      <c r="E164" s="200"/>
      <c r="F164" s="200"/>
      <c r="G164" s="200"/>
      <c r="H164" s="201"/>
      <c r="T164" s="36"/>
    </row>
    <row r="165" spans="1:20" s="34" customFormat="1" x14ac:dyDescent="0.25">
      <c r="A165" s="45">
        <v>4</v>
      </c>
      <c r="B165" s="185" t="s">
        <v>120</v>
      </c>
      <c r="C165" s="186"/>
      <c r="D165" s="186"/>
      <c r="E165" s="186"/>
      <c r="F165" s="186"/>
      <c r="G165" s="186"/>
      <c r="H165" s="187"/>
      <c r="T165" s="36"/>
    </row>
    <row r="166" spans="1:20" s="34" customFormat="1" ht="33.75" customHeight="1" x14ac:dyDescent="0.25">
      <c r="A166" s="45">
        <v>5</v>
      </c>
      <c r="B166" s="199" t="s">
        <v>422</v>
      </c>
      <c r="C166" s="200"/>
      <c r="D166" s="200"/>
      <c r="E166" s="200"/>
      <c r="F166" s="200"/>
      <c r="G166" s="200"/>
      <c r="H166" s="201"/>
      <c r="T166" s="36"/>
    </row>
    <row r="167" spans="1:20" s="34" customFormat="1" x14ac:dyDescent="0.25">
      <c r="A167" s="45">
        <v>6</v>
      </c>
      <c r="B167" s="185" t="s">
        <v>152</v>
      </c>
      <c r="C167" s="186"/>
      <c r="D167" s="186"/>
      <c r="E167" s="186"/>
      <c r="F167" s="186"/>
      <c r="G167" s="186"/>
      <c r="H167" s="187"/>
    </row>
    <row r="168" spans="1:20" s="34" customFormat="1" x14ac:dyDescent="0.25">
      <c r="A168" s="45">
        <v>7</v>
      </c>
      <c r="B168" s="185" t="s">
        <v>121</v>
      </c>
      <c r="C168" s="186"/>
      <c r="D168" s="186"/>
      <c r="E168" s="186"/>
      <c r="F168" s="186"/>
      <c r="G168" s="186"/>
      <c r="H168" s="187"/>
    </row>
    <row r="169" spans="1:20" s="34" customFormat="1" ht="34.5" customHeight="1" x14ac:dyDescent="0.25">
      <c r="A169" s="45">
        <v>8</v>
      </c>
      <c r="B169" s="199" t="s">
        <v>154</v>
      </c>
      <c r="C169" s="200"/>
      <c r="D169" s="200"/>
      <c r="E169" s="200"/>
      <c r="F169" s="200"/>
      <c r="G169" s="200"/>
      <c r="H169" s="201"/>
    </row>
    <row r="170" spans="1:20" s="34" customFormat="1" x14ac:dyDescent="0.25">
      <c r="A170" s="45">
        <v>9</v>
      </c>
      <c r="B170" s="185" t="s">
        <v>122</v>
      </c>
      <c r="C170" s="186"/>
      <c r="D170" s="186"/>
      <c r="E170" s="186"/>
      <c r="F170" s="186"/>
      <c r="G170" s="186"/>
      <c r="H170" s="187"/>
    </row>
    <row r="171" spans="1:20" s="34" customFormat="1" ht="32.25" hidden="1" customHeight="1" x14ac:dyDescent="0.25">
      <c r="A171" s="45" t="s">
        <v>153</v>
      </c>
      <c r="B171" s="171" t="s">
        <v>178</v>
      </c>
      <c r="C171" s="172"/>
      <c r="D171" s="172"/>
      <c r="E171" s="172"/>
      <c r="F171" s="172"/>
      <c r="G171" s="172"/>
      <c r="H171" s="173"/>
    </row>
    <row r="172" spans="1:20" s="34" customFormat="1" ht="38.25" hidden="1" customHeight="1" x14ac:dyDescent="0.25">
      <c r="A172" s="45" t="s">
        <v>153</v>
      </c>
      <c r="B172" s="171" t="s">
        <v>349</v>
      </c>
      <c r="C172" s="172"/>
      <c r="D172" s="172"/>
      <c r="E172" s="172"/>
      <c r="F172" s="172"/>
      <c r="G172" s="172"/>
      <c r="H172" s="173"/>
    </row>
    <row r="173" spans="1:20" s="34" customFormat="1" x14ac:dyDescent="0.25">
      <c r="A173" s="45">
        <v>10</v>
      </c>
      <c r="B173" s="199" t="s">
        <v>351</v>
      </c>
      <c r="C173" s="200"/>
      <c r="D173" s="200"/>
      <c r="E173" s="200"/>
      <c r="F173" s="200"/>
      <c r="G173" s="200"/>
      <c r="H173" s="201"/>
    </row>
    <row r="174" spans="1:20" s="34" customFormat="1" hidden="1" x14ac:dyDescent="0.25">
      <c r="A174" s="45" t="s">
        <v>153</v>
      </c>
      <c r="B174" s="171" t="str">
        <f ca="1">IF(G52&gt;EDATE(E3,-48),"NO REMARK FOR CC","REMARK FOR CC")</f>
        <v>NO REMARK FOR CC</v>
      </c>
      <c r="C174" s="172"/>
      <c r="D174" s="172"/>
      <c r="E174" s="172"/>
      <c r="F174" s="172"/>
      <c r="G174" s="172"/>
      <c r="H174" s="173"/>
    </row>
    <row r="175" spans="1:20" s="34" customFormat="1" ht="81.75" hidden="1" customHeight="1" x14ac:dyDescent="0.25">
      <c r="A175" s="45" t="s">
        <v>153</v>
      </c>
      <c r="B175" s="171" t="s">
        <v>352</v>
      </c>
      <c r="C175" s="172"/>
      <c r="D175" s="172"/>
      <c r="E175" s="172"/>
      <c r="F175" s="172"/>
      <c r="G175" s="172"/>
      <c r="H175" s="173"/>
    </row>
    <row r="176" spans="1:20" s="34" customFormat="1" ht="30" customHeight="1" x14ac:dyDescent="0.25">
      <c r="A176" s="105">
        <v>11</v>
      </c>
      <c r="B176" s="199" t="s">
        <v>429</v>
      </c>
      <c r="C176" s="200"/>
      <c r="D176" s="200"/>
      <c r="E176" s="200"/>
      <c r="F176" s="200"/>
      <c r="G176" s="200"/>
      <c r="H176" s="201"/>
    </row>
    <row r="177" spans="1:20" x14ac:dyDescent="0.25">
      <c r="A177" s="145" t="s">
        <v>57</v>
      </c>
      <c r="B177" s="145"/>
      <c r="C177" s="145"/>
      <c r="D177" s="145"/>
      <c r="E177" s="145"/>
      <c r="F177" s="145"/>
      <c r="G177" s="145"/>
      <c r="H177" s="145"/>
      <c r="T177" s="34"/>
    </row>
    <row r="178" spans="1:20" x14ac:dyDescent="0.25">
      <c r="A178" s="153" t="s">
        <v>58</v>
      </c>
      <c r="B178" s="153"/>
      <c r="C178" s="153"/>
      <c r="D178" s="153"/>
      <c r="E178" s="153"/>
      <c r="F178" s="153"/>
      <c r="G178" s="153"/>
      <c r="H178" s="153"/>
      <c r="T178" s="34"/>
    </row>
    <row r="179" spans="1:20" ht="15.75" customHeight="1" x14ac:dyDescent="0.25">
      <c r="A179" s="188" t="s">
        <v>59</v>
      </c>
      <c r="B179" s="188"/>
      <c r="C179" s="188"/>
      <c r="D179" s="188"/>
      <c r="E179" s="188"/>
      <c r="F179" s="188"/>
      <c r="G179" s="188"/>
      <c r="H179" s="188"/>
      <c r="T179" s="34"/>
    </row>
    <row r="180" spans="1:20" x14ac:dyDescent="0.25">
      <c r="A180" s="153" t="s">
        <v>60</v>
      </c>
      <c r="B180" s="153"/>
      <c r="C180" s="153"/>
      <c r="D180" s="153"/>
      <c r="E180" s="153"/>
      <c r="F180" s="153"/>
      <c r="G180" s="153"/>
      <c r="H180" s="153"/>
      <c r="T180" s="34"/>
    </row>
    <row r="181" spans="1:20" x14ac:dyDescent="0.25">
      <c r="A181" s="153" t="s">
        <v>61</v>
      </c>
      <c r="B181" s="153"/>
      <c r="C181" s="153"/>
      <c r="D181" s="153"/>
      <c r="E181" s="153"/>
      <c r="F181" s="153"/>
      <c r="G181" s="153"/>
      <c r="H181" s="153"/>
      <c r="T181" s="34"/>
    </row>
    <row r="182" spans="1:20" x14ac:dyDescent="0.25">
      <c r="A182" s="153" t="s">
        <v>123</v>
      </c>
      <c r="B182" s="153"/>
      <c r="C182" s="153"/>
      <c r="D182" s="153"/>
      <c r="E182" s="153"/>
      <c r="F182" s="153"/>
      <c r="G182" s="153"/>
      <c r="H182" s="153"/>
      <c r="T182" s="34"/>
    </row>
    <row r="183" spans="1:20" ht="33.950000000000003" customHeight="1" x14ac:dyDescent="0.25">
      <c r="A183" s="154" t="s">
        <v>124</v>
      </c>
      <c r="B183" s="154"/>
      <c r="C183" s="154"/>
      <c r="D183" s="154"/>
      <c r="E183" s="154"/>
      <c r="F183" s="154"/>
      <c r="G183" s="154"/>
      <c r="H183" s="154"/>
    </row>
    <row r="184" spans="1:20" x14ac:dyDescent="0.25">
      <c r="A184" s="203" t="s">
        <v>73</v>
      </c>
      <c r="B184" s="203"/>
      <c r="C184" s="203" t="s">
        <v>424</v>
      </c>
      <c r="D184" s="203"/>
      <c r="E184" s="203" t="s">
        <v>103</v>
      </c>
      <c r="F184" s="203"/>
      <c r="G184" s="204" t="s">
        <v>423</v>
      </c>
      <c r="H184" s="204"/>
    </row>
    <row r="185" spans="1:20" x14ac:dyDescent="0.25">
      <c r="A185" s="202" t="s">
        <v>75</v>
      </c>
      <c r="B185" s="202"/>
      <c r="C185" s="202"/>
      <c r="D185" s="202"/>
      <c r="E185" s="202"/>
      <c r="F185" s="202"/>
      <c r="G185" s="202"/>
      <c r="H185" s="202"/>
    </row>
    <row r="186" spans="1:20" x14ac:dyDescent="0.25">
      <c r="A186" s="202"/>
      <c r="B186" s="202"/>
      <c r="C186" s="202"/>
      <c r="D186" s="202"/>
      <c r="E186" s="202"/>
      <c r="F186" s="202"/>
      <c r="G186" s="202"/>
      <c r="H186" s="202"/>
    </row>
    <row r="187" spans="1:20" x14ac:dyDescent="0.25">
      <c r="A187" s="202"/>
      <c r="B187" s="202"/>
      <c r="C187" s="202"/>
      <c r="D187" s="202"/>
      <c r="E187" s="202"/>
      <c r="F187" s="202"/>
      <c r="G187" s="202"/>
      <c r="H187" s="202"/>
    </row>
    <row r="188" spans="1:20" x14ac:dyDescent="0.25">
      <c r="A188" s="202"/>
      <c r="B188" s="202"/>
      <c r="C188" s="202"/>
      <c r="D188" s="202"/>
      <c r="E188" s="202"/>
      <c r="F188" s="202"/>
      <c r="G188" s="202"/>
      <c r="H188" s="202"/>
    </row>
    <row r="189" spans="1:20" x14ac:dyDescent="0.25">
      <c r="A189" s="37" t="s">
        <v>62</v>
      </c>
      <c r="B189" s="38"/>
      <c r="C189" s="38"/>
      <c r="D189" s="37" t="str">
        <f>E9</f>
        <v>Mira Residency</v>
      </c>
      <c r="F189" s="38"/>
      <c r="G189" s="38"/>
      <c r="H189" s="38"/>
    </row>
    <row r="190" spans="1:20" x14ac:dyDescent="0.25">
      <c r="A190" s="38"/>
      <c r="B190" s="38"/>
      <c r="C190" s="38"/>
      <c r="D190" s="38"/>
      <c r="E190" s="38"/>
      <c r="F190" s="38"/>
      <c r="G190" s="38"/>
      <c r="H190" s="38"/>
    </row>
    <row r="191" spans="1:20" x14ac:dyDescent="0.25">
      <c r="A191" s="38"/>
      <c r="B191" s="38"/>
      <c r="C191" s="38"/>
      <c r="D191" s="38"/>
      <c r="E191" s="38"/>
      <c r="F191" s="38"/>
      <c r="G191" s="38"/>
      <c r="H191" s="38"/>
    </row>
    <row r="192" spans="1:20" ht="15" customHeight="1" x14ac:dyDescent="0.25"/>
    <row r="233" spans="1:1" x14ac:dyDescent="0.25">
      <c r="A233" s="40" t="s">
        <v>164</v>
      </c>
    </row>
    <row r="277" spans="1:1" x14ac:dyDescent="0.25">
      <c r="A277" s="40" t="s">
        <v>430</v>
      </c>
    </row>
    <row r="321" spans="1:1" x14ac:dyDescent="0.25">
      <c r="A321" s="40" t="s">
        <v>63</v>
      </c>
    </row>
  </sheetData>
  <mergeCells count="335">
    <mergeCell ref="B176:H176"/>
    <mergeCell ref="B175:H175"/>
    <mergeCell ref="C113:C114"/>
    <mergeCell ref="B120:B121"/>
    <mergeCell ref="B164:H164"/>
    <mergeCell ref="B172:H172"/>
    <mergeCell ref="A94:E94"/>
    <mergeCell ref="A109:B109"/>
    <mergeCell ref="E109:F109"/>
    <mergeCell ref="A99:E99"/>
    <mergeCell ref="E105:F105"/>
    <mergeCell ref="G105:H105"/>
    <mergeCell ref="A105:B105"/>
    <mergeCell ref="C105:D105"/>
    <mergeCell ref="B170:H170"/>
    <mergeCell ref="A144:B144"/>
    <mergeCell ref="A148:B148"/>
    <mergeCell ref="A136:B136"/>
    <mergeCell ref="B169:H169"/>
    <mergeCell ref="A151:B151"/>
    <mergeCell ref="A159:B159"/>
    <mergeCell ref="B162:H162"/>
    <mergeCell ref="B163:H163"/>
    <mergeCell ref="B165:H165"/>
    <mergeCell ref="A133:B133"/>
    <mergeCell ref="L137:M137"/>
    <mergeCell ref="A142:B142"/>
    <mergeCell ref="A139:B139"/>
    <mergeCell ref="A140:B140"/>
    <mergeCell ref="A150:B150"/>
    <mergeCell ref="A40:B40"/>
    <mergeCell ref="C40:H40"/>
    <mergeCell ref="F113:F114"/>
    <mergeCell ref="C104:D104"/>
    <mergeCell ref="E104:F104"/>
    <mergeCell ref="B113:B114"/>
    <mergeCell ref="A113:A114"/>
    <mergeCell ref="C120:C121"/>
    <mergeCell ref="G120:G121"/>
    <mergeCell ref="L136:M136"/>
    <mergeCell ref="L133:M133"/>
    <mergeCell ref="A134:B134"/>
    <mergeCell ref="G110:H110"/>
    <mergeCell ref="L134:M134"/>
    <mergeCell ref="A135:B135"/>
    <mergeCell ref="L135:M135"/>
    <mergeCell ref="A81:B81"/>
    <mergeCell ref="E79:F88"/>
    <mergeCell ref="G79:H88"/>
    <mergeCell ref="L118:M118"/>
    <mergeCell ref="L117:M117"/>
    <mergeCell ref="L116:M116"/>
    <mergeCell ref="A86:B86"/>
    <mergeCell ref="C108:D108"/>
    <mergeCell ref="E108:F108"/>
    <mergeCell ref="G108:H108"/>
    <mergeCell ref="A90:E90"/>
    <mergeCell ref="A115:H115"/>
    <mergeCell ref="E113:E114"/>
    <mergeCell ref="F91:H91"/>
    <mergeCell ref="A91:E91"/>
    <mergeCell ref="E110:F110"/>
    <mergeCell ref="A116:B116"/>
    <mergeCell ref="A93:E93"/>
    <mergeCell ref="G113:G114"/>
    <mergeCell ref="F94:H94"/>
    <mergeCell ref="A118:B118"/>
    <mergeCell ref="F95:H95"/>
    <mergeCell ref="A97:E97"/>
    <mergeCell ref="A110:B110"/>
    <mergeCell ref="C54:H54"/>
    <mergeCell ref="A64:C64"/>
    <mergeCell ref="A68:C68"/>
    <mergeCell ref="A69:C69"/>
    <mergeCell ref="D68:H68"/>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A65:C65"/>
    <mergeCell ref="C57:E57"/>
    <mergeCell ref="G55:H55"/>
    <mergeCell ref="A57:B58"/>
    <mergeCell ref="A38:H38"/>
    <mergeCell ref="A74:C74"/>
    <mergeCell ref="D74:H74"/>
    <mergeCell ref="A73:C73"/>
    <mergeCell ref="G60:H60"/>
    <mergeCell ref="E42:H42"/>
    <mergeCell ref="A41:H41"/>
    <mergeCell ref="A78:B78"/>
    <mergeCell ref="A46:D46"/>
    <mergeCell ref="A47:D47"/>
    <mergeCell ref="D69:H69"/>
    <mergeCell ref="A44:D44"/>
    <mergeCell ref="E44:H44"/>
    <mergeCell ref="E45:H45"/>
    <mergeCell ref="E46:H46"/>
    <mergeCell ref="E47:H47"/>
    <mergeCell ref="C58:H58"/>
    <mergeCell ref="A48:H48"/>
    <mergeCell ref="D66:H66"/>
    <mergeCell ref="A66:C66"/>
    <mergeCell ref="A45:D45"/>
    <mergeCell ref="A49:B49"/>
    <mergeCell ref="C49:H49"/>
    <mergeCell ref="A67:C67"/>
    <mergeCell ref="D67:H67"/>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85:H188"/>
    <mergeCell ref="A184:B184"/>
    <mergeCell ref="E184:F184"/>
    <mergeCell ref="C184:D184"/>
    <mergeCell ref="G184:H184"/>
    <mergeCell ref="A102:H102"/>
    <mergeCell ref="A100:E100"/>
    <mergeCell ref="F100:H100"/>
    <mergeCell ref="A101:E101"/>
    <mergeCell ref="F101:H101"/>
    <mergeCell ref="A137:H137"/>
    <mergeCell ref="A108:B108"/>
    <mergeCell ref="A146:B146"/>
    <mergeCell ref="A104:B104"/>
    <mergeCell ref="A180:H180"/>
    <mergeCell ref="A106:H106"/>
    <mergeCell ref="A183:H183"/>
    <mergeCell ref="A181:H181"/>
    <mergeCell ref="A177:H177"/>
    <mergeCell ref="G107:H107"/>
    <mergeCell ref="B167:H167"/>
    <mergeCell ref="A152:B152"/>
    <mergeCell ref="A141:B141"/>
    <mergeCell ref="C110:D110"/>
    <mergeCell ref="B168:H168"/>
    <mergeCell ref="A182:H182"/>
    <mergeCell ref="A179:H179"/>
    <mergeCell ref="A138:B138"/>
    <mergeCell ref="A107:B107"/>
    <mergeCell ref="D120:D121"/>
    <mergeCell ref="E120:E121"/>
    <mergeCell ref="F90:H90"/>
    <mergeCell ref="G104:H104"/>
    <mergeCell ref="F96:H96"/>
    <mergeCell ref="C103:D103"/>
    <mergeCell ref="C109:D109"/>
    <mergeCell ref="A132:H132"/>
    <mergeCell ref="A147:B147"/>
    <mergeCell ref="B166:H166"/>
    <mergeCell ref="A156:B156"/>
    <mergeCell ref="A157:B157"/>
    <mergeCell ref="A160:B160"/>
    <mergeCell ref="B174:H174"/>
    <mergeCell ref="B173:H173"/>
    <mergeCell ref="F92:H92"/>
    <mergeCell ref="A96:E96"/>
    <mergeCell ref="D113:D114"/>
    <mergeCell ref="G109:H109"/>
    <mergeCell ref="B171:H171"/>
    <mergeCell ref="A178:H178"/>
    <mergeCell ref="A95:E95"/>
    <mergeCell ref="A85:B85"/>
    <mergeCell ref="I15:P15"/>
    <mergeCell ref="F99:H99"/>
    <mergeCell ref="F97:H97"/>
    <mergeCell ref="A145:B145"/>
    <mergeCell ref="A112:H112"/>
    <mergeCell ref="G103:H103"/>
    <mergeCell ref="A98:E98"/>
    <mergeCell ref="A117:B117"/>
    <mergeCell ref="A62:B62"/>
    <mergeCell ref="C62:E62"/>
    <mergeCell ref="D64:H64"/>
    <mergeCell ref="F98:H98"/>
    <mergeCell ref="E103:F103"/>
    <mergeCell ref="A103:B103"/>
    <mergeCell ref="C107:D107"/>
    <mergeCell ref="D72:H72"/>
    <mergeCell ref="D65:H65"/>
    <mergeCell ref="G62:H62"/>
    <mergeCell ref="A55:B56"/>
    <mergeCell ref="A119:H119"/>
    <mergeCell ref="A50:B50"/>
    <mergeCell ref="A161:H161"/>
    <mergeCell ref="A153:B153"/>
    <mergeCell ref="A154:B154"/>
    <mergeCell ref="A149:H149"/>
    <mergeCell ref="A143:H143"/>
    <mergeCell ref="A158:B158"/>
    <mergeCell ref="A155:H155"/>
    <mergeCell ref="A72:C72"/>
    <mergeCell ref="D73:H73"/>
    <mergeCell ref="A79:B79"/>
    <mergeCell ref="G78:H78"/>
    <mergeCell ref="A87:B87"/>
    <mergeCell ref="A88:B88"/>
    <mergeCell ref="A83:B83"/>
    <mergeCell ref="A82:B82"/>
    <mergeCell ref="E78:F78"/>
    <mergeCell ref="A80:B80"/>
    <mergeCell ref="E107:F107"/>
    <mergeCell ref="A111:H111"/>
    <mergeCell ref="A120:A121"/>
    <mergeCell ref="F120:F121"/>
    <mergeCell ref="A92:E92"/>
    <mergeCell ref="A89:E89"/>
    <mergeCell ref="F52:F53"/>
    <mergeCell ref="G52:H53"/>
    <mergeCell ref="A122:H122"/>
    <mergeCell ref="A123:B123"/>
    <mergeCell ref="L123:M123"/>
    <mergeCell ref="A124:B124"/>
    <mergeCell ref="L124:M124"/>
    <mergeCell ref="A125:B125"/>
    <mergeCell ref="L125:M125"/>
    <mergeCell ref="A84:B84"/>
    <mergeCell ref="F93:H93"/>
    <mergeCell ref="F89:H89"/>
    <mergeCell ref="A59:B61"/>
    <mergeCell ref="C61:H61"/>
    <mergeCell ref="C59:E60"/>
    <mergeCell ref="A63:H63"/>
    <mergeCell ref="A77:B77"/>
    <mergeCell ref="A75:B75"/>
    <mergeCell ref="C75:H75"/>
    <mergeCell ref="A70:C70"/>
    <mergeCell ref="D70:H70"/>
    <mergeCell ref="C77:H77"/>
    <mergeCell ref="A71:C71"/>
    <mergeCell ref="D71:H71"/>
    <mergeCell ref="A131:B131"/>
    <mergeCell ref="L131:M131"/>
    <mergeCell ref="C134:H136"/>
    <mergeCell ref="A126:B126"/>
    <mergeCell ref="L126:M126"/>
    <mergeCell ref="A127:H127"/>
    <mergeCell ref="A128:B128"/>
    <mergeCell ref="L128:M128"/>
    <mergeCell ref="A129:B129"/>
    <mergeCell ref="L129:M129"/>
    <mergeCell ref="A130:B130"/>
    <mergeCell ref="L130:M13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3:E114">
      <formula1>"Attached Loft area,Attached Otla area,Attached Mezzanine area"</formula1>
    </dataValidation>
    <dataValidation type="list" allowBlank="1" showInputMessage="1" showErrorMessage="1" sqref="G184:H184">
      <formula1>"Kunal Kadam,Pranita Mhatre,Shruti Fule,Pooja Kawale,Gaurav Panchal,Shruti Tathare, Dipti Gothawade,Saurav Panse, Sachin Sawant"</formula1>
    </dataValidation>
    <dataValidation type="list" allowBlank="1" showInputMessage="1" showErrorMessage="1" sqref="F89:H89">
      <formula1>"On Saleable Area,On Builtup Area,On Carpet Area,On Plot Area"</formula1>
    </dataValidation>
    <dataValidation type="list" allowBlank="1" showInputMessage="1" showErrorMessage="1" sqref="F100:H100">
      <formula1>OFFSET($S$89,1,MATCH($G20,$S$89:$W$89,0)-1,15,1)</formula1>
    </dataValidation>
    <dataValidation type="list" allowBlank="1" showInputMessage="1" showErrorMessage="1" sqref="B113:B114">
      <formula1>"Shop No. (Sale Plan),Sale / Rehab,Sale / Mhada"</formula1>
    </dataValidation>
    <dataValidation type="list" allowBlank="1" showInputMessage="1" showErrorMessage="1" sqref="B120:B12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0:E121">
      <formula1>"Fungible area,Balcony Area,Chajja Area,Cornice Area,AP Area,Balcony + Enclosed balcony + WS Area"</formula1>
    </dataValidation>
    <dataValidation type="list" allowBlank="1" showInputMessage="1" showErrorMessage="1" sqref="H114 H12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3 H120">
      <formula1>"Saleable area Loading :,Builder Saleable Area"</formula1>
    </dataValidation>
    <dataValidation type="list" allowBlank="1" showInputMessage="1" showErrorMessage="1" sqref="D113:D114">
      <formula1>"Carpet area,RERA Carpet area"</formula1>
    </dataValidation>
    <dataValidation type="list" allowBlank="1" showInputMessage="1" showErrorMessage="1" sqref="D120:D121">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74" max="16383" man="1"/>
    <brk id="110" max="16383" man="1"/>
    <brk id="188" max="16383" man="1"/>
    <brk id="232" max="16383" man="1"/>
    <brk id="276" max="7" man="1"/>
    <brk id="32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0" t="s">
        <v>104</v>
      </c>
      <c r="C3" s="280"/>
      <c r="D3" s="280"/>
      <c r="E3" s="280"/>
      <c r="F3" s="280"/>
      <c r="G3" s="280"/>
      <c r="H3" s="280"/>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179</v>
      </c>
      <c r="E4" s="53" t="s">
        <v>189</v>
      </c>
      <c r="F4" s="53" t="s">
        <v>172</v>
      </c>
      <c r="G4" s="53" t="s">
        <v>194</v>
      </c>
      <c r="H4" s="53" t="s">
        <v>212</v>
      </c>
      <c r="J4" t="s">
        <v>194</v>
      </c>
      <c r="K4" t="s">
        <v>210</v>
      </c>
    </row>
    <row r="5" spans="2:11" x14ac:dyDescent="0.25">
      <c r="B5" s="52"/>
      <c r="C5" s="52"/>
      <c r="D5" s="53" t="s">
        <v>180</v>
      </c>
      <c r="E5" s="53" t="s">
        <v>187</v>
      </c>
      <c r="F5" s="53" t="s">
        <v>209</v>
      </c>
      <c r="G5" s="53" t="s">
        <v>195</v>
      </c>
      <c r="H5" s="53" t="s">
        <v>213</v>
      </c>
    </row>
    <row r="6" spans="2:11" x14ac:dyDescent="0.25">
      <c r="B6" s="52"/>
      <c r="C6" s="52"/>
      <c r="D6" s="53" t="s">
        <v>181</v>
      </c>
      <c r="E6" s="53" t="s">
        <v>188</v>
      </c>
      <c r="F6" s="53" t="s">
        <v>210</v>
      </c>
      <c r="G6" s="53" t="s">
        <v>196</v>
      </c>
      <c r="H6" s="53" t="s">
        <v>226</v>
      </c>
    </row>
    <row r="7" spans="2:11" x14ac:dyDescent="0.25">
      <c r="B7" s="52"/>
      <c r="C7" s="52"/>
      <c r="D7" s="53" t="s">
        <v>182</v>
      </c>
      <c r="E7" s="53" t="s">
        <v>190</v>
      </c>
      <c r="F7" s="53" t="s">
        <v>211</v>
      </c>
      <c r="G7" s="53" t="s">
        <v>197</v>
      </c>
      <c r="H7" s="53" t="s">
        <v>214</v>
      </c>
    </row>
    <row r="8" spans="2:11" x14ac:dyDescent="0.25">
      <c r="B8" s="52"/>
      <c r="C8" s="52"/>
      <c r="D8" s="53" t="s">
        <v>183</v>
      </c>
      <c r="E8" s="53" t="s">
        <v>191</v>
      </c>
      <c r="F8" s="53"/>
      <c r="G8" s="53" t="s">
        <v>198</v>
      </c>
      <c r="H8" s="53" t="s">
        <v>215</v>
      </c>
    </row>
    <row r="9" spans="2:11" x14ac:dyDescent="0.25">
      <c r="B9" s="52"/>
      <c r="C9" s="52"/>
      <c r="D9" s="53" t="s">
        <v>184</v>
      </c>
      <c r="E9" s="53" t="s">
        <v>189</v>
      </c>
      <c r="F9" s="53"/>
      <c r="G9" s="53" t="s">
        <v>199</v>
      </c>
      <c r="H9" s="53" t="s">
        <v>216</v>
      </c>
    </row>
    <row r="10" spans="2:11" x14ac:dyDescent="0.25">
      <c r="B10" s="52"/>
      <c r="C10" s="52"/>
      <c r="D10" s="53" t="s">
        <v>185</v>
      </c>
      <c r="E10" s="53" t="s">
        <v>192</v>
      </c>
      <c r="F10" s="53"/>
      <c r="G10" s="53" t="s">
        <v>200</v>
      </c>
      <c r="H10" s="53" t="s">
        <v>217</v>
      </c>
    </row>
    <row r="11" spans="2:11" x14ac:dyDescent="0.25">
      <c r="B11" s="52"/>
      <c r="C11" s="52"/>
      <c r="D11" s="53" t="s">
        <v>186</v>
      </c>
      <c r="E11" s="53" t="s">
        <v>193</v>
      </c>
      <c r="F11" s="53"/>
      <c r="G11" s="53" t="s">
        <v>201</v>
      </c>
      <c r="H11" s="53" t="s">
        <v>218</v>
      </c>
    </row>
    <row r="12" spans="2:11" x14ac:dyDescent="0.25">
      <c r="B12" s="52"/>
      <c r="C12" s="52"/>
      <c r="D12" s="53"/>
      <c r="E12" s="53"/>
      <c r="F12" s="53"/>
      <c r="G12" s="53" t="s">
        <v>202</v>
      </c>
      <c r="H12" s="53" t="s">
        <v>219</v>
      </c>
    </row>
    <row r="13" spans="2:11" x14ac:dyDescent="0.25">
      <c r="B13" s="52"/>
      <c r="C13" s="52"/>
      <c r="D13" s="53"/>
      <c r="E13" s="53"/>
      <c r="F13" s="53"/>
      <c r="G13" s="53" t="s">
        <v>203</v>
      </c>
      <c r="H13" s="53" t="s">
        <v>220</v>
      </c>
    </row>
    <row r="14" spans="2:11" x14ac:dyDescent="0.25">
      <c r="B14" s="52"/>
      <c r="C14" s="52"/>
      <c r="D14" s="53"/>
      <c r="E14" s="53"/>
      <c r="F14" s="53"/>
      <c r="G14" s="53" t="s">
        <v>204</v>
      </c>
      <c r="H14" s="53" t="s">
        <v>221</v>
      </c>
    </row>
    <row r="15" spans="2:11" x14ac:dyDescent="0.25">
      <c r="B15" s="52"/>
      <c r="C15" s="52"/>
      <c r="D15" s="53"/>
      <c r="E15" s="53"/>
      <c r="F15" s="53"/>
      <c r="G15" s="53" t="s">
        <v>205</v>
      </c>
      <c r="H15" s="53" t="s">
        <v>222</v>
      </c>
    </row>
    <row r="16" spans="2:11" x14ac:dyDescent="0.25">
      <c r="B16" s="52"/>
      <c r="C16" s="52"/>
      <c r="D16" s="53"/>
      <c r="E16" s="53"/>
      <c r="F16" s="53"/>
      <c r="G16" s="53" t="s">
        <v>206</v>
      </c>
      <c r="H16" s="53" t="s">
        <v>223</v>
      </c>
    </row>
    <row r="17" spans="2:8" x14ac:dyDescent="0.25">
      <c r="B17" s="52"/>
      <c r="C17" s="52"/>
      <c r="D17" s="53"/>
      <c r="E17" s="53"/>
      <c r="F17" s="53"/>
      <c r="G17" s="53" t="s">
        <v>207</v>
      </c>
      <c r="H17" s="53" t="s">
        <v>224</v>
      </c>
    </row>
    <row r="18" spans="2:8" x14ac:dyDescent="0.25">
      <c r="B18" s="52"/>
      <c r="C18" s="52"/>
      <c r="D18" s="53"/>
      <c r="E18" s="53"/>
      <c r="F18" s="53"/>
      <c r="G18" s="53" t="s">
        <v>208</v>
      </c>
      <c r="H18" s="53" t="s">
        <v>225</v>
      </c>
    </row>
    <row r="24" spans="2:8" x14ac:dyDescent="0.25">
      <c r="C24" t="s">
        <v>169</v>
      </c>
    </row>
    <row r="25" spans="2:8" x14ac:dyDescent="0.25">
      <c r="C25" t="s">
        <v>227</v>
      </c>
    </row>
    <row r="26" spans="2:8" x14ac:dyDescent="0.25">
      <c r="C26" t="s">
        <v>228</v>
      </c>
    </row>
    <row r="27" spans="2:8" x14ac:dyDescent="0.25">
      <c r="C27" t="s">
        <v>229</v>
      </c>
    </row>
    <row r="28" spans="2:8" x14ac:dyDescent="0.25">
      <c r="C28" t="s">
        <v>230</v>
      </c>
    </row>
    <row r="29" spans="2:8" x14ac:dyDescent="0.25">
      <c r="C29" t="s">
        <v>231</v>
      </c>
    </row>
    <row r="30" spans="2:8" x14ac:dyDescent="0.25">
      <c r="C30" t="s">
        <v>169</v>
      </c>
    </row>
    <row r="33" spans="3:11" x14ac:dyDescent="0.25">
      <c r="J33">
        <v>1</v>
      </c>
      <c r="K33">
        <v>2</v>
      </c>
    </row>
    <row r="34" spans="3:11" x14ac:dyDescent="0.25">
      <c r="C34" s="54" t="s">
        <v>236</v>
      </c>
      <c r="D34" s="53" t="s">
        <v>234</v>
      </c>
      <c r="E34" s="53" t="s">
        <v>239</v>
      </c>
      <c r="F34" s="53" t="s">
        <v>237</v>
      </c>
      <c r="G34" s="53" t="s">
        <v>238</v>
      </c>
      <c r="H34" s="53" t="s">
        <v>240</v>
      </c>
      <c r="J34" t="s">
        <v>194</v>
      </c>
      <c r="K34" t="s">
        <v>210</v>
      </c>
    </row>
    <row r="35" spans="3:11" x14ac:dyDescent="0.25">
      <c r="C35" s="52" t="s">
        <v>235</v>
      </c>
      <c r="D35" s="53" t="s">
        <v>170</v>
      </c>
      <c r="E35" s="53" t="s">
        <v>244</v>
      </c>
      <c r="F35" s="53" t="s">
        <v>246</v>
      </c>
      <c r="G35" s="53" t="s">
        <v>248</v>
      </c>
      <c r="H35" s="53"/>
    </row>
    <row r="36" spans="3:11" x14ac:dyDescent="0.25">
      <c r="C36" s="52"/>
      <c r="D36" s="53" t="s">
        <v>241</v>
      </c>
      <c r="E36" s="53" t="s">
        <v>245</v>
      </c>
      <c r="F36" s="53" t="s">
        <v>247</v>
      </c>
      <c r="G36" s="53" t="s">
        <v>249</v>
      </c>
      <c r="H36" s="53"/>
    </row>
    <row r="37" spans="3:11" x14ac:dyDescent="0.25">
      <c r="C37" s="52"/>
      <c r="D37" s="53" t="s">
        <v>242</v>
      </c>
      <c r="E37" s="53"/>
      <c r="F37" s="53"/>
      <c r="G37" s="53" t="s">
        <v>250</v>
      </c>
      <c r="H37" s="53"/>
    </row>
    <row r="38" spans="3:11" x14ac:dyDescent="0.25">
      <c r="C38" s="52"/>
      <c r="D38" s="53" t="s">
        <v>243</v>
      </c>
      <c r="E38" s="53"/>
      <c r="F38" s="53"/>
      <c r="G38" s="53" t="s">
        <v>250</v>
      </c>
      <c r="H38" s="53"/>
    </row>
    <row r="39" spans="3:11" x14ac:dyDescent="0.25">
      <c r="C39" s="52"/>
      <c r="D39" s="53"/>
      <c r="E39" s="53"/>
      <c r="F39" s="53"/>
      <c r="G39" s="53" t="s">
        <v>251</v>
      </c>
      <c r="H39" s="53"/>
    </row>
    <row r="40" spans="3:11" x14ac:dyDescent="0.25">
      <c r="C40" s="52"/>
      <c r="D40" s="53"/>
      <c r="E40" s="53"/>
      <c r="F40" s="53"/>
      <c r="G40" s="53" t="s">
        <v>252</v>
      </c>
      <c r="H40" s="53"/>
    </row>
    <row r="41" spans="3:11" x14ac:dyDescent="0.25">
      <c r="C41" s="52"/>
      <c r="D41" s="53"/>
      <c r="E41" s="53"/>
      <c r="F41" s="53"/>
      <c r="G41" s="53"/>
      <c r="H41" s="53"/>
    </row>
    <row r="43" spans="3:11" x14ac:dyDescent="0.25">
      <c r="C43" t="s">
        <v>253</v>
      </c>
    </row>
    <row r="44" spans="3:11" x14ac:dyDescent="0.25">
      <c r="C44" t="s">
        <v>172</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179</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194</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189</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zoomScaleNormal="100" workbookViewId="0">
      <selection activeCell="C24" sqref="C24"/>
    </sheetView>
  </sheetViews>
  <sheetFormatPr defaultRowHeight="15" x14ac:dyDescent="0.25"/>
  <cols>
    <col min="2" max="2" width="3" bestFit="1" customWidth="1"/>
    <col min="3" max="3" width="155.28515625" customWidth="1"/>
  </cols>
  <sheetData>
    <row r="2" spans="2:3" ht="15" customHeight="1" x14ac:dyDescent="0.25">
      <c r="B2" s="55">
        <v>1</v>
      </c>
      <c r="C2" s="57" t="s">
        <v>283</v>
      </c>
    </row>
    <row r="3" spans="2:3" x14ac:dyDescent="0.25">
      <c r="B3" s="55">
        <v>2</v>
      </c>
      <c r="C3" s="56" t="s">
        <v>284</v>
      </c>
    </row>
    <row r="4" spans="2:3" x14ac:dyDescent="0.25">
      <c r="B4" s="55">
        <v>3</v>
      </c>
      <c r="C4" s="55" t="s">
        <v>285</v>
      </c>
    </row>
    <row r="5" spans="2:3" x14ac:dyDescent="0.25">
      <c r="B5" s="55">
        <v>4</v>
      </c>
      <c r="C5" s="56" t="s">
        <v>286</v>
      </c>
    </row>
    <row r="6" spans="2:3" x14ac:dyDescent="0.25">
      <c r="B6" s="55">
        <v>5</v>
      </c>
      <c r="C6" s="55" t="s">
        <v>287</v>
      </c>
    </row>
    <row r="7" spans="2:3" ht="30" x14ac:dyDescent="0.25">
      <c r="B7" s="55">
        <v>6</v>
      </c>
      <c r="C7" s="56" t="s">
        <v>288</v>
      </c>
    </row>
    <row r="8" spans="2:3" ht="75" x14ac:dyDescent="0.25">
      <c r="B8" s="55">
        <v>7</v>
      </c>
      <c r="C8" s="56" t="s">
        <v>289</v>
      </c>
    </row>
    <row r="9" spans="2:3" x14ac:dyDescent="0.25">
      <c r="B9" s="55">
        <v>8</v>
      </c>
      <c r="C9" s="55" t="s">
        <v>290</v>
      </c>
    </row>
    <row r="10" spans="2:3" x14ac:dyDescent="0.25">
      <c r="B10" s="55">
        <v>9</v>
      </c>
      <c r="C10" s="55" t="s">
        <v>291</v>
      </c>
    </row>
    <row r="11" spans="2:3" x14ac:dyDescent="0.25">
      <c r="B11" s="55">
        <v>10</v>
      </c>
      <c r="C11" s="55" t="s">
        <v>292</v>
      </c>
    </row>
    <row r="12" spans="2:3" x14ac:dyDescent="0.25">
      <c r="B12" s="55">
        <v>11</v>
      </c>
      <c r="C12" s="55" t="s">
        <v>293</v>
      </c>
    </row>
    <row r="13" spans="2:3" x14ac:dyDescent="0.25">
      <c r="B13" s="55">
        <v>12</v>
      </c>
      <c r="C13" s="55" t="s">
        <v>294</v>
      </c>
    </row>
    <row r="14" spans="2:3" x14ac:dyDescent="0.25">
      <c r="B14" s="55">
        <v>13</v>
      </c>
      <c r="C14" s="55" t="s">
        <v>295</v>
      </c>
    </row>
    <row r="15" spans="2:3" x14ac:dyDescent="0.25">
      <c r="B15" s="55">
        <v>14</v>
      </c>
      <c r="C15" s="55" t="s">
        <v>285</v>
      </c>
    </row>
    <row r="16" spans="2:3" x14ac:dyDescent="0.25">
      <c r="B16" s="55">
        <v>15</v>
      </c>
      <c r="C16" s="55" t="s">
        <v>297</v>
      </c>
    </row>
    <row r="17" spans="2:3" x14ac:dyDescent="0.25">
      <c r="B17" s="74">
        <v>16</v>
      </c>
      <c r="C17" s="60" t="s">
        <v>298</v>
      </c>
    </row>
    <row r="18" spans="2:3" x14ac:dyDescent="0.25">
      <c r="B18" s="59">
        <v>17</v>
      </c>
      <c r="C18" s="60" t="s">
        <v>299</v>
      </c>
    </row>
    <row r="19" spans="2:3" x14ac:dyDescent="0.25">
      <c r="B19" s="58">
        <v>18</v>
      </c>
      <c r="C19" s="55" t="s">
        <v>300</v>
      </c>
    </row>
    <row r="20" spans="2:3" x14ac:dyDescent="0.25">
      <c r="B20" s="59">
        <v>19</v>
      </c>
      <c r="C20" s="55" t="s">
        <v>336</v>
      </c>
    </row>
    <row r="21" spans="2:3" x14ac:dyDescent="0.25">
      <c r="B21" s="55">
        <v>20</v>
      </c>
      <c r="C21" s="55" t="s">
        <v>301</v>
      </c>
    </row>
    <row r="22" spans="2:3" x14ac:dyDescent="0.25">
      <c r="B22" s="59">
        <v>21</v>
      </c>
      <c r="C22" s="55" t="s">
        <v>300</v>
      </c>
    </row>
    <row r="23" spans="2:3" s="69" customFormat="1" ht="29.25" customHeight="1" x14ac:dyDescent="0.25">
      <c r="B23" s="68">
        <v>22</v>
      </c>
      <c r="C23" s="57" t="s">
        <v>328</v>
      </c>
    </row>
    <row r="24" spans="2:3" s="69" customFormat="1" ht="30.75" customHeight="1" x14ac:dyDescent="0.25">
      <c r="B24" s="70">
        <v>23</v>
      </c>
      <c r="C24" s="57" t="s">
        <v>329</v>
      </c>
    </row>
    <row r="25" spans="2:3" x14ac:dyDescent="0.25">
      <c r="B25" s="55">
        <v>24</v>
      </c>
      <c r="C25" s="55" t="s">
        <v>332</v>
      </c>
    </row>
    <row r="26" spans="2:3" x14ac:dyDescent="0.25">
      <c r="B26" s="59">
        <v>25</v>
      </c>
      <c r="C26" s="55" t="s">
        <v>330</v>
      </c>
    </row>
    <row r="27" spans="2:3" x14ac:dyDescent="0.25">
      <c r="B27" s="70">
        <v>26</v>
      </c>
      <c r="C27" s="55" t="s">
        <v>331</v>
      </c>
    </row>
    <row r="28" spans="2:3" x14ac:dyDescent="0.25">
      <c r="B28" s="59">
        <v>27</v>
      </c>
      <c r="C28" s="55" t="s">
        <v>333</v>
      </c>
    </row>
    <row r="29" spans="2:3" ht="60" x14ac:dyDescent="0.25">
      <c r="B29" s="73">
        <v>28</v>
      </c>
      <c r="C29" s="56" t="s">
        <v>334</v>
      </c>
    </row>
    <row r="30" spans="2:3" x14ac:dyDescent="0.25">
      <c r="B30" s="70">
        <v>29</v>
      </c>
      <c r="C30" s="55" t="s">
        <v>335</v>
      </c>
    </row>
    <row r="31" spans="2:3" ht="30" x14ac:dyDescent="0.25">
      <c r="B31" s="70">
        <v>30</v>
      </c>
      <c r="C31" s="56" t="s">
        <v>337</v>
      </c>
    </row>
    <row r="32" spans="2:3" x14ac:dyDescent="0.25">
      <c r="B32" s="70">
        <v>31</v>
      </c>
      <c r="C32" s="55" t="s">
        <v>338</v>
      </c>
    </row>
    <row r="33" spans="2:4" x14ac:dyDescent="0.25">
      <c r="B33" s="70">
        <v>32</v>
      </c>
      <c r="C33" s="55" t="s">
        <v>339</v>
      </c>
    </row>
    <row r="34" spans="2:4" ht="36.75" customHeight="1" x14ac:dyDescent="0.25">
      <c r="B34" s="70">
        <v>33</v>
      </c>
      <c r="C34" s="60" t="s">
        <v>340</v>
      </c>
    </row>
    <row r="35" spans="2:4" x14ac:dyDescent="0.25">
      <c r="B35" s="68">
        <v>34</v>
      </c>
      <c r="C35" s="55" t="s">
        <v>348</v>
      </c>
    </row>
    <row r="36" spans="2:4" ht="60" x14ac:dyDescent="0.25">
      <c r="B36" s="68">
        <v>35</v>
      </c>
      <c r="C36" s="56" t="s">
        <v>352</v>
      </c>
    </row>
    <row r="37" spans="2:4" x14ac:dyDescent="0.25">
      <c r="B37" s="55">
        <v>36</v>
      </c>
      <c r="C37" s="56" t="s">
        <v>363</v>
      </c>
    </row>
    <row r="38" spans="2:4" x14ac:dyDescent="0.25">
      <c r="B38" s="55">
        <f t="shared" ref="B38:B44" si="0">B37+1</f>
        <v>37</v>
      </c>
      <c r="C38" s="55" t="s">
        <v>359</v>
      </c>
    </row>
    <row r="39" spans="2:4" x14ac:dyDescent="0.25">
      <c r="B39" s="55">
        <f t="shared" si="0"/>
        <v>38</v>
      </c>
      <c r="C39" s="55" t="s">
        <v>360</v>
      </c>
    </row>
    <row r="40" spans="2:4" x14ac:dyDescent="0.25">
      <c r="B40" s="55">
        <f t="shared" si="0"/>
        <v>39</v>
      </c>
      <c r="C40" s="55" t="s">
        <v>361</v>
      </c>
    </row>
    <row r="41" spans="2:4" x14ac:dyDescent="0.25">
      <c r="B41" s="55">
        <f t="shared" si="0"/>
        <v>40</v>
      </c>
      <c r="C41" s="55" t="s">
        <v>362</v>
      </c>
    </row>
    <row r="42" spans="2:4" ht="30.75" thickBot="1" x14ac:dyDescent="0.3">
      <c r="B42" s="77">
        <f t="shared" si="0"/>
        <v>41</v>
      </c>
      <c r="C42" s="78" t="s">
        <v>364</v>
      </c>
    </row>
    <row r="43" spans="2:4" ht="30" x14ac:dyDescent="0.25">
      <c r="B43" s="81">
        <f t="shared" si="0"/>
        <v>42</v>
      </c>
      <c r="C43" s="86" t="s">
        <v>369</v>
      </c>
      <c r="D43" t="s">
        <v>370</v>
      </c>
    </row>
    <row r="44" spans="2:4" ht="15.75" thickBot="1" x14ac:dyDescent="0.3">
      <c r="B44" s="83">
        <f t="shared" si="0"/>
        <v>43</v>
      </c>
      <c r="C44" s="85" t="s">
        <v>365</v>
      </c>
    </row>
    <row r="45" spans="2:4" ht="15.75" thickBot="1" x14ac:dyDescent="0.3">
      <c r="B45" s="79">
        <f t="shared" ref="B45:B54" si="1">B44+1</f>
        <v>44</v>
      </c>
      <c r="C45" s="80" t="s">
        <v>366</v>
      </c>
    </row>
    <row r="46" spans="2:4" ht="30" x14ac:dyDescent="0.25">
      <c r="B46" s="81">
        <f t="shared" si="1"/>
        <v>45</v>
      </c>
      <c r="C46" s="82" t="s">
        <v>367</v>
      </c>
    </row>
    <row r="47" spans="2:4" ht="15.75" thickBot="1" x14ac:dyDescent="0.3">
      <c r="B47" s="83">
        <f t="shared" si="1"/>
        <v>46</v>
      </c>
      <c r="C47" s="84" t="s">
        <v>368</v>
      </c>
    </row>
    <row r="48" spans="2:4" x14ac:dyDescent="0.25">
      <c r="B48" s="87">
        <f t="shared" si="1"/>
        <v>47</v>
      </c>
      <c r="C48" s="88" t="s">
        <v>371</v>
      </c>
    </row>
    <row r="49" spans="2:4" x14ac:dyDescent="0.25">
      <c r="B49" s="87">
        <f t="shared" si="1"/>
        <v>48</v>
      </c>
      <c r="C49" s="88" t="s">
        <v>372</v>
      </c>
    </row>
    <row r="50" spans="2:4" x14ac:dyDescent="0.25">
      <c r="B50" s="87">
        <f t="shared" si="1"/>
        <v>49</v>
      </c>
      <c r="C50" s="88" t="s">
        <v>374</v>
      </c>
      <c r="D50" t="s">
        <v>373</v>
      </c>
    </row>
    <row r="51" spans="2:4" ht="30" x14ac:dyDescent="0.25">
      <c r="B51" s="89">
        <f t="shared" si="1"/>
        <v>50</v>
      </c>
      <c r="C51" s="90" t="s">
        <v>375</v>
      </c>
    </row>
    <row r="52" spans="2:4" x14ac:dyDescent="0.25">
      <c r="B52" s="89">
        <f t="shared" si="1"/>
        <v>51</v>
      </c>
      <c r="C52" s="91" t="s">
        <v>378</v>
      </c>
      <c r="D52" t="s">
        <v>379</v>
      </c>
    </row>
    <row r="53" spans="2:4" x14ac:dyDescent="0.25">
      <c r="B53" s="89">
        <f t="shared" si="1"/>
        <v>52</v>
      </c>
      <c r="C53" s="91" t="s">
        <v>381</v>
      </c>
      <c r="D53" t="s">
        <v>382</v>
      </c>
    </row>
    <row r="54" spans="2:4" ht="45" x14ac:dyDescent="0.25">
      <c r="B54" s="89">
        <f t="shared" si="1"/>
        <v>53</v>
      </c>
      <c r="C54" s="93" t="s">
        <v>386</v>
      </c>
      <c r="D54" t="s">
        <v>385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52"/>
    <col min="2" max="2" width="12.28515625" style="52" customWidth="1"/>
    <col min="3" max="16384" width="9.140625" style="52"/>
  </cols>
  <sheetData>
    <row r="2" spans="1:12" x14ac:dyDescent="0.25">
      <c r="B2" s="62" t="s">
        <v>302</v>
      </c>
      <c r="C2" s="281"/>
      <c r="D2" s="281"/>
    </row>
    <row r="3" spans="1:12" x14ac:dyDescent="0.25">
      <c r="D3" s="63"/>
      <c r="E3" s="63"/>
      <c r="F3" s="63"/>
      <c r="G3" s="63"/>
      <c r="H3" s="63"/>
      <c r="I3" s="63"/>
    </row>
    <row r="4" spans="1:12" x14ac:dyDescent="0.25">
      <c r="A4" s="62" t="s">
        <v>65</v>
      </c>
      <c r="B4" s="64" t="s">
        <v>303</v>
      </c>
      <c r="C4" s="282" t="s">
        <v>304</v>
      </c>
      <c r="D4" s="282"/>
      <c r="E4" s="282"/>
      <c r="F4" s="64"/>
      <c r="G4" s="283" t="s">
        <v>305</v>
      </c>
      <c r="H4" s="283"/>
      <c r="I4" s="283"/>
      <c r="J4" s="284" t="s">
        <v>306</v>
      </c>
      <c r="K4" s="284"/>
      <c r="L4" s="284"/>
    </row>
    <row r="5" spans="1:12" x14ac:dyDescent="0.25">
      <c r="A5" s="62"/>
      <c r="B5" s="64"/>
      <c r="C5" s="64" t="s">
        <v>307</v>
      </c>
      <c r="D5" s="64" t="s">
        <v>308</v>
      </c>
      <c r="E5" s="64" t="s">
        <v>309</v>
      </c>
      <c r="F5" s="64"/>
      <c r="G5" s="64" t="s">
        <v>307</v>
      </c>
      <c r="H5" s="64" t="s">
        <v>308</v>
      </c>
      <c r="I5" s="64" t="s">
        <v>309</v>
      </c>
      <c r="J5" s="64" t="s">
        <v>307</v>
      </c>
      <c r="K5" s="64" t="s">
        <v>308</v>
      </c>
      <c r="L5" s="64" t="s">
        <v>309</v>
      </c>
    </row>
    <row r="6" spans="1:12" x14ac:dyDescent="0.25">
      <c r="B6" s="53" t="s">
        <v>310</v>
      </c>
      <c r="C6" s="53"/>
      <c r="D6" s="53"/>
      <c r="E6" s="53">
        <f>C6*D6</f>
        <v>0</v>
      </c>
      <c r="F6" s="53" t="s">
        <v>327</v>
      </c>
      <c r="G6" s="53"/>
      <c r="H6" s="53"/>
      <c r="I6" s="53">
        <f>G6*H6</f>
        <v>0</v>
      </c>
      <c r="J6" s="53"/>
      <c r="K6" s="53"/>
      <c r="L6" s="53">
        <f>J6*K6</f>
        <v>0</v>
      </c>
    </row>
    <row r="7" spans="1:12" x14ac:dyDescent="0.25">
      <c r="B7" s="53"/>
      <c r="C7" s="53"/>
      <c r="D7" s="53"/>
      <c r="E7" s="53">
        <f t="shared" ref="E7:E41" si="0">C7*D7</f>
        <v>0</v>
      </c>
      <c r="F7" s="53" t="s">
        <v>327</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311</v>
      </c>
      <c r="G9" s="53"/>
      <c r="H9" s="53"/>
      <c r="I9" s="53">
        <f t="shared" si="1"/>
        <v>0</v>
      </c>
      <c r="J9" s="53"/>
      <c r="K9" s="53"/>
      <c r="L9" s="53">
        <f t="shared" si="2"/>
        <v>0</v>
      </c>
    </row>
    <row r="10" spans="1:12" x14ac:dyDescent="0.25">
      <c r="B10" s="53" t="s">
        <v>312</v>
      </c>
      <c r="C10" s="53"/>
      <c r="D10" s="53"/>
      <c r="E10" s="53">
        <f t="shared" si="0"/>
        <v>0</v>
      </c>
      <c r="F10" s="53" t="s">
        <v>311</v>
      </c>
      <c r="G10" s="53"/>
      <c r="H10" s="53"/>
      <c r="I10" s="53">
        <f t="shared" si="1"/>
        <v>0</v>
      </c>
      <c r="J10" s="53"/>
      <c r="K10" s="53"/>
      <c r="L10" s="53">
        <f t="shared" si="2"/>
        <v>0</v>
      </c>
    </row>
    <row r="11" spans="1:12" x14ac:dyDescent="0.25">
      <c r="B11" s="53"/>
      <c r="C11" s="53"/>
      <c r="D11" s="53"/>
      <c r="E11" s="53">
        <f t="shared" si="0"/>
        <v>0</v>
      </c>
      <c r="F11" s="53" t="s">
        <v>313</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314</v>
      </c>
      <c r="C14" s="53"/>
      <c r="D14" s="53"/>
      <c r="E14" s="53">
        <f t="shared" si="0"/>
        <v>0</v>
      </c>
      <c r="F14" s="53" t="s">
        <v>311</v>
      </c>
      <c r="G14" s="53"/>
      <c r="H14" s="53"/>
      <c r="I14" s="53">
        <f t="shared" si="1"/>
        <v>0</v>
      </c>
      <c r="J14" s="53"/>
      <c r="K14" s="53"/>
      <c r="L14" s="53">
        <f t="shared" si="2"/>
        <v>0</v>
      </c>
    </row>
    <row r="15" spans="1:12" x14ac:dyDescent="0.25">
      <c r="B15" s="53"/>
      <c r="C15" s="53"/>
      <c r="D15" s="53"/>
      <c r="E15" s="53">
        <f t="shared" si="0"/>
        <v>0</v>
      </c>
      <c r="F15" s="53" t="s">
        <v>313</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315</v>
      </c>
      <c r="C18" s="53"/>
      <c r="D18" s="53"/>
      <c r="E18" s="53">
        <f t="shared" si="0"/>
        <v>0</v>
      </c>
      <c r="F18" s="53" t="s">
        <v>311</v>
      </c>
      <c r="G18" s="53"/>
      <c r="H18" s="53"/>
      <c r="I18" s="53">
        <f t="shared" si="1"/>
        <v>0</v>
      </c>
      <c r="J18" s="53"/>
      <c r="K18" s="53"/>
      <c r="L18" s="53">
        <f t="shared" si="2"/>
        <v>0</v>
      </c>
    </row>
    <row r="19" spans="2:12" x14ac:dyDescent="0.25">
      <c r="B19" s="53"/>
      <c r="C19" s="53"/>
      <c r="D19" s="53"/>
      <c r="E19" s="53">
        <f t="shared" si="0"/>
        <v>0</v>
      </c>
      <c r="F19" s="53" t="s">
        <v>313</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316</v>
      </c>
      <c r="C21" s="53"/>
      <c r="D21" s="53"/>
      <c r="E21" s="53">
        <f t="shared" si="0"/>
        <v>0</v>
      </c>
      <c r="F21" s="53" t="s">
        <v>311</v>
      </c>
      <c r="G21" s="53"/>
      <c r="H21" s="53"/>
      <c r="I21" s="53">
        <f t="shared" si="1"/>
        <v>0</v>
      </c>
      <c r="J21" s="53"/>
      <c r="K21" s="53"/>
      <c r="L21" s="53">
        <f t="shared" si="2"/>
        <v>0</v>
      </c>
    </row>
    <row r="22" spans="2:12" x14ac:dyDescent="0.25">
      <c r="B22" s="53"/>
      <c r="C22" s="53"/>
      <c r="D22" s="53"/>
      <c r="E22" s="53">
        <f t="shared" si="0"/>
        <v>0</v>
      </c>
      <c r="F22" s="53" t="s">
        <v>313</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317</v>
      </c>
      <c r="C24" s="53"/>
      <c r="D24" s="53"/>
      <c r="E24" s="53">
        <f t="shared" si="0"/>
        <v>0</v>
      </c>
      <c r="F24" s="53" t="s">
        <v>318</v>
      </c>
      <c r="G24" s="53"/>
      <c r="H24" s="53"/>
      <c r="I24" s="53">
        <f t="shared" si="1"/>
        <v>0</v>
      </c>
      <c r="J24" s="53"/>
      <c r="K24" s="53"/>
      <c r="L24" s="53">
        <f t="shared" si="2"/>
        <v>0</v>
      </c>
    </row>
    <row r="25" spans="2:12" x14ac:dyDescent="0.25">
      <c r="B25" s="53"/>
      <c r="C25" s="53"/>
      <c r="D25" s="53"/>
      <c r="E25" s="53">
        <f>C25*D25</f>
        <v>0</v>
      </c>
      <c r="F25" s="53" t="s">
        <v>318</v>
      </c>
      <c r="G25" s="53"/>
      <c r="H25" s="53"/>
      <c r="I25" s="53">
        <f>G25*H25</f>
        <v>0</v>
      </c>
      <c r="J25" s="53"/>
      <c r="K25" s="53"/>
      <c r="L25" s="53">
        <f>J25*K25</f>
        <v>0</v>
      </c>
    </row>
    <row r="26" spans="2:12" x14ac:dyDescent="0.25">
      <c r="B26" s="53"/>
      <c r="C26" s="53"/>
      <c r="D26" s="53"/>
      <c r="E26" s="53">
        <f>C26*D26</f>
        <v>0</v>
      </c>
      <c r="F26" s="53" t="s">
        <v>318</v>
      </c>
      <c r="G26" s="53"/>
      <c r="H26" s="53"/>
      <c r="I26" s="53">
        <f>G26*H26</f>
        <v>0</v>
      </c>
      <c r="J26" s="53"/>
      <c r="K26" s="53"/>
      <c r="L26" s="53">
        <f>J26*K26</f>
        <v>0</v>
      </c>
    </row>
    <row r="27" spans="2:12" x14ac:dyDescent="0.25">
      <c r="B27" s="53"/>
      <c r="C27" s="53"/>
      <c r="D27" s="53"/>
      <c r="E27" s="53">
        <f>C27*D27</f>
        <v>0</v>
      </c>
      <c r="F27" s="53" t="s">
        <v>318</v>
      </c>
      <c r="G27" s="53"/>
      <c r="H27" s="53"/>
      <c r="I27" s="53">
        <f>G27*H27</f>
        <v>0</v>
      </c>
      <c r="J27" s="53"/>
      <c r="K27" s="53"/>
      <c r="L27" s="53">
        <f>J27*K27</f>
        <v>0</v>
      </c>
    </row>
    <row r="28" spans="2:12" x14ac:dyDescent="0.25">
      <c r="B28" s="53" t="s">
        <v>319</v>
      </c>
      <c r="C28" s="53"/>
      <c r="D28" s="53"/>
      <c r="E28" s="53">
        <f t="shared" si="0"/>
        <v>0</v>
      </c>
      <c r="F28" s="53" t="s">
        <v>318</v>
      </c>
      <c r="G28" s="53"/>
      <c r="H28" s="53"/>
      <c r="I28" s="53">
        <f t="shared" si="1"/>
        <v>0</v>
      </c>
      <c r="J28" s="53"/>
      <c r="K28" s="53"/>
      <c r="L28" s="53">
        <f t="shared" si="2"/>
        <v>0</v>
      </c>
    </row>
    <row r="29" spans="2:12" x14ac:dyDescent="0.25">
      <c r="B29" s="53" t="s">
        <v>320</v>
      </c>
      <c r="C29" s="53"/>
      <c r="D29" s="53"/>
      <c r="E29" s="53">
        <f t="shared" si="0"/>
        <v>0</v>
      </c>
      <c r="F29" s="53" t="s">
        <v>318</v>
      </c>
      <c r="G29" s="53"/>
      <c r="H29" s="53"/>
      <c r="I29" s="53">
        <f t="shared" si="1"/>
        <v>0</v>
      </c>
      <c r="J29" s="53"/>
      <c r="K29" s="53"/>
      <c r="L29" s="53">
        <f t="shared" si="2"/>
        <v>0</v>
      </c>
    </row>
    <row r="30" spans="2:12" x14ac:dyDescent="0.25">
      <c r="B30" s="53" t="s">
        <v>324</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321</v>
      </c>
      <c r="C33" s="53"/>
      <c r="D33" s="53"/>
      <c r="E33" s="53">
        <f t="shared" si="0"/>
        <v>0</v>
      </c>
      <c r="F33" s="53"/>
      <c r="G33" s="53"/>
      <c r="H33" s="53"/>
      <c r="I33" s="53">
        <f t="shared" si="1"/>
        <v>0</v>
      </c>
      <c r="J33" s="53"/>
      <c r="K33" s="53"/>
      <c r="L33" s="53">
        <f t="shared" si="2"/>
        <v>0</v>
      </c>
    </row>
    <row r="34" spans="2:12" x14ac:dyDescent="0.25">
      <c r="B34" s="53" t="s">
        <v>325</v>
      </c>
      <c r="C34" s="53"/>
      <c r="D34" s="53"/>
      <c r="E34" s="53">
        <f t="shared" si="0"/>
        <v>0</v>
      </c>
      <c r="F34" s="53"/>
      <c r="G34" s="53"/>
      <c r="H34" s="53"/>
      <c r="I34" s="53">
        <f t="shared" si="1"/>
        <v>0</v>
      </c>
      <c r="J34" s="53"/>
      <c r="K34" s="53"/>
      <c r="L34" s="53">
        <f t="shared" si="2"/>
        <v>0</v>
      </c>
    </row>
    <row r="35" spans="2:12" x14ac:dyDescent="0.25">
      <c r="B35" s="53" t="s">
        <v>322</v>
      </c>
      <c r="C35" s="53"/>
      <c r="D35" s="53"/>
      <c r="E35" s="53">
        <f t="shared" si="0"/>
        <v>0</v>
      </c>
      <c r="F35" s="53"/>
      <c r="G35" s="53"/>
      <c r="H35" s="53"/>
      <c r="I35" s="53">
        <f t="shared" si="1"/>
        <v>0</v>
      </c>
      <c r="J35" s="53"/>
      <c r="K35" s="53"/>
      <c r="L35" s="53">
        <f t="shared" si="2"/>
        <v>0</v>
      </c>
    </row>
    <row r="36" spans="2:12" x14ac:dyDescent="0.25">
      <c r="B36" s="53" t="s">
        <v>323</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326</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150</v>
      </c>
      <c r="C42" s="53"/>
      <c r="D42" s="53">
        <f>E42*10.764</f>
        <v>0</v>
      </c>
      <c r="E42" s="67">
        <f>SUM(E6:E41)</f>
        <v>0</v>
      </c>
      <c r="F42" s="53"/>
      <c r="G42" s="53"/>
      <c r="H42" s="53">
        <f>I42*10.764</f>
        <v>0</v>
      </c>
      <c r="I42" s="66">
        <f>SUM(I6:I41)</f>
        <v>0</v>
      </c>
      <c r="J42" s="53"/>
      <c r="K42" s="53">
        <f>L42*10.764</f>
        <v>0</v>
      </c>
      <c r="L42" s="65">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2025-07-18T12:00:53Z</cp:lastPrinted>
  <dcterms:created xsi:type="dcterms:W3CDTF">2019-07-16T09:29:46Z</dcterms:created>
  <dcterms:modified xsi:type="dcterms:W3CDTF">2025-07-18T12:02:00Z</dcterms:modified>
</cp:coreProperties>
</file>