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ruti\July 25\Old\RBL\"/>
    </mc:Choice>
  </mc:AlternateContent>
  <bookViews>
    <workbookView xWindow="0" yWindow="0" windowWidth="20490" windowHeight="6855"/>
  </bookViews>
  <sheets>
    <sheet name="Sheet1" sheetId="1" r:id="rId1"/>
    <sheet name="Sheet2" sheetId="2" r:id="rId2"/>
  </sheets>
  <definedNames>
    <definedName name="_xlnm.Print_Area" localSheetId="0">Sheet1!$A$1:$F$433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7" i="1" l="1"/>
  <c r="E177" i="1"/>
  <c r="B177" i="1"/>
  <c r="E175" i="1"/>
  <c r="E174" i="1"/>
  <c r="E170" i="1"/>
  <c r="E169" i="1"/>
  <c r="B170" i="1"/>
  <c r="B169" i="1"/>
  <c r="B175" i="1"/>
  <c r="B174" i="1"/>
  <c r="C175" i="1"/>
  <c r="C174" i="1"/>
  <c r="C170" i="1"/>
  <c r="C169" i="1"/>
  <c r="F261" i="1"/>
  <c r="J261" i="1" s="1"/>
  <c r="C261" i="1"/>
  <c r="D261" i="1" s="1"/>
  <c r="C260" i="1"/>
  <c r="F260" i="1" s="1"/>
  <c r="J260" i="1" s="1"/>
  <c r="F259" i="1"/>
  <c r="I259" i="1" s="1"/>
  <c r="D259" i="1"/>
  <c r="C259" i="1"/>
  <c r="C257" i="1"/>
  <c r="F257" i="1" s="1"/>
  <c r="J257" i="1" s="1"/>
  <c r="C256" i="1"/>
  <c r="F256" i="1" s="1"/>
  <c r="J256" i="1" s="1"/>
  <c r="C255" i="1"/>
  <c r="F255" i="1" s="1"/>
  <c r="C253" i="1"/>
  <c r="F253" i="1" s="1"/>
  <c r="J253" i="1" s="1"/>
  <c r="C252" i="1"/>
  <c r="F252" i="1" s="1"/>
  <c r="J252" i="1" s="1"/>
  <c r="F251" i="1"/>
  <c r="I251" i="1" s="1"/>
  <c r="C251" i="1"/>
  <c r="D251" i="1" s="1"/>
  <c r="D243" i="1"/>
  <c r="C243" i="1"/>
  <c r="F243" i="1" s="1"/>
  <c r="I243" i="1" s="1"/>
  <c r="C242" i="1"/>
  <c r="F242" i="1" s="1"/>
  <c r="I242" i="1" s="1"/>
  <c r="F241" i="1"/>
  <c r="I241" i="1" s="1"/>
  <c r="D241" i="1"/>
  <c r="C241" i="1"/>
  <c r="C240" i="1"/>
  <c r="F240" i="1" s="1"/>
  <c r="C239" i="1"/>
  <c r="F239" i="1" s="1"/>
  <c r="I239" i="1" s="1"/>
  <c r="C238" i="1"/>
  <c r="F238" i="1" s="1"/>
  <c r="I238" i="1" s="1"/>
  <c r="F236" i="1"/>
  <c r="I236" i="1" s="1"/>
  <c r="C236" i="1"/>
  <c r="D236" i="1" s="1"/>
  <c r="C235" i="1"/>
  <c r="F235" i="1" s="1"/>
  <c r="I235" i="1" s="1"/>
  <c r="F234" i="1"/>
  <c r="I234" i="1" s="1"/>
  <c r="C234" i="1"/>
  <c r="D234" i="1" s="1"/>
  <c r="C233" i="1"/>
  <c r="D233" i="1" s="1"/>
  <c r="C232" i="1"/>
  <c r="F232" i="1" s="1"/>
  <c r="I232" i="1" s="1"/>
  <c r="C231" i="1"/>
  <c r="F231" i="1" s="1"/>
  <c r="I231" i="1" s="1"/>
  <c r="C229" i="1"/>
  <c r="F229" i="1" s="1"/>
  <c r="I229" i="1" s="1"/>
  <c r="C228" i="1"/>
  <c r="F228" i="1" s="1"/>
  <c r="I228" i="1" s="1"/>
  <c r="F227" i="1"/>
  <c r="I227" i="1" s="1"/>
  <c r="D227" i="1"/>
  <c r="C227" i="1"/>
  <c r="C226" i="1"/>
  <c r="D226" i="1" s="1"/>
  <c r="C225" i="1"/>
  <c r="F225" i="1" s="1"/>
  <c r="I225" i="1" s="1"/>
  <c r="C224" i="1"/>
  <c r="F224" i="1" s="1"/>
  <c r="I224" i="1" s="1"/>
  <c r="E176" i="1" l="1"/>
  <c r="B176" i="1"/>
  <c r="C176" i="1"/>
  <c r="J259" i="1"/>
  <c r="D260" i="1"/>
  <c r="I255" i="1"/>
  <c r="J255" i="1"/>
  <c r="D256" i="1"/>
  <c r="D257" i="1"/>
  <c r="D255" i="1"/>
  <c r="J251" i="1"/>
  <c r="D252" i="1"/>
  <c r="D253" i="1"/>
  <c r="H238" i="1"/>
  <c r="I240" i="1"/>
  <c r="D242" i="1"/>
  <c r="D239" i="1"/>
  <c r="D240" i="1"/>
  <c r="D238" i="1"/>
  <c r="D235" i="1"/>
  <c r="D232" i="1"/>
  <c r="D231" i="1"/>
  <c r="F233" i="1"/>
  <c r="F226" i="1"/>
  <c r="D228" i="1"/>
  <c r="D224" i="1"/>
  <c r="D229" i="1"/>
  <c r="D225" i="1"/>
  <c r="I217" i="1"/>
  <c r="J247" i="1"/>
  <c r="B18" i="1"/>
  <c r="I247" i="1"/>
  <c r="H214" i="1"/>
  <c r="H231" i="1" l="1"/>
  <c r="I233" i="1"/>
  <c r="H224" i="1"/>
  <c r="I226" i="1"/>
  <c r="C217" i="1"/>
  <c r="C249" i="1"/>
  <c r="C248" i="1"/>
  <c r="C247" i="1"/>
  <c r="C222" i="1"/>
  <c r="C221" i="1"/>
  <c r="C220" i="1"/>
  <c r="C219" i="1"/>
  <c r="C218" i="1"/>
  <c r="C215" i="1"/>
  <c r="C213" i="1"/>
  <c r="C212" i="1"/>
  <c r="C211" i="1"/>
  <c r="C56" i="1" l="1"/>
  <c r="G59" i="1"/>
  <c r="C54" i="1"/>
  <c r="C53" i="1"/>
  <c r="C34" i="1"/>
  <c r="F116" i="1"/>
  <c r="E116" i="1"/>
  <c r="D116" i="1"/>
  <c r="B116" i="1"/>
  <c r="A116" i="1"/>
  <c r="A139" i="1" l="1"/>
  <c r="H149" i="1"/>
  <c r="H148" i="1"/>
  <c r="H147" i="1"/>
  <c r="H146" i="1"/>
  <c r="H135" i="1"/>
  <c r="H134" i="1"/>
  <c r="F140" i="1"/>
  <c r="H151" i="1" l="1"/>
  <c r="C143" i="1" s="1"/>
  <c r="H145" i="1"/>
  <c r="H150" i="1" s="1"/>
  <c r="D148" i="1"/>
  <c r="D147" i="1"/>
  <c r="D151" i="1"/>
  <c r="D145" i="1"/>
  <c r="H144" i="1"/>
  <c r="D150" i="1"/>
  <c r="D144" i="1"/>
  <c r="D149" i="1"/>
  <c r="D146" i="1"/>
  <c r="D143" i="1" l="1"/>
  <c r="E143" i="1"/>
  <c r="G139" i="1" s="1"/>
  <c r="B141" i="1" s="1"/>
  <c r="B81" i="1"/>
  <c r="B292" i="1" l="1"/>
  <c r="A125" i="1"/>
  <c r="B131" i="2" l="1"/>
  <c r="C36" i="1" l="1"/>
  <c r="A291" i="1" l="1"/>
  <c r="A292" i="1" s="1"/>
  <c r="A293" i="1" s="1"/>
  <c r="A294" i="1" s="1"/>
  <c r="A295" i="1" s="1"/>
  <c r="A296" i="1" l="1"/>
  <c r="A297" i="1" s="1"/>
  <c r="A298" i="1" s="1"/>
  <c r="F203" i="1"/>
  <c r="D203" i="1"/>
  <c r="F202" i="1"/>
  <c r="D202" i="1"/>
  <c r="F201" i="1"/>
  <c r="D201" i="1"/>
  <c r="F200" i="1"/>
  <c r="D200" i="1"/>
  <c r="F199" i="1"/>
  <c r="D199" i="1"/>
  <c r="A199" i="1"/>
  <c r="A200" i="1" s="1"/>
  <c r="A201" i="1" s="1"/>
  <c r="A202" i="1" s="1"/>
  <c r="A203" i="1" s="1"/>
  <c r="F198" i="1"/>
  <c r="D198" i="1"/>
  <c r="A192" i="1"/>
  <c r="A193" i="1" s="1"/>
  <c r="A194" i="1" s="1"/>
  <c r="A195" i="1" s="1"/>
  <c r="A196" i="1" s="1"/>
  <c r="A185" i="1"/>
  <c r="A186" i="1" s="1"/>
  <c r="A187" i="1" s="1"/>
  <c r="A188" i="1" s="1"/>
  <c r="A189" i="1" s="1"/>
  <c r="F184" i="1"/>
  <c r="B171" i="1"/>
  <c r="C171" i="1"/>
  <c r="B166" i="1"/>
  <c r="C166" i="1"/>
  <c r="E166" i="1"/>
  <c r="B161" i="1"/>
  <c r="C161" i="1"/>
  <c r="E161" i="1"/>
  <c r="C62" i="1" l="1"/>
  <c r="C59" i="1"/>
  <c r="B13" i="1" l="1"/>
  <c r="F249" i="1" l="1"/>
  <c r="J249" i="1" s="1"/>
  <c r="F248" i="1"/>
  <c r="J248" i="1" s="1"/>
  <c r="D247" i="1"/>
  <c r="F222" i="1"/>
  <c r="I222" i="1" s="1"/>
  <c r="F221" i="1"/>
  <c r="I221" i="1" s="1"/>
  <c r="D220" i="1"/>
  <c r="F219" i="1"/>
  <c r="F218" i="1"/>
  <c r="I218" i="1" s="1"/>
  <c r="F217" i="1"/>
  <c r="F215" i="1"/>
  <c r="H215" i="1" s="1"/>
  <c r="F213" i="1"/>
  <c r="H213" i="1" s="1"/>
  <c r="D212" i="1"/>
  <c r="D211" i="1"/>
  <c r="F196" i="1"/>
  <c r="D195" i="1"/>
  <c r="F194" i="1"/>
  <c r="F193" i="1"/>
  <c r="F192" i="1"/>
  <c r="F191" i="1"/>
  <c r="D189" i="1"/>
  <c r="D188" i="1"/>
  <c r="D187" i="1"/>
  <c r="D186" i="1"/>
  <c r="D185" i="1"/>
  <c r="H217" i="1" l="1"/>
  <c r="I219" i="1"/>
  <c r="F247" i="1"/>
  <c r="D249" i="1"/>
  <c r="D248" i="1"/>
  <c r="D215" i="1"/>
  <c r="F211" i="1"/>
  <c r="H211" i="1" s="1"/>
  <c r="D221" i="1"/>
  <c r="D217" i="1"/>
  <c r="F220" i="1"/>
  <c r="I220" i="1" s="1"/>
  <c r="F212" i="1"/>
  <c r="H212" i="1" s="1"/>
  <c r="D219" i="1"/>
  <c r="D213" i="1"/>
  <c r="D218" i="1"/>
  <c r="D222" i="1"/>
  <c r="D192" i="1"/>
  <c r="D193" i="1"/>
  <c r="D196" i="1"/>
  <c r="F186" i="1"/>
  <c r="F188" i="1"/>
  <c r="D191" i="1"/>
  <c r="F189" i="1"/>
  <c r="F187" i="1"/>
  <c r="F185" i="1"/>
  <c r="D194" i="1"/>
  <c r="F195" i="1"/>
  <c r="E171" i="1" l="1"/>
  <c r="B124" i="2"/>
  <c r="M66" i="1" l="1"/>
  <c r="C299" i="1" l="1"/>
  <c r="D184" i="1" l="1"/>
  <c r="K116" i="2" l="1"/>
  <c r="K115" i="2"/>
  <c r="K114" i="2"/>
  <c r="K113" i="2"/>
  <c r="D107" i="2"/>
  <c r="F106" i="2"/>
  <c r="E116" i="2" l="1"/>
  <c r="E115" i="2"/>
  <c r="K109" i="2"/>
  <c r="E111" i="2"/>
  <c r="E114" i="2"/>
  <c r="E113" i="2"/>
  <c r="K108" i="2"/>
  <c r="E112" i="2"/>
  <c r="E118" i="2"/>
  <c r="K111" i="2"/>
  <c r="K112" i="2" s="1"/>
  <c r="K117" i="2" s="1"/>
  <c r="K118" i="2" s="1"/>
  <c r="D110" i="2" s="1"/>
  <c r="E117" i="2"/>
  <c r="K110" i="2"/>
  <c r="D109" i="2" s="1"/>
  <c r="H109" i="2" l="1"/>
  <c r="F109" i="2"/>
  <c r="J105" i="2" s="1"/>
  <c r="E110" i="2"/>
  <c r="E109" i="2"/>
  <c r="F126" i="1"/>
  <c r="H130" i="1" l="1"/>
  <c r="H137" i="1"/>
  <c r="C129" i="1" s="1"/>
  <c r="H131" i="1"/>
  <c r="D136" i="1"/>
  <c r="D130" i="1"/>
  <c r="D135" i="1"/>
  <c r="D134" i="1"/>
  <c r="D132" i="1"/>
  <c r="D133" i="1"/>
  <c r="D131" i="1"/>
  <c r="D137" i="1"/>
  <c r="H136" i="1" l="1"/>
  <c r="H132" i="1"/>
  <c r="H133" i="1" l="1"/>
  <c r="E129" i="1" l="1"/>
  <c r="E152" i="1" s="1"/>
  <c r="D129" i="1"/>
  <c r="C38" i="1" l="1"/>
  <c r="G125" i="1"/>
  <c r="B127" i="1" s="1"/>
  <c r="C116" i="1" l="1"/>
  <c r="C156" i="1"/>
</calcChain>
</file>

<file path=xl/comments1.xml><?xml version="1.0" encoding="utf-8"?>
<comments xmlns="http://schemas.openxmlformats.org/spreadsheetml/2006/main">
  <authors>
    <author>SACHIN</author>
    <author>Sachin</author>
  </authors>
  <commentList>
    <comment ref="D94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Title certifcate lawyer name</t>
        </r>
      </text>
    </comment>
    <comment ref="C122" authorId="1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Builder"s recent project names 
take from builder documents
</t>
        </r>
      </text>
    </comment>
    <comment ref="C123" authorId="1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Approved by authority name
Positive or negavtive points
Surrounding buildings or mall etc or less distance from stn</t>
        </r>
      </text>
    </comment>
  </commentList>
</comments>
</file>

<file path=xl/sharedStrings.xml><?xml version="1.0" encoding="utf-8"?>
<sst xmlns="http://schemas.openxmlformats.org/spreadsheetml/2006/main" count="627" uniqueCount="382">
  <si>
    <t>PROJECT TECHNICAL REPORT</t>
  </si>
  <si>
    <t>RBL BRANCH NAME</t>
  </si>
  <si>
    <t>TDR FSI</t>
  </si>
  <si>
    <t>QUALITY, SPECS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</si>
  <si>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</si>
  <si>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</si>
  <si>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</si>
  <si>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</si>
  <si>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</si>
  <si>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</si>
  <si>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</si>
  <si>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</si>
  <si>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Project Progress %</t>
  </si>
  <si>
    <t>Slab/Floor</t>
  </si>
  <si>
    <t>Complition %</t>
  </si>
  <si>
    <t>Progress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</si>
  <si>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</si>
  <si>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</si>
  <si>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</si>
  <si>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</si>
  <si>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</si>
  <si>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</si>
  <si>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</si>
  <si>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</si>
  <si>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Footing Completed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</si>
  <si>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</si>
  <si>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</si>
  <si>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</si>
  <si>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</si>
  <si>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</si>
  <si>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</si>
  <si>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</si>
  <si>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</si>
  <si>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</si>
  <si>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</si>
  <si>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</si>
  <si>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</si>
  <si>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Completion %</t>
  </si>
  <si>
    <t>Plaster</t>
  </si>
  <si>
    <t>Electrical &amp; Plumbing</t>
  </si>
  <si>
    <t>Finishing</t>
  </si>
  <si>
    <t>Disbursement %</t>
  </si>
  <si>
    <t>Brickwork &amp; Internal Plaster</t>
  </si>
  <si>
    <t>External Plaster &amp; Plumbing</t>
  </si>
  <si>
    <t>g +7</t>
  </si>
  <si>
    <t>BUILDING/TOWERWISE UNIT - AREA DETAILS</t>
  </si>
  <si>
    <t>Building &amp; Wing</t>
  </si>
  <si>
    <t>No. of Units</t>
  </si>
  <si>
    <t>Total Carpet Area</t>
  </si>
  <si>
    <t>Total Saleable Area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</si>
  <si>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</si>
  <si>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</si>
  <si>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</si>
  <si>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</si>
  <si>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</si>
  <si>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</si>
  <si>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Builtup Area</t>
  </si>
  <si>
    <t>Saleable area
Loading:</t>
  </si>
  <si>
    <t xml:space="preserve">Details of Commercial in Building   </t>
  </si>
  <si>
    <t>VALUE PARAMETERS</t>
  </si>
  <si>
    <t>Remarks:</t>
  </si>
  <si>
    <t>Photographs Of Property :</t>
  </si>
  <si>
    <t>Layout Of Property :</t>
  </si>
  <si>
    <t xml:space="preserve">Google Map : </t>
  </si>
  <si>
    <t>Name of Engineer Visited the property</t>
  </si>
  <si>
    <t xml:space="preserve">Authorized Signatory
Name &amp; Seal of the agency
                                               </t>
  </si>
  <si>
    <r>
      <t xml:space="preserve">Shop No.
</t>
    </r>
    <r>
      <rPr>
        <b/>
        <sz val="9"/>
        <color rgb="FF000000"/>
        <rFont val="Garamond"/>
        <family val="1"/>
      </rPr>
      <t>(Approved Plan)</t>
    </r>
  </si>
  <si>
    <t>Project Name</t>
  </si>
  <si>
    <t>Valuer Details</t>
  </si>
  <si>
    <t xml:space="preserve">Name Of Valuer </t>
  </si>
  <si>
    <t>Official Email Id</t>
  </si>
  <si>
    <t>Rvo Name Of Which Valuer Is Member</t>
  </si>
  <si>
    <t>Address Of Valution Agency</t>
  </si>
  <si>
    <t>Contact Person Name  &amp; Number</t>
  </si>
  <si>
    <t>Name Of Valuation Agency/Firm</t>
  </si>
  <si>
    <t>Apf Technical Report Assignment Details</t>
  </si>
  <si>
    <t>Builder Company/Entity Details - Seller Of The Project</t>
  </si>
  <si>
    <t>Name Of Entity Formed For Current Project</t>
  </si>
  <si>
    <t>Project Address Details</t>
  </si>
  <si>
    <t>Plot No.</t>
  </si>
  <si>
    <t>Date of Assignment</t>
  </si>
  <si>
    <t>Date of Visit</t>
  </si>
  <si>
    <t>Date of Valuation</t>
  </si>
  <si>
    <t>Street Name &amp;/No.</t>
  </si>
  <si>
    <t>State</t>
  </si>
  <si>
    <t>Pincode</t>
  </si>
  <si>
    <t>Nearest Rbl Bank Location</t>
  </si>
  <si>
    <t>Landmark</t>
  </si>
  <si>
    <t>District</t>
  </si>
  <si>
    <t>Country</t>
  </si>
  <si>
    <t>Lat, Long</t>
  </si>
  <si>
    <t>Distance From Rbl Bank Location (Kms.)</t>
  </si>
  <si>
    <t>Assigned By</t>
  </si>
  <si>
    <t>Property Visited By (Name)</t>
  </si>
  <si>
    <t>Report Prepared By (Name)</t>
  </si>
  <si>
    <t>North</t>
  </si>
  <si>
    <t>South</t>
  </si>
  <si>
    <t>East</t>
  </si>
  <si>
    <t>West</t>
  </si>
  <si>
    <t>As Per Ownership Docs</t>
  </si>
  <si>
    <t>As Per Site Investigation</t>
  </si>
  <si>
    <t>Project Boundaries Verification</t>
  </si>
  <si>
    <t>General Details</t>
  </si>
  <si>
    <t>Municipal Limit</t>
  </si>
  <si>
    <t>Municipal Authority (Name)</t>
  </si>
  <si>
    <t>Approach Road To Project</t>
  </si>
  <si>
    <t>Location Type*</t>
  </si>
  <si>
    <t>Quality Of Construction*</t>
  </si>
  <si>
    <t>Overall % Completion Of Project</t>
  </si>
  <si>
    <t>Project Falling In Caution Area</t>
  </si>
  <si>
    <t>Reason For Caution</t>
  </si>
  <si>
    <t>Project Architect Name</t>
  </si>
  <si>
    <t>Square Meter</t>
  </si>
  <si>
    <t>Project Area Details ( As Per Approved Plan )</t>
  </si>
  <si>
    <t>Area Type</t>
  </si>
  <si>
    <t>Total Plot Area</t>
  </si>
  <si>
    <t>Total Built Up Area</t>
  </si>
  <si>
    <t>Total Residential Built Up Area</t>
  </si>
  <si>
    <t>Total Commercial Built Up Area</t>
  </si>
  <si>
    <t>Area Under Road</t>
  </si>
  <si>
    <t>Area Under D.P. Reservation</t>
  </si>
  <si>
    <t>Area Under R.G./Garden</t>
  </si>
  <si>
    <t>FSI / FAR Details</t>
  </si>
  <si>
    <t>Plot FSI / FAR</t>
  </si>
  <si>
    <t>Premium FSI / FAR</t>
  </si>
  <si>
    <t>Addl .FSI Under any Other Regulation(1)</t>
  </si>
  <si>
    <t>Addl .FSI Under any Other Regulation(2)</t>
  </si>
  <si>
    <t>Total FSI/FAR</t>
  </si>
  <si>
    <t>Overall Remarks on Project Area &amp; FSI /FAR</t>
  </si>
  <si>
    <t>Total No. Of Units/Tenaments</t>
  </si>
  <si>
    <t>Total No. Of Parking</t>
  </si>
  <si>
    <t>Residential /Commercial Ratio</t>
  </si>
  <si>
    <t>Surrounding External Amenities</t>
  </si>
  <si>
    <t>Nearestr Bus Stop</t>
  </si>
  <si>
    <t>Nearest Bank</t>
  </si>
  <si>
    <t>Nearest Hospital</t>
  </si>
  <si>
    <t>Name Of The Premises/Description</t>
  </si>
  <si>
    <t>Approx. Distance From Property (In Kms)</t>
  </si>
  <si>
    <t>Nearest Multiplex / Mall/ Market</t>
  </si>
  <si>
    <t>Nearest School/ College</t>
  </si>
  <si>
    <t>Internal Project Specs - Comment On Availability &amp; Quality</t>
  </si>
  <si>
    <t>Structural Elements &amp; Wall Thickness</t>
  </si>
  <si>
    <t>Plaster &amp; Painting</t>
  </si>
  <si>
    <t>Electrification</t>
  </si>
  <si>
    <t>Plumbing &amp; Bath Fittings</t>
  </si>
  <si>
    <t>Door, Windows</t>
  </si>
  <si>
    <t>Availability (Y/N)</t>
  </si>
  <si>
    <t>Potable Water Connection</t>
  </si>
  <si>
    <t>Sewerage System</t>
  </si>
  <si>
    <t>Lift</t>
  </si>
  <si>
    <t>Power Backup</t>
  </si>
  <si>
    <t>Parking</t>
  </si>
  <si>
    <t>Clubhouse</t>
  </si>
  <si>
    <t>Gym</t>
  </si>
  <si>
    <t>Swimming Pool</t>
  </si>
  <si>
    <t>Garden</t>
  </si>
  <si>
    <t>Community Hall</t>
  </si>
  <si>
    <t>Any Additional Amenities, To Above, Pls Specify</t>
  </si>
  <si>
    <t>Technical Documents Details</t>
  </si>
  <si>
    <t>Document Name</t>
  </si>
  <si>
    <t>Approved Layout Plan</t>
  </si>
  <si>
    <t>Approved Floor Plan</t>
  </si>
  <si>
    <t>Construction  / Building Permission / Commencement Certificate</t>
  </si>
  <si>
    <t>Non Agricultural Permission / Land Conversion / Diversion</t>
  </si>
  <si>
    <t>Building Completion / Occupation Permission / Use Permission</t>
  </si>
  <si>
    <t>Location Sketch/ Certificate</t>
  </si>
  <si>
    <t>Authority Allotment Letter</t>
  </si>
  <si>
    <t>Ownership Doc 1</t>
  </si>
  <si>
    <t>Ownership Doc 2</t>
  </si>
  <si>
    <t>Remarks On Documents Verified</t>
  </si>
  <si>
    <t>Approving Authority Name</t>
  </si>
  <si>
    <t>Applicability &amp; Availability</t>
  </si>
  <si>
    <t>Approving Authority</t>
  </si>
  <si>
    <t>Details Of Approval</t>
  </si>
  <si>
    <t>Rera Details ( If Applicable)</t>
  </si>
  <si>
    <t>Rera Applicable</t>
  </si>
  <si>
    <t>Rera Registration No</t>
  </si>
  <si>
    <t>Project Start Date As Per Rera</t>
  </si>
  <si>
    <t>If Any Litigation Record On Project As Per Rera</t>
  </si>
  <si>
    <t>If Applicable, Rera Registration Status</t>
  </si>
  <si>
    <t>Project Completion Date As Per Rera</t>
  </si>
  <si>
    <t xml:space="preserve">Litigation Details As Per Rera Website </t>
  </si>
  <si>
    <t>Critical Parameters</t>
  </si>
  <si>
    <t>Flood Prone Area</t>
  </si>
  <si>
    <t>Coastal Regulatory Zone</t>
  </si>
  <si>
    <t>Falling In Present Or Proposed Road Widening</t>
  </si>
  <si>
    <t>Property Near High/Low Tension (Ht)/(Lt) Lines ?</t>
  </si>
  <si>
    <t>Presence Of Nallah/ Lake / Water Body Nearby</t>
  </si>
  <si>
    <t>Unit Deviation</t>
  </si>
  <si>
    <t>Seismic Zone</t>
  </si>
  <si>
    <t>Zoning As Per Development Plan</t>
  </si>
  <si>
    <t>Falling In Reservation As Per Development Plan</t>
  </si>
  <si>
    <t>Property Within 30 Mtrs From Railway Boundary ?</t>
  </si>
  <si>
    <t>Fsi Deviation</t>
  </si>
  <si>
    <t>Vertical Deviation</t>
  </si>
  <si>
    <t>Habitation In ( % ) Within 1 Kms Around Project</t>
  </si>
  <si>
    <t>Remarks In Case Project Affected By Any Of Critical Parameter</t>
  </si>
  <si>
    <t>Technical Deviations Observed In Project</t>
  </si>
  <si>
    <t>Demolition Risk</t>
  </si>
  <si>
    <t>Detail Of Deviation, If Any</t>
  </si>
  <si>
    <t>Total Phases</t>
  </si>
  <si>
    <t>Total No. Of Buildings</t>
  </si>
  <si>
    <t>Total No. Of Wings</t>
  </si>
  <si>
    <t>Total No. Of Approved Units (A)</t>
  </si>
  <si>
    <t>Total No. Of Unapproved Units (B)</t>
  </si>
  <si>
    <t>Total No. Of (A+B) Units</t>
  </si>
  <si>
    <t>Is The Project Technically Acceptable ?</t>
  </si>
  <si>
    <t>Is The Project Marketable ?</t>
  </si>
  <si>
    <t>Comment On Builder Group Involved In Project Development</t>
  </si>
  <si>
    <t>Overall Comments On Project Acceptability &amp; Marketablity</t>
  </si>
  <si>
    <t>FOUNDATION WIP</t>
  </si>
  <si>
    <t>PLINTH WIP</t>
  </si>
  <si>
    <t>YET TO START</t>
  </si>
  <si>
    <t>Sr.No.</t>
  </si>
  <si>
    <t>Base Rate Psf Rs.</t>
  </si>
  <si>
    <t>Floor Rise
(If Applicable)</t>
  </si>
  <si>
    <t>In Rs. Psf
(If Applicable)</t>
  </si>
  <si>
    <t>In Lumpsum Basis
(If Applicable)</t>
  </si>
  <si>
    <t>Applicable From Floor No.</t>
  </si>
  <si>
    <t>Applicable To Floor No.</t>
  </si>
  <si>
    <t>Applicable To Building /W ing</t>
  </si>
  <si>
    <t xml:space="preserve">Floor Rise 1 </t>
  </si>
  <si>
    <t>Floor Rise 2</t>
  </si>
  <si>
    <t>Floor Rise 3</t>
  </si>
  <si>
    <t>Floor Rise 4</t>
  </si>
  <si>
    <t>Plc Charges
(If Applicable)</t>
  </si>
  <si>
    <t>Details Of Plc/View</t>
  </si>
  <si>
    <t>List Of Unit Nos - Plc Applicable</t>
  </si>
  <si>
    <t>PLC Type 1</t>
  </si>
  <si>
    <t>PLC Type 2</t>
  </si>
  <si>
    <t>PLC Type 3</t>
  </si>
  <si>
    <t>Amenities Details</t>
  </si>
  <si>
    <t>Details Of Amenity Cost - Optional/Compulsory To Buyer, No Of Years, Etc</t>
  </si>
  <si>
    <t>Remarks, If Any</t>
  </si>
  <si>
    <t>Clubhouse &amp; 
Recreational</t>
  </si>
  <si>
    <t>Electricity &amp; Water Con.</t>
  </si>
  <si>
    <t>Infra</t>
  </si>
  <si>
    <t>Development</t>
  </si>
  <si>
    <t>Maintenance</t>
  </si>
  <si>
    <t>Any Other Amenity 1</t>
  </si>
  <si>
    <t>Any Other Amenity 2</t>
  </si>
  <si>
    <t>Any Other Amenity 3</t>
  </si>
  <si>
    <t>Maharashtra</t>
  </si>
  <si>
    <t>India</t>
  </si>
  <si>
    <t>Yes</t>
  </si>
  <si>
    <t>1st Floor for Commercial &amp; Parking</t>
  </si>
  <si>
    <t>2nd Floor for Commercial &amp; Parking</t>
  </si>
  <si>
    <t>V.S Jadon &amp; Co.Valuers LLP</t>
  </si>
  <si>
    <t>Mr. Vishwajeet Singh Jadon</t>
  </si>
  <si>
    <t>vsjc.apf@gmail.com</t>
  </si>
  <si>
    <t>Mr. Sachin Sawant - 9820058999</t>
  </si>
  <si>
    <t>NA</t>
  </si>
  <si>
    <t>Taluka</t>
  </si>
  <si>
    <t>City</t>
  </si>
  <si>
    <t>Village</t>
  </si>
  <si>
    <t>As Per Layout Plan</t>
  </si>
  <si>
    <t>Same</t>
  </si>
  <si>
    <t>Location Link</t>
  </si>
  <si>
    <t>Good</t>
  </si>
  <si>
    <t>No</t>
  </si>
  <si>
    <t>Fire Noc &amp; Plans</t>
  </si>
  <si>
    <t>Environmental Clearance</t>
  </si>
  <si>
    <t>Coastal Regulatory Zonex ( Crz ) Noc</t>
  </si>
  <si>
    <t>Registered</t>
  </si>
  <si>
    <t>Zone III</t>
  </si>
  <si>
    <t>Not Appicable</t>
  </si>
  <si>
    <t>Approved no of Floors</t>
  </si>
  <si>
    <t>Proposed no of Floors</t>
  </si>
  <si>
    <t>Commercial Area Details : Shops</t>
  </si>
  <si>
    <t>Ground Floor</t>
  </si>
  <si>
    <t>1st Floor</t>
  </si>
  <si>
    <t>Commercial Area Details : Office</t>
  </si>
  <si>
    <t>2nd Floor</t>
  </si>
  <si>
    <t>Grand Total</t>
  </si>
  <si>
    <r>
      <t xml:space="preserve">Flat No.
</t>
    </r>
    <r>
      <rPr>
        <b/>
        <sz val="9"/>
        <color rgb="FF000000"/>
        <rFont val="Garamond"/>
        <family val="1"/>
      </rPr>
      <t>(Approved Plan)</t>
    </r>
  </si>
  <si>
    <t>Building /Wing - Name /No</t>
  </si>
  <si>
    <t xml:space="preserve">Base Rate Considered On Area - 
Carpet/ Bua/ Saleale </t>
  </si>
  <si>
    <t>Saleable Area</t>
  </si>
  <si>
    <t>Construction Work is in process at the time of visit.</t>
  </si>
  <si>
    <t>We have considered rate by verifying it from market inquire.</t>
  </si>
  <si>
    <t>Car parking is subjected to authentic documentation.</t>
  </si>
  <si>
    <t>Recommended rate should be considered as all inclusive rate if other charges are not mentioned. (Excluding GST &amp; other government Taxes)</t>
  </si>
  <si>
    <t>Documents received on:</t>
  </si>
  <si>
    <t>Yes &amp; 0.15m</t>
  </si>
  <si>
    <t>Excavation in Process</t>
  </si>
  <si>
    <t>Foundation in Process</t>
  </si>
  <si>
    <t xml:space="preserve">Labours &amp; Materials were found on site at the time of visit. </t>
  </si>
  <si>
    <t>Saleable area Loading :</t>
  </si>
  <si>
    <t>Office No. 1031, Wing J, Akshar Business Park, Plot No. 03 Sector 25, Near APMC Market, Vashi, Navi Mumbai, Maharashtra 400703 TEL: 022-46090378/79/80</t>
  </si>
  <si>
    <t>Project Location details</t>
  </si>
  <si>
    <t>Locality</t>
  </si>
  <si>
    <t>Res+Comm=total</t>
  </si>
  <si>
    <t>total/res : total:com</t>
  </si>
  <si>
    <t>Flower Valley</t>
  </si>
  <si>
    <t>Airoli</t>
  </si>
  <si>
    <t>Jagani developers</t>
  </si>
  <si>
    <t xml:space="preserve">Flower Valley </t>
  </si>
  <si>
    <t>Vasudev Patil Nagar</t>
  </si>
  <si>
    <t>Old Grampanchayat Road</t>
  </si>
  <si>
    <t>Kalyan West</t>
  </si>
  <si>
    <t>Kongaon</t>
  </si>
  <si>
    <t>Thane</t>
  </si>
  <si>
    <t>Sai Krupa Apartment</t>
  </si>
  <si>
    <t>Bhiwandi</t>
  </si>
  <si>
    <t>19.244456,73.106312</t>
  </si>
  <si>
    <t>https://goo.gl/maps/QpZHa4oQNJLzr2So6</t>
  </si>
  <si>
    <t>RBL Bank Ltd
Atma Tara, Ground Floor, Subhash Rd</t>
  </si>
  <si>
    <t>8.2Km</t>
  </si>
  <si>
    <t>10/3, 15/1/A &amp; 15/12</t>
  </si>
  <si>
    <t>Existing Road 6.0M Wide</t>
  </si>
  <si>
    <t>D.P Road</t>
  </si>
  <si>
    <t>Other Plot</t>
  </si>
  <si>
    <t xml:space="preserve"> Shree Saidham Complex</t>
  </si>
  <si>
    <t>Open Plot</t>
  </si>
  <si>
    <t>Houses</t>
  </si>
  <si>
    <t>Mumbai Metropolitan Region Development Authority</t>
  </si>
  <si>
    <t>Namdeo Mhatre Road</t>
  </si>
  <si>
    <t>R. R. Consulting Engineers</t>
  </si>
  <si>
    <t>Net Plot Area</t>
  </si>
  <si>
    <t>-</t>
  </si>
  <si>
    <t>Ancillary  FSI</t>
  </si>
  <si>
    <t>Car = 20, Bike = 62</t>
  </si>
  <si>
    <t>100:00</t>
  </si>
  <si>
    <t>550m</t>
  </si>
  <si>
    <t>ICICI Bank Ltd, Kongaon</t>
  </si>
  <si>
    <t>600m</t>
  </si>
  <si>
    <t>650m</t>
  </si>
  <si>
    <t>Metro Junction Mall</t>
  </si>
  <si>
    <t>3.9Km</t>
  </si>
  <si>
    <t xml:space="preserve">Valid Upto: 
Building No.1 = (Pt)Stilt/(Pt)Gr + 1st to 7 Upper Floor
Building No.2 = Stilt + 1st to 4 Upper Floor
</t>
  </si>
  <si>
    <t>Applicable and Received</t>
  </si>
  <si>
    <t>MMRDA</t>
  </si>
  <si>
    <t>Not Applicable</t>
  </si>
  <si>
    <t>Verified By Hanuman N. Bhoir 
(Adv High Court)</t>
  </si>
  <si>
    <t>P51700024317</t>
  </si>
  <si>
    <t>Building No.1 = Gr/Stilt+ 1st to 7th Floor
Building No.2 = Gr/Stilt + 1st to 4th Floor</t>
  </si>
  <si>
    <t>Building No.1 = Gr/Stilt+ 1st to 7th Floor</t>
  </si>
  <si>
    <t>Shivanta Ulwe</t>
  </si>
  <si>
    <t>Project Name is approved by MMRDA. Surrounded by residential buildings, Houses. School, Local Market etc within 700m from Project.</t>
  </si>
  <si>
    <t>Building No. 1</t>
  </si>
  <si>
    <t xml:space="preserve">Ground Floor For Residential, Society Room, Entrance Lobby &amp; Parking </t>
  </si>
  <si>
    <t>2BHK</t>
  </si>
  <si>
    <t>1BHK</t>
  </si>
  <si>
    <t>Entrance Lobby &amp; Society Room</t>
  </si>
  <si>
    <t>1RK</t>
  </si>
  <si>
    <t>On Site, we meet Ms Jagruti - 9867223333</t>
  </si>
  <si>
    <t>We considered Gross carpet area = Net carpet + Enclose Balcony.</t>
  </si>
  <si>
    <t>Jaydev English High School</t>
  </si>
  <si>
    <t>Ved Hospital</t>
  </si>
  <si>
    <t>Building 1</t>
  </si>
  <si>
    <t>Building 2</t>
  </si>
  <si>
    <t xml:space="preserve">Ground Floor For Entrance Lobby &amp; Parking </t>
  </si>
  <si>
    <t>SROT/BSNA/2501/BP/Kon-66/Rev-CC/1476/2022
Date : 21/11/2022</t>
  </si>
  <si>
    <t>Building No.1 &amp; 2</t>
  </si>
  <si>
    <t>2nd, 3rd, 4th, 6th Floor For Residential</t>
  </si>
  <si>
    <t>5th Floor For Residential</t>
  </si>
  <si>
    <t>7th Floor For Residential</t>
  </si>
  <si>
    <t>1st Floor For Residential</t>
  </si>
  <si>
    <t>4 - Sale</t>
  </si>
  <si>
    <t>5 - Sale</t>
  </si>
  <si>
    <t>2 - Sale</t>
  </si>
  <si>
    <t>3 - Sale</t>
  </si>
  <si>
    <t>6 - Sale</t>
  </si>
  <si>
    <t>1 - Sale</t>
  </si>
  <si>
    <t>2nd Floor For Residential</t>
  </si>
  <si>
    <t>3rd Floor For Residential</t>
  </si>
  <si>
    <t>4th Floor For Residential</t>
  </si>
  <si>
    <t>Residential Area Details : Sale Flats</t>
  </si>
  <si>
    <t>2 - Landowner Flat</t>
  </si>
  <si>
    <t>3 - Landowner Flat</t>
  </si>
  <si>
    <t>1 - Landowner Flat</t>
  </si>
  <si>
    <t>4 - Landowner Flat</t>
  </si>
  <si>
    <t>5 - Landowner Flat</t>
  </si>
  <si>
    <t>6 - Landowner Flat</t>
  </si>
  <si>
    <t>503 will Landowner Flat</t>
  </si>
  <si>
    <t>Landowner Flat statement is updated as per document provided in mail by bank official (on 29/03/2024).</t>
  </si>
  <si>
    <t>Residential Area Details : Landowner Flats</t>
  </si>
  <si>
    <t>Sale Flats = 38
 Landowner Flats = 20</t>
  </si>
  <si>
    <t>Mangesh Laxman Bapardekar</t>
  </si>
  <si>
    <t>Mr. Abhishek Manjrekar</t>
  </si>
  <si>
    <t>Shruti Tathare</t>
  </si>
  <si>
    <t>Building No.2 = Gr/Stilt + 1st to 4th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</si>
</sst>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Garamond"/>
      <family val="1"/>
    </font>
    <font>
      <sz val="11"/>
      <color theme="1"/>
      <name val="Garamond"/>
      <family val="1"/>
    </font>
    <font>
      <sz val="11"/>
      <color rgb="FF000000"/>
      <name val="Book Antiqua"/>
      <family val="1"/>
    </font>
    <font>
      <sz val="9"/>
      <color rgb="FF000000"/>
      <name val="Garamond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9"/>
      <color indexed="8"/>
      <name val="Garamond"/>
      <family val="1"/>
    </font>
    <font>
      <u/>
      <sz val="11"/>
      <color theme="10"/>
      <name val="Calibri"/>
      <family val="2"/>
      <scheme val="minor"/>
    </font>
    <font>
      <b/>
      <sz val="10"/>
      <color rgb="FF000000"/>
      <name val="Garamond"/>
      <family val="1"/>
    </font>
    <font>
      <b/>
      <sz val="11"/>
      <color rgb="FF000000"/>
      <name val="Garamond"/>
      <family val="1"/>
    </font>
    <font>
      <sz val="12"/>
      <color theme="1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Garamond"/>
      <family val="1"/>
    </font>
    <font>
      <b/>
      <sz val="11"/>
      <color theme="1"/>
      <name val="Garamond"/>
      <family val="1"/>
    </font>
    <font>
      <sz val="11"/>
      <color indexed="8"/>
      <name val="Garamond"/>
      <family val="1"/>
    </font>
    <font>
      <b/>
      <sz val="11"/>
      <color indexed="8"/>
      <name val="Garamond"/>
      <family val="1"/>
    </font>
    <font>
      <sz val="11"/>
      <name val="Garamond"/>
      <family val="1"/>
    </font>
    <font>
      <b/>
      <sz val="9"/>
      <name val="Garamond"/>
      <family val="1"/>
    </font>
    <font>
      <b/>
      <sz val="11"/>
      <name val="Garamond"/>
      <family val="1"/>
    </font>
    <font>
      <b/>
      <sz val="11"/>
      <color rgb="FFFF0000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sz val="11"/>
      <name val="Calibri"/>
      <family val="2"/>
      <scheme val="minor"/>
    </font>
    <font>
      <b/>
      <sz val="10"/>
      <name val="Garamond"/>
      <family val="1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4" fillId="0" borderId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6" fillId="0" borderId="8" xfId="2" applyFont="1" applyBorder="1" applyProtection="1">
      <protection hidden="1"/>
    </xf>
    <xf numFmtId="0" fontId="6" fillId="0" borderId="9" xfId="2" applyFont="1" applyBorder="1" applyProtection="1">
      <protection hidden="1"/>
    </xf>
    <xf numFmtId="0" fontId="6" fillId="0" borderId="0" xfId="2" applyFont="1" applyProtection="1">
      <protection hidden="1"/>
    </xf>
    <xf numFmtId="0" fontId="6" fillId="0" borderId="1" xfId="2" applyFont="1" applyBorder="1" applyProtection="1">
      <protection hidden="1"/>
    </xf>
    <xf numFmtId="0" fontId="7" fillId="0" borderId="0" xfId="0" applyFont="1" applyProtection="1">
      <protection hidden="1"/>
    </xf>
    <xf numFmtId="0" fontId="6" fillId="0" borderId="1" xfId="2" applyFont="1" applyBorder="1"/>
    <xf numFmtId="0" fontId="7" fillId="0" borderId="1" xfId="0" applyFont="1" applyBorder="1" applyProtection="1">
      <protection hidden="1"/>
    </xf>
    <xf numFmtId="1" fontId="6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7" fillId="0" borderId="13" xfId="0" applyFont="1" applyBorder="1" applyProtection="1">
      <protection hidden="1"/>
    </xf>
    <xf numFmtId="1" fontId="6" fillId="0" borderId="12" xfId="0" applyNumberFormat="1" applyFont="1" applyBorder="1"/>
    <xf numFmtId="0" fontId="9" fillId="0" borderId="8" xfId="2" applyFont="1" applyBorder="1" applyProtection="1">
      <protection hidden="1"/>
    </xf>
    <xf numFmtId="0" fontId="9" fillId="0" borderId="9" xfId="2" applyFont="1" applyBorder="1" applyProtection="1">
      <protection hidden="1"/>
    </xf>
    <xf numFmtId="0" fontId="9" fillId="0" borderId="4" xfId="2" applyFont="1" applyBorder="1" applyAlignment="1" applyProtection="1">
      <alignment horizontal="center" vertical="top"/>
      <protection locked="0"/>
    </xf>
    <xf numFmtId="0" fontId="9" fillId="0" borderId="5" xfId="2" applyFont="1" applyBorder="1" applyAlignment="1" applyProtection="1">
      <alignment horizontal="center" vertical="top"/>
      <protection locked="0"/>
    </xf>
    <xf numFmtId="0" fontId="9" fillId="0" borderId="0" xfId="2" applyFont="1" applyProtection="1">
      <protection hidden="1"/>
    </xf>
    <xf numFmtId="0" fontId="9" fillId="0" borderId="1" xfId="2" applyFont="1" applyBorder="1" applyProtection="1">
      <protection hidden="1"/>
    </xf>
    <xf numFmtId="0" fontId="9" fillId="0" borderId="5" xfId="2" applyFont="1" applyBorder="1" applyAlignment="1" applyProtection="1">
      <alignment horizontal="center" vertical="top" wrapText="1"/>
      <protection locked="0"/>
    </xf>
    <xf numFmtId="0" fontId="10" fillId="0" borderId="0" xfId="0" applyFont="1" applyProtection="1">
      <protection hidden="1"/>
    </xf>
    <xf numFmtId="0" fontId="9" fillId="0" borderId="1" xfId="2" applyFont="1" applyBorder="1"/>
    <xf numFmtId="0" fontId="9" fillId="0" borderId="5" xfId="2" applyFont="1" applyBorder="1" applyAlignment="1" applyProtection="1">
      <alignment horizontal="center" wrapText="1"/>
      <protection locked="0"/>
    </xf>
    <xf numFmtId="9" fontId="9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Protection="1">
      <protection hidden="1"/>
    </xf>
    <xf numFmtId="1" fontId="9" fillId="0" borderId="5" xfId="2" applyNumberFormat="1" applyFont="1" applyBorder="1" applyAlignment="1" applyProtection="1">
      <alignment horizontal="center" wrapText="1"/>
      <protection locked="0"/>
    </xf>
    <xf numFmtId="1" fontId="11" fillId="0" borderId="1" xfId="0" applyNumberFormat="1" applyFont="1" applyBorder="1"/>
    <xf numFmtId="1" fontId="11" fillId="0" borderId="1" xfId="0" applyNumberFormat="1" applyFont="1" applyBorder="1" applyAlignment="1">
      <alignment horizontal="right"/>
    </xf>
    <xf numFmtId="0" fontId="9" fillId="0" borderId="11" xfId="2" applyFont="1" applyBorder="1" applyAlignment="1" applyProtection="1">
      <alignment horizontal="center" wrapText="1"/>
      <protection locked="0"/>
    </xf>
    <xf numFmtId="9" fontId="9" fillId="3" borderId="11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Protection="1">
      <protection hidden="1"/>
    </xf>
    <xf numFmtId="1" fontId="11" fillId="0" borderId="12" xfId="0" applyNumberFormat="1" applyFont="1" applyBorder="1"/>
    <xf numFmtId="0" fontId="9" fillId="0" borderId="7" xfId="2" applyFont="1" applyBorder="1" applyAlignment="1" applyProtection="1">
      <alignment vertical="top"/>
      <protection locked="0"/>
    </xf>
    <xf numFmtId="0" fontId="9" fillId="0" borderId="3" xfId="2" applyFont="1" applyBorder="1" applyAlignment="1" applyProtection="1">
      <alignment vertical="top"/>
      <protection locked="0"/>
    </xf>
    <xf numFmtId="0" fontId="9" fillId="0" borderId="2" xfId="2" applyFont="1" applyBorder="1" applyAlignment="1" applyProtection="1">
      <alignment vertical="top"/>
      <protection locked="0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3" fillId="0" borderId="0" xfId="3" applyFont="1"/>
    <xf numFmtId="0" fontId="9" fillId="0" borderId="0" xfId="2" applyFont="1"/>
    <xf numFmtId="0" fontId="9" fillId="0" borderId="0" xfId="2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top"/>
      <protection locked="0"/>
    </xf>
    <xf numFmtId="1" fontId="12" fillId="0" borderId="0" xfId="2" applyNumberFormat="1" applyFont="1" applyAlignment="1" applyProtection="1">
      <alignment vertical="center" wrapText="1"/>
      <protection locked="0"/>
    </xf>
    <xf numFmtId="2" fontId="9" fillId="0" borderId="0" xfId="2" applyNumberFormat="1" applyFont="1" applyAlignment="1">
      <alignment horizontal="center" vertical="center"/>
    </xf>
    <xf numFmtId="0" fontId="15" fillId="0" borderId="0" xfId="0" applyFont="1"/>
    <xf numFmtId="0" fontId="5" fillId="2" borderId="5" xfId="1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>
      <alignment horizontal="left" vertical="top" wrapText="1"/>
    </xf>
    <xf numFmtId="0" fontId="2" fillId="4" borderId="5" xfId="1" applyFont="1" applyFill="1" applyBorder="1" applyAlignment="1">
      <alignment vertical="center" wrapText="1"/>
    </xf>
    <xf numFmtId="1" fontId="19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16" fillId="5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4" borderId="0" xfId="0" applyFont="1" applyFill="1" applyAlignment="1">
      <alignment vertical="top" wrapText="1"/>
    </xf>
    <xf numFmtId="0" fontId="21" fillId="4" borderId="5" xfId="0" applyFont="1" applyFill="1" applyBorder="1" applyAlignment="1">
      <alignment horizontal="left" vertical="top" wrapText="1"/>
    </xf>
    <xf numFmtId="0" fontId="22" fillId="4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1" fontId="6" fillId="0" borderId="0" xfId="0" applyNumberFormat="1" applyFont="1" applyAlignment="1">
      <alignment horizontal="center" vertical="center"/>
    </xf>
    <xf numFmtId="14" fontId="5" fillId="2" borderId="5" xfId="1" applyNumberFormat="1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>
      <alignment horizontal="left" vertical="center" wrapText="1"/>
    </xf>
    <xf numFmtId="0" fontId="3" fillId="4" borderId="5" xfId="2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center"/>
    </xf>
    <xf numFmtId="0" fontId="3" fillId="4" borderId="5" xfId="2" applyFont="1" applyFill="1" applyBorder="1" applyAlignment="1" applyProtection="1">
      <alignment horizontal="center" vertical="top" wrapText="1"/>
      <protection locked="0"/>
    </xf>
    <xf numFmtId="9" fontId="3" fillId="4" borderId="5" xfId="0" applyNumberFormat="1" applyFont="1" applyFill="1" applyBorder="1" applyAlignment="1">
      <alignment horizontal="center" vertical="center"/>
    </xf>
    <xf numFmtId="0" fontId="3" fillId="4" borderId="5" xfId="2" applyFont="1" applyFill="1" applyBorder="1" applyAlignment="1" applyProtection="1">
      <alignment horizontal="center" wrapText="1"/>
      <protection locked="0"/>
    </xf>
    <xf numFmtId="1" fontId="3" fillId="4" borderId="5" xfId="2" applyNumberFormat="1" applyFont="1" applyFill="1" applyBorder="1" applyAlignment="1" applyProtection="1">
      <alignment horizontal="center" wrapText="1"/>
      <protection locked="0"/>
    </xf>
    <xf numFmtId="1" fontId="28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1" fillId="4" borderId="5" xfId="0" applyFont="1" applyFill="1" applyBorder="1" applyAlignment="1">
      <alignment horizontal="left" vertical="top" wrapText="1"/>
    </xf>
    <xf numFmtId="0" fontId="31" fillId="4" borderId="5" xfId="0" applyFont="1" applyFill="1" applyBorder="1" applyAlignment="1">
      <alignment horizontal="center" vertical="center" wrapText="1"/>
    </xf>
    <xf numFmtId="1" fontId="3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0" xfId="0" applyFont="1"/>
    <xf numFmtId="0" fontId="32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center" vertical="center"/>
    </xf>
    <xf numFmtId="1" fontId="29" fillId="0" borderId="5" xfId="0" applyNumberFormat="1" applyFont="1" applyBorder="1" applyAlignment="1" applyProtection="1">
      <alignment horizontal="center" vertical="center" wrapText="1"/>
      <protection locked="0"/>
    </xf>
    <xf numFmtId="1" fontId="28" fillId="0" borderId="5" xfId="2" applyNumberFormat="1" applyFont="1" applyBorder="1" applyAlignment="1" applyProtection="1">
      <alignment horizontal="center" vertical="center" wrapText="1"/>
      <protection locked="0"/>
    </xf>
    <xf numFmtId="1" fontId="3" fillId="0" borderId="5" xfId="2" applyNumberFormat="1" applyFont="1" applyBorder="1" applyAlignment="1">
      <alignment horizontal="center" vertical="center"/>
    </xf>
    <xf numFmtId="14" fontId="5" fillId="2" borderId="5" xfId="1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top"/>
    </xf>
    <xf numFmtId="1" fontId="13" fillId="0" borderId="0" xfId="2" applyNumberFormat="1" applyFont="1" applyAlignment="1" applyProtection="1">
      <alignment vertical="center" wrapText="1"/>
      <protection locked="0"/>
    </xf>
    <xf numFmtId="2" fontId="0" fillId="0" borderId="0" xfId="0" applyNumberFormat="1" applyAlignment="1">
      <alignment horizontal="left"/>
    </xf>
    <xf numFmtId="0" fontId="38" fillId="4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0" fontId="2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" fontId="19" fillId="0" borderId="5" xfId="2" applyNumberFormat="1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>
      <alignment horizontal="center" vertical="center" wrapText="1"/>
    </xf>
    <xf numFmtId="1" fontId="28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29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left" vertical="top"/>
    </xf>
    <xf numFmtId="0" fontId="3" fillId="4" borderId="5" xfId="2" applyFont="1" applyFill="1" applyBorder="1" applyAlignment="1" applyProtection="1">
      <alignment horizontal="left" vertical="top" wrapText="1"/>
      <protection locked="0"/>
    </xf>
    <xf numFmtId="9" fontId="33" fillId="0" borderId="5" xfId="5" applyFont="1" applyFill="1" applyBorder="1" applyAlignment="1" applyProtection="1">
      <alignment horizontal="center" vertical="top" wrapText="1"/>
      <protection locked="0"/>
    </xf>
    <xf numFmtId="9" fontId="31" fillId="0" borderId="5" xfId="2" applyNumberFormat="1" applyFont="1" applyBorder="1" applyAlignment="1" applyProtection="1">
      <alignment horizontal="center" vertical="center" wrapText="1"/>
      <protection locked="0"/>
    </xf>
    <xf numFmtId="0" fontId="3" fillId="4" borderId="5" xfId="2" applyFont="1" applyFill="1" applyBorder="1" applyAlignment="1" applyProtection="1">
      <alignment horizontal="center" vertical="center" wrapText="1"/>
      <protection locked="0"/>
    </xf>
    <xf numFmtId="0" fontId="21" fillId="4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top" wrapText="1"/>
    </xf>
    <xf numFmtId="1" fontId="12" fillId="0" borderId="0" xfId="2" applyNumberFormat="1" applyFont="1" applyAlignment="1" applyProtection="1">
      <alignment horizontal="center" vertical="top" wrapText="1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top" wrapText="1"/>
      <protection locked="0"/>
    </xf>
    <xf numFmtId="1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1" fontId="27" fillId="0" borderId="5" xfId="0" applyNumberFormat="1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9" fillId="5" borderId="5" xfId="2" applyFont="1" applyFill="1" applyBorder="1" applyAlignment="1" applyProtection="1">
      <alignment horizontal="center" vertical="center"/>
      <protection locked="0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Alignment="1" applyProtection="1">
      <alignment horizontal="center" vertical="top" wrapText="1"/>
      <protection locked="0"/>
    </xf>
    <xf numFmtId="0" fontId="27" fillId="4" borderId="5" xfId="2" applyFont="1" applyFill="1" applyBorder="1" applyAlignment="1" applyProtection="1">
      <alignment horizontal="left" vertical="top" wrapText="1"/>
      <protection locked="0"/>
    </xf>
    <xf numFmtId="1" fontId="19" fillId="0" borderId="5" xfId="2" applyNumberFormat="1" applyFont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1" fontId="1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30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2" fillId="5" borderId="5" xfId="0" applyFont="1" applyFill="1" applyBorder="1" applyAlignment="1">
      <alignment horizontal="center" vertical="center"/>
    </xf>
    <xf numFmtId="0" fontId="35" fillId="0" borderId="5" xfId="1" applyFont="1" applyBorder="1" applyAlignment="1" applyProtection="1">
      <alignment horizontal="center" vertical="top"/>
      <protection locked="0"/>
    </xf>
    <xf numFmtId="0" fontId="3" fillId="4" borderId="5" xfId="2" applyFont="1" applyFill="1" applyBorder="1" applyAlignment="1" applyProtection="1">
      <alignment horizontal="center" vertical="center" wrapText="1"/>
      <protection locked="0"/>
    </xf>
    <xf numFmtId="1" fontId="1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0" fontId="2" fillId="8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3" fillId="0" borderId="5" xfId="0" applyNumberFormat="1" applyFont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5" xfId="0" applyFont="1" applyBorder="1" applyAlignment="1">
      <alignment horizontal="left" vertical="center" wrapText="1"/>
    </xf>
    <xf numFmtId="0" fontId="29" fillId="4" borderId="5" xfId="2" applyFont="1" applyFill="1" applyBorder="1" applyAlignment="1" applyProtection="1">
      <alignment horizontal="center" vertical="center"/>
      <protection locked="0"/>
    </xf>
    <xf numFmtId="1" fontId="29" fillId="0" borderId="5" xfId="2" applyNumberFormat="1" applyFont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left"/>
    </xf>
    <xf numFmtId="0" fontId="17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9" fillId="0" borderId="5" xfId="2" applyFont="1" applyBorder="1" applyAlignment="1" applyProtection="1">
      <alignment horizontal="center" vertical="top"/>
      <protection locked="0"/>
    </xf>
    <xf numFmtId="0" fontId="18" fillId="5" borderId="5" xfId="0" applyFont="1" applyFill="1" applyBorder="1" applyAlignment="1">
      <alignment horizontal="center"/>
    </xf>
    <xf numFmtId="1" fontId="13" fillId="0" borderId="0" xfId="2" applyNumberFormat="1" applyFont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top"/>
    </xf>
    <xf numFmtId="0" fontId="2" fillId="5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center" vertical="top" wrapText="1"/>
    </xf>
    <xf numFmtId="0" fontId="5" fillId="4" borderId="5" xfId="1" applyFont="1" applyFill="1" applyBorder="1" applyAlignment="1">
      <alignment horizontal="left" vertical="center" wrapText="1"/>
    </xf>
    <xf numFmtId="0" fontId="2" fillId="4" borderId="5" xfId="1" applyFont="1" applyFill="1" applyBorder="1" applyAlignment="1">
      <alignment horizontal="left" vertical="center" wrapText="1"/>
    </xf>
    <xf numFmtId="0" fontId="20" fillId="4" borderId="5" xfId="4" applyFill="1" applyBorder="1" applyAlignment="1">
      <alignment horizontal="left"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26" fillId="3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20" fillId="0" borderId="5" xfId="4" applyBorder="1" applyAlignment="1">
      <alignment horizontal="left" vertical="center"/>
    </xf>
    <xf numFmtId="9" fontId="26" fillId="3" borderId="5" xfId="0" applyNumberFormat="1" applyFont="1" applyFill="1" applyBorder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top" wrapText="1"/>
    </xf>
    <xf numFmtId="1" fontId="28" fillId="0" borderId="5" xfId="2" applyNumberFormat="1" applyFont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top"/>
      <protection locked="0"/>
    </xf>
    <xf numFmtId="1" fontId="12" fillId="0" borderId="0" xfId="2" applyNumberFormat="1" applyFont="1" applyBorder="1" applyAlignment="1" applyProtection="1">
      <alignment horizontal="center" vertical="center" wrapText="1"/>
      <protection locked="0"/>
    </xf>
    <xf numFmtId="1" fontId="12" fillId="0" borderId="0" xfId="2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9" fontId="36" fillId="0" borderId="5" xfId="0" applyNumberFormat="1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9" fillId="0" borderId="4" xfId="2" applyFont="1" applyBorder="1" applyAlignment="1" applyProtection="1">
      <alignment horizontal="center" vertical="top" wrapText="1"/>
      <protection locked="0"/>
    </xf>
    <xf numFmtId="0" fontId="9" fillId="0" borderId="5" xfId="2" applyFont="1" applyBorder="1" applyAlignment="1" applyProtection="1">
      <alignment horizontal="center" vertical="top" wrapText="1"/>
      <protection locked="0"/>
    </xf>
    <xf numFmtId="0" fontId="9" fillId="0" borderId="10" xfId="2" applyFont="1" applyBorder="1" applyAlignment="1" applyProtection="1">
      <alignment horizontal="center" vertical="top" wrapText="1"/>
      <protection locked="0"/>
    </xf>
    <xf numFmtId="0" fontId="9" fillId="0" borderId="11" xfId="2" applyFont="1" applyBorder="1" applyAlignment="1" applyProtection="1">
      <alignment horizontal="center" vertical="top" wrapText="1"/>
      <protection locked="0"/>
    </xf>
    <xf numFmtId="9" fontId="9" fillId="3" borderId="5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11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6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19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2" applyFont="1" applyBorder="1" applyAlignment="1" applyProtection="1">
      <alignment horizontal="center" vertical="top"/>
      <protection locked="0"/>
    </xf>
    <xf numFmtId="0" fontId="9" fillId="0" borderId="5" xfId="2" applyFont="1" applyBorder="1" applyAlignment="1" applyProtection="1">
      <alignment horizontal="center" vertical="top"/>
      <protection locked="0"/>
    </xf>
    <xf numFmtId="0" fontId="8" fillId="0" borderId="14" xfId="2" applyFont="1" applyBorder="1" applyAlignment="1" applyProtection="1">
      <alignment horizontal="left" vertical="top" wrapText="1"/>
      <protection locked="0"/>
    </xf>
    <xf numFmtId="0" fontId="8" fillId="0" borderId="15" xfId="2" applyFont="1" applyBorder="1" applyAlignment="1" applyProtection="1">
      <alignment horizontal="left" vertical="top" wrapText="1"/>
      <protection locked="0"/>
    </xf>
    <xf numFmtId="0" fontId="8" fillId="0" borderId="16" xfId="2" applyFont="1" applyBorder="1" applyAlignment="1" applyProtection="1">
      <alignment horizontal="left" vertical="top" wrapText="1"/>
      <protection locked="0"/>
    </xf>
    <xf numFmtId="0" fontId="8" fillId="0" borderId="17" xfId="2" applyFont="1" applyBorder="1" applyAlignment="1" applyProtection="1">
      <alignment horizontal="left" vertical="top" wrapText="1"/>
      <protection locked="0"/>
    </xf>
    <xf numFmtId="0" fontId="8" fillId="0" borderId="18" xfId="2" applyFont="1" applyBorder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left" vertical="top"/>
      <protection locked="0"/>
    </xf>
    <xf numFmtId="0" fontId="8" fillId="0" borderId="5" xfId="2" applyFont="1" applyBorder="1" applyAlignment="1" applyProtection="1">
      <alignment horizontal="left" vertical="top"/>
      <protection locked="0"/>
    </xf>
    <xf numFmtId="0" fontId="8" fillId="0" borderId="5" xfId="2" applyFont="1" applyBorder="1" applyAlignment="1" applyProtection="1">
      <alignment horizontal="left" vertical="top" wrapText="1"/>
      <protection locked="0"/>
    </xf>
    <xf numFmtId="0" fontId="8" fillId="0" borderId="6" xfId="2" applyFont="1" applyBorder="1" applyAlignment="1" applyProtection="1">
      <alignment horizontal="left" vertical="top" wrapText="1"/>
      <protection locked="0"/>
    </xf>
    <xf numFmtId="0" fontId="9" fillId="0" borderId="6" xfId="2" applyFont="1" applyBorder="1" applyAlignment="1" applyProtection="1">
      <alignment horizontal="center" vertical="top" wrapText="1"/>
      <protection locked="0"/>
    </xf>
  </cellXfs>
  <cellStyles count="6">
    <cellStyle name="Excel Built-in Normal" xfId="3"/>
    <cellStyle name="Hyperlink" xfId="4" builtinId="8"/>
    <cellStyle name="Normal" xfId="0" builtinId="0"/>
    <cellStyle name="Normal 2" xfId="1"/>
    <cellStyle name="Normal 3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298175</xdr:colOff>
      <xdr:row>36</xdr:row>
      <xdr:rowOff>159026</xdr:rowOff>
    </xdr:from>
    <xdr:to>
      <xdr:col>8</xdr:col>
      <xdr:colOff>812714</xdr:colOff>
      <xdr:row>42</xdr:row>
      <xdr:rowOff>47341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8269195-5F36-CDDF-07E0-6D8ACCADB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1" y="10025269"/>
          <a:ext cx="1800000" cy="10147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708992</xdr:colOff>
      <xdr:row>346</xdr:row>
      <xdr:rowOff>13252</xdr:rowOff>
    </xdr:from>
    <xdr:to>
      <xdr:col>5</xdr:col>
      <xdr:colOff>542593</xdr:colOff>
      <xdr:row>381</xdr:row>
      <xdr:rowOff>101150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48C82C93-D836-4ED4-AAE3-44BF21034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992" y="67062626"/>
          <a:ext cx="5518784" cy="6581463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1</xdr:col>
      <xdr:colOff>830211</xdr:colOff>
      <xdr:row>349</xdr:row>
      <xdr:rowOff>108671</xdr:rowOff>
    </xdr:from>
    <xdr:to>
      <xdr:col>2</xdr:col>
      <xdr:colOff>783248</xdr:colOff>
      <xdr:row>350</xdr:row>
      <xdr:rowOff>171973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4FE77B03-1180-4E7F-9FC5-6269C946872F}"/>
            </a:ext>
          </a:extLst>
        </xdr:cNvPr>
        <xdr:cNvSpPr txBox="1"/>
      </xdr:nvSpPr>
      <xdr:spPr>
        <a:xfrm rot="1304406" flipH="1">
          <a:off x="2142176" y="67714636"/>
          <a:ext cx="1125855" cy="24883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>
              <a:ln>
                <a:solidFill>
                  <a:srgbClr val="0000CC"/>
                </a:solidFill>
              </a:ln>
              <a:solidFill>
                <a:srgbClr val="FFFF00"/>
              </a:solidFill>
            </a:rPr>
            <a:t>Buildning</a:t>
          </a:r>
          <a:r>
            <a:rPr lang="en-IN" sz="1100" baseline="0">
              <a:ln>
                <a:solidFill>
                  <a:srgbClr val="0000CC"/>
                </a:solidFill>
              </a:ln>
              <a:solidFill>
                <a:srgbClr val="FFFF00"/>
              </a:solidFill>
            </a:rPr>
            <a:t> No. 2</a:t>
          </a:r>
          <a:endParaRPr lang="en-IN" sz="1100">
            <a:ln>
              <a:solidFill>
                <a:srgbClr val="0000CC"/>
              </a:solidFill>
            </a:ln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268008</xdr:colOff>
      <xdr:row>356</xdr:row>
      <xdr:rowOff>129087</xdr:rowOff>
    </xdr:from>
    <xdr:to>
      <xdr:col>4</xdr:col>
      <xdr:colOff>118590</xdr:colOff>
      <xdr:row>358</xdr:row>
      <xdr:rowOff>11391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5E4FF0D9-E412-4D40-86D1-22BD347CA91C}"/>
            </a:ext>
          </a:extLst>
        </xdr:cNvPr>
        <xdr:cNvSpPr txBox="1"/>
      </xdr:nvSpPr>
      <xdr:spPr>
        <a:xfrm rot="12281524" flipH="1" flipV="1">
          <a:off x="3687069" y="69033765"/>
          <a:ext cx="1089660" cy="25336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>
              <a:ln>
                <a:solidFill>
                  <a:srgbClr val="0000CC"/>
                </a:solidFill>
              </a:ln>
              <a:solidFill>
                <a:srgbClr val="FFFF00"/>
              </a:solidFill>
            </a:rPr>
            <a:t>Building No.1</a:t>
          </a:r>
        </a:p>
      </xdr:txBody>
    </xdr:sp>
    <xdr:clientData/>
  </xdr:twoCellAnchor>
  <xdr:twoCellAnchor>
    <xdr:from>
      <xdr:col>0</xdr:col>
      <xdr:colOff>788504</xdr:colOff>
      <xdr:row>391</xdr:row>
      <xdr:rowOff>159028</xdr:rowOff>
    </xdr:from>
    <xdr:to>
      <xdr:col>5</xdr:col>
      <xdr:colOff>575233</xdr:colOff>
      <xdr:row>430</xdr:row>
      <xdr:rowOff>101310</xdr:rowOff>
    </xdr:to>
    <xdr:grpSp>
      <xdr:nvGrpSpPr>
        <xdr:cNvPr id="32" name="Group 31">
          <a:extLst>
            <a:ext uri="{FF2B5EF4-FFF2-40B4-BE49-F238E27FC236}">
              <a16:creationId xmlns="" xmlns:a16="http://schemas.microsoft.com/office/drawing/2014/main" id="{7941420D-3E8B-DDF4-790C-BA89C4A88DA7}"/>
            </a:ext>
          </a:extLst>
        </xdr:cNvPr>
        <xdr:cNvGrpSpPr/>
      </xdr:nvGrpSpPr>
      <xdr:grpSpPr>
        <a:xfrm>
          <a:off x="788504" y="76955376"/>
          <a:ext cx="5071033" cy="7371782"/>
          <a:chOff x="547888" y="745554"/>
          <a:chExt cx="5762223" cy="7796834"/>
        </a:xfrm>
      </xdr:grpSpPr>
      <xdr:pic>
        <xdr:nvPicPr>
          <xdr:cNvPr id="33" name="Picture 32">
            <a:extLst>
              <a:ext uri="{FF2B5EF4-FFF2-40B4-BE49-F238E27FC236}">
                <a16:creationId xmlns=""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10408" t="17367" r="18363"/>
          <a:stretch/>
        </xdr:blipFill>
        <xdr:spPr>
          <a:xfrm>
            <a:off x="563015" y="3969090"/>
            <a:ext cx="5747096" cy="4573298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grpSp>
        <xdr:nvGrpSpPr>
          <xdr:cNvPr id="34" name="Group 33">
            <a:extLst>
              <a:ext uri="{FF2B5EF4-FFF2-40B4-BE49-F238E27FC236}">
                <a16:creationId xmlns="" xmlns:a16="http://schemas.microsoft.com/office/drawing/2014/main" id="{00000000-0008-0000-0000-00002D000000}"/>
              </a:ext>
            </a:extLst>
          </xdr:cNvPr>
          <xdr:cNvGrpSpPr/>
        </xdr:nvGrpSpPr>
        <xdr:grpSpPr>
          <a:xfrm>
            <a:off x="3129166" y="5413641"/>
            <a:ext cx="1140432" cy="1716409"/>
            <a:chOff x="2581277" y="4812030"/>
            <a:chExt cx="6701209" cy="13164462"/>
          </a:xfrm>
        </xdr:grpSpPr>
        <xdr:cxnSp macro="">
          <xdr:nvCxnSpPr>
            <xdr:cNvPr id="38" name="Straight Connector 37">
              <a:extLst>
                <a:ext uri="{FF2B5EF4-FFF2-40B4-BE49-F238E27FC236}">
                  <a16:creationId xmlns="" xmlns:a16="http://schemas.microsoft.com/office/drawing/2014/main" id="{00000000-0008-0000-0000-00002E000000}"/>
                </a:ext>
              </a:extLst>
            </xdr:cNvPr>
            <xdr:cNvCxnSpPr/>
          </xdr:nvCxnSpPr>
          <xdr:spPr>
            <a:xfrm flipH="1">
              <a:off x="4738720" y="9542118"/>
              <a:ext cx="602826" cy="1529120"/>
            </a:xfrm>
            <a:prstGeom prst="line">
              <a:avLst/>
            </a:prstGeom>
            <a:ln w="3810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39" name="Group 38">
              <a:extLst>
                <a:ext uri="{FF2B5EF4-FFF2-40B4-BE49-F238E27FC236}">
                  <a16:creationId xmlns="" xmlns:a16="http://schemas.microsoft.com/office/drawing/2014/main" id="{00000000-0008-0000-0000-00002F000000}"/>
                </a:ext>
              </a:extLst>
            </xdr:cNvPr>
            <xdr:cNvGrpSpPr/>
          </xdr:nvGrpSpPr>
          <xdr:grpSpPr>
            <a:xfrm>
              <a:off x="2581277" y="4812030"/>
              <a:ext cx="6701209" cy="13164462"/>
              <a:chOff x="2581277" y="4812030"/>
              <a:chExt cx="6701209" cy="13164462"/>
            </a:xfrm>
          </xdr:grpSpPr>
          <xdr:cxnSp macro="">
            <xdr:nvCxnSpPr>
              <xdr:cNvPr id="40" name="Straight Connector 39">
                <a:extLst>
                  <a:ext uri="{FF2B5EF4-FFF2-40B4-BE49-F238E27FC236}">
                    <a16:creationId xmlns="" xmlns:a16="http://schemas.microsoft.com/office/drawing/2014/main" id="{00000000-0008-0000-0000-000030000000}"/>
                  </a:ext>
                </a:extLst>
              </xdr:cNvPr>
              <xdr:cNvCxnSpPr/>
            </xdr:nvCxnSpPr>
            <xdr:spPr>
              <a:xfrm>
                <a:off x="3580269" y="14330081"/>
                <a:ext cx="423380" cy="3646411"/>
              </a:xfrm>
              <a:prstGeom prst="line">
                <a:avLst/>
              </a:prstGeom>
              <a:ln w="3810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" name="Straight Connector 40">
                <a:extLst>
                  <a:ext uri="{FF2B5EF4-FFF2-40B4-BE49-F238E27FC236}">
                    <a16:creationId xmlns="" xmlns:a16="http://schemas.microsoft.com/office/drawing/2014/main" id="{00000000-0008-0000-0000-000031000000}"/>
                  </a:ext>
                </a:extLst>
              </xdr:cNvPr>
              <xdr:cNvCxnSpPr/>
            </xdr:nvCxnSpPr>
            <xdr:spPr>
              <a:xfrm flipH="1">
                <a:off x="8959199" y="10311497"/>
                <a:ext cx="210347" cy="1414002"/>
              </a:xfrm>
              <a:prstGeom prst="line">
                <a:avLst/>
              </a:prstGeom>
              <a:ln w="3810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42" name="Group 41">
                <a:extLst>
                  <a:ext uri="{FF2B5EF4-FFF2-40B4-BE49-F238E27FC236}">
                    <a16:creationId xmlns="" xmlns:a16="http://schemas.microsoft.com/office/drawing/2014/main" id="{00000000-0008-0000-0000-000032000000}"/>
                  </a:ext>
                </a:extLst>
              </xdr:cNvPr>
              <xdr:cNvGrpSpPr/>
            </xdr:nvGrpSpPr>
            <xdr:grpSpPr>
              <a:xfrm>
                <a:off x="2581277" y="4812030"/>
                <a:ext cx="6701209" cy="13088570"/>
                <a:chOff x="2581277" y="4812030"/>
                <a:chExt cx="6701209" cy="13088570"/>
              </a:xfrm>
            </xdr:grpSpPr>
            <xdr:cxnSp macro="">
              <xdr:nvCxnSpPr>
                <xdr:cNvPr id="43" name="Straight Connector 42">
                  <a:extLst>
                    <a:ext uri="{FF2B5EF4-FFF2-40B4-BE49-F238E27FC236}">
                      <a16:creationId xmlns="" xmlns:a16="http://schemas.microsoft.com/office/drawing/2014/main" id="{00000000-0008-0000-0000-000033000000}"/>
                    </a:ext>
                  </a:extLst>
                </xdr:cNvPr>
                <xdr:cNvCxnSpPr/>
              </xdr:nvCxnSpPr>
              <xdr:spPr>
                <a:xfrm flipV="1">
                  <a:off x="3941542" y="16051734"/>
                  <a:ext cx="4918195" cy="1848866"/>
                </a:xfrm>
                <a:prstGeom prst="line">
                  <a:avLst/>
                </a:prstGeom>
                <a:ln w="38100">
                  <a:solidFill>
                    <a:srgbClr val="FFFF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4" name="Straight Connector 43">
                  <a:extLst>
                    <a:ext uri="{FF2B5EF4-FFF2-40B4-BE49-F238E27FC236}">
                      <a16:creationId xmlns="" xmlns:a16="http://schemas.microsoft.com/office/drawing/2014/main" id="{00000000-0008-0000-0000-000034000000}"/>
                    </a:ext>
                  </a:extLst>
                </xdr:cNvPr>
                <xdr:cNvCxnSpPr/>
              </xdr:nvCxnSpPr>
              <xdr:spPr>
                <a:xfrm flipH="1">
                  <a:off x="8778411" y="11707697"/>
                  <a:ext cx="183301" cy="4331174"/>
                </a:xfrm>
                <a:prstGeom prst="line">
                  <a:avLst/>
                </a:prstGeom>
                <a:ln w="38100">
                  <a:solidFill>
                    <a:srgbClr val="FFFF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5" name="Straight Connector 44">
                  <a:extLst>
                    <a:ext uri="{FF2B5EF4-FFF2-40B4-BE49-F238E27FC236}">
                      <a16:creationId xmlns="" xmlns:a16="http://schemas.microsoft.com/office/drawing/2014/main" id="{00000000-0008-0000-0000-000035000000}"/>
                    </a:ext>
                  </a:extLst>
                </xdr:cNvPr>
                <xdr:cNvCxnSpPr/>
              </xdr:nvCxnSpPr>
              <xdr:spPr>
                <a:xfrm flipH="1">
                  <a:off x="3633001" y="10909859"/>
                  <a:ext cx="1112822" cy="3550447"/>
                </a:xfrm>
                <a:prstGeom prst="line">
                  <a:avLst/>
                </a:prstGeom>
                <a:ln w="38100">
                  <a:solidFill>
                    <a:srgbClr val="FFFF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6" name="Straight Connector 45">
                  <a:extLst>
                    <a:ext uri="{FF2B5EF4-FFF2-40B4-BE49-F238E27FC236}">
                      <a16:creationId xmlns="" xmlns:a16="http://schemas.microsoft.com/office/drawing/2014/main" id="{00000000-0008-0000-0000-000036000000}"/>
                    </a:ext>
                  </a:extLst>
                </xdr:cNvPr>
                <xdr:cNvCxnSpPr/>
              </xdr:nvCxnSpPr>
              <xdr:spPr>
                <a:xfrm>
                  <a:off x="7941316" y="9538262"/>
                  <a:ext cx="1341170" cy="697333"/>
                </a:xfrm>
                <a:prstGeom prst="line">
                  <a:avLst/>
                </a:prstGeom>
                <a:ln w="38100">
                  <a:solidFill>
                    <a:srgbClr val="FFFF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7" name="Straight Connector 46">
                  <a:extLst>
                    <a:ext uri="{FF2B5EF4-FFF2-40B4-BE49-F238E27FC236}">
                      <a16:creationId xmlns="" xmlns:a16="http://schemas.microsoft.com/office/drawing/2014/main" id="{00000000-0008-0000-0000-000037000000}"/>
                    </a:ext>
                  </a:extLst>
                </xdr:cNvPr>
                <xdr:cNvCxnSpPr/>
              </xdr:nvCxnSpPr>
              <xdr:spPr>
                <a:xfrm>
                  <a:off x="3737680" y="4926007"/>
                  <a:ext cx="4179807" cy="4612255"/>
                </a:xfrm>
                <a:prstGeom prst="line">
                  <a:avLst/>
                </a:prstGeom>
                <a:ln w="38100">
                  <a:solidFill>
                    <a:srgbClr val="FFFF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8" name="Straight Connector 47">
                  <a:extLst>
                    <a:ext uri="{FF2B5EF4-FFF2-40B4-BE49-F238E27FC236}">
                      <a16:creationId xmlns="" xmlns:a16="http://schemas.microsoft.com/office/drawing/2014/main" id="{00000000-0008-0000-0000-000038000000}"/>
                    </a:ext>
                  </a:extLst>
                </xdr:cNvPr>
                <xdr:cNvCxnSpPr/>
              </xdr:nvCxnSpPr>
              <xdr:spPr>
                <a:xfrm>
                  <a:off x="2581277" y="8376573"/>
                  <a:ext cx="2806089" cy="1165537"/>
                </a:xfrm>
                <a:prstGeom prst="line">
                  <a:avLst/>
                </a:prstGeom>
                <a:ln w="38100">
                  <a:solidFill>
                    <a:srgbClr val="FFFF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9" name="Straight Connector 48">
                  <a:extLst>
                    <a:ext uri="{FF2B5EF4-FFF2-40B4-BE49-F238E27FC236}">
                      <a16:creationId xmlns="" xmlns:a16="http://schemas.microsoft.com/office/drawing/2014/main" id="{00000000-0008-0000-0000-000039000000}"/>
                    </a:ext>
                  </a:extLst>
                </xdr:cNvPr>
                <xdr:cNvCxnSpPr/>
              </xdr:nvCxnSpPr>
              <xdr:spPr>
                <a:xfrm flipV="1">
                  <a:off x="2821177" y="4812030"/>
                  <a:ext cx="962329" cy="170970"/>
                </a:xfrm>
                <a:prstGeom prst="line">
                  <a:avLst/>
                </a:prstGeom>
                <a:ln w="38100">
                  <a:solidFill>
                    <a:srgbClr val="FFFF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0" name="Straight Connector 49">
                  <a:extLst>
                    <a:ext uri="{FF2B5EF4-FFF2-40B4-BE49-F238E27FC236}">
                      <a16:creationId xmlns="" xmlns:a16="http://schemas.microsoft.com/office/drawing/2014/main" id="{00000000-0008-0000-0000-00003A000000}"/>
                    </a:ext>
                  </a:extLst>
                </xdr:cNvPr>
                <xdr:cNvCxnSpPr/>
              </xdr:nvCxnSpPr>
              <xdr:spPr>
                <a:xfrm flipH="1">
                  <a:off x="2592062" y="4869014"/>
                  <a:ext cx="183294" cy="3647295"/>
                </a:xfrm>
                <a:prstGeom prst="line">
                  <a:avLst/>
                </a:prstGeom>
                <a:ln w="38100">
                  <a:solidFill>
                    <a:srgbClr val="FFFF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sp macro="" textlink="">
        <xdr:nvSpPr>
          <xdr:cNvPr id="35" name="TextBox 85">
            <a:extLst>
              <a:ext uri="{FF2B5EF4-FFF2-40B4-BE49-F238E27FC236}">
                <a16:creationId xmlns="" xmlns:a16="http://schemas.microsoft.com/office/drawing/2014/main" id="{00000000-0008-0000-0000-000056000000}"/>
              </a:ext>
            </a:extLst>
          </xdr:cNvPr>
          <xdr:cNvSpPr txBox="1"/>
        </xdr:nvSpPr>
        <xdr:spPr>
          <a:xfrm rot="17650303">
            <a:off x="3369192" y="6317584"/>
            <a:ext cx="1087632" cy="4706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>
                <a:solidFill>
                  <a:srgbClr val="0000CC"/>
                </a:solidFill>
              </a:rPr>
              <a:t>Building</a:t>
            </a:r>
            <a:r>
              <a:rPr lang="en-IN" sz="1100" b="1" baseline="0">
                <a:solidFill>
                  <a:srgbClr val="0000CC"/>
                </a:solidFill>
              </a:rPr>
              <a:t> No. 1</a:t>
            </a:r>
            <a:endParaRPr lang="en-IN" sz="1100" b="1">
              <a:solidFill>
                <a:srgbClr val="0000CC"/>
              </a:solidFill>
            </a:endParaRPr>
          </a:p>
        </xdr:txBody>
      </xdr:sp>
      <xdr:sp macro="" textlink="">
        <xdr:nvSpPr>
          <xdr:cNvPr id="36" name="TextBox 118">
            <a:extLst>
              <a:ext uri="{FF2B5EF4-FFF2-40B4-BE49-F238E27FC236}">
                <a16:creationId xmlns="" xmlns:a16="http://schemas.microsoft.com/office/drawing/2014/main" id="{00000000-0008-0000-0000-000077000000}"/>
              </a:ext>
            </a:extLst>
          </xdr:cNvPr>
          <xdr:cNvSpPr txBox="1"/>
        </xdr:nvSpPr>
        <xdr:spPr>
          <a:xfrm rot="2197289">
            <a:off x="3020549" y="5690704"/>
            <a:ext cx="1044320" cy="2972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>
                <a:solidFill>
                  <a:srgbClr val="0000CC"/>
                </a:solidFill>
              </a:rPr>
              <a:t>Building No.2</a:t>
            </a:r>
          </a:p>
        </xdr:txBody>
      </xdr:sp>
      <xdr:pic>
        <xdr:nvPicPr>
          <xdr:cNvPr id="37" name="Picture 36">
            <a:extLst>
              <a:ext uri="{FF2B5EF4-FFF2-40B4-BE49-F238E27FC236}">
                <a16:creationId xmlns="" xmlns:a16="http://schemas.microsoft.com/office/drawing/2014/main" id="{00000000-0008-0000-0000-00009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47888" y="745554"/>
            <a:ext cx="5747096" cy="3099617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6</xdr:col>
      <xdr:colOff>152400</xdr:colOff>
      <xdr:row>15</xdr:row>
      <xdr:rowOff>165653</xdr:rowOff>
    </xdr:from>
    <xdr:to>
      <xdr:col>10</xdr:col>
      <xdr:colOff>2035</xdr:colOff>
      <xdr:row>19</xdr:row>
      <xdr:rowOff>18132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58E8539A-B771-9BD3-B7E2-AD16B32A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426" y="3743740"/>
          <a:ext cx="3600000" cy="9259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450574</xdr:colOff>
      <xdr:row>82</xdr:row>
      <xdr:rowOff>238539</xdr:rowOff>
    </xdr:from>
    <xdr:to>
      <xdr:col>13</xdr:col>
      <xdr:colOff>120665</xdr:colOff>
      <xdr:row>87</xdr:row>
      <xdr:rowOff>36416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B5753E1A-F518-864B-9BB5-0663384E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67600" y="20262574"/>
          <a:ext cx="5400000" cy="209878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7</xdr:col>
      <xdr:colOff>198784</xdr:colOff>
      <xdr:row>298</xdr:row>
      <xdr:rowOff>57977</xdr:rowOff>
    </xdr:from>
    <xdr:to>
      <xdr:col>8</xdr:col>
      <xdr:colOff>1002196</xdr:colOff>
      <xdr:row>300</xdr:row>
      <xdr:rowOff>56095</xdr:rowOff>
    </xdr:to>
    <xdr:sp macro="" textlink="">
      <xdr:nvSpPr>
        <xdr:cNvPr id="53" name="TextBox 15">
          <a:extLst>
            <a:ext uri="{FF2B5EF4-FFF2-40B4-BE49-F238E27FC236}">
              <a16:creationId xmlns="" xmlns:a16="http://schemas.microsoft.com/office/drawing/2014/main" id="{2DD0F57C-F932-9038-D691-A45308ED7D60}"/>
            </a:ext>
          </a:extLst>
        </xdr:cNvPr>
        <xdr:cNvSpPr txBox="1"/>
      </xdr:nvSpPr>
      <xdr:spPr>
        <a:xfrm>
          <a:off x="7346675" y="59328325"/>
          <a:ext cx="1416325" cy="3791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1</a:t>
          </a:r>
        </a:p>
      </xdr:txBody>
    </xdr:sp>
    <xdr:clientData/>
  </xdr:twoCellAnchor>
  <xdr:twoCellAnchor>
    <xdr:from>
      <xdr:col>0</xdr:col>
      <xdr:colOff>77158</xdr:colOff>
      <xdr:row>299</xdr:row>
      <xdr:rowOff>91107</xdr:rowOff>
    </xdr:from>
    <xdr:to>
      <xdr:col>5</xdr:col>
      <xdr:colOff>1127150</xdr:colOff>
      <xdr:row>339</xdr:row>
      <xdr:rowOff>95182</xdr:rowOff>
    </xdr:to>
    <xdr:grpSp>
      <xdr:nvGrpSpPr>
        <xdr:cNvPr id="54" name="Group 53"/>
        <xdr:cNvGrpSpPr/>
      </xdr:nvGrpSpPr>
      <xdr:grpSpPr>
        <a:xfrm>
          <a:off x="77158" y="59361455"/>
          <a:ext cx="6334296" cy="7624075"/>
          <a:chOff x="-194098" y="34097429"/>
          <a:chExt cx="6334296" cy="7624075"/>
        </a:xfrm>
      </xdr:grpSpPr>
      <xdr:grpSp>
        <xdr:nvGrpSpPr>
          <xdr:cNvPr id="56" name="Group 55"/>
          <xdr:cNvGrpSpPr/>
        </xdr:nvGrpSpPr>
        <xdr:grpSpPr>
          <a:xfrm>
            <a:off x="-194098" y="34097429"/>
            <a:ext cx="6334296" cy="7624075"/>
            <a:chOff x="-194098" y="34097429"/>
            <a:chExt cx="6334296" cy="7624075"/>
          </a:xfrm>
        </xdr:grpSpPr>
        <xdr:pic>
          <xdr:nvPicPr>
            <xdr:cNvPr id="65" name="Picture 64" descr="https://vsjcllp.vsjadon.com/upload/insp-240019-1525.jpg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b="4345"/>
            <a:stretch/>
          </xdr:blipFill>
          <xdr:spPr bwMode="auto">
            <a:xfrm>
              <a:off x="4834973" y="40041536"/>
              <a:ext cx="1247775" cy="166761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" name="Picture 65" descr="https://vsjcllp.vsjadon.com/upload/insp-240019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93370" y="40043582"/>
              <a:ext cx="2230026" cy="167384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" name="Picture 66" descr="https://vsjcllp.vsjadon.com/upload/insp-240019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97333" y="40046412"/>
              <a:ext cx="1255011" cy="167509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8" name="Picture 67" descr="https://vsjcllp.vsjadon.com/upload/insp-240019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8734" y="34097429"/>
              <a:ext cx="2798675" cy="373545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9" name="Picture 68" descr="https://vsjcllp.vsjadon.com/upload/insp-240019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99588" y="37923994"/>
              <a:ext cx="1532756" cy="204580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0" name="Picture 69" descr="https://vsjcllp.vsjadon.com/upload/insp-240019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99374" y="37923995"/>
              <a:ext cx="1532756" cy="204580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" name="Picture 70" descr="https://vsjcllp.vsjadon.com/upload/insp-240019-87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129564" y="40036889"/>
              <a:ext cx="1259094" cy="168054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2" name="Picture 71" descr="https://vsjcllp.vsjadon.com/upload/insp-240019-102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12799" y="34097429"/>
              <a:ext cx="2798675" cy="373545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3" name="Picture 72" descr="https://vsjcllp.vsjadon.com/upload/insp-240019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07442" y="37923995"/>
              <a:ext cx="1532756" cy="204580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4" name="Picture 73" descr="https://vsjcllp.vsjadon.com/upload/insp-240019-928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194098" y="37920303"/>
              <a:ext cx="1523111" cy="203293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3" name="TextBox 204"/>
          <xdr:cNvSpPr txBox="1"/>
        </xdr:nvSpPr>
        <xdr:spPr>
          <a:xfrm>
            <a:off x="685800" y="34185225"/>
            <a:ext cx="1168848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 1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64" name="TextBox 204"/>
          <xdr:cNvSpPr txBox="1"/>
        </xdr:nvSpPr>
        <xdr:spPr>
          <a:xfrm>
            <a:off x="3028950" y="34156650"/>
            <a:ext cx="1168848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 2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22</xdr:col>
      <xdr:colOff>209550</xdr:colOff>
      <xdr:row>171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688925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goo.gl/maps/QpZHa4oQNJLzr2So6" TargetMode="External"/><Relationship Id="rId1" Type="http://schemas.openxmlformats.org/officeDocument/2006/relationships/hyperlink" Target="mailto:vsjc.apf@gmail.com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33"/>
  <sheetViews>
    <sheetView tabSelected="1" view="pageBreakPreview" topLeftCell="A299" zoomScale="115" zoomScaleNormal="100" zoomScaleSheetLayoutView="115" workbookViewId="0">
      <selection activeCell="I340" sqref="I340"/>
    </sheetView>
  </sheetViews>
  <sheetFormatPr defaultRowHeight="15" x14ac:dyDescent="0.25"/>
  <cols>
    <col min="1" max="1" width="18.28515625" style="52" customWidth="1"/>
    <col min="2" max="2" width="16.28515625" customWidth="1"/>
    <col min="3" max="3" width="13.140625" style="78" customWidth="1"/>
    <col min="4" max="4" width="17.28515625" customWidth="1"/>
    <col min="5" max="5" width="14.28515625" customWidth="1"/>
    <col min="6" max="6" width="18.7109375" customWidth="1"/>
    <col min="9" max="9" width="23.5703125" customWidth="1"/>
    <col min="10" max="10" width="11.85546875" bestFit="1" customWidth="1"/>
  </cols>
  <sheetData>
    <row r="1" spans="1:12" x14ac:dyDescent="0.25">
      <c r="A1" s="167" t="s">
        <v>0</v>
      </c>
      <c r="B1" s="167"/>
      <c r="C1" s="167"/>
      <c r="D1" s="167"/>
      <c r="E1" s="167"/>
      <c r="F1" s="167"/>
    </row>
    <row r="2" spans="1:12" ht="27.6" customHeight="1" x14ac:dyDescent="0.25">
      <c r="A2" s="58" t="s">
        <v>67</v>
      </c>
      <c r="B2" s="168" t="s">
        <v>293</v>
      </c>
      <c r="C2" s="168"/>
      <c r="D2" s="168"/>
      <c r="E2" s="57" t="s">
        <v>1</v>
      </c>
      <c r="F2" s="80" t="s">
        <v>294</v>
      </c>
    </row>
    <row r="3" spans="1:12" x14ac:dyDescent="0.25">
      <c r="A3" s="169" t="s">
        <v>68</v>
      </c>
      <c r="B3" s="169"/>
      <c r="C3" s="169"/>
      <c r="D3" s="169"/>
      <c r="E3" s="169"/>
      <c r="F3" s="169"/>
    </row>
    <row r="4" spans="1:12" ht="15" customHeight="1" x14ac:dyDescent="0.25">
      <c r="A4" s="170" t="s">
        <v>74</v>
      </c>
      <c r="B4" s="170"/>
      <c r="C4" s="172" t="s">
        <v>247</v>
      </c>
      <c r="D4" s="172"/>
      <c r="E4" s="172"/>
      <c r="F4" s="172"/>
    </row>
    <row r="5" spans="1:12" ht="15" customHeight="1" x14ac:dyDescent="0.25">
      <c r="A5" s="173" t="s">
        <v>69</v>
      </c>
      <c r="B5" s="173"/>
      <c r="C5" s="172" t="s">
        <v>248</v>
      </c>
      <c r="D5" s="172"/>
      <c r="E5" s="172"/>
      <c r="F5" s="172"/>
    </row>
    <row r="6" spans="1:12" ht="15" customHeight="1" x14ac:dyDescent="0.25">
      <c r="A6" s="173" t="s">
        <v>70</v>
      </c>
      <c r="B6" s="173"/>
      <c r="C6" s="174" t="s">
        <v>249</v>
      </c>
      <c r="D6" s="174"/>
      <c r="E6" s="174"/>
      <c r="F6" s="174"/>
    </row>
    <row r="7" spans="1:12" ht="15" customHeight="1" x14ac:dyDescent="0.25">
      <c r="A7" s="173" t="s">
        <v>73</v>
      </c>
      <c r="B7" s="173"/>
      <c r="C7" s="172" t="s">
        <v>250</v>
      </c>
      <c r="D7" s="172"/>
      <c r="E7" s="172"/>
      <c r="F7" s="172"/>
    </row>
    <row r="8" spans="1:12" ht="15" customHeight="1" x14ac:dyDescent="0.25">
      <c r="A8" s="173" t="s">
        <v>71</v>
      </c>
      <c r="B8" s="173"/>
      <c r="C8" s="172"/>
      <c r="D8" s="172"/>
      <c r="E8" s="172"/>
      <c r="F8" s="172"/>
    </row>
    <row r="9" spans="1:12" ht="33" customHeight="1" x14ac:dyDescent="0.25">
      <c r="A9" s="173" t="s">
        <v>72</v>
      </c>
      <c r="B9" s="173"/>
      <c r="C9" s="172" t="s">
        <v>288</v>
      </c>
      <c r="D9" s="172"/>
      <c r="E9" s="172"/>
      <c r="F9" s="172"/>
    </row>
    <row r="10" spans="1:12" x14ac:dyDescent="0.25">
      <c r="A10" s="169" t="s">
        <v>75</v>
      </c>
      <c r="B10" s="169"/>
      <c r="C10" s="169"/>
      <c r="D10" s="169"/>
      <c r="E10" s="169"/>
      <c r="F10" s="169"/>
    </row>
    <row r="11" spans="1:12" ht="24" x14ac:dyDescent="0.25">
      <c r="A11" s="48" t="s">
        <v>80</v>
      </c>
      <c r="B11" s="85">
        <v>45855</v>
      </c>
      <c r="C11" s="48" t="s">
        <v>92</v>
      </c>
      <c r="D11" s="46" t="s">
        <v>379</v>
      </c>
      <c r="E11" s="48" t="s">
        <v>282</v>
      </c>
      <c r="F11" s="85">
        <v>45352</v>
      </c>
      <c r="I11" s="71"/>
      <c r="J11" s="71"/>
      <c r="K11" s="71"/>
      <c r="L11" s="71"/>
    </row>
    <row r="12" spans="1:12" x14ac:dyDescent="0.25">
      <c r="A12" s="48" t="s">
        <v>81</v>
      </c>
      <c r="B12" s="85">
        <v>45855</v>
      </c>
      <c r="C12" s="170" t="s">
        <v>93</v>
      </c>
      <c r="D12" s="170"/>
      <c r="E12" s="175" t="s">
        <v>378</v>
      </c>
      <c r="F12" s="175"/>
      <c r="I12" s="181"/>
      <c r="J12" s="181"/>
      <c r="K12" s="71"/>
      <c r="L12" s="71"/>
    </row>
    <row r="13" spans="1:12" x14ac:dyDescent="0.25">
      <c r="A13" s="48" t="s">
        <v>82</v>
      </c>
      <c r="B13" s="62" t="str">
        <f ca="1">TEXT(TODAY(),"DD/MM/YYYY")</f>
        <v>17/07/2025</v>
      </c>
      <c r="C13" s="170" t="s">
        <v>94</v>
      </c>
      <c r="D13" s="170"/>
      <c r="E13" s="175" t="s">
        <v>380</v>
      </c>
      <c r="F13" s="175"/>
      <c r="I13" s="181"/>
      <c r="J13" s="181"/>
      <c r="K13" s="71"/>
      <c r="L13" s="71"/>
    </row>
    <row r="14" spans="1:12" x14ac:dyDescent="0.25">
      <c r="A14" s="133" t="s">
        <v>76</v>
      </c>
      <c r="B14" s="133"/>
      <c r="C14" s="133"/>
      <c r="D14" s="133"/>
      <c r="E14" s="133"/>
      <c r="F14" s="133"/>
    </row>
    <row r="15" spans="1:12" ht="21.6" customHeight="1" x14ac:dyDescent="0.25">
      <c r="A15" s="126" t="s">
        <v>77</v>
      </c>
      <c r="B15" s="126"/>
      <c r="C15" s="138" t="s">
        <v>295</v>
      </c>
      <c r="D15" s="138"/>
      <c r="E15" s="138"/>
      <c r="F15" s="138"/>
    </row>
    <row r="16" spans="1:12" x14ac:dyDescent="0.25">
      <c r="A16" s="133" t="s">
        <v>78</v>
      </c>
      <c r="B16" s="133"/>
      <c r="C16" s="133"/>
      <c r="D16" s="133"/>
      <c r="E16" s="133"/>
      <c r="F16" s="133"/>
    </row>
    <row r="17" spans="1:10" x14ac:dyDescent="0.25">
      <c r="A17" s="63" t="s">
        <v>67</v>
      </c>
      <c r="B17" s="177" t="s">
        <v>296</v>
      </c>
      <c r="C17" s="177"/>
      <c r="D17" s="177"/>
      <c r="E17" s="177"/>
      <c r="F17" s="177"/>
    </row>
    <row r="18" spans="1:10" ht="41.25" customHeight="1" x14ac:dyDescent="0.25">
      <c r="A18" s="63" t="s">
        <v>289</v>
      </c>
      <c r="B18" s="178" t="str">
        <f>CONCATENATE((IF(OR(B2="",B2="NA"),"",B2)),", ",(IF(OR(A19="",A19="NA"),"",A19)),".",(IF(OR(B19="",B19="NA"),"",B19)),", near ",(IF(OR(E21="",E21="NA"),"",E21)),", ",(IF(OR(B20="",B20="NA"),"",B20)),", ",(IF(OR(B21="",B21="NA"),"",B21)),", ",(IF(OR(E19="",E19="NA"),"",E19)),", ",(IF(OR(E20="",E20="NA"),"",E20)),", ",(IF(OR(B22="",B22="NA"),"",B22)),", ",(IF(OR(E22="",E22="NA"),"",E22))," - ",(IF(OR(B24="",B24="NA"),"",B24)),".")</f>
        <v>Flower Valley, Plot No..10/3, 15/1/A &amp; 15/12, near Sai Krupa Apartment, Old Grampanchayat Road, Kongaon, Vasudev Patil Nagar, Kalyan West, Bhiwandi, Thane - 421311.</v>
      </c>
      <c r="C18" s="178"/>
      <c r="D18" s="178"/>
      <c r="E18" s="178"/>
      <c r="F18" s="178"/>
      <c r="J18" s="54"/>
    </row>
    <row r="19" spans="1:10" x14ac:dyDescent="0.25">
      <c r="A19" s="63" t="s">
        <v>79</v>
      </c>
      <c r="B19" s="177" t="s">
        <v>308</v>
      </c>
      <c r="C19" s="177"/>
      <c r="D19" s="63" t="s">
        <v>290</v>
      </c>
      <c r="E19" s="177" t="s">
        <v>297</v>
      </c>
      <c r="F19" s="177"/>
      <c r="J19" s="54"/>
    </row>
    <row r="20" spans="1:10" ht="28.5" customHeight="1" x14ac:dyDescent="0.25">
      <c r="A20" s="63" t="s">
        <v>83</v>
      </c>
      <c r="B20" s="177" t="s">
        <v>298</v>
      </c>
      <c r="C20" s="177"/>
      <c r="D20" s="63" t="s">
        <v>253</v>
      </c>
      <c r="E20" s="177" t="s">
        <v>299</v>
      </c>
      <c r="F20" s="177"/>
      <c r="J20" s="54"/>
    </row>
    <row r="21" spans="1:10" x14ac:dyDescent="0.25">
      <c r="A21" s="63" t="s">
        <v>254</v>
      </c>
      <c r="B21" s="177" t="s">
        <v>300</v>
      </c>
      <c r="C21" s="177"/>
      <c r="D21" s="63" t="s">
        <v>87</v>
      </c>
      <c r="E21" s="177" t="s">
        <v>302</v>
      </c>
      <c r="F21" s="177"/>
      <c r="J21" s="54"/>
    </row>
    <row r="22" spans="1:10" x14ac:dyDescent="0.25">
      <c r="A22" s="63" t="s">
        <v>252</v>
      </c>
      <c r="B22" s="177" t="s">
        <v>303</v>
      </c>
      <c r="C22" s="177"/>
      <c r="D22" s="63" t="s">
        <v>88</v>
      </c>
      <c r="E22" s="177" t="s">
        <v>301</v>
      </c>
      <c r="F22" s="177"/>
      <c r="J22" s="54"/>
    </row>
    <row r="23" spans="1:10" x14ac:dyDescent="0.25">
      <c r="A23" s="63" t="s">
        <v>84</v>
      </c>
      <c r="B23" s="177" t="s">
        <v>242</v>
      </c>
      <c r="C23" s="177"/>
      <c r="D23" s="63" t="s">
        <v>89</v>
      </c>
      <c r="E23" s="177" t="s">
        <v>243</v>
      </c>
      <c r="F23" s="177"/>
      <c r="J23" s="54"/>
    </row>
    <row r="24" spans="1:10" x14ac:dyDescent="0.25">
      <c r="A24" s="63" t="s">
        <v>85</v>
      </c>
      <c r="B24" s="177">
        <v>421311</v>
      </c>
      <c r="C24" s="177"/>
      <c r="D24" s="63" t="s">
        <v>90</v>
      </c>
      <c r="E24" s="177" t="s">
        <v>304</v>
      </c>
      <c r="F24" s="177"/>
      <c r="J24" s="54"/>
    </row>
    <row r="25" spans="1:10" x14ac:dyDescent="0.25">
      <c r="A25" s="63" t="s">
        <v>257</v>
      </c>
      <c r="B25" s="179" t="s">
        <v>305</v>
      </c>
      <c r="C25" s="177"/>
      <c r="D25" s="177"/>
      <c r="E25" s="177"/>
      <c r="F25" s="177"/>
      <c r="J25" s="54"/>
    </row>
    <row r="26" spans="1:10" ht="45" customHeight="1" x14ac:dyDescent="0.25">
      <c r="A26" s="63" t="s">
        <v>86</v>
      </c>
      <c r="B26" s="178" t="s">
        <v>306</v>
      </c>
      <c r="C26" s="177"/>
      <c r="D26" s="63" t="s">
        <v>91</v>
      </c>
      <c r="E26" s="177" t="s">
        <v>307</v>
      </c>
      <c r="F26" s="177"/>
      <c r="J26" s="54"/>
    </row>
    <row r="27" spans="1:10" x14ac:dyDescent="0.25">
      <c r="A27" s="133" t="s">
        <v>101</v>
      </c>
      <c r="B27" s="133"/>
      <c r="C27" s="133"/>
      <c r="D27" s="133"/>
      <c r="E27" s="133"/>
      <c r="F27" s="133"/>
    </row>
    <row r="28" spans="1:10" x14ac:dyDescent="0.25">
      <c r="A28" s="156"/>
      <c r="B28" s="156"/>
      <c r="C28" s="92" t="s">
        <v>95</v>
      </c>
      <c r="D28" s="92" t="s">
        <v>96</v>
      </c>
      <c r="E28" s="92" t="s">
        <v>97</v>
      </c>
      <c r="F28" s="92" t="s">
        <v>98</v>
      </c>
    </row>
    <row r="29" spans="1:10" x14ac:dyDescent="0.25">
      <c r="A29" s="156" t="s">
        <v>99</v>
      </c>
      <c r="B29" s="156"/>
      <c r="C29" s="95" t="s">
        <v>251</v>
      </c>
      <c r="D29" s="95" t="s">
        <v>251</v>
      </c>
      <c r="E29" s="95" t="s">
        <v>251</v>
      </c>
      <c r="F29" s="95" t="s">
        <v>251</v>
      </c>
      <c r="G29" s="109"/>
      <c r="H29" s="109"/>
    </row>
    <row r="30" spans="1:10" ht="30" x14ac:dyDescent="0.25">
      <c r="A30" s="156" t="s">
        <v>255</v>
      </c>
      <c r="B30" s="156"/>
      <c r="C30" s="86" t="s">
        <v>309</v>
      </c>
      <c r="D30" s="86" t="s">
        <v>310</v>
      </c>
      <c r="E30" s="86" t="s">
        <v>311</v>
      </c>
      <c r="F30" s="86" t="s">
        <v>311</v>
      </c>
      <c r="G30" s="109"/>
      <c r="H30" s="109"/>
    </row>
    <row r="31" spans="1:10" ht="38.25" x14ac:dyDescent="0.25">
      <c r="A31" s="156" t="s">
        <v>100</v>
      </c>
      <c r="B31" s="156"/>
      <c r="C31" s="101" t="s">
        <v>298</v>
      </c>
      <c r="D31" s="86" t="s">
        <v>312</v>
      </c>
      <c r="E31" s="86" t="s">
        <v>313</v>
      </c>
      <c r="F31" s="86" t="s">
        <v>314</v>
      </c>
      <c r="G31" s="109"/>
      <c r="H31" s="109"/>
    </row>
    <row r="32" spans="1:10" x14ac:dyDescent="0.25">
      <c r="A32" s="133" t="s">
        <v>102</v>
      </c>
      <c r="B32" s="133"/>
      <c r="C32" s="133"/>
      <c r="D32" s="133"/>
      <c r="E32" s="133"/>
      <c r="F32" s="133"/>
      <c r="G32" s="109"/>
      <c r="H32" s="109"/>
    </row>
    <row r="33" spans="1:8" x14ac:dyDescent="0.25">
      <c r="A33" s="126" t="s">
        <v>103</v>
      </c>
      <c r="B33" s="126"/>
      <c r="C33" s="176" t="s">
        <v>315</v>
      </c>
      <c r="D33" s="176"/>
      <c r="E33" s="176"/>
      <c r="F33" s="176"/>
      <c r="G33" s="182" t="s">
        <v>256</v>
      </c>
      <c r="H33" s="182"/>
    </row>
    <row r="34" spans="1:8" ht="15" customHeight="1" x14ac:dyDescent="0.25">
      <c r="A34" s="126" t="s">
        <v>104</v>
      </c>
      <c r="B34" s="126"/>
      <c r="C34" s="176" t="str">
        <f>C33</f>
        <v>Mumbai Metropolitan Region Development Authority</v>
      </c>
      <c r="D34" s="176"/>
      <c r="E34" s="176"/>
      <c r="F34" s="176"/>
      <c r="G34" s="182"/>
      <c r="H34" s="182"/>
    </row>
    <row r="35" spans="1:8" ht="15" customHeight="1" x14ac:dyDescent="0.25">
      <c r="A35" s="126" t="s">
        <v>105</v>
      </c>
      <c r="B35" s="126"/>
      <c r="C35" s="176" t="s">
        <v>316</v>
      </c>
      <c r="D35" s="176"/>
      <c r="E35" s="176"/>
      <c r="F35" s="176"/>
      <c r="G35" s="109"/>
      <c r="H35" s="109"/>
    </row>
    <row r="36" spans="1:8" x14ac:dyDescent="0.25">
      <c r="A36" s="126" t="s">
        <v>106</v>
      </c>
      <c r="B36" s="126"/>
      <c r="C36" s="176" t="str">
        <f>IF(AND(E22="Mumbai"),"Developed","Developing")</f>
        <v>Developing</v>
      </c>
      <c r="D36" s="176"/>
      <c r="E36" s="176"/>
      <c r="F36" s="176"/>
      <c r="G36" s="109"/>
      <c r="H36" s="109"/>
    </row>
    <row r="37" spans="1:8" ht="15" customHeight="1" x14ac:dyDescent="0.25">
      <c r="A37" s="126" t="s">
        <v>107</v>
      </c>
      <c r="B37" s="126"/>
      <c r="C37" s="176" t="s">
        <v>258</v>
      </c>
      <c r="D37" s="176"/>
      <c r="E37" s="176"/>
      <c r="F37" s="176"/>
      <c r="G37" s="109"/>
      <c r="H37" s="109"/>
    </row>
    <row r="38" spans="1:8" x14ac:dyDescent="0.25">
      <c r="A38" s="126" t="s">
        <v>108</v>
      </c>
      <c r="B38" s="126"/>
      <c r="C38" s="180">
        <f ca="1">E152</f>
        <v>0.80535714285714277</v>
      </c>
      <c r="D38" s="176"/>
      <c r="E38" s="176"/>
      <c r="F38" s="176"/>
      <c r="G38" s="109"/>
      <c r="H38" s="109"/>
    </row>
    <row r="39" spans="1:8" ht="15" customHeight="1" x14ac:dyDescent="0.25">
      <c r="A39" s="126" t="s">
        <v>109</v>
      </c>
      <c r="B39" s="126"/>
      <c r="C39" s="176" t="s">
        <v>259</v>
      </c>
      <c r="D39" s="176"/>
      <c r="E39" s="176"/>
      <c r="F39" s="176"/>
      <c r="G39" s="109"/>
      <c r="H39" s="109"/>
    </row>
    <row r="40" spans="1:8" x14ac:dyDescent="0.25">
      <c r="A40" s="126" t="s">
        <v>110</v>
      </c>
      <c r="B40" s="126"/>
      <c r="C40" s="176" t="s">
        <v>259</v>
      </c>
      <c r="D40" s="176"/>
      <c r="E40" s="176"/>
      <c r="F40" s="176"/>
      <c r="G40" s="109"/>
      <c r="H40" s="109"/>
    </row>
    <row r="41" spans="1:8" x14ac:dyDescent="0.25">
      <c r="A41" s="126" t="s">
        <v>111</v>
      </c>
      <c r="B41" s="126"/>
      <c r="C41" s="176" t="s">
        <v>317</v>
      </c>
      <c r="D41" s="176"/>
      <c r="E41" s="176"/>
      <c r="F41" s="176"/>
      <c r="G41" s="109"/>
      <c r="H41" s="109"/>
    </row>
    <row r="42" spans="1:8" x14ac:dyDescent="0.25">
      <c r="A42" s="133" t="s">
        <v>113</v>
      </c>
      <c r="B42" s="133"/>
      <c r="C42" s="133"/>
      <c r="D42" s="133"/>
      <c r="E42" s="133"/>
      <c r="F42" s="133"/>
      <c r="G42" s="109"/>
      <c r="H42" s="109"/>
    </row>
    <row r="43" spans="1:8" x14ac:dyDescent="0.25">
      <c r="A43" s="126" t="s">
        <v>114</v>
      </c>
      <c r="B43" s="126"/>
      <c r="C43" s="126" t="s">
        <v>112</v>
      </c>
      <c r="D43" s="126"/>
      <c r="E43" s="126"/>
      <c r="F43" s="126"/>
      <c r="G43" s="109"/>
      <c r="H43" s="109"/>
    </row>
    <row r="44" spans="1:8" x14ac:dyDescent="0.25">
      <c r="A44" s="126" t="s">
        <v>115</v>
      </c>
      <c r="B44" s="126"/>
      <c r="C44" s="138">
        <v>2120</v>
      </c>
      <c r="D44" s="138"/>
      <c r="E44" s="138"/>
      <c r="F44" s="138"/>
      <c r="G44" s="109"/>
      <c r="H44" s="109"/>
    </row>
    <row r="45" spans="1:8" x14ac:dyDescent="0.25">
      <c r="A45" s="126" t="s">
        <v>318</v>
      </c>
      <c r="B45" s="126"/>
      <c r="C45" s="138">
        <v>1519.73</v>
      </c>
      <c r="D45" s="138"/>
      <c r="E45" s="138"/>
      <c r="F45" s="138"/>
      <c r="G45" s="109"/>
      <c r="H45" s="109"/>
    </row>
    <row r="46" spans="1:8" x14ac:dyDescent="0.25">
      <c r="A46" s="126" t="s">
        <v>116</v>
      </c>
      <c r="B46" s="126"/>
      <c r="C46" s="138">
        <v>3095.5</v>
      </c>
      <c r="D46" s="138"/>
      <c r="E46" s="138"/>
      <c r="F46" s="138"/>
      <c r="G46" s="109"/>
      <c r="H46" s="109"/>
    </row>
    <row r="47" spans="1:8" x14ac:dyDescent="0.25">
      <c r="A47" s="126" t="s">
        <v>117</v>
      </c>
      <c r="B47" s="126"/>
      <c r="C47" s="138">
        <v>3095.5</v>
      </c>
      <c r="D47" s="138"/>
      <c r="E47" s="138"/>
      <c r="F47" s="138"/>
      <c r="G47" s="109"/>
      <c r="H47" s="109"/>
    </row>
    <row r="48" spans="1:8" x14ac:dyDescent="0.25">
      <c r="A48" s="126" t="s">
        <v>118</v>
      </c>
      <c r="B48" s="126"/>
      <c r="C48" s="138" t="s">
        <v>319</v>
      </c>
      <c r="D48" s="138"/>
      <c r="E48" s="138"/>
      <c r="F48" s="138"/>
      <c r="G48" s="109"/>
      <c r="H48" s="109"/>
    </row>
    <row r="49" spans="1:10" x14ac:dyDescent="0.25">
      <c r="A49" s="126" t="s">
        <v>119</v>
      </c>
      <c r="B49" s="126"/>
      <c r="C49" s="138">
        <v>89.72</v>
      </c>
      <c r="D49" s="138"/>
      <c r="E49" s="138"/>
      <c r="F49" s="138"/>
      <c r="G49" s="109"/>
      <c r="H49" s="109"/>
    </row>
    <row r="50" spans="1:10" x14ac:dyDescent="0.25">
      <c r="A50" s="126" t="s">
        <v>120</v>
      </c>
      <c r="B50" s="126"/>
      <c r="C50" s="138">
        <v>465.44</v>
      </c>
      <c r="D50" s="138"/>
      <c r="E50" s="138"/>
      <c r="F50" s="138"/>
      <c r="G50" s="109"/>
      <c r="H50" s="109"/>
    </row>
    <row r="51" spans="1:10" x14ac:dyDescent="0.25">
      <c r="A51" s="126" t="s">
        <v>121</v>
      </c>
      <c r="B51" s="126"/>
      <c r="C51" s="138">
        <v>274.47000000000003</v>
      </c>
      <c r="D51" s="138"/>
      <c r="E51" s="138"/>
      <c r="F51" s="138"/>
      <c r="G51" s="109"/>
      <c r="H51" s="109"/>
    </row>
    <row r="52" spans="1:10" x14ac:dyDescent="0.25">
      <c r="A52" s="148" t="s">
        <v>122</v>
      </c>
      <c r="B52" s="148"/>
      <c r="C52" s="148"/>
      <c r="D52" s="148"/>
      <c r="E52" s="148"/>
      <c r="F52" s="148"/>
      <c r="G52" s="109"/>
      <c r="H52" s="109"/>
    </row>
    <row r="53" spans="1:10" x14ac:dyDescent="0.25">
      <c r="A53" s="126" t="s">
        <v>123</v>
      </c>
      <c r="B53" s="126"/>
      <c r="C53" s="147">
        <f>1671.7/C45</f>
        <v>1.0999980259651385</v>
      </c>
      <c r="D53" s="147"/>
      <c r="E53" s="147"/>
      <c r="F53" s="147"/>
      <c r="G53" s="109"/>
      <c r="H53" s="109"/>
    </row>
    <row r="54" spans="1:10" x14ac:dyDescent="0.25">
      <c r="A54" s="126" t="s">
        <v>124</v>
      </c>
      <c r="B54" s="126"/>
      <c r="C54" s="147">
        <f>455.91/C45</f>
        <v>0.29999407789541566</v>
      </c>
      <c r="D54" s="147"/>
      <c r="E54" s="147"/>
      <c r="F54" s="147"/>
      <c r="G54" s="109"/>
      <c r="H54" s="109"/>
    </row>
    <row r="55" spans="1:10" x14ac:dyDescent="0.25">
      <c r="A55" s="126" t="s">
        <v>2</v>
      </c>
      <c r="B55" s="126"/>
      <c r="C55" s="147" t="s">
        <v>319</v>
      </c>
      <c r="D55" s="147"/>
      <c r="E55" s="147"/>
      <c r="F55" s="147"/>
      <c r="G55" s="109"/>
      <c r="H55" s="109"/>
    </row>
    <row r="56" spans="1:10" x14ac:dyDescent="0.25">
      <c r="A56" s="126" t="s">
        <v>320</v>
      </c>
      <c r="B56" s="126"/>
      <c r="C56" s="147">
        <f>1276.56/C45</f>
        <v>0.83999131424660956</v>
      </c>
      <c r="D56" s="147"/>
      <c r="E56" s="147"/>
      <c r="F56" s="147"/>
      <c r="G56" s="109"/>
      <c r="H56" s="109"/>
    </row>
    <row r="57" spans="1:10" ht="24" customHeight="1" x14ac:dyDescent="0.25">
      <c r="A57" s="126" t="s">
        <v>125</v>
      </c>
      <c r="B57" s="126"/>
      <c r="C57" s="138" t="s">
        <v>319</v>
      </c>
      <c r="D57" s="138"/>
      <c r="E57" s="138"/>
      <c r="F57" s="138"/>
      <c r="G57" s="109"/>
      <c r="H57" s="109"/>
    </row>
    <row r="58" spans="1:10" ht="21" hidden="1" customHeight="1" x14ac:dyDescent="0.25">
      <c r="A58" s="126" t="s">
        <v>126</v>
      </c>
      <c r="B58" s="126"/>
      <c r="C58" s="138"/>
      <c r="D58" s="138"/>
      <c r="E58" s="138"/>
      <c r="F58" s="138"/>
      <c r="G58" s="109"/>
      <c r="H58" s="109"/>
    </row>
    <row r="59" spans="1:10" x14ac:dyDescent="0.25">
      <c r="A59" s="126" t="s">
        <v>127</v>
      </c>
      <c r="B59" s="126"/>
      <c r="C59" s="147">
        <f>SUM(C53:F58)</f>
        <v>2.2399834181071636</v>
      </c>
      <c r="D59" s="147"/>
      <c r="E59" s="147"/>
      <c r="F59" s="147"/>
      <c r="G59" s="184">
        <f>C46/C45</f>
        <v>2.0368749712119918</v>
      </c>
      <c r="H59" s="184"/>
    </row>
    <row r="60" spans="1:10" x14ac:dyDescent="0.25">
      <c r="A60" s="126" t="s">
        <v>128</v>
      </c>
      <c r="B60" s="126"/>
      <c r="C60" s="138"/>
      <c r="D60" s="138"/>
      <c r="E60" s="138"/>
      <c r="F60" s="138"/>
      <c r="G60" s="109"/>
      <c r="H60" s="109"/>
    </row>
    <row r="61" spans="1:10" x14ac:dyDescent="0.25">
      <c r="A61" s="150"/>
      <c r="B61" s="150"/>
      <c r="C61" s="150"/>
      <c r="D61" s="150"/>
      <c r="E61" s="150"/>
      <c r="F61" s="150"/>
    </row>
    <row r="62" spans="1:10" x14ac:dyDescent="0.25">
      <c r="A62" s="126" t="s">
        <v>129</v>
      </c>
      <c r="B62" s="126"/>
      <c r="C62" s="145" t="str">
        <f>D116</f>
        <v>Sale Flats = 38
 Landowner Flats = 20</v>
      </c>
      <c r="D62" s="145"/>
      <c r="E62" s="145"/>
      <c r="F62" s="145"/>
      <c r="G62" s="109"/>
      <c r="H62" s="109"/>
      <c r="I62" s="72"/>
      <c r="J62" s="72"/>
    </row>
    <row r="63" spans="1:10" x14ac:dyDescent="0.25">
      <c r="A63" s="126" t="s">
        <v>130</v>
      </c>
      <c r="B63" s="126"/>
      <c r="C63" s="145" t="s">
        <v>321</v>
      </c>
      <c r="D63" s="145"/>
      <c r="E63" s="145"/>
      <c r="F63" s="145"/>
      <c r="G63" s="109"/>
      <c r="H63" s="109"/>
    </row>
    <row r="64" spans="1:10" x14ac:dyDescent="0.25">
      <c r="A64" s="126" t="s">
        <v>131</v>
      </c>
      <c r="B64" s="126"/>
      <c r="C64" s="146" t="s">
        <v>322</v>
      </c>
      <c r="D64" s="146"/>
      <c r="E64" s="146"/>
      <c r="F64" s="146"/>
      <c r="G64" s="141" t="s">
        <v>291</v>
      </c>
      <c r="H64" s="141"/>
      <c r="I64" t="s">
        <v>292</v>
      </c>
    </row>
    <row r="65" spans="1:13" x14ac:dyDescent="0.25">
      <c r="A65" s="133" t="s">
        <v>132</v>
      </c>
      <c r="B65" s="133"/>
      <c r="C65" s="133"/>
      <c r="D65" s="133"/>
      <c r="E65" s="133"/>
      <c r="F65" s="133"/>
      <c r="G65" s="109"/>
      <c r="H65" s="109"/>
    </row>
    <row r="66" spans="1:13" ht="24" x14ac:dyDescent="0.25">
      <c r="A66" s="95"/>
      <c r="B66" s="92" t="s">
        <v>133</v>
      </c>
      <c r="C66" s="92" t="s">
        <v>134</v>
      </c>
      <c r="D66" s="92" t="s">
        <v>139</v>
      </c>
      <c r="E66" s="92" t="s">
        <v>135</v>
      </c>
      <c r="F66" s="92" t="s">
        <v>138</v>
      </c>
      <c r="G66" s="53"/>
      <c r="H66" s="53"/>
      <c r="I66" s="53"/>
      <c r="J66" s="53"/>
      <c r="K66" s="53"/>
      <c r="L66" s="53"/>
      <c r="M66" s="53" t="str">
        <f t="shared" ref="M66" si="0">PROPER(G66)</f>
        <v/>
      </c>
    </row>
    <row r="67" spans="1:13" ht="30" x14ac:dyDescent="0.25">
      <c r="A67" s="92" t="s">
        <v>136</v>
      </c>
      <c r="B67" s="86" t="s">
        <v>300</v>
      </c>
      <c r="C67" s="86" t="s">
        <v>324</v>
      </c>
      <c r="D67" s="86" t="s">
        <v>347</v>
      </c>
      <c r="E67" s="86" t="s">
        <v>348</v>
      </c>
      <c r="F67" s="86" t="s">
        <v>327</v>
      </c>
      <c r="G67" s="53"/>
    </row>
    <row r="68" spans="1:13" ht="36" x14ac:dyDescent="0.25">
      <c r="A68" s="92" t="s">
        <v>137</v>
      </c>
      <c r="B68" s="95" t="s">
        <v>323</v>
      </c>
      <c r="C68" s="95" t="s">
        <v>323</v>
      </c>
      <c r="D68" s="95" t="s">
        <v>325</v>
      </c>
      <c r="E68" s="95" t="s">
        <v>326</v>
      </c>
      <c r="F68" s="95" t="s">
        <v>328</v>
      </c>
      <c r="G68" s="53"/>
    </row>
    <row r="69" spans="1:13" x14ac:dyDescent="0.25">
      <c r="A69" s="133" t="s">
        <v>140</v>
      </c>
      <c r="B69" s="133"/>
      <c r="C69" s="133"/>
      <c r="D69" s="133"/>
      <c r="E69" s="133"/>
      <c r="F69" s="133"/>
      <c r="G69" s="53"/>
    </row>
    <row r="70" spans="1:13" ht="36" x14ac:dyDescent="0.25">
      <c r="A70" s="95"/>
      <c r="B70" s="92" t="s">
        <v>141</v>
      </c>
      <c r="C70" s="92" t="s">
        <v>142</v>
      </c>
      <c r="D70" s="92" t="s">
        <v>143</v>
      </c>
      <c r="E70" s="92" t="s">
        <v>144</v>
      </c>
      <c r="F70" s="92" t="s">
        <v>145</v>
      </c>
      <c r="G70" s="53"/>
      <c r="H70" s="53"/>
      <c r="I70" s="53"/>
      <c r="J70" s="53"/>
      <c r="K70" s="53"/>
      <c r="L70" s="53"/>
    </row>
    <row r="71" spans="1:13" x14ac:dyDescent="0.25">
      <c r="A71" s="92" t="s">
        <v>146</v>
      </c>
      <c r="B71" s="98" t="s">
        <v>283</v>
      </c>
      <c r="C71" s="98" t="s">
        <v>244</v>
      </c>
      <c r="D71" s="98" t="s">
        <v>244</v>
      </c>
      <c r="E71" s="98" t="s">
        <v>244</v>
      </c>
      <c r="F71" s="98" t="s">
        <v>244</v>
      </c>
      <c r="G71" s="53"/>
      <c r="H71" s="53"/>
      <c r="I71" s="53"/>
      <c r="J71" s="53"/>
      <c r="K71" s="53"/>
      <c r="L71" s="53"/>
    </row>
    <row r="72" spans="1:13" ht="24" x14ac:dyDescent="0.25">
      <c r="A72" s="95"/>
      <c r="B72" s="92" t="s">
        <v>147</v>
      </c>
      <c r="C72" s="92" t="s">
        <v>148</v>
      </c>
      <c r="D72" s="92" t="s">
        <v>149</v>
      </c>
      <c r="E72" s="92" t="s">
        <v>150</v>
      </c>
      <c r="F72" s="92" t="s">
        <v>151</v>
      </c>
      <c r="G72" s="53"/>
      <c r="H72" s="53"/>
      <c r="I72" s="53"/>
      <c r="J72" s="53"/>
      <c r="K72" s="53"/>
      <c r="L72" s="53"/>
    </row>
    <row r="73" spans="1:13" x14ac:dyDescent="0.25">
      <c r="A73" s="92" t="s">
        <v>146</v>
      </c>
      <c r="B73" s="98" t="s">
        <v>244</v>
      </c>
      <c r="C73" s="98" t="s">
        <v>244</v>
      </c>
      <c r="D73" s="98" t="s">
        <v>244</v>
      </c>
      <c r="E73" s="98" t="s">
        <v>244</v>
      </c>
      <c r="F73" s="98" t="s">
        <v>244</v>
      </c>
      <c r="G73" s="53"/>
      <c r="H73" s="53"/>
      <c r="I73" s="53"/>
      <c r="J73" s="53"/>
      <c r="K73" s="53"/>
      <c r="L73" s="53"/>
    </row>
    <row r="74" spans="1:13" hidden="1" x14ac:dyDescent="0.25">
      <c r="A74" s="47" t="s">
        <v>3</v>
      </c>
      <c r="B74" s="87"/>
      <c r="C74" s="87"/>
      <c r="D74" s="87"/>
      <c r="E74" s="87"/>
      <c r="F74" s="87"/>
      <c r="G74" s="53"/>
      <c r="H74" s="53"/>
      <c r="I74" s="53"/>
      <c r="J74" s="53"/>
      <c r="K74" s="53"/>
      <c r="L74" s="53"/>
    </row>
    <row r="75" spans="1:13" x14ac:dyDescent="0.25">
      <c r="A75" s="95"/>
      <c r="B75" s="74" t="s">
        <v>152</v>
      </c>
      <c r="C75" s="74" t="s">
        <v>153</v>
      </c>
      <c r="D75" s="74" t="s">
        <v>154</v>
      </c>
      <c r="E75" s="74" t="s">
        <v>155</v>
      </c>
      <c r="F75" s="74" t="s">
        <v>156</v>
      </c>
      <c r="G75" s="53"/>
      <c r="H75" s="53"/>
      <c r="I75" s="53"/>
      <c r="J75" s="53"/>
      <c r="K75" s="53"/>
      <c r="L75" s="53"/>
    </row>
    <row r="76" spans="1:13" x14ac:dyDescent="0.25">
      <c r="A76" s="92" t="s">
        <v>146</v>
      </c>
      <c r="B76" s="98" t="s">
        <v>259</v>
      </c>
      <c r="C76" s="98" t="s">
        <v>259</v>
      </c>
      <c r="D76" s="98" t="s">
        <v>259</v>
      </c>
      <c r="E76" s="98" t="s">
        <v>244</v>
      </c>
      <c r="F76" s="98" t="s">
        <v>259</v>
      </c>
      <c r="G76" s="53"/>
      <c r="H76" s="53"/>
      <c r="I76" s="53"/>
      <c r="J76" s="53"/>
      <c r="K76" s="53"/>
      <c r="L76" s="53"/>
    </row>
    <row r="77" spans="1:13" hidden="1" x14ac:dyDescent="0.25">
      <c r="A77" s="47" t="s">
        <v>3</v>
      </c>
      <c r="B77" s="77"/>
      <c r="C77" s="77"/>
      <c r="D77" s="77"/>
      <c r="E77" s="77"/>
      <c r="F77" s="77"/>
      <c r="G77" s="53"/>
    </row>
    <row r="78" spans="1:13" x14ac:dyDescent="0.25">
      <c r="A78" s="138"/>
      <c r="B78" s="138"/>
      <c r="C78" s="138"/>
      <c r="D78" s="138"/>
      <c r="E78" s="138"/>
      <c r="F78" s="138"/>
      <c r="G78" s="53"/>
    </row>
    <row r="79" spans="1:13" ht="30.6" customHeight="1" x14ac:dyDescent="0.25">
      <c r="A79" s="47" t="s">
        <v>157</v>
      </c>
      <c r="B79" s="144" t="s">
        <v>251</v>
      </c>
      <c r="C79" s="144"/>
      <c r="D79" s="144"/>
      <c r="E79" s="144"/>
      <c r="F79" s="144"/>
      <c r="G79" s="53"/>
    </row>
    <row r="80" spans="1:13" x14ac:dyDescent="0.25">
      <c r="A80" s="133" t="s">
        <v>158</v>
      </c>
      <c r="B80" s="133"/>
      <c r="C80" s="133"/>
      <c r="D80" s="133"/>
      <c r="E80" s="133"/>
      <c r="F80" s="133"/>
      <c r="G80" s="53"/>
    </row>
    <row r="81" spans="1:12" ht="24" x14ac:dyDescent="0.25">
      <c r="A81" s="47" t="s">
        <v>170</v>
      </c>
      <c r="B81" s="171" t="str">
        <f>C33</f>
        <v>Mumbai Metropolitan Region Development Authority</v>
      </c>
      <c r="C81" s="171"/>
      <c r="D81" s="171"/>
      <c r="E81" s="171"/>
      <c r="F81" s="171"/>
      <c r="G81" s="53"/>
    </row>
    <row r="82" spans="1:12" ht="24" x14ac:dyDescent="0.25">
      <c r="A82" s="92" t="s">
        <v>159</v>
      </c>
      <c r="B82" s="92" t="s">
        <v>171</v>
      </c>
      <c r="C82" s="92" t="s">
        <v>172</v>
      </c>
      <c r="D82" s="126" t="s">
        <v>173</v>
      </c>
      <c r="E82" s="126"/>
      <c r="F82" s="126"/>
      <c r="G82" s="53"/>
      <c r="H82" s="53"/>
      <c r="I82" s="53"/>
      <c r="J82" s="109"/>
      <c r="K82" s="109"/>
      <c r="L82" s="109"/>
    </row>
    <row r="83" spans="1:12" ht="30" x14ac:dyDescent="0.25">
      <c r="A83" s="92" t="s">
        <v>160</v>
      </c>
      <c r="B83" s="94" t="s">
        <v>330</v>
      </c>
      <c r="C83" s="94" t="s">
        <v>331</v>
      </c>
      <c r="D83" s="142" t="s">
        <v>352</v>
      </c>
      <c r="E83" s="142"/>
      <c r="F83" s="142"/>
      <c r="G83" s="53"/>
    </row>
    <row r="84" spans="1:12" ht="30" x14ac:dyDescent="0.25">
      <c r="A84" s="92" t="s">
        <v>161</v>
      </c>
      <c r="B84" s="94" t="s">
        <v>330</v>
      </c>
      <c r="C84" s="94" t="s">
        <v>331</v>
      </c>
      <c r="D84" s="142" t="s">
        <v>352</v>
      </c>
      <c r="E84" s="142"/>
      <c r="F84" s="142"/>
      <c r="G84" s="53"/>
    </row>
    <row r="85" spans="1:12" ht="29.1" customHeight="1" x14ac:dyDescent="0.25">
      <c r="A85" s="156" t="s">
        <v>162</v>
      </c>
      <c r="B85" s="143" t="s">
        <v>330</v>
      </c>
      <c r="C85" s="143" t="s">
        <v>331</v>
      </c>
      <c r="D85" s="142" t="s">
        <v>352</v>
      </c>
      <c r="E85" s="142"/>
      <c r="F85" s="142"/>
      <c r="G85" s="53"/>
    </row>
    <row r="86" spans="1:12" ht="45" customHeight="1" x14ac:dyDescent="0.25">
      <c r="A86" s="156"/>
      <c r="B86" s="143"/>
      <c r="C86" s="143"/>
      <c r="D86" s="142" t="s">
        <v>329</v>
      </c>
      <c r="E86" s="142"/>
      <c r="F86" s="142"/>
      <c r="G86" s="53"/>
    </row>
    <row r="87" spans="1:12" ht="48" x14ac:dyDescent="0.25">
      <c r="A87" s="92" t="s">
        <v>163</v>
      </c>
      <c r="B87" s="94" t="s">
        <v>332</v>
      </c>
      <c r="C87" s="94" t="s">
        <v>251</v>
      </c>
      <c r="D87" s="143" t="s">
        <v>251</v>
      </c>
      <c r="E87" s="143"/>
      <c r="F87" s="143"/>
      <c r="G87" s="53"/>
    </row>
    <row r="88" spans="1:12" ht="48" x14ac:dyDescent="0.25">
      <c r="A88" s="92" t="s">
        <v>164</v>
      </c>
      <c r="B88" s="94" t="s">
        <v>332</v>
      </c>
      <c r="C88" s="94" t="s">
        <v>251</v>
      </c>
      <c r="D88" s="143" t="s">
        <v>251</v>
      </c>
      <c r="E88" s="143"/>
      <c r="F88" s="143"/>
      <c r="G88" s="53"/>
    </row>
    <row r="89" spans="1:12" ht="29.1" customHeight="1" x14ac:dyDescent="0.25">
      <c r="A89" s="92" t="s">
        <v>165</v>
      </c>
      <c r="B89" s="94" t="s">
        <v>332</v>
      </c>
      <c r="C89" s="94" t="s">
        <v>251</v>
      </c>
      <c r="D89" s="143" t="s">
        <v>251</v>
      </c>
      <c r="E89" s="143"/>
      <c r="F89" s="143"/>
      <c r="G89" s="53"/>
    </row>
    <row r="90" spans="1:12" ht="24" x14ac:dyDescent="0.25">
      <c r="A90" s="92" t="s">
        <v>166</v>
      </c>
      <c r="B90" s="94" t="s">
        <v>332</v>
      </c>
      <c r="C90" s="94" t="s">
        <v>251</v>
      </c>
      <c r="D90" s="143" t="s">
        <v>251</v>
      </c>
      <c r="E90" s="143"/>
      <c r="F90" s="143"/>
      <c r="G90" s="53"/>
    </row>
    <row r="91" spans="1:12" x14ac:dyDescent="0.25">
      <c r="A91" s="92" t="s">
        <v>260</v>
      </c>
      <c r="B91" s="98" t="s">
        <v>332</v>
      </c>
      <c r="C91" s="98" t="s">
        <v>251</v>
      </c>
      <c r="D91" s="128" t="s">
        <v>251</v>
      </c>
      <c r="E91" s="128"/>
      <c r="F91" s="128"/>
      <c r="G91" s="53"/>
    </row>
    <row r="92" spans="1:12" ht="24" x14ac:dyDescent="0.25">
      <c r="A92" s="92" t="s">
        <v>261</v>
      </c>
      <c r="B92" s="94" t="s">
        <v>332</v>
      </c>
      <c r="C92" s="94" t="s">
        <v>251</v>
      </c>
      <c r="D92" s="143" t="s">
        <v>251</v>
      </c>
      <c r="E92" s="143"/>
      <c r="F92" s="143"/>
      <c r="G92" s="53"/>
    </row>
    <row r="93" spans="1:12" ht="24" x14ac:dyDescent="0.25">
      <c r="A93" s="92" t="s">
        <v>262</v>
      </c>
      <c r="B93" s="94" t="s">
        <v>332</v>
      </c>
      <c r="C93" s="94" t="s">
        <v>251</v>
      </c>
      <c r="D93" s="143" t="s">
        <v>251</v>
      </c>
      <c r="E93" s="143"/>
      <c r="F93" s="143"/>
      <c r="G93" s="53"/>
    </row>
    <row r="94" spans="1:12" ht="31.5" customHeight="1" x14ac:dyDescent="0.25">
      <c r="A94" s="92" t="s">
        <v>167</v>
      </c>
      <c r="B94" s="94" t="s">
        <v>330</v>
      </c>
      <c r="C94" s="94" t="s">
        <v>251</v>
      </c>
      <c r="D94" s="142" t="s">
        <v>333</v>
      </c>
      <c r="E94" s="142"/>
      <c r="F94" s="142"/>
      <c r="G94" s="53"/>
    </row>
    <row r="95" spans="1:12" ht="36" hidden="1" customHeight="1" x14ac:dyDescent="0.25">
      <c r="A95" s="92" t="s">
        <v>168</v>
      </c>
      <c r="B95" s="94"/>
      <c r="C95" s="94"/>
      <c r="D95" s="142"/>
      <c r="E95" s="142"/>
      <c r="F95" s="142"/>
      <c r="G95" s="53"/>
    </row>
    <row r="96" spans="1:12" ht="24" x14ac:dyDescent="0.25">
      <c r="A96" s="47" t="s">
        <v>169</v>
      </c>
      <c r="B96" s="132"/>
      <c r="C96" s="132"/>
      <c r="D96" s="132"/>
      <c r="E96" s="132"/>
      <c r="F96" s="132"/>
      <c r="G96" s="53"/>
    </row>
    <row r="97" spans="1:12" x14ac:dyDescent="0.25">
      <c r="A97" s="133" t="s">
        <v>174</v>
      </c>
      <c r="B97" s="133"/>
      <c r="C97" s="133"/>
      <c r="D97" s="133"/>
      <c r="E97" s="133"/>
      <c r="F97" s="133"/>
      <c r="G97" s="53"/>
      <c r="I97" s="53"/>
    </row>
    <row r="98" spans="1:12" ht="48" x14ac:dyDescent="0.25">
      <c r="A98" s="92" t="s">
        <v>175</v>
      </c>
      <c r="B98" s="81" t="s">
        <v>244</v>
      </c>
      <c r="C98" s="74" t="s">
        <v>179</v>
      </c>
      <c r="D98" s="81" t="s">
        <v>263</v>
      </c>
      <c r="E98" s="79" t="s">
        <v>176</v>
      </c>
      <c r="F98" s="81" t="s">
        <v>334</v>
      </c>
      <c r="G98" s="53"/>
      <c r="J98" s="53"/>
    </row>
    <row r="99" spans="1:12" ht="24" x14ac:dyDescent="0.25">
      <c r="A99" s="47" t="s">
        <v>177</v>
      </c>
      <c r="B99" s="149">
        <v>43866</v>
      </c>
      <c r="C99" s="138"/>
      <c r="D99" s="47" t="s">
        <v>180</v>
      </c>
      <c r="E99" s="149">
        <v>45969</v>
      </c>
      <c r="F99" s="138"/>
      <c r="G99" s="53"/>
      <c r="J99" s="53"/>
    </row>
    <row r="100" spans="1:12" ht="36" x14ac:dyDescent="0.25">
      <c r="A100" s="47" t="s">
        <v>178</v>
      </c>
      <c r="B100" s="131" t="s">
        <v>259</v>
      </c>
      <c r="C100" s="131"/>
      <c r="D100" s="73" t="s">
        <v>181</v>
      </c>
      <c r="E100" s="131" t="s">
        <v>251</v>
      </c>
      <c r="F100" s="131"/>
      <c r="G100" s="53"/>
      <c r="J100" s="53"/>
    </row>
    <row r="101" spans="1:12" x14ac:dyDescent="0.25">
      <c r="A101" s="133" t="s">
        <v>182</v>
      </c>
      <c r="B101" s="133"/>
      <c r="C101" s="133"/>
      <c r="D101" s="133"/>
      <c r="E101" s="133"/>
      <c r="F101" s="133"/>
      <c r="G101" s="53"/>
      <c r="I101" s="53"/>
    </row>
    <row r="102" spans="1:12" x14ac:dyDescent="0.25">
      <c r="A102" s="47" t="s">
        <v>189</v>
      </c>
      <c r="B102" s="134" t="s">
        <v>264</v>
      </c>
      <c r="C102" s="134"/>
      <c r="D102" s="73" t="s">
        <v>183</v>
      </c>
      <c r="E102" s="131" t="s">
        <v>259</v>
      </c>
      <c r="F102" s="131"/>
      <c r="G102" s="53"/>
      <c r="J102" s="53"/>
    </row>
    <row r="103" spans="1:12" ht="24" x14ac:dyDescent="0.25">
      <c r="A103" s="47" t="s">
        <v>190</v>
      </c>
      <c r="B103" s="131" t="s">
        <v>244</v>
      </c>
      <c r="C103" s="131"/>
      <c r="D103" s="73" t="s">
        <v>184</v>
      </c>
      <c r="E103" s="134" t="s">
        <v>265</v>
      </c>
      <c r="F103" s="134"/>
      <c r="G103" s="53"/>
      <c r="J103" s="53"/>
    </row>
    <row r="104" spans="1:12" ht="36" x14ac:dyDescent="0.25">
      <c r="A104" s="47" t="s">
        <v>191</v>
      </c>
      <c r="B104" s="131" t="s">
        <v>259</v>
      </c>
      <c r="C104" s="131"/>
      <c r="D104" s="73" t="s">
        <v>185</v>
      </c>
      <c r="E104" s="131" t="s">
        <v>259</v>
      </c>
      <c r="F104" s="131"/>
      <c r="G104" s="53"/>
      <c r="J104" s="53"/>
    </row>
    <row r="105" spans="1:12" ht="24" customHeight="1" x14ac:dyDescent="0.25">
      <c r="A105" s="47" t="s">
        <v>192</v>
      </c>
      <c r="B105" s="131" t="s">
        <v>259</v>
      </c>
      <c r="C105" s="131"/>
      <c r="D105" s="73" t="s">
        <v>186</v>
      </c>
      <c r="E105" s="131" t="s">
        <v>259</v>
      </c>
      <c r="F105" s="131"/>
      <c r="G105" s="53"/>
      <c r="J105" s="53"/>
    </row>
    <row r="106" spans="1:12" ht="36" x14ac:dyDescent="0.25">
      <c r="A106" s="47" t="s">
        <v>193</v>
      </c>
      <c r="B106" s="131" t="s">
        <v>259</v>
      </c>
      <c r="C106" s="131"/>
      <c r="D106" s="73" t="s">
        <v>187</v>
      </c>
      <c r="E106" s="131" t="s">
        <v>259</v>
      </c>
      <c r="F106" s="131"/>
      <c r="G106" s="53"/>
      <c r="J106" s="53"/>
    </row>
    <row r="107" spans="1:12" x14ac:dyDescent="0.25">
      <c r="A107" s="47" t="s">
        <v>194</v>
      </c>
      <c r="B107" s="131" t="s">
        <v>259</v>
      </c>
      <c r="C107" s="131"/>
      <c r="D107" s="73" t="s">
        <v>188</v>
      </c>
      <c r="E107" s="131" t="s">
        <v>259</v>
      </c>
      <c r="F107" s="131"/>
      <c r="G107" s="53"/>
      <c r="J107" s="53"/>
    </row>
    <row r="108" spans="1:12" x14ac:dyDescent="0.25">
      <c r="A108" s="126" t="s">
        <v>195</v>
      </c>
      <c r="B108" s="126"/>
      <c r="C108" s="137" t="s">
        <v>244</v>
      </c>
      <c r="D108" s="137"/>
      <c r="E108" s="137"/>
      <c r="F108" s="137"/>
      <c r="G108" s="109"/>
      <c r="H108" s="109"/>
    </row>
    <row r="109" spans="1:12" ht="30" customHeight="1" x14ac:dyDescent="0.25">
      <c r="A109" s="126" t="s">
        <v>196</v>
      </c>
      <c r="B109" s="126"/>
      <c r="C109" s="137" t="s">
        <v>259</v>
      </c>
      <c r="D109" s="137"/>
      <c r="E109" s="137"/>
      <c r="F109" s="137"/>
      <c r="G109" s="109"/>
      <c r="H109" s="109"/>
    </row>
    <row r="110" spans="1:12" x14ac:dyDescent="0.25">
      <c r="A110" s="133" t="s">
        <v>197</v>
      </c>
      <c r="B110" s="133"/>
      <c r="C110" s="133"/>
      <c r="D110" s="133"/>
      <c r="E110" s="133"/>
      <c r="F110" s="133"/>
      <c r="G110" s="53"/>
    </row>
    <row r="111" spans="1:12" x14ac:dyDescent="0.25">
      <c r="A111" s="183" t="s">
        <v>199</v>
      </c>
      <c r="B111" s="183"/>
      <c r="C111" s="183"/>
      <c r="D111" s="183"/>
      <c r="E111" s="183" t="s">
        <v>198</v>
      </c>
      <c r="F111" s="183"/>
      <c r="G111" s="53"/>
      <c r="H111" s="53"/>
      <c r="I111" s="53"/>
      <c r="J111" s="53"/>
      <c r="K111" s="53"/>
      <c r="L111" s="53"/>
    </row>
    <row r="112" spans="1:12" x14ac:dyDescent="0.25">
      <c r="A112" s="127" t="s">
        <v>251</v>
      </c>
      <c r="B112" s="127"/>
      <c r="C112" s="127"/>
      <c r="D112" s="127"/>
      <c r="E112" s="131" t="s">
        <v>259</v>
      </c>
      <c r="F112" s="131"/>
    </row>
    <row r="113" spans="1:12" hidden="1" x14ac:dyDescent="0.25">
      <c r="A113" s="127"/>
      <c r="B113" s="127"/>
      <c r="C113" s="127"/>
      <c r="D113" s="127"/>
      <c r="E113" s="127"/>
      <c r="F113" s="127"/>
    </row>
    <row r="114" spans="1:12" x14ac:dyDescent="0.25">
      <c r="A114" s="138"/>
      <c r="B114" s="138"/>
      <c r="C114" s="138"/>
      <c r="D114" s="138"/>
      <c r="E114" s="138"/>
      <c r="F114" s="138"/>
    </row>
    <row r="115" spans="1:12" ht="36" x14ac:dyDescent="0.25">
      <c r="A115" s="92" t="s">
        <v>200</v>
      </c>
      <c r="B115" s="92" t="s">
        <v>201</v>
      </c>
      <c r="C115" s="92" t="s">
        <v>202</v>
      </c>
      <c r="D115" s="92" t="s">
        <v>203</v>
      </c>
      <c r="E115" s="92" t="s">
        <v>204</v>
      </c>
      <c r="F115" s="92" t="s">
        <v>205</v>
      </c>
      <c r="G115" s="53"/>
      <c r="H115" s="53"/>
      <c r="I115" s="53"/>
      <c r="J115" s="53"/>
      <c r="K115" s="53"/>
      <c r="L115" s="53"/>
    </row>
    <row r="116" spans="1:12" ht="48" customHeight="1" x14ac:dyDescent="0.25">
      <c r="A116" s="95">
        <f t="shared" ref="A116:F116" si="1">A156</f>
        <v>1</v>
      </c>
      <c r="B116" s="95">
        <f t="shared" si="1"/>
        <v>2</v>
      </c>
      <c r="C116" s="95">
        <f t="shared" ca="1" si="1"/>
        <v>2</v>
      </c>
      <c r="D116" s="86" t="str">
        <f t="shared" si="1"/>
        <v>Sale Flats = 38
 Landowner Flats = 20</v>
      </c>
      <c r="E116" s="95" t="str">
        <f t="shared" si="1"/>
        <v>-</v>
      </c>
      <c r="F116" s="95">
        <f t="shared" si="1"/>
        <v>58</v>
      </c>
    </row>
    <row r="117" spans="1:12" ht="31.9" customHeight="1" x14ac:dyDescent="0.25">
      <c r="A117" s="126" t="s">
        <v>266</v>
      </c>
      <c r="B117" s="126"/>
      <c r="C117" s="137" t="s">
        <v>335</v>
      </c>
      <c r="D117" s="137"/>
      <c r="E117" s="137"/>
      <c r="F117" s="137"/>
      <c r="G117" s="109"/>
      <c r="H117" s="109"/>
    </row>
    <row r="118" spans="1:12" x14ac:dyDescent="0.25">
      <c r="A118" s="126" t="s">
        <v>267</v>
      </c>
      <c r="B118" s="126"/>
      <c r="C118" s="137" t="s">
        <v>336</v>
      </c>
      <c r="D118" s="137"/>
      <c r="E118" s="137"/>
      <c r="F118" s="137"/>
      <c r="G118" s="109"/>
      <c r="H118" s="109"/>
    </row>
    <row r="119" spans="1:12" x14ac:dyDescent="0.25">
      <c r="A119" s="126"/>
      <c r="B119" s="126"/>
      <c r="C119" s="137" t="s">
        <v>381</v>
      </c>
      <c r="D119" s="137"/>
      <c r="E119" s="137"/>
      <c r="F119" s="137"/>
      <c r="G119" s="109"/>
      <c r="H119" s="109"/>
    </row>
    <row r="120" spans="1:12" ht="26.25" customHeight="1" x14ac:dyDescent="0.25">
      <c r="A120" s="126" t="s">
        <v>206</v>
      </c>
      <c r="B120" s="126"/>
      <c r="C120" s="137" t="s">
        <v>244</v>
      </c>
      <c r="D120" s="137"/>
      <c r="E120" s="137"/>
      <c r="F120" s="137"/>
      <c r="G120" s="109"/>
      <c r="H120" s="109"/>
    </row>
    <row r="121" spans="1:12" x14ac:dyDescent="0.25">
      <c r="A121" s="126" t="s">
        <v>207</v>
      </c>
      <c r="B121" s="126"/>
      <c r="C121" s="137" t="s">
        <v>244</v>
      </c>
      <c r="D121" s="137"/>
      <c r="E121" s="137"/>
      <c r="F121" s="137"/>
      <c r="G121" s="109"/>
      <c r="H121" s="109"/>
    </row>
    <row r="122" spans="1:12" ht="26.1" customHeight="1" x14ac:dyDescent="0.25">
      <c r="A122" s="126" t="s">
        <v>208</v>
      </c>
      <c r="B122" s="126"/>
      <c r="C122" s="127" t="s">
        <v>337</v>
      </c>
      <c r="D122" s="127"/>
      <c r="E122" s="127"/>
      <c r="F122" s="127"/>
      <c r="G122" s="109"/>
      <c r="H122" s="109"/>
    </row>
    <row r="123" spans="1:12" ht="38.450000000000003" customHeight="1" x14ac:dyDescent="0.25">
      <c r="A123" s="126" t="s">
        <v>209</v>
      </c>
      <c r="B123" s="126"/>
      <c r="C123" s="128" t="s">
        <v>338</v>
      </c>
      <c r="D123" s="128"/>
      <c r="E123" s="128"/>
      <c r="F123" s="128"/>
      <c r="G123" s="109"/>
      <c r="H123" s="109"/>
    </row>
    <row r="124" spans="1:12" ht="15.75" thickBot="1" x14ac:dyDescent="0.3">
      <c r="A124" s="140" t="s">
        <v>4</v>
      </c>
      <c r="B124" s="140"/>
      <c r="C124" s="140"/>
      <c r="D124" s="140"/>
      <c r="E124" s="140"/>
      <c r="F124" s="140"/>
      <c r="G124" s="1"/>
      <c r="H124" s="1"/>
    </row>
    <row r="125" spans="1:12" x14ac:dyDescent="0.25">
      <c r="A125" s="124" t="str">
        <f>C118</f>
        <v>Building No.1 = Gr/Stilt+ 1st to 7th Floor</v>
      </c>
      <c r="B125" s="124"/>
      <c r="C125" s="64" t="s">
        <v>5</v>
      </c>
      <c r="D125" s="64" t="s">
        <v>6</v>
      </c>
      <c r="E125" s="64" t="s">
        <v>7</v>
      </c>
      <c r="F125" s="64" t="s">
        <v>8</v>
      </c>
      <c r="G125" s="2" t="str">
        <f ca="1">(IF(E129&gt;99%,"All work completed. Please provide OC.",IF(E129&gt;89.8%,"Plinth, RCC, Brick, Plaster, Flooring, Painting work Completed. Finishing work is in process.",IF(E129&lt;94%,(IF(C129=0,"Work not yet Started.",IF(C129=H130,"Excavation Work in process",IF(C129=H131,"Foudation Work in process",IF(C129=H132,"1st Basement Completed",IF(C129=H133,"1st &amp; 2nd Basement Completed",IF(C129=H134,"1st to 3rd Basement Completed",IF(C129=H135,"1st to 4th Basement Completed",IF(C129=H136,"Plinth work is process",IF(C129=H137,"Plinth work completed","0"))))))))))))&amp;(IF(C130=(D126+E126+F126),", RCC Slab",IF(C130&gt;0,", RCC upto "&amp;C130&amp;" Slab",""))&amp;(IF(C131=F126,", Brickwork",IF(C131&gt;0,", Brickwork upto "&amp;C131&amp;" Floor",""))&amp;(IF(C132=F126,", Internal Plaster",IF(C132&gt;0,", Internal Plaster upto "&amp;C132&amp;" Floor",""))&amp;(IF(C133=F126,", External Plaster",IF(C133&gt;0,", External Plaster upto "&amp;C133&amp;" Floor",""))&amp;(IF(C134=F126,", Flooring",IF(C134&gt;0,", Flooring upto "&amp;C134&amp;" Floor",""))&amp;(IF(C135=F126,", Painting",IF(C135&gt;0,", Painting upto "&amp;C135&amp;" Floor",""))&amp;(IF(C136&gt;0,", Finishing upto "&amp;C136&amp;" Floor","")&amp;(IF(C130&gt;0.5," Completed","")))))))))))</f>
        <v>Plinth work completed, RCC Slab, Brickwork, Internal Plaster, External Plaster upto 3 Floor, Flooring upto 1 Floor, Painting upto 1 Floor Completed</v>
      </c>
      <c r="H125" s="3"/>
    </row>
    <row r="126" spans="1:12" x14ac:dyDescent="0.25">
      <c r="A126" s="124"/>
      <c r="B126" s="124"/>
      <c r="C126" s="64">
        <v>0</v>
      </c>
      <c r="D126" s="64">
        <v>1</v>
      </c>
      <c r="E126" s="64">
        <v>0</v>
      </c>
      <c r="F126" s="64">
        <f ca="1">--TRIM(RIGHT(SUBSTITUTE(LEFT(A125,_xlfn.AGGREGATE(16,6,FIND({0,1,2,3,4,5,6,7,8,9},A125,ROW(INDIRECT("1:"&amp;LEN(A125)))),1))," ",REPT(" ",LEN(A125))),LEN(A125)))</f>
        <v>7</v>
      </c>
      <c r="G126" s="4"/>
      <c r="H126" s="5"/>
      <c r="L126" t="s">
        <v>212</v>
      </c>
    </row>
    <row r="127" spans="1:12" ht="30" customHeight="1" x14ac:dyDescent="0.25">
      <c r="A127" s="102" t="s">
        <v>9</v>
      </c>
      <c r="B127" s="124" t="str">
        <f ca="1">G125</f>
        <v>Plinth work completed, RCC Slab, Brickwork, Internal Plaster, External Plaster upto 3 Floor, Flooring upto 1 Floor, Painting upto 1 Floor Completed</v>
      </c>
      <c r="C127" s="124"/>
      <c r="D127" s="124"/>
      <c r="E127" s="124"/>
      <c r="F127" s="124"/>
      <c r="G127" s="4" t="s">
        <v>10</v>
      </c>
      <c r="H127" s="5"/>
      <c r="L127" t="s">
        <v>210</v>
      </c>
    </row>
    <row r="128" spans="1:12" x14ac:dyDescent="0.25">
      <c r="A128" s="103" t="s">
        <v>11</v>
      </c>
      <c r="B128" s="65" t="s">
        <v>12</v>
      </c>
      <c r="C128" s="66" t="s">
        <v>13</v>
      </c>
      <c r="D128" s="66" t="s">
        <v>14</v>
      </c>
      <c r="E128" s="135" t="s">
        <v>37</v>
      </c>
      <c r="F128" s="135"/>
      <c r="G128" s="6"/>
      <c r="H128" s="7"/>
      <c r="L128" t="s">
        <v>211</v>
      </c>
    </row>
    <row r="129" spans="1:12" x14ac:dyDescent="0.25">
      <c r="A129" s="103" t="s">
        <v>19</v>
      </c>
      <c r="B129" s="67">
        <v>0.35</v>
      </c>
      <c r="C129" s="69">
        <f ca="1">H137</f>
        <v>7</v>
      </c>
      <c r="D129" s="93">
        <f ca="1">((100/F126)*C129)/100</f>
        <v>1</v>
      </c>
      <c r="E129" s="139">
        <f ca="1">((((C129/F126)*35)+(35/(F126+E126+D126)*C130)+(5/F126*C131)+(5/F126*C132)+(5/F126*C133)+(5/F126*C134)+(5/F126*C135)+(2.5/F126*C136)+(2.5/F126*C137))/100)</f>
        <v>0.83571428571428552</v>
      </c>
      <c r="F129" s="139"/>
      <c r="G129" s="6"/>
      <c r="H129" s="8"/>
    </row>
    <row r="130" spans="1:12" ht="30" x14ac:dyDescent="0.25">
      <c r="A130" s="103" t="s">
        <v>21</v>
      </c>
      <c r="B130" s="67">
        <v>0.35</v>
      </c>
      <c r="C130" s="75">
        <v>8</v>
      </c>
      <c r="D130" s="93">
        <f ca="1">((100/(D126+E126+F126))*C130)/100</f>
        <v>1</v>
      </c>
      <c r="E130" s="139"/>
      <c r="F130" s="139"/>
      <c r="G130" s="6" t="s">
        <v>284</v>
      </c>
      <c r="H130" s="9">
        <f ca="1">F126/7</f>
        <v>1</v>
      </c>
    </row>
    <row r="131" spans="1:12" x14ac:dyDescent="0.25">
      <c r="A131" s="103" t="s">
        <v>23</v>
      </c>
      <c r="B131" s="67">
        <v>0.05</v>
      </c>
      <c r="C131" s="68">
        <v>7</v>
      </c>
      <c r="D131" s="93">
        <f ca="1">((100/F126)*C131)/100</f>
        <v>1</v>
      </c>
      <c r="E131" s="139"/>
      <c r="F131" s="139"/>
      <c r="G131" s="6" t="s">
        <v>285</v>
      </c>
      <c r="H131" s="9">
        <f ca="1">(IF(C126&gt;1,(F126/(C126+2)),F126/3.5))</f>
        <v>2</v>
      </c>
    </row>
    <row r="132" spans="1:12" x14ac:dyDescent="0.25">
      <c r="A132" s="103" t="s">
        <v>38</v>
      </c>
      <c r="B132" s="67">
        <v>0.05</v>
      </c>
      <c r="C132" s="68">
        <v>7</v>
      </c>
      <c r="D132" s="93">
        <f ca="1">((100/F126)*C132)/100</f>
        <v>1</v>
      </c>
      <c r="E132" s="139"/>
      <c r="F132" s="139"/>
      <c r="G132" s="6" t="s">
        <v>26</v>
      </c>
      <c r="H132" s="9">
        <f>(IF(C126&gt;1,(F126/(C126+2)+H131),0))</f>
        <v>0</v>
      </c>
    </row>
    <row r="133" spans="1:12" x14ac:dyDescent="0.25">
      <c r="A133" s="103" t="s">
        <v>29</v>
      </c>
      <c r="B133" s="67">
        <v>0.05</v>
      </c>
      <c r="C133" s="68">
        <v>3</v>
      </c>
      <c r="D133" s="93">
        <f ca="1">((100/(F126))*C133)/100</f>
        <v>0.4285714285714286</v>
      </c>
      <c r="E133" s="139"/>
      <c r="F133" s="139"/>
      <c r="G133" s="6" t="s">
        <v>28</v>
      </c>
      <c r="H133" s="9">
        <f>(IF(C126&gt;2,(F126/(C126+2)+H132),0))</f>
        <v>0</v>
      </c>
    </row>
    <row r="134" spans="1:12" ht="15" customHeight="1" x14ac:dyDescent="0.25">
      <c r="A134" s="103" t="s">
        <v>39</v>
      </c>
      <c r="B134" s="67">
        <v>0.05</v>
      </c>
      <c r="C134" s="106">
        <v>1</v>
      </c>
      <c r="D134" s="93">
        <f ca="1">((100/F126)*C134)/100</f>
        <v>0.14285714285714288</v>
      </c>
      <c r="E134" s="139"/>
      <c r="F134" s="139"/>
      <c r="G134" s="6" t="s">
        <v>30</v>
      </c>
      <c r="H134" s="10">
        <f>(IF(C126&gt;3,(F126/(C126+2)+H133),0))</f>
        <v>0</v>
      </c>
    </row>
    <row r="135" spans="1:12" x14ac:dyDescent="0.25">
      <c r="A135" s="103" t="s">
        <v>31</v>
      </c>
      <c r="B135" s="67">
        <v>0.05</v>
      </c>
      <c r="C135" s="68">
        <v>1</v>
      </c>
      <c r="D135" s="93">
        <f ca="1">((100/F126)*C135)/100</f>
        <v>0.14285714285714288</v>
      </c>
      <c r="E135" s="139"/>
      <c r="F135" s="139"/>
      <c r="G135" s="6" t="s">
        <v>32</v>
      </c>
      <c r="H135" s="9">
        <f>(IF(C126&gt;4,(F126/(C126+2)+H134),0))</f>
        <v>0</v>
      </c>
    </row>
    <row r="136" spans="1:12" x14ac:dyDescent="0.25">
      <c r="A136" s="103" t="s">
        <v>40</v>
      </c>
      <c r="B136" s="67">
        <v>2.5000000000000001E-2</v>
      </c>
      <c r="C136" s="68">
        <v>0</v>
      </c>
      <c r="D136" s="93">
        <f ca="1">((100/(F126))*C136)/100</f>
        <v>0</v>
      </c>
      <c r="E136" s="139"/>
      <c r="F136" s="139"/>
      <c r="G136" s="6" t="s">
        <v>34</v>
      </c>
      <c r="H136" s="9">
        <f ca="1">(IF(C126=1,(F126/(C126+3)+H131),IF(C126=0,(F126*2/7+H131),IF(C126&gt;1,0))))</f>
        <v>4</v>
      </c>
    </row>
    <row r="137" spans="1:12" ht="15.75" thickBot="1" x14ac:dyDescent="0.3">
      <c r="A137" s="103" t="s">
        <v>35</v>
      </c>
      <c r="B137" s="67">
        <v>2.5000000000000001E-2</v>
      </c>
      <c r="C137" s="68">
        <v>0</v>
      </c>
      <c r="D137" s="93">
        <f ca="1">((100/(F126))*C137)/100</f>
        <v>0</v>
      </c>
      <c r="E137" s="139"/>
      <c r="F137" s="139"/>
      <c r="G137" s="11" t="s">
        <v>36</v>
      </c>
      <c r="H137" s="12">
        <f ca="1">F126</f>
        <v>7</v>
      </c>
    </row>
    <row r="138" spans="1:12" ht="15.75" thickBot="1" x14ac:dyDescent="0.3">
      <c r="A138" s="140" t="s">
        <v>4</v>
      </c>
      <c r="B138" s="140"/>
      <c r="C138" s="140"/>
      <c r="D138" s="140"/>
      <c r="E138" s="140"/>
      <c r="F138" s="140"/>
      <c r="G138" s="1"/>
      <c r="H138" s="1"/>
    </row>
    <row r="139" spans="1:12" ht="15" customHeight="1" x14ac:dyDescent="0.25">
      <c r="A139" s="124" t="str">
        <f>C119</f>
        <v>Building No.2 = Gr/Stilt + 1st to 4th Floor</v>
      </c>
      <c r="B139" s="124"/>
      <c r="C139" s="64" t="s">
        <v>5</v>
      </c>
      <c r="D139" s="64" t="s">
        <v>6</v>
      </c>
      <c r="E139" s="64" t="s">
        <v>7</v>
      </c>
      <c r="F139" s="64" t="s">
        <v>8</v>
      </c>
      <c r="G139" s="2" t="str">
        <f ca="1">(IF(E143&gt;99%,"All work completed. Please provide OC.",IF(E143&gt;89.8%,"Plinth, RCC, Brick, Plaster, Flooring, Painting work Completed. Finishing work is in process.",IF(E143&lt;94%,(IF(C143=0,"Work not yet Started.",IF(C143=H144,"Excavation Work in process",IF(C143=H145,"Foudation Work in process",IF(C143=H146,"1st Basement Completed",IF(C143=H147,"1st &amp; 2nd Basement Completed",IF(C143=H148,"1st to 3rd Basement Completed",IF(C143=H149,"1st to 4th Basement Completed",IF(C143=H150,"Plinth work is process",IF(C143=H151,"Plinth work completed","0"))))))))))))&amp;(IF(C144=(D140+E140+F140),", RCC Slab",IF(C144&gt;0,", RCC upto "&amp;C144&amp;" Slab",""))&amp;(IF(C145=F140,", Brickwork",IF(C145&gt;0,", Brickwork upto "&amp;C145&amp;" Floor",""))&amp;(IF(C146=F140,", Internal Plaster",IF(C146&gt;0,", Internal Plaster upto "&amp;C146&amp;" Floor",""))&amp;(IF(C147=F140,", External Plaster",IF(C147&gt;0,", External Plaster upto "&amp;C147&amp;" Floor",""))&amp;(IF(C148=F140,", Flooring",IF(C148&gt;0,", Flooring upto "&amp;C148&amp;" Floor",""))&amp;(IF(C149=F140,", Painting",IF(C149&gt;0,", Painting upto "&amp;C149&amp;" Floor",""))&amp;(IF(C150&gt;0,", Finishing upto "&amp;C150&amp;" Floor","")&amp;(IF(C144&gt;0.5," Completed","")))))))))))</f>
        <v>Plinth work completed, RCC Slab, Brickwork, Internal Plaster upto 2 Floor Completed</v>
      </c>
      <c r="H139" s="3"/>
    </row>
    <row r="140" spans="1:12" x14ac:dyDescent="0.25">
      <c r="A140" s="124"/>
      <c r="B140" s="124"/>
      <c r="C140" s="64">
        <v>0</v>
      </c>
      <c r="D140" s="64">
        <v>1</v>
      </c>
      <c r="E140" s="64">
        <v>0</v>
      </c>
      <c r="F140" s="64">
        <f ca="1">--TRIM(RIGHT(SUBSTITUTE(LEFT(A139,_xlfn.AGGREGATE(16,6,FIND({0,1,2,3,4,5,6,7,8,9},A139,ROW(INDIRECT("1:"&amp;LEN(A139)))),1))," ",REPT(" ",LEN(A139))),LEN(A139)))</f>
        <v>4</v>
      </c>
      <c r="G140" s="4"/>
      <c r="H140" s="5"/>
      <c r="L140" t="s">
        <v>212</v>
      </c>
    </row>
    <row r="141" spans="1:12" ht="15" customHeight="1" x14ac:dyDescent="0.25">
      <c r="A141" s="102" t="s">
        <v>9</v>
      </c>
      <c r="B141" s="124" t="str">
        <f ca="1">G139</f>
        <v>Plinth work completed, RCC Slab, Brickwork, Internal Plaster upto 2 Floor Completed</v>
      </c>
      <c r="C141" s="124"/>
      <c r="D141" s="124"/>
      <c r="E141" s="124"/>
      <c r="F141" s="124"/>
      <c r="G141" s="4" t="s">
        <v>10</v>
      </c>
      <c r="H141" s="5"/>
      <c r="L141" t="s">
        <v>210</v>
      </c>
    </row>
    <row r="142" spans="1:12" x14ac:dyDescent="0.25">
      <c r="A142" s="103" t="s">
        <v>11</v>
      </c>
      <c r="B142" s="65" t="s">
        <v>12</v>
      </c>
      <c r="C142" s="66" t="s">
        <v>13</v>
      </c>
      <c r="D142" s="66" t="s">
        <v>14</v>
      </c>
      <c r="E142" s="135" t="s">
        <v>37</v>
      </c>
      <c r="F142" s="135"/>
      <c r="G142" s="6"/>
      <c r="H142" s="7"/>
      <c r="L142" t="s">
        <v>211</v>
      </c>
    </row>
    <row r="143" spans="1:12" x14ac:dyDescent="0.25">
      <c r="A143" s="103" t="s">
        <v>19</v>
      </c>
      <c r="B143" s="67">
        <v>0.35</v>
      </c>
      <c r="C143" s="69">
        <f ca="1">H151</f>
        <v>4</v>
      </c>
      <c r="D143" s="93">
        <f ca="1">((100/F140)*C143)/100</f>
        <v>1</v>
      </c>
      <c r="E143" s="139">
        <f ca="1">((((C143/F140)*35)+(35/(F140+E140+D140)*C144)+(5/F140*C145)+(5/F140*C146)+(5/F140*C147)+(5/F140*C148)+(5/F140*C149)+(2.5/F140*C150)+(2.5/F140*C151))/100)</f>
        <v>0.77500000000000002</v>
      </c>
      <c r="F143" s="139"/>
      <c r="G143" s="6"/>
      <c r="H143" s="8"/>
    </row>
    <row r="144" spans="1:12" ht="30" x14ac:dyDescent="0.25">
      <c r="A144" s="103" t="s">
        <v>21</v>
      </c>
      <c r="B144" s="67">
        <v>0.35</v>
      </c>
      <c r="C144" s="75">
        <v>5</v>
      </c>
      <c r="D144" s="93">
        <f ca="1">((100/(D140+E140+F140))*C144)/100</f>
        <v>1</v>
      </c>
      <c r="E144" s="139"/>
      <c r="F144" s="139"/>
      <c r="G144" s="6" t="s">
        <v>284</v>
      </c>
      <c r="H144" s="9">
        <f ca="1">F140/7</f>
        <v>0.5714285714285714</v>
      </c>
    </row>
    <row r="145" spans="1:13" x14ac:dyDescent="0.25">
      <c r="A145" s="103" t="s">
        <v>23</v>
      </c>
      <c r="B145" s="67">
        <v>0.05</v>
      </c>
      <c r="C145" s="68">
        <v>4</v>
      </c>
      <c r="D145" s="93">
        <f ca="1">((100/F140)*C145)/100</f>
        <v>1</v>
      </c>
      <c r="E145" s="139"/>
      <c r="F145" s="139"/>
      <c r="G145" s="6" t="s">
        <v>285</v>
      </c>
      <c r="H145" s="9">
        <f ca="1">(IF(C140&gt;1,(F140/(C140+2)),F140/3.5))</f>
        <v>1.1428571428571428</v>
      </c>
    </row>
    <row r="146" spans="1:13" x14ac:dyDescent="0.25">
      <c r="A146" s="103" t="s">
        <v>38</v>
      </c>
      <c r="B146" s="67">
        <v>0.05</v>
      </c>
      <c r="C146" s="68">
        <v>2</v>
      </c>
      <c r="D146" s="93">
        <f ca="1">((100/F140)*C146)/100</f>
        <v>0.5</v>
      </c>
      <c r="E146" s="139"/>
      <c r="F146" s="139"/>
      <c r="G146" s="6" t="s">
        <v>26</v>
      </c>
      <c r="H146" s="9">
        <f>(IF(C140&gt;1,(F140/(C140+2)+H145),0))</f>
        <v>0</v>
      </c>
    </row>
    <row r="147" spans="1:13" x14ac:dyDescent="0.25">
      <c r="A147" s="103" t="s">
        <v>29</v>
      </c>
      <c r="B147" s="67">
        <v>0.05</v>
      </c>
      <c r="C147" s="68">
        <v>0</v>
      </c>
      <c r="D147" s="93">
        <f ca="1">((100/(F140))*C147)/100</f>
        <v>0</v>
      </c>
      <c r="E147" s="139"/>
      <c r="F147" s="139"/>
      <c r="G147" s="6" t="s">
        <v>28</v>
      </c>
      <c r="H147" s="9">
        <f>(IF(C140&gt;2,(F140/(C140+2)+H146),0))</f>
        <v>0</v>
      </c>
    </row>
    <row r="148" spans="1:13" ht="15" customHeight="1" x14ac:dyDescent="0.25">
      <c r="A148" s="103" t="s">
        <v>39</v>
      </c>
      <c r="B148" s="67">
        <v>0.05</v>
      </c>
      <c r="C148" s="106">
        <v>0</v>
      </c>
      <c r="D148" s="93">
        <f ca="1">((100/F140)*C148)/100</f>
        <v>0</v>
      </c>
      <c r="E148" s="139"/>
      <c r="F148" s="139"/>
      <c r="G148" s="6" t="s">
        <v>30</v>
      </c>
      <c r="H148" s="10">
        <f>(IF(C140&gt;3,(F140/(C140+2)+H147),0))</f>
        <v>0</v>
      </c>
    </row>
    <row r="149" spans="1:13" x14ac:dyDescent="0.25">
      <c r="A149" s="103" t="s">
        <v>31</v>
      </c>
      <c r="B149" s="67">
        <v>0.05</v>
      </c>
      <c r="C149" s="68">
        <v>0</v>
      </c>
      <c r="D149" s="93">
        <f ca="1">((100/F140)*C149)/100</f>
        <v>0</v>
      </c>
      <c r="E149" s="139"/>
      <c r="F149" s="139"/>
      <c r="G149" s="6" t="s">
        <v>32</v>
      </c>
      <c r="H149" s="9">
        <f>(IF(C140&gt;4,(F140/(C140+2)+H148),0))</f>
        <v>0</v>
      </c>
    </row>
    <row r="150" spans="1:13" x14ac:dyDescent="0.25">
      <c r="A150" s="103" t="s">
        <v>40</v>
      </c>
      <c r="B150" s="67">
        <v>2.5000000000000001E-2</v>
      </c>
      <c r="C150" s="68">
        <v>0</v>
      </c>
      <c r="D150" s="93">
        <f ca="1">((100/(F140))*C150)/100</f>
        <v>0</v>
      </c>
      <c r="E150" s="139"/>
      <c r="F150" s="139"/>
      <c r="G150" s="6" t="s">
        <v>34</v>
      </c>
      <c r="H150" s="9">
        <f ca="1">(IF(C140=1,(F140/(C140+3)+H145),IF(C140=0,(F140*2/7+H145),IF(C140&gt;1,0))))</f>
        <v>2.2857142857142856</v>
      </c>
    </row>
    <row r="151" spans="1:13" ht="15.75" thickBot="1" x14ac:dyDescent="0.3">
      <c r="A151" s="103" t="s">
        <v>35</v>
      </c>
      <c r="B151" s="67">
        <v>2.5000000000000001E-2</v>
      </c>
      <c r="C151" s="68">
        <v>0</v>
      </c>
      <c r="D151" s="93">
        <f ca="1">((100/(F140))*C151)/100</f>
        <v>0</v>
      </c>
      <c r="E151" s="139"/>
      <c r="F151" s="139"/>
      <c r="G151" s="11" t="s">
        <v>36</v>
      </c>
      <c r="H151" s="12">
        <f ca="1">F140</f>
        <v>4</v>
      </c>
    </row>
    <row r="152" spans="1:13" s="59" customFormat="1" x14ac:dyDescent="0.25">
      <c r="A152" s="190" t="s">
        <v>108</v>
      </c>
      <c r="B152" s="190"/>
      <c r="C152" s="190"/>
      <c r="D152" s="190"/>
      <c r="E152" s="191">
        <f ca="1">AVERAGE(E129,E143)</f>
        <v>0.80535714285714277</v>
      </c>
      <c r="F152" s="192"/>
    </row>
    <row r="153" spans="1:13" s="59" customFormat="1" x14ac:dyDescent="0.25">
      <c r="A153" s="190"/>
      <c r="B153" s="190"/>
      <c r="C153" s="190"/>
      <c r="D153" s="190"/>
      <c r="E153" s="192"/>
      <c r="F153" s="192"/>
      <c r="G153" s="60"/>
      <c r="H153" s="61"/>
    </row>
    <row r="154" spans="1:13" x14ac:dyDescent="0.25">
      <c r="A154" s="136" t="s">
        <v>45</v>
      </c>
      <c r="B154" s="136"/>
      <c r="C154" s="136"/>
      <c r="D154" s="136"/>
      <c r="E154" s="136"/>
      <c r="F154" s="136"/>
    </row>
    <row r="155" spans="1:13" ht="36" x14ac:dyDescent="0.25">
      <c r="A155" s="92" t="s">
        <v>200</v>
      </c>
      <c r="B155" s="92" t="s">
        <v>201</v>
      </c>
      <c r="C155" s="92" t="s">
        <v>202</v>
      </c>
      <c r="D155" s="92" t="s">
        <v>203</v>
      </c>
      <c r="E155" s="92" t="s">
        <v>204</v>
      </c>
      <c r="F155" s="92" t="s">
        <v>205</v>
      </c>
    </row>
    <row r="156" spans="1:13" ht="49.5" customHeight="1" x14ac:dyDescent="0.25">
      <c r="A156" s="95">
        <v>1</v>
      </c>
      <c r="B156" s="95">
        <v>2</v>
      </c>
      <c r="C156" s="95">
        <f ca="1">-C156</f>
        <v>0</v>
      </c>
      <c r="D156" s="86" t="s">
        <v>377</v>
      </c>
      <c r="E156" s="95" t="s">
        <v>319</v>
      </c>
      <c r="F156" s="95">
        <v>58</v>
      </c>
    </row>
    <row r="157" spans="1:13" s="35" customFormat="1" ht="15.75" hidden="1" customHeight="1" x14ac:dyDescent="0.25">
      <c r="A157" s="129" t="s">
        <v>268</v>
      </c>
      <c r="B157" s="129"/>
      <c r="C157" s="129"/>
      <c r="D157" s="129"/>
      <c r="E157" s="129"/>
      <c r="F157" s="129"/>
      <c r="G157" s="41"/>
      <c r="H157" s="41"/>
      <c r="I157"/>
      <c r="J157"/>
      <c r="K157"/>
      <c r="L157"/>
      <c r="M157"/>
    </row>
    <row r="158" spans="1:13" s="35" customFormat="1" ht="15.75" hidden="1" customHeight="1" x14ac:dyDescent="0.25">
      <c r="A158" s="49" t="s">
        <v>46</v>
      </c>
      <c r="B158" s="49" t="s">
        <v>47</v>
      </c>
      <c r="C158" s="122" t="s">
        <v>48</v>
      </c>
      <c r="D158" s="122"/>
      <c r="E158" s="108" t="s">
        <v>49</v>
      </c>
      <c r="F158" s="108"/>
      <c r="G158" s="123"/>
      <c r="H158" s="123"/>
      <c r="I158" s="189"/>
      <c r="J158" s="189"/>
      <c r="K158" s="189"/>
      <c r="L158" s="189"/>
    </row>
    <row r="159" spans="1:13" s="35" customFormat="1" ht="15.75" hidden="1" x14ac:dyDescent="0.25">
      <c r="A159" s="99" t="s">
        <v>269</v>
      </c>
      <c r="B159" s="70"/>
      <c r="C159" s="111"/>
      <c r="D159" s="112"/>
      <c r="E159" s="111"/>
      <c r="F159" s="112"/>
      <c r="G159" s="113"/>
      <c r="H159" s="130"/>
      <c r="I159" s="189"/>
      <c r="J159" s="189"/>
      <c r="K159" s="189"/>
      <c r="L159" s="189"/>
    </row>
    <row r="160" spans="1:13" s="35" customFormat="1" ht="15.75" hidden="1" customHeight="1" x14ac:dyDescent="0.25">
      <c r="A160" s="99" t="s">
        <v>270</v>
      </c>
      <c r="B160" s="70"/>
      <c r="C160" s="111"/>
      <c r="D160" s="112"/>
      <c r="E160" s="111"/>
      <c r="F160" s="112"/>
      <c r="G160" s="113"/>
      <c r="H160" s="130"/>
    </row>
    <row r="161" spans="1:13" s="35" customFormat="1" ht="15.75" hidden="1" x14ac:dyDescent="0.25">
      <c r="A161" s="100" t="s">
        <v>50</v>
      </c>
      <c r="B161" s="82">
        <f>SUM(B159:B160)</f>
        <v>0</v>
      </c>
      <c r="C161" s="114">
        <f>SUM(C159:C160)</f>
        <v>0</v>
      </c>
      <c r="D161" s="115"/>
      <c r="E161" s="116">
        <f>SUM(E159:E160)</f>
        <v>0</v>
      </c>
      <c r="F161" s="117"/>
      <c r="G161" s="118"/>
      <c r="H161" s="119"/>
      <c r="J161" s="36"/>
    </row>
    <row r="162" spans="1:13" s="35" customFormat="1" ht="15.75" hidden="1" customHeight="1" x14ac:dyDescent="0.25">
      <c r="A162" s="129" t="s">
        <v>271</v>
      </c>
      <c r="B162" s="129"/>
      <c r="C162" s="129"/>
      <c r="D162" s="129"/>
      <c r="E162" s="129"/>
      <c r="F162" s="129"/>
      <c r="G162" s="41"/>
      <c r="H162" s="41"/>
      <c r="I162"/>
      <c r="J162"/>
      <c r="K162"/>
      <c r="L162"/>
      <c r="M162"/>
    </row>
    <row r="163" spans="1:13" s="35" customFormat="1" ht="15.75" hidden="1" customHeight="1" x14ac:dyDescent="0.25">
      <c r="A163" s="49" t="s">
        <v>46</v>
      </c>
      <c r="B163" s="49" t="s">
        <v>47</v>
      </c>
      <c r="C163" s="122" t="s">
        <v>48</v>
      </c>
      <c r="D163" s="122"/>
      <c r="E163" s="108" t="s">
        <v>49</v>
      </c>
      <c r="F163" s="108"/>
      <c r="G163" s="123"/>
      <c r="H163" s="123"/>
      <c r="I163" s="189"/>
      <c r="J163" s="189"/>
      <c r="K163" s="189"/>
      <c r="L163" s="189"/>
    </row>
    <row r="164" spans="1:13" s="35" customFormat="1" ht="15.75" hidden="1" x14ac:dyDescent="0.25">
      <c r="A164" s="99" t="s">
        <v>270</v>
      </c>
      <c r="B164" s="70"/>
      <c r="C164" s="111"/>
      <c r="D164" s="112"/>
      <c r="E164" s="111"/>
      <c r="F164" s="112"/>
      <c r="G164" s="113"/>
      <c r="H164" s="130"/>
      <c r="I164" s="189"/>
      <c r="J164" s="189"/>
      <c r="K164" s="189"/>
      <c r="L164" s="189"/>
    </row>
    <row r="165" spans="1:13" s="35" customFormat="1" ht="15.75" hidden="1" customHeight="1" x14ac:dyDescent="0.25">
      <c r="A165" s="99" t="s">
        <v>272</v>
      </c>
      <c r="B165" s="70"/>
      <c r="C165" s="111"/>
      <c r="D165" s="112"/>
      <c r="E165" s="111"/>
      <c r="F165" s="112"/>
      <c r="G165" s="113"/>
      <c r="H165" s="130"/>
    </row>
    <row r="166" spans="1:13" s="35" customFormat="1" ht="15.75" hidden="1" x14ac:dyDescent="0.25">
      <c r="A166" s="100" t="s">
        <v>50</v>
      </c>
      <c r="B166" s="82">
        <f>SUM(B164:B165)</f>
        <v>0</v>
      </c>
      <c r="C166" s="114">
        <f>SUM(C164:C165)</f>
        <v>0</v>
      </c>
      <c r="D166" s="115"/>
      <c r="E166" s="116">
        <f>SUM(E164:E165)</f>
        <v>0</v>
      </c>
      <c r="F166" s="117"/>
      <c r="G166" s="118"/>
      <c r="H166" s="119"/>
      <c r="J166" s="36"/>
    </row>
    <row r="167" spans="1:13" s="35" customFormat="1" ht="15.75" customHeight="1" x14ac:dyDescent="0.25">
      <c r="A167" s="129" t="s">
        <v>367</v>
      </c>
      <c r="B167" s="129"/>
      <c r="C167" s="129"/>
      <c r="D167" s="129"/>
      <c r="E167" s="129"/>
      <c r="F167" s="129"/>
      <c r="G167" s="41"/>
      <c r="H167" s="41"/>
    </row>
    <row r="168" spans="1:13" s="35" customFormat="1" ht="15.75" customHeight="1" x14ac:dyDescent="0.25">
      <c r="A168" s="49" t="s">
        <v>46</v>
      </c>
      <c r="B168" s="49" t="s">
        <v>47</v>
      </c>
      <c r="C168" s="122" t="s">
        <v>48</v>
      </c>
      <c r="D168" s="122"/>
      <c r="E168" s="108" t="s">
        <v>49</v>
      </c>
      <c r="F168" s="108"/>
      <c r="G168" s="123"/>
      <c r="H168" s="123"/>
    </row>
    <row r="169" spans="1:13" s="35" customFormat="1" ht="15.75" x14ac:dyDescent="0.25">
      <c r="A169" s="99" t="s">
        <v>349</v>
      </c>
      <c r="B169" s="70">
        <f>COUNT(C211,C215,C234,C239,C241:C242)+COUNT(C224:C229)*4</f>
        <v>30</v>
      </c>
      <c r="C169" s="111">
        <f>SUM(C211,C215,C234,C239,C241:C242)+SUM(C224:C229)*4</f>
        <v>13335.312931199998</v>
      </c>
      <c r="D169" s="112"/>
      <c r="E169" s="111">
        <f>SUM(F211,F215,F234,F239,F241:F242)+SUM(F224:F229)*4</f>
        <v>20002.969396799996</v>
      </c>
      <c r="F169" s="112"/>
      <c r="G169" s="113"/>
      <c r="H169" s="113"/>
    </row>
    <row r="170" spans="1:13" s="35" customFormat="1" ht="15.75" x14ac:dyDescent="0.25">
      <c r="A170" s="99" t="s">
        <v>350</v>
      </c>
      <c r="B170" s="70">
        <f>COUNT(C248:C249,C251,C255:C256,C259:C261)</f>
        <v>8</v>
      </c>
      <c r="C170" s="111">
        <f>SUM(C248:C249,C251,C255:C256,C259:C261)</f>
        <v>2772.8602199999996</v>
      </c>
      <c r="D170" s="112"/>
      <c r="E170" s="111">
        <f>SUM(F248:F249,F251,F255:F256,F259:F261)</f>
        <v>4159.2903299999998</v>
      </c>
      <c r="F170" s="112"/>
      <c r="G170" s="113"/>
      <c r="H170" s="113"/>
    </row>
    <row r="171" spans="1:13" s="35" customFormat="1" ht="15.75" x14ac:dyDescent="0.25">
      <c r="A171" s="100" t="s">
        <v>50</v>
      </c>
      <c r="B171" s="82">
        <f>SUM(B169:B170)</f>
        <v>38</v>
      </c>
      <c r="C171" s="114">
        <f>SUM(C169:C170)</f>
        <v>16108.173151199997</v>
      </c>
      <c r="D171" s="115"/>
      <c r="E171" s="116">
        <f>SUM(E169:E170)</f>
        <v>24162.259726799995</v>
      </c>
      <c r="F171" s="117"/>
      <c r="G171" s="118"/>
      <c r="H171" s="119"/>
    </row>
    <row r="172" spans="1:13" s="35" customFormat="1" ht="15.75" customHeight="1" x14ac:dyDescent="0.25">
      <c r="A172" s="129" t="s">
        <v>376</v>
      </c>
      <c r="B172" s="129"/>
      <c r="C172" s="129"/>
      <c r="D172" s="129"/>
      <c r="E172" s="129"/>
      <c r="F172" s="129"/>
      <c r="G172" s="41"/>
      <c r="H172" s="41"/>
    </row>
    <row r="173" spans="1:13" s="35" customFormat="1" ht="15.75" customHeight="1" x14ac:dyDescent="0.25">
      <c r="A173" s="49" t="s">
        <v>46</v>
      </c>
      <c r="B173" s="49" t="s">
        <v>47</v>
      </c>
      <c r="C173" s="122" t="s">
        <v>48</v>
      </c>
      <c r="D173" s="122"/>
      <c r="E173" s="108" t="s">
        <v>49</v>
      </c>
      <c r="F173" s="108"/>
      <c r="G173" s="123"/>
      <c r="H173" s="123"/>
    </row>
    <row r="174" spans="1:13" s="35" customFormat="1" ht="15.75" x14ac:dyDescent="0.25">
      <c r="A174" s="99" t="s">
        <v>349</v>
      </c>
      <c r="B174" s="70">
        <f>COUNT(C212:C213,C217:C222,C231:C233,C235:C236,C238,C240,C243)</f>
        <v>16</v>
      </c>
      <c r="C174" s="111">
        <f>SUM(C212:C213,C217:C222,C231:C233,C235:C236,C238,C240,C243)</f>
        <v>7067.8200059999981</v>
      </c>
      <c r="D174" s="112"/>
      <c r="E174" s="111">
        <f>SUM(F212:F213,F217:F222,F231:F233,F235:F236,F238,F240,F243)</f>
        <v>10601.730008999999</v>
      </c>
      <c r="F174" s="112"/>
      <c r="G174" s="113"/>
      <c r="H174" s="113"/>
    </row>
    <row r="175" spans="1:13" s="35" customFormat="1" ht="15.75" x14ac:dyDescent="0.25">
      <c r="A175" s="99" t="s">
        <v>350</v>
      </c>
      <c r="B175" s="70">
        <f>COUNT(C247,C252:C253,C257)</f>
        <v>4</v>
      </c>
      <c r="C175" s="111">
        <f>SUM(C247,C252:C253,C257)</f>
        <v>1438.6624199999997</v>
      </c>
      <c r="D175" s="112"/>
      <c r="E175" s="111">
        <f>SUM(F247,F252:F253,F257)</f>
        <v>2157.9936299999999</v>
      </c>
      <c r="F175" s="112"/>
      <c r="G175" s="113"/>
      <c r="H175" s="113"/>
    </row>
    <row r="176" spans="1:13" s="35" customFormat="1" ht="15.75" x14ac:dyDescent="0.25">
      <c r="A176" s="100" t="s">
        <v>50</v>
      </c>
      <c r="B176" s="82">
        <f>SUM(B174:B175)</f>
        <v>20</v>
      </c>
      <c r="C176" s="114">
        <f>SUM(C174:C175)</f>
        <v>8506.4824259999987</v>
      </c>
      <c r="D176" s="115"/>
      <c r="E176" s="114">
        <f>SUM(E174:E175)</f>
        <v>12759.723639</v>
      </c>
      <c r="F176" s="115"/>
      <c r="G176" s="118"/>
      <c r="H176" s="119"/>
    </row>
    <row r="177" spans="1:14" s="35" customFormat="1" ht="15.75" x14ac:dyDescent="0.25">
      <c r="A177" s="100" t="s">
        <v>273</v>
      </c>
      <c r="B177" s="82">
        <f>SUM(B171+B176)</f>
        <v>58</v>
      </c>
      <c r="C177" s="114">
        <f>SUM(C171+C176)</f>
        <v>24614.655577199996</v>
      </c>
      <c r="D177" s="115"/>
      <c r="E177" s="114">
        <f>SUM(E171+E176)</f>
        <v>36921.983365799999</v>
      </c>
      <c r="F177" s="115"/>
      <c r="G177" s="118"/>
      <c r="H177" s="119"/>
    </row>
    <row r="178" spans="1:14" s="37" customFormat="1" ht="15.75" x14ac:dyDescent="0.25">
      <c r="A178" s="120" t="s">
        <v>51</v>
      </c>
      <c r="B178" s="120"/>
      <c r="C178" s="120"/>
      <c r="D178" s="120"/>
      <c r="E178" s="120"/>
      <c r="F178" s="120"/>
      <c r="G178" s="42"/>
      <c r="H178" s="42"/>
    </row>
    <row r="179" spans="1:14" s="38" customFormat="1" ht="15.75" hidden="1" x14ac:dyDescent="0.25">
      <c r="A179" s="121" t="s">
        <v>58</v>
      </c>
      <c r="B179" s="121"/>
      <c r="C179" s="121"/>
      <c r="D179" s="121"/>
      <c r="E179" s="121"/>
      <c r="F179" s="121"/>
      <c r="G179" s="42"/>
      <c r="H179" s="42"/>
    </row>
    <row r="180" spans="1:14" s="38" customFormat="1" ht="26.45" hidden="1" customHeight="1" x14ac:dyDescent="0.25">
      <c r="A180" s="125" t="s">
        <v>66</v>
      </c>
      <c r="B180" s="125" t="s">
        <v>53</v>
      </c>
      <c r="C180" s="125" t="s">
        <v>54</v>
      </c>
      <c r="D180" s="125" t="s">
        <v>56</v>
      </c>
      <c r="E180" s="125" t="s">
        <v>55</v>
      </c>
      <c r="F180" s="97" t="s">
        <v>57</v>
      </c>
      <c r="G180" s="110"/>
      <c r="H180" s="110"/>
    </row>
    <row r="181" spans="1:14" s="38" customFormat="1" ht="15.75" hidden="1" x14ac:dyDescent="0.25">
      <c r="A181" s="125"/>
      <c r="B181" s="125"/>
      <c r="C181" s="125"/>
      <c r="D181" s="125"/>
      <c r="E181" s="125"/>
      <c r="F181" s="104">
        <v>0.5</v>
      </c>
      <c r="G181" s="110"/>
      <c r="H181" s="110"/>
    </row>
    <row r="182" spans="1:14" s="37" customFormat="1" ht="15.75" hidden="1" x14ac:dyDescent="0.25">
      <c r="A182" s="154" t="s">
        <v>339</v>
      </c>
      <c r="B182" s="154"/>
      <c r="C182" s="154"/>
      <c r="D182" s="154"/>
      <c r="E182" s="154"/>
      <c r="F182" s="154"/>
      <c r="G182" s="42"/>
      <c r="H182" s="42"/>
    </row>
    <row r="183" spans="1:14" s="39" customFormat="1" ht="15.75" hidden="1" customHeight="1" x14ac:dyDescent="0.25">
      <c r="A183" s="155" t="s">
        <v>340</v>
      </c>
      <c r="B183" s="155"/>
      <c r="C183" s="155"/>
      <c r="D183" s="155"/>
      <c r="E183" s="155"/>
      <c r="F183" s="155"/>
      <c r="G183" s="43"/>
      <c r="H183" s="43"/>
      <c r="K183" s="40"/>
    </row>
    <row r="184" spans="1:14" s="39" customFormat="1" ht="15.75" hidden="1" x14ac:dyDescent="0.25">
      <c r="A184" s="83">
        <v>1</v>
      </c>
      <c r="B184" s="83"/>
      <c r="C184" s="83"/>
      <c r="D184" s="84">
        <f>C184*1.2</f>
        <v>0</v>
      </c>
      <c r="E184" s="83">
        <v>0</v>
      </c>
      <c r="F184" s="83">
        <f>(C184+E184)*(($F$181)+1)</f>
        <v>0</v>
      </c>
      <c r="G184" s="166"/>
      <c r="H184" s="166"/>
      <c r="I184" s="40"/>
      <c r="J184" s="44"/>
      <c r="L184" s="163"/>
      <c r="M184" s="163"/>
      <c r="N184" s="40"/>
    </row>
    <row r="185" spans="1:14" hidden="1" x14ac:dyDescent="0.25">
      <c r="A185" s="83">
        <f>A184+1</f>
        <v>2</v>
      </c>
      <c r="B185" s="83"/>
      <c r="C185" s="83"/>
      <c r="D185" s="84">
        <f t="shared" ref="D185:D189" si="2">C185*1.2</f>
        <v>0</v>
      </c>
      <c r="E185" s="83">
        <v>0</v>
      </c>
      <c r="F185" s="83">
        <f t="shared" ref="F185:F189" si="3">(C185+E185)*(($F$181)+1)</f>
        <v>0</v>
      </c>
    </row>
    <row r="186" spans="1:14" hidden="1" x14ac:dyDescent="0.25">
      <c r="A186" s="83">
        <f t="shared" ref="A186:A189" si="4">A185+1</f>
        <v>3</v>
      </c>
      <c r="B186" s="83"/>
      <c r="C186" s="83"/>
      <c r="D186" s="84">
        <f t="shared" si="2"/>
        <v>0</v>
      </c>
      <c r="E186" s="83">
        <v>0</v>
      </c>
      <c r="F186" s="83">
        <f t="shared" si="3"/>
        <v>0</v>
      </c>
    </row>
    <row r="187" spans="1:14" hidden="1" x14ac:dyDescent="0.25">
      <c r="A187" s="83">
        <f t="shared" si="4"/>
        <v>4</v>
      </c>
      <c r="B187" s="83"/>
      <c r="C187" s="83"/>
      <c r="D187" s="84">
        <f t="shared" si="2"/>
        <v>0</v>
      </c>
      <c r="E187" s="83">
        <v>0</v>
      </c>
      <c r="F187" s="83">
        <f t="shared" si="3"/>
        <v>0</v>
      </c>
    </row>
    <row r="188" spans="1:14" hidden="1" x14ac:dyDescent="0.25">
      <c r="A188" s="83">
        <f t="shared" si="4"/>
        <v>5</v>
      </c>
      <c r="B188" s="83"/>
      <c r="C188" s="83"/>
      <c r="D188" s="84">
        <f t="shared" si="2"/>
        <v>0</v>
      </c>
      <c r="E188" s="83">
        <v>0</v>
      </c>
      <c r="F188" s="83">
        <f t="shared" si="3"/>
        <v>0</v>
      </c>
    </row>
    <row r="189" spans="1:14" hidden="1" x14ac:dyDescent="0.25">
      <c r="A189" s="83">
        <f t="shared" si="4"/>
        <v>6</v>
      </c>
      <c r="B189" s="83"/>
      <c r="C189" s="83"/>
      <c r="D189" s="84">
        <f t="shared" si="2"/>
        <v>0</v>
      </c>
      <c r="E189" s="83">
        <v>0</v>
      </c>
      <c r="F189" s="83">
        <f t="shared" si="3"/>
        <v>0</v>
      </c>
    </row>
    <row r="190" spans="1:14" s="39" customFormat="1" ht="15.75" hidden="1" customHeight="1" x14ac:dyDescent="0.25">
      <c r="A190" s="155" t="s">
        <v>245</v>
      </c>
      <c r="B190" s="155"/>
      <c r="C190" s="155"/>
      <c r="D190" s="155"/>
      <c r="E190" s="155"/>
      <c r="F190" s="155"/>
      <c r="G190" s="43"/>
      <c r="H190" s="43"/>
      <c r="K190" s="40"/>
    </row>
    <row r="191" spans="1:14" s="39" customFormat="1" ht="15.75" hidden="1" x14ac:dyDescent="0.25">
      <c r="A191" s="83">
        <v>1</v>
      </c>
      <c r="B191" s="83"/>
      <c r="C191" s="83"/>
      <c r="D191" s="84">
        <f>C191*1.2</f>
        <v>0</v>
      </c>
      <c r="E191" s="83">
        <v>0</v>
      </c>
      <c r="F191" s="83">
        <f>(C191+E191)*(($F$181)+1)</f>
        <v>0</v>
      </c>
      <c r="G191" s="166"/>
      <c r="H191" s="166"/>
      <c r="I191" s="40"/>
      <c r="J191" s="44"/>
      <c r="L191" s="163"/>
      <c r="M191" s="163"/>
      <c r="N191" s="40"/>
    </row>
    <row r="192" spans="1:14" hidden="1" x14ac:dyDescent="0.25">
      <c r="A192" s="83">
        <f>A191+1</f>
        <v>2</v>
      </c>
      <c r="B192" s="83"/>
      <c r="C192" s="83"/>
      <c r="D192" s="84">
        <f t="shared" ref="D192:D196" si="5">C192*1.2</f>
        <v>0</v>
      </c>
      <c r="E192" s="83">
        <v>0</v>
      </c>
      <c r="F192" s="83">
        <f t="shared" ref="F192:F196" si="6">(C192+E192)*(($F$181)+1)</f>
        <v>0</v>
      </c>
    </row>
    <row r="193" spans="1:14" hidden="1" x14ac:dyDescent="0.25">
      <c r="A193" s="83">
        <f t="shared" ref="A193:A196" si="7">A192+1</f>
        <v>3</v>
      </c>
      <c r="B193" s="83"/>
      <c r="C193" s="83"/>
      <c r="D193" s="84">
        <f t="shared" si="5"/>
        <v>0</v>
      </c>
      <c r="E193" s="83">
        <v>0</v>
      </c>
      <c r="F193" s="83">
        <f t="shared" si="6"/>
        <v>0</v>
      </c>
    </row>
    <row r="194" spans="1:14" hidden="1" x14ac:dyDescent="0.25">
      <c r="A194" s="83">
        <f t="shared" si="7"/>
        <v>4</v>
      </c>
      <c r="B194" s="83"/>
      <c r="C194" s="83"/>
      <c r="D194" s="84">
        <f t="shared" si="5"/>
        <v>0</v>
      </c>
      <c r="E194" s="83">
        <v>0</v>
      </c>
      <c r="F194" s="83">
        <f t="shared" si="6"/>
        <v>0</v>
      </c>
    </row>
    <row r="195" spans="1:14" hidden="1" x14ac:dyDescent="0.25">
      <c r="A195" s="83">
        <f t="shared" si="7"/>
        <v>5</v>
      </c>
      <c r="B195" s="83"/>
      <c r="C195" s="83"/>
      <c r="D195" s="84">
        <f t="shared" si="5"/>
        <v>0</v>
      </c>
      <c r="E195" s="83">
        <v>0</v>
      </c>
      <c r="F195" s="83">
        <f t="shared" si="6"/>
        <v>0</v>
      </c>
    </row>
    <row r="196" spans="1:14" hidden="1" x14ac:dyDescent="0.25">
      <c r="A196" s="83">
        <f t="shared" si="7"/>
        <v>6</v>
      </c>
      <c r="B196" s="83"/>
      <c r="C196" s="83"/>
      <c r="D196" s="84">
        <f t="shared" si="5"/>
        <v>0</v>
      </c>
      <c r="E196" s="83">
        <v>0</v>
      </c>
      <c r="F196" s="83">
        <f t="shared" si="6"/>
        <v>0</v>
      </c>
    </row>
    <row r="197" spans="1:14" s="39" customFormat="1" ht="15.75" hidden="1" customHeight="1" x14ac:dyDescent="0.25">
      <c r="A197" s="155" t="s">
        <v>246</v>
      </c>
      <c r="B197" s="155"/>
      <c r="C197" s="155"/>
      <c r="D197" s="155"/>
      <c r="E197" s="155"/>
      <c r="F197" s="155"/>
      <c r="G197" s="43"/>
      <c r="H197" s="43"/>
      <c r="K197" s="40"/>
    </row>
    <row r="198" spans="1:14" s="39" customFormat="1" ht="15.75" hidden="1" x14ac:dyDescent="0.25">
      <c r="A198" s="83">
        <v>1</v>
      </c>
      <c r="B198" s="83"/>
      <c r="C198" s="83"/>
      <c r="D198" s="84">
        <f>C198*1.2</f>
        <v>0</v>
      </c>
      <c r="E198" s="83">
        <v>0</v>
      </c>
      <c r="F198" s="83">
        <f>(C198+E198)*(($F$181)+1)</f>
        <v>0</v>
      </c>
      <c r="G198" s="166"/>
      <c r="H198" s="166"/>
      <c r="I198" s="40"/>
      <c r="J198" s="44"/>
      <c r="L198" s="163"/>
      <c r="M198" s="163"/>
      <c r="N198" s="40"/>
    </row>
    <row r="199" spans="1:14" hidden="1" x14ac:dyDescent="0.25">
      <c r="A199" s="83">
        <f>A198+1</f>
        <v>2</v>
      </c>
      <c r="B199" s="83"/>
      <c r="C199" s="83"/>
      <c r="D199" s="84">
        <f t="shared" ref="D199:D203" si="8">C199*1.2</f>
        <v>0</v>
      </c>
      <c r="E199" s="83">
        <v>0</v>
      </c>
      <c r="F199" s="83">
        <f t="shared" ref="F199:F203" si="9">(C199+E199)*(($F$181)+1)</f>
        <v>0</v>
      </c>
    </row>
    <row r="200" spans="1:14" hidden="1" x14ac:dyDescent="0.25">
      <c r="A200" s="83">
        <f t="shared" ref="A200:A203" si="10">A199+1</f>
        <v>3</v>
      </c>
      <c r="B200" s="83"/>
      <c r="C200" s="83"/>
      <c r="D200" s="84">
        <f t="shared" si="8"/>
        <v>0</v>
      </c>
      <c r="E200" s="83">
        <v>0</v>
      </c>
      <c r="F200" s="83">
        <f t="shared" si="9"/>
        <v>0</v>
      </c>
    </row>
    <row r="201" spans="1:14" hidden="1" x14ac:dyDescent="0.25">
      <c r="A201" s="83">
        <f t="shared" si="10"/>
        <v>4</v>
      </c>
      <c r="B201" s="83"/>
      <c r="C201" s="83"/>
      <c r="D201" s="84">
        <f t="shared" si="8"/>
        <v>0</v>
      </c>
      <c r="E201" s="83">
        <v>0</v>
      </c>
      <c r="F201" s="83">
        <f t="shared" si="9"/>
        <v>0</v>
      </c>
    </row>
    <row r="202" spans="1:14" hidden="1" x14ac:dyDescent="0.25">
      <c r="A202" s="83">
        <f t="shared" si="10"/>
        <v>5</v>
      </c>
      <c r="B202" s="83"/>
      <c r="C202" s="83"/>
      <c r="D202" s="84">
        <f t="shared" si="8"/>
        <v>0</v>
      </c>
      <c r="E202" s="83">
        <v>0</v>
      </c>
      <c r="F202" s="83">
        <f t="shared" si="9"/>
        <v>0</v>
      </c>
    </row>
    <row r="203" spans="1:14" hidden="1" x14ac:dyDescent="0.25">
      <c r="A203" s="83">
        <f t="shared" si="10"/>
        <v>6</v>
      </c>
      <c r="B203" s="83"/>
      <c r="C203" s="83"/>
      <c r="D203" s="84">
        <f t="shared" si="8"/>
        <v>0</v>
      </c>
      <c r="E203" s="83">
        <v>0</v>
      </c>
      <c r="F203" s="83">
        <f t="shared" si="9"/>
        <v>0</v>
      </c>
    </row>
    <row r="204" spans="1:14" s="38" customFormat="1" ht="15.75" hidden="1" x14ac:dyDescent="0.25">
      <c r="A204" s="164"/>
      <c r="B204" s="164"/>
      <c r="C204" s="164"/>
      <c r="D204" s="164"/>
      <c r="E204" s="164"/>
      <c r="F204" s="164"/>
      <c r="G204" s="42"/>
      <c r="H204" s="42"/>
    </row>
    <row r="205" spans="1:14" s="38" customFormat="1" ht="15.75" x14ac:dyDescent="0.25">
      <c r="A205" s="121" t="s">
        <v>52</v>
      </c>
      <c r="B205" s="121"/>
      <c r="C205" s="121"/>
      <c r="D205" s="121"/>
      <c r="E205" s="121"/>
      <c r="F205" s="121"/>
      <c r="G205" s="42"/>
      <c r="H205" s="42"/>
    </row>
    <row r="206" spans="1:14" s="38" customFormat="1" ht="27.6" customHeight="1" x14ac:dyDescent="0.25">
      <c r="A206" s="125" t="s">
        <v>274</v>
      </c>
      <c r="B206" s="125" t="s">
        <v>53</v>
      </c>
      <c r="C206" s="125" t="s">
        <v>54</v>
      </c>
      <c r="D206" s="125" t="s">
        <v>56</v>
      </c>
      <c r="E206" s="125" t="s">
        <v>55</v>
      </c>
      <c r="F206" s="97" t="s">
        <v>287</v>
      </c>
      <c r="G206" s="110"/>
      <c r="H206" s="110"/>
      <c r="I206" s="110"/>
      <c r="J206" s="110"/>
      <c r="K206" s="110"/>
    </row>
    <row r="207" spans="1:14" s="38" customFormat="1" ht="15.75" x14ac:dyDescent="0.25">
      <c r="A207" s="125"/>
      <c r="B207" s="125"/>
      <c r="C207" s="125"/>
      <c r="D207" s="125"/>
      <c r="E207" s="125"/>
      <c r="F207" s="105">
        <v>0.5</v>
      </c>
      <c r="G207" s="110"/>
      <c r="H207" s="110"/>
      <c r="K207"/>
    </row>
    <row r="208" spans="1:14" s="37" customFormat="1" ht="15.75" x14ac:dyDescent="0.25">
      <c r="A208" s="154" t="s">
        <v>349</v>
      </c>
      <c r="B208" s="154"/>
      <c r="C208" s="154"/>
      <c r="D208" s="154"/>
      <c r="E208" s="154"/>
      <c r="F208" s="154"/>
      <c r="G208" s="186"/>
      <c r="H208" s="186"/>
      <c r="I208" s="186"/>
      <c r="J208" s="186"/>
      <c r="K208" s="186"/>
    </row>
    <row r="209" spans="1:14" s="39" customFormat="1" ht="15.75" customHeight="1" x14ac:dyDescent="0.25">
      <c r="A209" s="155" t="s">
        <v>340</v>
      </c>
      <c r="B209" s="155"/>
      <c r="C209" s="155"/>
      <c r="D209" s="155"/>
      <c r="E209" s="155"/>
      <c r="F209" s="155"/>
      <c r="G209" s="43"/>
      <c r="H209" s="43"/>
      <c r="K209"/>
    </row>
    <row r="210" spans="1:14" s="39" customFormat="1" ht="15.75" x14ac:dyDescent="0.25">
      <c r="A210" s="83" t="s">
        <v>319</v>
      </c>
      <c r="B210" s="185" t="s">
        <v>343</v>
      </c>
      <c r="C210" s="185"/>
      <c r="D210" s="185"/>
      <c r="E210" s="185"/>
      <c r="F210" s="185"/>
      <c r="G210" s="88"/>
      <c r="H210" s="88"/>
      <c r="I210" s="40"/>
      <c r="J210" s="44"/>
      <c r="K210"/>
      <c r="L210" s="163"/>
      <c r="M210" s="163"/>
      <c r="N210" s="40"/>
    </row>
    <row r="211" spans="1:14" x14ac:dyDescent="0.25">
      <c r="A211" s="83">
        <v>1</v>
      </c>
      <c r="B211" s="83" t="s">
        <v>341</v>
      </c>
      <c r="C211" s="83">
        <f>(5.44*3+2.7*1.8+2.7*2.7+2.6*2.4+1.8*0.9+1.8*0.9+1.2*4.2+1.1*1.1)*10.764</f>
        <v>475.76879999999994</v>
      </c>
      <c r="D211" s="84">
        <f t="shared" ref="D211:D215" si="11">C211*1.2</f>
        <v>570.92255999999986</v>
      </c>
      <c r="E211" s="83">
        <v>0</v>
      </c>
      <c r="F211" s="83">
        <f t="shared" ref="F211:F215" si="12">C211*(($F$207)+1)+(IF(E211&lt;101,E211,IF(E211&lt;201,E211/2,IF(E211&lt;=301,E211/3,E211/4))))</f>
        <v>713.65319999999997</v>
      </c>
      <c r="G211" s="89"/>
      <c r="H211">
        <f>5200*F211</f>
        <v>3710996.6399999997</v>
      </c>
    </row>
    <row r="212" spans="1:14" x14ac:dyDescent="0.25">
      <c r="A212" s="83" t="s">
        <v>368</v>
      </c>
      <c r="B212" s="83" t="s">
        <v>341</v>
      </c>
      <c r="C212" s="83">
        <f>(2.4*3.46+1.65*2.32+1.2*0.4+2.7*2.7+2.7*2.7+2.1*1.05+1.05*2.1+1.3*2.6+1.4*2)*10.764</f>
        <v>406.68544799999995</v>
      </c>
      <c r="D212" s="84">
        <f t="shared" si="11"/>
        <v>488.02253759999991</v>
      </c>
      <c r="E212" s="83">
        <v>0</v>
      </c>
      <c r="F212" s="83">
        <f t="shared" si="12"/>
        <v>610.02817199999993</v>
      </c>
      <c r="G212" s="89"/>
      <c r="H212">
        <f t="shared" ref="H212:H215" si="13">5200*F212</f>
        <v>3172146.4943999997</v>
      </c>
    </row>
    <row r="213" spans="1:14" ht="15.75" x14ac:dyDescent="0.25">
      <c r="A213" s="83" t="s">
        <v>369</v>
      </c>
      <c r="B213" s="83" t="s">
        <v>342</v>
      </c>
      <c r="C213" s="83">
        <f>(3.45*3.05+1.3*0.9+2.4*3.11+2.82*2.89+1.3*0.9+1.05*1.95+1.05*1.95)*10.764</f>
        <v>350.59747319999997</v>
      </c>
      <c r="D213" s="84">
        <f t="shared" si="11"/>
        <v>420.71696783999994</v>
      </c>
      <c r="E213" s="83">
        <v>0</v>
      </c>
      <c r="F213" s="83">
        <f t="shared" si="12"/>
        <v>525.89620979999995</v>
      </c>
      <c r="G213" s="89"/>
      <c r="H213">
        <f t="shared" si="13"/>
        <v>2734660.2909599999</v>
      </c>
      <c r="K213" s="40"/>
    </row>
    <row r="214" spans="1:14" ht="15.75" x14ac:dyDescent="0.25">
      <c r="A214" s="83" t="s">
        <v>319</v>
      </c>
      <c r="B214" s="185" t="s">
        <v>151</v>
      </c>
      <c r="C214" s="185"/>
      <c r="D214" s="185"/>
      <c r="E214" s="185"/>
      <c r="F214" s="185"/>
      <c r="G214" s="89"/>
      <c r="H214">
        <f t="shared" si="13"/>
        <v>0</v>
      </c>
      <c r="K214" s="39"/>
    </row>
    <row r="215" spans="1:14" x14ac:dyDescent="0.25">
      <c r="A215" s="83">
        <v>4</v>
      </c>
      <c r="B215" s="83" t="s">
        <v>342</v>
      </c>
      <c r="C215" s="83">
        <f>(2.7*3.3+1.95*3.3+2.44*3.13+1.05*1.95+1.4*1)*10.764</f>
        <v>284.48929079999994</v>
      </c>
      <c r="D215" s="84">
        <f t="shared" si="11"/>
        <v>341.38714895999993</v>
      </c>
      <c r="E215" s="83">
        <v>0</v>
      </c>
      <c r="F215" s="83">
        <f t="shared" si="12"/>
        <v>426.7339361999999</v>
      </c>
      <c r="G215" s="89"/>
      <c r="H215">
        <f t="shared" si="13"/>
        <v>2219016.4682399994</v>
      </c>
    </row>
    <row r="216" spans="1:14" s="39" customFormat="1" ht="15.75" customHeight="1" x14ac:dyDescent="0.25">
      <c r="A216" s="155" t="s">
        <v>357</v>
      </c>
      <c r="B216" s="155"/>
      <c r="C216" s="155"/>
      <c r="D216" s="155"/>
      <c r="E216" s="155"/>
      <c r="F216" s="155"/>
      <c r="G216" s="43"/>
      <c r="H216" s="43"/>
      <c r="K216"/>
    </row>
    <row r="217" spans="1:14" s="39" customFormat="1" ht="15.75" x14ac:dyDescent="0.25">
      <c r="A217" s="83" t="s">
        <v>370</v>
      </c>
      <c r="B217" s="83" t="s">
        <v>341</v>
      </c>
      <c r="C217" s="83">
        <f>(3*3.15+2.49*2.08+3*3.15+3*3.15+1.2*1.8+2.49*1.2+1.27*1.65+1.1*3.2+1*2.6)*10.764</f>
        <v>504.7530228</v>
      </c>
      <c r="D217" s="84">
        <f>C217*1.2</f>
        <v>605.70362735999993</v>
      </c>
      <c r="E217" s="83">
        <v>0</v>
      </c>
      <c r="F217" s="83">
        <f>C217*(($F$207)+1)+(IF(E217&lt;101,E217,IF(E217&lt;201,E217/2,IF(E217&lt;=301,E217/3,E217/4))))</f>
        <v>757.12953419999997</v>
      </c>
      <c r="G217" s="88"/>
      <c r="H217" s="88">
        <f>3055275/F219</f>
        <v>4354.8739335994842</v>
      </c>
      <c r="I217" s="40">
        <f>5200*F217</f>
        <v>3937073.5778399999</v>
      </c>
      <c r="J217" s="44"/>
      <c r="K217"/>
      <c r="L217" s="163"/>
      <c r="M217" s="163"/>
      <c r="N217" s="40"/>
    </row>
    <row r="218" spans="1:14" ht="15.75" x14ac:dyDescent="0.25">
      <c r="A218" s="83" t="s">
        <v>368</v>
      </c>
      <c r="B218" s="83" t="s">
        <v>341</v>
      </c>
      <c r="C218" s="83">
        <f>(5.44*3+3.7*1.8+2.7*2.7+2.6*2.4+1.8*0.9+1.8*0.9+1.2*4.2+1.1*1.1)*10.764</f>
        <v>495.14399999999995</v>
      </c>
      <c r="D218" s="84">
        <f t="shared" ref="D218:D222" si="14">C218*1.2</f>
        <v>594.17279999999994</v>
      </c>
      <c r="E218" s="83">
        <v>0</v>
      </c>
      <c r="F218" s="83">
        <f t="shared" ref="F218:F222" si="15">C218*(($F$207)+1)+(IF(E218&lt;101,E218,IF(E218&lt;201,E218/2,IF(E218&lt;=301,E218/3,E218/4))))</f>
        <v>742.71599999999989</v>
      </c>
      <c r="I218" s="40">
        <f t="shared" ref="I218:I222" si="16">5200*F218</f>
        <v>3862123.1999999993</v>
      </c>
    </row>
    <row r="219" spans="1:14" ht="15.75" x14ac:dyDescent="0.25">
      <c r="A219" s="83" t="s">
        <v>369</v>
      </c>
      <c r="B219" s="83" t="s">
        <v>341</v>
      </c>
      <c r="C219" s="83">
        <f>(2.4*3.46+2.32*1.65+1.2*0.4+3.75*2.7+3.75*2.7+2.1*1.05+1.05*2.1+1.3*2.6+1.4*2)*10.764</f>
        <v>467.71732799999995</v>
      </c>
      <c r="D219" s="84">
        <f t="shared" si="14"/>
        <v>561.26079359999994</v>
      </c>
      <c r="E219" s="83">
        <v>0</v>
      </c>
      <c r="F219" s="83">
        <f t="shared" si="15"/>
        <v>701.57599199999993</v>
      </c>
      <c r="I219" s="40">
        <f t="shared" si="16"/>
        <v>3648195.1583999996</v>
      </c>
    </row>
    <row r="220" spans="1:14" ht="15.75" x14ac:dyDescent="0.25">
      <c r="A220" s="83" t="s">
        <v>371</v>
      </c>
      <c r="B220" s="83" t="s">
        <v>342</v>
      </c>
      <c r="C220" s="83">
        <f>(3.45*3.05+2.4*3.11+2.82*4.1+1.05*1.95+1.05*1.95+1*2.5)*10.764</f>
        <v>389.04863399999994</v>
      </c>
      <c r="D220" s="84">
        <f t="shared" si="14"/>
        <v>466.8583607999999</v>
      </c>
      <c r="E220" s="83">
        <v>0</v>
      </c>
      <c r="F220" s="83">
        <f t="shared" si="15"/>
        <v>583.57295099999988</v>
      </c>
      <c r="I220" s="40">
        <f t="shared" si="16"/>
        <v>3034579.3451999994</v>
      </c>
      <c r="K220" s="40"/>
    </row>
    <row r="221" spans="1:14" ht="15.75" x14ac:dyDescent="0.25">
      <c r="A221" s="83" t="s">
        <v>372</v>
      </c>
      <c r="B221" s="83" t="s">
        <v>341</v>
      </c>
      <c r="C221" s="83">
        <f>(3.57*3.81+2.1*2.29+2.74*3.88+2.25*3.51+1.07*2.14+1.07*2.29+1*4.1+1.07*1.5)*10.764</f>
        <v>510.0467579999999</v>
      </c>
      <c r="D221" s="84">
        <f t="shared" si="14"/>
        <v>612.0561095999999</v>
      </c>
      <c r="E221" s="83">
        <v>0</v>
      </c>
      <c r="F221" s="83">
        <f t="shared" si="15"/>
        <v>765.07013699999982</v>
      </c>
      <c r="I221" s="40">
        <f t="shared" si="16"/>
        <v>3978364.7123999991</v>
      </c>
      <c r="K221" s="39"/>
    </row>
    <row r="222" spans="1:14" ht="15.75" x14ac:dyDescent="0.25">
      <c r="A222" s="83" t="s">
        <v>373</v>
      </c>
      <c r="B222" s="83" t="s">
        <v>342</v>
      </c>
      <c r="C222" s="83">
        <f>(2.7*4.2+1.95*4.2+2.44*3.13+1.05*2.1+1.4*1)*10.764</f>
        <v>331.23196079999997</v>
      </c>
      <c r="D222" s="84">
        <f t="shared" si="14"/>
        <v>397.47835295999994</v>
      </c>
      <c r="E222" s="83">
        <v>0</v>
      </c>
      <c r="F222" s="83">
        <f t="shared" si="15"/>
        <v>496.84794119999992</v>
      </c>
      <c r="I222" s="40">
        <f t="shared" si="16"/>
        <v>2583609.2942399997</v>
      </c>
    </row>
    <row r="223" spans="1:14" s="96" customFormat="1" ht="15.75" customHeight="1" x14ac:dyDescent="0.25">
      <c r="A223" s="155" t="s">
        <v>354</v>
      </c>
      <c r="B223" s="155"/>
      <c r="C223" s="155"/>
      <c r="D223" s="155"/>
      <c r="E223" s="155"/>
      <c r="F223" s="155"/>
      <c r="G223" s="43"/>
      <c r="H223" s="43"/>
      <c r="K223"/>
    </row>
    <row r="224" spans="1:14" s="96" customFormat="1" ht="15.75" x14ac:dyDescent="0.25">
      <c r="A224" s="83" t="s">
        <v>363</v>
      </c>
      <c r="B224" s="83" t="s">
        <v>341</v>
      </c>
      <c r="C224" s="83">
        <f>(3*3.15+2.49*2.08+3*3.15+3*3.15+1.2*1.8+2.49*1.2+1.27*1.65+1.1*3.2+1*2.6)*10.764</f>
        <v>504.7530228</v>
      </c>
      <c r="D224" s="84">
        <f>C224*1.2</f>
        <v>605.70362735999993</v>
      </c>
      <c r="E224" s="83">
        <v>0</v>
      </c>
      <c r="F224" s="83">
        <f>C224*(($F$207)+1)+(IF(E224&lt;101,E224,IF(E224&lt;201,E224/2,IF(E224&lt;=301,E224/3,E224/4))))</f>
        <v>757.12953419999997</v>
      </c>
      <c r="G224" s="88"/>
      <c r="H224" s="88">
        <f>3055275/F226</f>
        <v>4354.8739335994842</v>
      </c>
      <c r="I224" s="40">
        <f>5200*F224</f>
        <v>3937073.5778399999</v>
      </c>
      <c r="J224" s="44"/>
      <c r="K224"/>
      <c r="L224" s="163"/>
      <c r="M224" s="163"/>
      <c r="N224" s="40"/>
    </row>
    <row r="225" spans="1:14" ht="15.75" x14ac:dyDescent="0.25">
      <c r="A225" s="83" t="s">
        <v>360</v>
      </c>
      <c r="B225" s="83" t="s">
        <v>341</v>
      </c>
      <c r="C225" s="83">
        <f>(5.44*3+3.7*1.8+2.7*2.7+2.6*2.4+1.8*0.9+1.8*0.9+1.2*4.2+1.1*1.1)*10.764</f>
        <v>495.14399999999995</v>
      </c>
      <c r="D225" s="84">
        <f t="shared" ref="D225:D229" si="17">C225*1.2</f>
        <v>594.17279999999994</v>
      </c>
      <c r="E225" s="83">
        <v>0</v>
      </c>
      <c r="F225" s="83">
        <f t="shared" ref="F225:F229" si="18">C225*(($F$207)+1)+(IF(E225&lt;101,E225,IF(E225&lt;201,E225/2,IF(E225&lt;=301,E225/3,E225/4))))</f>
        <v>742.71599999999989</v>
      </c>
      <c r="I225" s="40">
        <f t="shared" ref="I225:I229" si="19">5200*F225</f>
        <v>3862123.1999999993</v>
      </c>
    </row>
    <row r="226" spans="1:14" ht="15.75" x14ac:dyDescent="0.25">
      <c r="A226" s="83" t="s">
        <v>361</v>
      </c>
      <c r="B226" s="83" t="s">
        <v>341</v>
      </c>
      <c r="C226" s="83">
        <f>(2.4*3.46+2.32*1.65+1.2*0.4+3.75*2.7+3.75*2.7+2.1*1.05+1.05*2.1+1.3*2.6+1.4*2)*10.764</f>
        <v>467.71732799999995</v>
      </c>
      <c r="D226" s="84">
        <f t="shared" si="17"/>
        <v>561.26079359999994</v>
      </c>
      <c r="E226" s="83">
        <v>0</v>
      </c>
      <c r="F226" s="83">
        <f t="shared" si="18"/>
        <v>701.57599199999993</v>
      </c>
      <c r="I226" s="40">
        <f t="shared" si="19"/>
        <v>3648195.1583999996</v>
      </c>
    </row>
    <row r="227" spans="1:14" ht="15.75" x14ac:dyDescent="0.25">
      <c r="A227" s="83" t="s">
        <v>358</v>
      </c>
      <c r="B227" s="83" t="s">
        <v>342</v>
      </c>
      <c r="C227" s="83">
        <f>(3.45*3.05+2.4*3.11+2.82*4.1+1.05*1.95+1.05*1.95+1*2.5)*10.764</f>
        <v>389.04863399999994</v>
      </c>
      <c r="D227" s="84">
        <f t="shared" si="17"/>
        <v>466.8583607999999</v>
      </c>
      <c r="E227" s="83">
        <v>0</v>
      </c>
      <c r="F227" s="83">
        <f t="shared" si="18"/>
        <v>583.57295099999988</v>
      </c>
      <c r="I227" s="40">
        <f t="shared" si="19"/>
        <v>3034579.3451999994</v>
      </c>
      <c r="K227" s="40"/>
    </row>
    <row r="228" spans="1:14" ht="15.75" x14ac:dyDescent="0.25">
      <c r="A228" s="83" t="s">
        <v>359</v>
      </c>
      <c r="B228" s="83" t="s">
        <v>341</v>
      </c>
      <c r="C228" s="83">
        <f>(3.57*3.81+2.1*2.29+2.74*3.88+2.25*3.51+1.07*2.14+1.07*2.29+1*4.1+1.07*1.5)*10.764</f>
        <v>510.0467579999999</v>
      </c>
      <c r="D228" s="84">
        <f t="shared" si="17"/>
        <v>612.0561095999999</v>
      </c>
      <c r="E228" s="83">
        <v>0</v>
      </c>
      <c r="F228" s="83">
        <f t="shared" si="18"/>
        <v>765.07013699999982</v>
      </c>
      <c r="I228" s="40">
        <f t="shared" si="19"/>
        <v>3978364.7123999991</v>
      </c>
      <c r="K228" s="96"/>
    </row>
    <row r="229" spans="1:14" ht="15.75" x14ac:dyDescent="0.25">
      <c r="A229" s="83" t="s">
        <v>362</v>
      </c>
      <c r="B229" s="83" t="s">
        <v>342</v>
      </c>
      <c r="C229" s="83">
        <f>(2.7*4.2+1.95*4.2+2.44*3.13+1.05*2.1+1.4*1)*10.764</f>
        <v>331.23196079999997</v>
      </c>
      <c r="D229" s="84">
        <f t="shared" si="17"/>
        <v>397.47835295999994</v>
      </c>
      <c r="E229" s="83">
        <v>0</v>
      </c>
      <c r="F229" s="83">
        <f t="shared" si="18"/>
        <v>496.84794119999992</v>
      </c>
      <c r="I229" s="40">
        <f t="shared" si="19"/>
        <v>2583609.2942399997</v>
      </c>
    </row>
    <row r="230" spans="1:14" s="96" customFormat="1" ht="15.75" customHeight="1" x14ac:dyDescent="0.25">
      <c r="A230" s="155" t="s">
        <v>355</v>
      </c>
      <c r="B230" s="155"/>
      <c r="C230" s="155"/>
      <c r="D230" s="155"/>
      <c r="E230" s="155"/>
      <c r="F230" s="155"/>
      <c r="G230" s="43"/>
      <c r="H230" s="43"/>
      <c r="K230"/>
    </row>
    <row r="231" spans="1:14" s="96" customFormat="1" ht="15.75" x14ac:dyDescent="0.25">
      <c r="A231" s="83" t="s">
        <v>370</v>
      </c>
      <c r="B231" s="83" t="s">
        <v>341</v>
      </c>
      <c r="C231" s="83">
        <f>(3*3.15+2.49*2.08+3*3.15+3*3.15+1.2*1.8+2.49*1.2+1.27*1.65+1.1*3.2+1*2.6)*10.764</f>
        <v>504.7530228</v>
      </c>
      <c r="D231" s="84">
        <f>C231*1.2</f>
        <v>605.70362735999993</v>
      </c>
      <c r="E231" s="83">
        <v>0</v>
      </c>
      <c r="F231" s="83">
        <f>C231*(($F$207)+1)+(IF(E231&lt;101,E231,IF(E231&lt;201,E231/2,IF(E231&lt;=301,E231/3,E231/4))))</f>
        <v>757.12953419999997</v>
      </c>
      <c r="G231" s="88"/>
      <c r="H231" s="88">
        <f>3055275/F233</f>
        <v>4354.8739335994842</v>
      </c>
      <c r="I231" s="40">
        <f>5200*F231</f>
        <v>3937073.5778399999</v>
      </c>
      <c r="J231" s="44"/>
      <c r="K231"/>
      <c r="L231" s="163"/>
      <c r="M231" s="163"/>
      <c r="N231" s="40"/>
    </row>
    <row r="232" spans="1:14" ht="15.75" x14ac:dyDescent="0.25">
      <c r="A232" s="83" t="s">
        <v>368</v>
      </c>
      <c r="B232" s="83" t="s">
        <v>341</v>
      </c>
      <c r="C232" s="83">
        <f>(5.44*3+3.7*1.8+2.7*2.7+2.6*2.4+1.8*0.9+1.8*0.9+1.2*4.2+1.1*1.1)*10.764</f>
        <v>495.14399999999995</v>
      </c>
      <c r="D232" s="84">
        <f t="shared" ref="D232:D236" si="20">C232*1.2</f>
        <v>594.17279999999994</v>
      </c>
      <c r="E232" s="83">
        <v>0</v>
      </c>
      <c r="F232" s="83">
        <f t="shared" ref="F232:F236" si="21">C232*(($F$207)+1)+(IF(E232&lt;101,E232,IF(E232&lt;201,E232/2,IF(E232&lt;=301,E232/3,E232/4))))</f>
        <v>742.71599999999989</v>
      </c>
      <c r="I232" s="40">
        <f t="shared" ref="I232:I236" si="22">5200*F232</f>
        <v>3862123.1999999993</v>
      </c>
    </row>
    <row r="233" spans="1:14" ht="15.75" x14ac:dyDescent="0.25">
      <c r="A233" s="83" t="s">
        <v>369</v>
      </c>
      <c r="B233" s="83" t="s">
        <v>341</v>
      </c>
      <c r="C233" s="83">
        <f>(2.4*3.46+2.32*1.65+1.2*0.4+3.75*2.7+3.75*2.7+2.1*1.05+1.05*2.1+1.3*2.6+1.4*2)*10.764</f>
        <v>467.71732799999995</v>
      </c>
      <c r="D233" s="84">
        <f t="shared" si="20"/>
        <v>561.26079359999994</v>
      </c>
      <c r="E233" s="83">
        <v>0</v>
      </c>
      <c r="F233" s="83">
        <f t="shared" si="21"/>
        <v>701.57599199999993</v>
      </c>
      <c r="I233" s="40">
        <f t="shared" si="22"/>
        <v>3648195.1583999996</v>
      </c>
    </row>
    <row r="234" spans="1:14" ht="15.75" x14ac:dyDescent="0.25">
      <c r="A234" s="83" t="s">
        <v>358</v>
      </c>
      <c r="B234" s="83" t="s">
        <v>342</v>
      </c>
      <c r="C234" s="83">
        <f>(3.45*3.05+2.4*3.11+2.82*4.1+1.05*1.95+1.05*1.95+1*2.5)*10.764</f>
        <v>389.04863399999994</v>
      </c>
      <c r="D234" s="84">
        <f t="shared" si="20"/>
        <v>466.8583607999999</v>
      </c>
      <c r="E234" s="83">
        <v>0</v>
      </c>
      <c r="F234" s="83">
        <f t="shared" si="21"/>
        <v>583.57295099999988</v>
      </c>
      <c r="I234" s="40">
        <f t="shared" si="22"/>
        <v>3034579.3451999994</v>
      </c>
      <c r="K234" s="40"/>
    </row>
    <row r="235" spans="1:14" ht="15.75" x14ac:dyDescent="0.25">
      <c r="A235" s="83" t="s">
        <v>372</v>
      </c>
      <c r="B235" s="83" t="s">
        <v>341</v>
      </c>
      <c r="C235" s="83">
        <f>(3.57*3.81+2.1*2.29+2.74*3.88+2.25*3.51+1.07*2.14+1.07*2.29+1*4.1+1.07*1.5)*10.764</f>
        <v>510.0467579999999</v>
      </c>
      <c r="D235" s="84">
        <f t="shared" si="20"/>
        <v>612.0561095999999</v>
      </c>
      <c r="E235" s="83">
        <v>0</v>
      </c>
      <c r="F235" s="83">
        <f t="shared" si="21"/>
        <v>765.07013699999982</v>
      </c>
      <c r="I235" s="40">
        <f t="shared" si="22"/>
        <v>3978364.7123999991</v>
      </c>
      <c r="K235" s="96"/>
    </row>
    <row r="236" spans="1:14" ht="15.75" x14ac:dyDescent="0.25">
      <c r="A236" s="83" t="s">
        <v>373</v>
      </c>
      <c r="B236" s="83" t="s">
        <v>342</v>
      </c>
      <c r="C236" s="83">
        <f>(2.7*4.2+1.95*4.2+2.44*3.13+1.05*2.1+1.4*1)*10.764</f>
        <v>331.23196079999997</v>
      </c>
      <c r="D236" s="84">
        <f t="shared" si="20"/>
        <v>397.47835295999994</v>
      </c>
      <c r="E236" s="83">
        <v>0</v>
      </c>
      <c r="F236" s="83">
        <f t="shared" si="21"/>
        <v>496.84794119999992</v>
      </c>
      <c r="I236" s="40">
        <f t="shared" si="22"/>
        <v>2583609.2942399997</v>
      </c>
    </row>
    <row r="237" spans="1:14" s="96" customFormat="1" ht="15.75" customHeight="1" x14ac:dyDescent="0.25">
      <c r="A237" s="155" t="s">
        <v>356</v>
      </c>
      <c r="B237" s="155"/>
      <c r="C237" s="155"/>
      <c r="D237" s="155"/>
      <c r="E237" s="155"/>
      <c r="F237" s="155"/>
      <c r="G237" s="43"/>
      <c r="H237" s="43"/>
      <c r="K237"/>
    </row>
    <row r="238" spans="1:14" s="96" customFormat="1" ht="15.75" x14ac:dyDescent="0.25">
      <c r="A238" s="83" t="s">
        <v>370</v>
      </c>
      <c r="B238" s="83" t="s">
        <v>341</v>
      </c>
      <c r="C238" s="83">
        <f>(3*3.15+2.49*2.08+3*3.15+3*3.15+1.2*1.8+2.49*1.2+1.27*1.65+1.1*3.2+1*2.6)*10.764</f>
        <v>504.7530228</v>
      </c>
      <c r="D238" s="84">
        <f>C238*1.2</f>
        <v>605.70362735999993</v>
      </c>
      <c r="E238" s="83">
        <v>0</v>
      </c>
      <c r="F238" s="83">
        <f>C238*(($F$207)+1)+(IF(E238&lt;101,E238,IF(E238&lt;201,E238/2,IF(E238&lt;=301,E238/3,E238/4))))</f>
        <v>757.12953419999997</v>
      </c>
      <c r="G238" s="88"/>
      <c r="H238" s="88">
        <f>3055275/F240</f>
        <v>4354.8739335994842</v>
      </c>
      <c r="I238" s="40">
        <f>5200*F238</f>
        <v>3937073.5778399999</v>
      </c>
      <c r="J238" s="44"/>
      <c r="K238"/>
      <c r="L238" s="163"/>
      <c r="M238" s="163"/>
      <c r="N238" s="40"/>
    </row>
    <row r="239" spans="1:14" ht="15.75" x14ac:dyDescent="0.25">
      <c r="A239" s="83" t="s">
        <v>360</v>
      </c>
      <c r="B239" s="83" t="s">
        <v>341</v>
      </c>
      <c r="C239" s="83">
        <f>(5.44*3+3.7*1.8+2.7*2.7+2.6*2.4+1.8*0.9+1.8*0.9+1.2*4.2+1.1*1.1)*10.764</f>
        <v>495.14399999999995</v>
      </c>
      <c r="D239" s="84">
        <f t="shared" ref="D239:D243" si="23">C239*1.2</f>
        <v>594.17279999999994</v>
      </c>
      <c r="E239" s="83">
        <v>0</v>
      </c>
      <c r="F239" s="83">
        <f t="shared" ref="F239:F243" si="24">C239*(($F$207)+1)+(IF(E239&lt;101,E239,IF(E239&lt;201,E239/2,IF(E239&lt;=301,E239/3,E239/4))))</f>
        <v>742.71599999999989</v>
      </c>
      <c r="I239" s="40">
        <f t="shared" ref="I239:I243" si="25">5200*F239</f>
        <v>3862123.1999999993</v>
      </c>
    </row>
    <row r="240" spans="1:14" ht="15.75" x14ac:dyDescent="0.25">
      <c r="A240" s="83" t="s">
        <v>369</v>
      </c>
      <c r="B240" s="83" t="s">
        <v>341</v>
      </c>
      <c r="C240" s="83">
        <f>(2.4*3.46+2.32*1.65+1.2*0.4+3.75*2.7+3.75*2.7+2.1*1.05+1.05*2.1+1.3*2.6+1.4*2)*10.764</f>
        <v>467.71732799999995</v>
      </c>
      <c r="D240" s="84">
        <f t="shared" si="23"/>
        <v>561.26079359999994</v>
      </c>
      <c r="E240" s="83">
        <v>0</v>
      </c>
      <c r="F240" s="83">
        <f t="shared" si="24"/>
        <v>701.57599199999993</v>
      </c>
      <c r="I240" s="40">
        <f t="shared" si="25"/>
        <v>3648195.1583999996</v>
      </c>
    </row>
    <row r="241" spans="1:14" ht="15.75" x14ac:dyDescent="0.25">
      <c r="A241" s="83" t="s">
        <v>358</v>
      </c>
      <c r="B241" s="83" t="s">
        <v>342</v>
      </c>
      <c r="C241" s="83">
        <f>(3.45*3.05+2.4*3.11+2.82*4.1+1.05*1.95+1.05*1.95+1*2.5)*10.764</f>
        <v>389.04863399999994</v>
      </c>
      <c r="D241" s="84">
        <f t="shared" si="23"/>
        <v>466.8583607999999</v>
      </c>
      <c r="E241" s="83">
        <v>0</v>
      </c>
      <c r="F241" s="83">
        <f t="shared" si="24"/>
        <v>583.57295099999988</v>
      </c>
      <c r="I241" s="40">
        <f t="shared" si="25"/>
        <v>3034579.3451999994</v>
      </c>
      <c r="K241" s="40"/>
    </row>
    <row r="242" spans="1:14" ht="15.75" x14ac:dyDescent="0.25">
      <c r="A242" s="83" t="s">
        <v>359</v>
      </c>
      <c r="B242" s="83" t="s">
        <v>341</v>
      </c>
      <c r="C242" s="83">
        <f>(3.57*3.81+2.1*2.29+2.74*3.88+2.25*3.51+1.07*2.14+1.07*2.29+1*4.1+1.07*1.5)*10.764</f>
        <v>510.0467579999999</v>
      </c>
      <c r="D242" s="84">
        <f t="shared" si="23"/>
        <v>612.0561095999999</v>
      </c>
      <c r="E242" s="83">
        <v>0</v>
      </c>
      <c r="F242" s="83">
        <f t="shared" si="24"/>
        <v>765.07013699999982</v>
      </c>
      <c r="I242" s="40">
        <f t="shared" si="25"/>
        <v>3978364.7123999991</v>
      </c>
      <c r="K242" s="96"/>
    </row>
    <row r="243" spans="1:14" ht="15.75" x14ac:dyDescent="0.25">
      <c r="A243" s="83" t="s">
        <v>373</v>
      </c>
      <c r="B243" s="83" t="s">
        <v>342</v>
      </c>
      <c r="C243" s="83">
        <f>(2.7*4.2+1.95*4.2+2.44*3.13+1.05*2.1+1.4*1)*10.764</f>
        <v>331.23196079999997</v>
      </c>
      <c r="D243" s="84">
        <f t="shared" si="23"/>
        <v>397.47835295999994</v>
      </c>
      <c r="E243" s="83">
        <v>0</v>
      </c>
      <c r="F243" s="83">
        <f t="shared" si="24"/>
        <v>496.84794119999992</v>
      </c>
      <c r="I243" s="40">
        <f t="shared" si="25"/>
        <v>2583609.2942399997</v>
      </c>
    </row>
    <row r="244" spans="1:14" s="37" customFormat="1" ht="15.75" x14ac:dyDescent="0.25">
      <c r="A244" s="154" t="s">
        <v>350</v>
      </c>
      <c r="B244" s="154"/>
      <c r="C244" s="154"/>
      <c r="D244" s="154"/>
      <c r="E244" s="154"/>
      <c r="F244" s="154"/>
      <c r="G244" s="186"/>
      <c r="H244" s="186"/>
      <c r="I244" s="186"/>
      <c r="J244" s="186"/>
      <c r="K244" s="186"/>
    </row>
    <row r="245" spans="1:14" s="39" customFormat="1" ht="15.75" customHeight="1" x14ac:dyDescent="0.25">
      <c r="A245" s="155" t="s">
        <v>351</v>
      </c>
      <c r="B245" s="155"/>
      <c r="C245" s="155"/>
      <c r="D245" s="155"/>
      <c r="E245" s="155"/>
      <c r="F245" s="155"/>
      <c r="G245" s="43"/>
      <c r="H245" s="43"/>
      <c r="K245"/>
    </row>
    <row r="246" spans="1:14" s="39" customFormat="1" ht="15.75" customHeight="1" x14ac:dyDescent="0.25">
      <c r="A246" s="155" t="s">
        <v>357</v>
      </c>
      <c r="B246" s="155"/>
      <c r="C246" s="155"/>
      <c r="D246" s="155"/>
      <c r="E246" s="155"/>
      <c r="F246" s="155"/>
      <c r="G246" s="43"/>
      <c r="H246" s="43"/>
      <c r="K246"/>
    </row>
    <row r="247" spans="1:14" s="39" customFormat="1" ht="15.75" x14ac:dyDescent="0.25">
      <c r="A247" s="83" t="s">
        <v>370</v>
      </c>
      <c r="B247" s="83" t="s">
        <v>342</v>
      </c>
      <c r="C247" s="83">
        <f>(2.7*4.55+2.4*3.1+2.7*3.45+1.05*1.2+1.2*1.95+2.4*1+2.7)*10.764</f>
        <v>406.23336</v>
      </c>
      <c r="D247" s="84">
        <f>C247*1.2</f>
        <v>487.48003199999999</v>
      </c>
      <c r="E247" s="83">
        <v>0</v>
      </c>
      <c r="F247" s="83">
        <f>C247*(($F$207)+1)+(IF(E247&lt;101,E247,IF(E247&lt;201,E247/2,IF(E247&lt;=301,E247/3,E247/4))))</f>
        <v>609.35004000000004</v>
      </c>
      <c r="G247" s="166"/>
      <c r="H247" s="166"/>
      <c r="I247" s="40">
        <f>2780556/F247</f>
        <v>4563.1505989562256</v>
      </c>
      <c r="J247" s="44">
        <f>5200*F247</f>
        <v>3168620.2080000001</v>
      </c>
      <c r="K247"/>
      <c r="L247" s="163"/>
      <c r="M247" s="163"/>
      <c r="N247" s="40"/>
    </row>
    <row r="248" spans="1:14" ht="15.75" x14ac:dyDescent="0.25">
      <c r="A248" s="83" t="s">
        <v>360</v>
      </c>
      <c r="B248" s="83" t="s">
        <v>344</v>
      </c>
      <c r="C248" s="83">
        <f>(3.8*2.7+2.7*2.1+2.1*1.05+6.1*1)*10.764</f>
        <v>260.86553999999995</v>
      </c>
      <c r="D248" s="84">
        <f t="shared" ref="D248:D249" si="26">C248*1.2</f>
        <v>313.03864799999991</v>
      </c>
      <c r="E248" s="83">
        <v>0</v>
      </c>
      <c r="F248" s="83">
        <f t="shared" ref="F248:F249" si="27">C248*(($F$207)+1)+(IF(E248&lt;101,E248,IF(E248&lt;201,E248/2,IF(E248&lt;=301,E248/3,E248/4))))</f>
        <v>391.2983099999999</v>
      </c>
      <c r="J248" s="44">
        <f t="shared" ref="J248:J249" si="28">5200*F248</f>
        <v>2034751.2119999996</v>
      </c>
    </row>
    <row r="249" spans="1:14" ht="15.75" x14ac:dyDescent="0.25">
      <c r="A249" s="83" t="s">
        <v>361</v>
      </c>
      <c r="B249" s="83" t="s">
        <v>342</v>
      </c>
      <c r="C249" s="83">
        <f>(4.5*2.55+4*2.25+3*2.7+1.05*2.1+1.05*1.2+3.8*1)*10.764</f>
        <v>385.78175999999996</v>
      </c>
      <c r="D249" s="84">
        <f t="shared" si="26"/>
        <v>462.93811199999993</v>
      </c>
      <c r="E249" s="83">
        <v>0</v>
      </c>
      <c r="F249" s="83">
        <f t="shared" si="27"/>
        <v>578.67264</v>
      </c>
      <c r="J249" s="44">
        <f t="shared" si="28"/>
        <v>3009097.7280000001</v>
      </c>
    </row>
    <row r="250" spans="1:14" s="96" customFormat="1" ht="15.75" customHeight="1" x14ac:dyDescent="0.25">
      <c r="A250" s="155" t="s">
        <v>364</v>
      </c>
      <c r="B250" s="155"/>
      <c r="C250" s="155"/>
      <c r="D250" s="155"/>
      <c r="E250" s="155"/>
      <c r="F250" s="155"/>
      <c r="G250" s="43"/>
      <c r="H250" s="43"/>
      <c r="K250"/>
    </row>
    <row r="251" spans="1:14" s="96" customFormat="1" ht="15.75" x14ac:dyDescent="0.25">
      <c r="A251" s="83" t="s">
        <v>363</v>
      </c>
      <c r="B251" s="83" t="s">
        <v>342</v>
      </c>
      <c r="C251" s="83">
        <f>(2.7*4.55+2.4*3.1+2.7*3.45+1.05*1.2+1.2*1.95+2.4*1+2.7)*10.764</f>
        <v>406.23336</v>
      </c>
      <c r="D251" s="84">
        <f>C251*1.2</f>
        <v>487.48003199999999</v>
      </c>
      <c r="E251" s="83">
        <v>0</v>
      </c>
      <c r="F251" s="83">
        <f>C251*(($F$207)+1)+(IF(E251&lt;101,E251,IF(E251&lt;201,E251/2,IF(E251&lt;=301,E251/3,E251/4))))</f>
        <v>609.35004000000004</v>
      </c>
      <c r="G251" s="166"/>
      <c r="H251" s="166"/>
      <c r="I251" s="40">
        <f>2780556/F251</f>
        <v>4563.1505989562256</v>
      </c>
      <c r="J251" s="44">
        <f>5200*F251</f>
        <v>3168620.2080000001</v>
      </c>
      <c r="K251"/>
      <c r="L251" s="163"/>
      <c r="M251" s="163"/>
      <c r="N251" s="40"/>
    </row>
    <row r="252" spans="1:14" ht="15.75" x14ac:dyDescent="0.25">
      <c r="A252" s="83" t="s">
        <v>368</v>
      </c>
      <c r="B252" s="83" t="s">
        <v>344</v>
      </c>
      <c r="C252" s="83">
        <f>(3.8*2.7+2.7*2.1+2.1*1.05+6.1*1)*10.764</f>
        <v>260.86553999999995</v>
      </c>
      <c r="D252" s="84">
        <f t="shared" ref="D252:D253" si="29">C252*1.2</f>
        <v>313.03864799999991</v>
      </c>
      <c r="E252" s="83">
        <v>0</v>
      </c>
      <c r="F252" s="83">
        <f t="shared" ref="F252:F253" si="30">C252*(($F$207)+1)+(IF(E252&lt;101,E252,IF(E252&lt;201,E252/2,IF(E252&lt;=301,E252/3,E252/4))))</f>
        <v>391.2983099999999</v>
      </c>
      <c r="J252" s="44">
        <f t="shared" ref="J252:J253" si="31">5200*F252</f>
        <v>2034751.2119999996</v>
      </c>
    </row>
    <row r="253" spans="1:14" ht="15.75" x14ac:dyDescent="0.25">
      <c r="A253" s="83" t="s">
        <v>369</v>
      </c>
      <c r="B253" s="83" t="s">
        <v>342</v>
      </c>
      <c r="C253" s="83">
        <f>(4.5*2.55+4*2.25+3*2.7+1.05*2.1+1.05*1.2+3.8*1)*10.764</f>
        <v>385.78175999999996</v>
      </c>
      <c r="D253" s="84">
        <f t="shared" si="29"/>
        <v>462.93811199999993</v>
      </c>
      <c r="E253" s="83">
        <v>0</v>
      </c>
      <c r="F253" s="83">
        <f t="shared" si="30"/>
        <v>578.67264</v>
      </c>
      <c r="J253" s="44">
        <f t="shared" si="31"/>
        <v>3009097.7280000001</v>
      </c>
    </row>
    <row r="254" spans="1:14" s="96" customFormat="1" ht="15.75" customHeight="1" x14ac:dyDescent="0.25">
      <c r="A254" s="155" t="s">
        <v>365</v>
      </c>
      <c r="B254" s="155"/>
      <c r="C254" s="155"/>
      <c r="D254" s="155"/>
      <c r="E254" s="155"/>
      <c r="F254" s="155"/>
      <c r="G254" s="43"/>
      <c r="H254" s="43"/>
      <c r="K254"/>
    </row>
    <row r="255" spans="1:14" s="96" customFormat="1" ht="15.75" x14ac:dyDescent="0.25">
      <c r="A255" s="83" t="s">
        <v>363</v>
      </c>
      <c r="B255" s="83" t="s">
        <v>342</v>
      </c>
      <c r="C255" s="83">
        <f>(2.7*4.55+2.4*3.1+2.7*3.45+1.05*1.2+1.2*1.95+2.4*1+2.7)*10.764</f>
        <v>406.23336</v>
      </c>
      <c r="D255" s="84">
        <f>C255*1.2</f>
        <v>487.48003199999999</v>
      </c>
      <c r="E255" s="83">
        <v>0</v>
      </c>
      <c r="F255" s="83">
        <f>C255*(($F$207)+1)+(IF(E255&lt;101,E255,IF(E255&lt;201,E255/2,IF(E255&lt;=301,E255/3,E255/4))))</f>
        <v>609.35004000000004</v>
      </c>
      <c r="G255" s="166"/>
      <c r="H255" s="166"/>
      <c r="I255" s="40">
        <f>2780556/F255</f>
        <v>4563.1505989562256</v>
      </c>
      <c r="J255" s="44">
        <f>5200*F255</f>
        <v>3168620.2080000001</v>
      </c>
      <c r="K255"/>
      <c r="L255" s="163"/>
      <c r="M255" s="163"/>
      <c r="N255" s="40"/>
    </row>
    <row r="256" spans="1:14" ht="15.75" x14ac:dyDescent="0.25">
      <c r="A256" s="83" t="s">
        <v>360</v>
      </c>
      <c r="B256" s="83" t="s">
        <v>344</v>
      </c>
      <c r="C256" s="83">
        <f>(3.8*2.7+2.7*2.1+2.1*1.05+6.1*1)*10.764</f>
        <v>260.86553999999995</v>
      </c>
      <c r="D256" s="84">
        <f t="shared" ref="D256:D257" si="32">C256*1.2</f>
        <v>313.03864799999991</v>
      </c>
      <c r="E256" s="83">
        <v>0</v>
      </c>
      <c r="F256" s="83">
        <f t="shared" ref="F256:F257" si="33">C256*(($F$207)+1)+(IF(E256&lt;101,E256,IF(E256&lt;201,E256/2,IF(E256&lt;=301,E256/3,E256/4))))</f>
        <v>391.2983099999999</v>
      </c>
      <c r="J256" s="44">
        <f t="shared" ref="J256:J257" si="34">5200*F256</f>
        <v>2034751.2119999996</v>
      </c>
    </row>
    <row r="257" spans="1:14" ht="15.75" x14ac:dyDescent="0.25">
      <c r="A257" s="83" t="s">
        <v>369</v>
      </c>
      <c r="B257" s="83" t="s">
        <v>342</v>
      </c>
      <c r="C257" s="83">
        <f>(4.5*2.55+4*2.25+3*2.7+1.05*2.1+1.05*1.2+3.8*1)*10.764</f>
        <v>385.78175999999996</v>
      </c>
      <c r="D257" s="84">
        <f t="shared" si="32"/>
        <v>462.93811199999993</v>
      </c>
      <c r="E257" s="83">
        <v>0</v>
      </c>
      <c r="F257" s="83">
        <f t="shared" si="33"/>
        <v>578.67264</v>
      </c>
      <c r="J257" s="44">
        <f t="shared" si="34"/>
        <v>3009097.7280000001</v>
      </c>
    </row>
    <row r="258" spans="1:14" s="96" customFormat="1" ht="15.75" customHeight="1" x14ac:dyDescent="0.25">
      <c r="A258" s="155" t="s">
        <v>366</v>
      </c>
      <c r="B258" s="155"/>
      <c r="C258" s="155"/>
      <c r="D258" s="155"/>
      <c r="E258" s="155"/>
      <c r="F258" s="155"/>
      <c r="G258" s="187" t="s">
        <v>374</v>
      </c>
      <c r="H258" s="188"/>
      <c r="K258"/>
    </row>
    <row r="259" spans="1:14" s="96" customFormat="1" ht="15.75" x14ac:dyDescent="0.25">
      <c r="A259" s="83" t="s">
        <v>363</v>
      </c>
      <c r="B259" s="83" t="s">
        <v>342</v>
      </c>
      <c r="C259" s="83">
        <f>(2.7*4.55+2.4*3.1+2.7*3.45+1.05*1.2+1.2*1.95+2.4*1+2.7)*10.764</f>
        <v>406.23336</v>
      </c>
      <c r="D259" s="84">
        <f>C259*1.2</f>
        <v>487.48003199999999</v>
      </c>
      <c r="E259" s="83">
        <v>0</v>
      </c>
      <c r="F259" s="83">
        <f>C259*(($F$207)+1)+(IF(E259&lt;101,E259,IF(E259&lt;201,E259/2,IF(E259&lt;=301,E259/3,E259/4))))</f>
        <v>609.35004000000004</v>
      </c>
      <c r="G259" s="166"/>
      <c r="H259" s="166"/>
      <c r="I259" s="40">
        <f>2780556/F259</f>
        <v>4563.1505989562256</v>
      </c>
      <c r="J259" s="44">
        <f>5200*F259</f>
        <v>3168620.2080000001</v>
      </c>
      <c r="K259"/>
      <c r="L259" s="163"/>
      <c r="M259" s="163"/>
      <c r="N259" s="40"/>
    </row>
    <row r="260" spans="1:14" ht="15.75" x14ac:dyDescent="0.25">
      <c r="A260" s="83" t="s">
        <v>360</v>
      </c>
      <c r="B260" s="83" t="s">
        <v>344</v>
      </c>
      <c r="C260" s="83">
        <f>(3.8*2.7+2.7*2.1+2.1*1.05+6.1*1)*10.764</f>
        <v>260.86553999999995</v>
      </c>
      <c r="D260" s="84">
        <f t="shared" ref="D260:D261" si="35">C260*1.2</f>
        <v>313.03864799999991</v>
      </c>
      <c r="E260" s="83">
        <v>0</v>
      </c>
      <c r="F260" s="83">
        <f t="shared" ref="F260:F261" si="36">C260*(($F$207)+1)+(IF(E260&lt;101,E260,IF(E260&lt;201,E260/2,IF(E260&lt;=301,E260/3,E260/4))))</f>
        <v>391.2983099999999</v>
      </c>
      <c r="J260" s="44">
        <f t="shared" ref="J260:J261" si="37">5200*F260</f>
        <v>2034751.2119999996</v>
      </c>
    </row>
    <row r="261" spans="1:14" ht="15.75" x14ac:dyDescent="0.25">
      <c r="A261" s="83" t="s">
        <v>361</v>
      </c>
      <c r="B261" s="83" t="s">
        <v>342</v>
      </c>
      <c r="C261" s="83">
        <f>(4.5*2.55+4*2.25+3*2.7+1.05*2.1+1.05*1.2+3.8*1)*10.764</f>
        <v>385.78175999999996</v>
      </c>
      <c r="D261" s="84">
        <f t="shared" si="35"/>
        <v>462.93811199999993</v>
      </c>
      <c r="E261" s="83">
        <v>0</v>
      </c>
      <c r="F261" s="83">
        <f t="shared" si="36"/>
        <v>578.67264</v>
      </c>
      <c r="J261" s="44">
        <f t="shared" si="37"/>
        <v>3009097.7280000001</v>
      </c>
    </row>
    <row r="262" spans="1:14" x14ac:dyDescent="0.25">
      <c r="A262" s="165" t="s">
        <v>59</v>
      </c>
      <c r="B262" s="165"/>
      <c r="C262" s="165"/>
      <c r="D262" s="165"/>
      <c r="E262" s="165"/>
      <c r="F262" s="165"/>
      <c r="K262" s="1"/>
    </row>
    <row r="263" spans="1:14" s="1" customFormat="1" ht="32.25" customHeight="1" x14ac:dyDescent="0.2">
      <c r="A263" s="92" t="s">
        <v>213</v>
      </c>
      <c r="B263" s="156" t="s">
        <v>275</v>
      </c>
      <c r="C263" s="156"/>
      <c r="D263" s="92" t="s">
        <v>214</v>
      </c>
      <c r="E263" s="156" t="s">
        <v>276</v>
      </c>
      <c r="F263" s="156"/>
      <c r="G263" s="53"/>
      <c r="H263" s="109"/>
      <c r="I263" s="109"/>
      <c r="J263" s="53"/>
      <c r="L263" s="55"/>
    </row>
    <row r="264" spans="1:14" s="1" customFormat="1" ht="12.75" x14ac:dyDescent="0.2">
      <c r="A264" s="92">
        <v>1</v>
      </c>
      <c r="B264" s="107" t="s">
        <v>353</v>
      </c>
      <c r="C264" s="107"/>
      <c r="D264" s="91">
        <v>5000</v>
      </c>
      <c r="E264" s="107" t="s">
        <v>277</v>
      </c>
      <c r="F264" s="107"/>
    </row>
    <row r="265" spans="1:14" s="1" customFormat="1" ht="12.75" hidden="1" x14ac:dyDescent="0.2">
      <c r="A265" s="92">
        <v>2</v>
      </c>
      <c r="B265" s="107"/>
      <c r="C265" s="107"/>
      <c r="D265" s="91"/>
      <c r="E265" s="107" t="s">
        <v>277</v>
      </c>
      <c r="F265" s="107"/>
      <c r="K265" s="54"/>
    </row>
    <row r="266" spans="1:14" s="1" customFormat="1" ht="12.75" hidden="1" x14ac:dyDescent="0.2">
      <c r="A266" s="92">
        <v>3</v>
      </c>
      <c r="B266" s="107"/>
      <c r="C266" s="107"/>
      <c r="D266" s="91"/>
      <c r="E266" s="107" t="s">
        <v>277</v>
      </c>
      <c r="F266" s="107"/>
    </row>
    <row r="267" spans="1:14" s="1" customFormat="1" ht="12.75" hidden="1" x14ac:dyDescent="0.2">
      <c r="A267" s="92">
        <v>4</v>
      </c>
      <c r="B267" s="107"/>
      <c r="C267" s="107"/>
      <c r="D267" s="91"/>
      <c r="E267" s="107" t="s">
        <v>277</v>
      </c>
      <c r="F267" s="107"/>
    </row>
    <row r="268" spans="1:14" s="1" customFormat="1" ht="12.75" hidden="1" x14ac:dyDescent="0.2">
      <c r="A268" s="92">
        <v>5</v>
      </c>
      <c r="B268" s="107"/>
      <c r="C268" s="107"/>
      <c r="D268" s="91"/>
      <c r="E268" s="107" t="s">
        <v>277</v>
      </c>
      <c r="F268" s="107"/>
    </row>
    <row r="269" spans="1:14" s="1" customFormat="1" ht="12.75" hidden="1" x14ac:dyDescent="0.2">
      <c r="A269" s="92">
        <v>6</v>
      </c>
      <c r="B269" s="107"/>
      <c r="C269" s="107"/>
      <c r="D269" s="91"/>
      <c r="E269" s="107" t="s">
        <v>277</v>
      </c>
      <c r="F269" s="107"/>
      <c r="K269" s="55"/>
    </row>
    <row r="270" spans="1:14" s="1" customFormat="1" ht="61.5" customHeight="1" x14ac:dyDescent="0.2">
      <c r="A270" s="92" t="s">
        <v>215</v>
      </c>
      <c r="B270" s="92" t="s">
        <v>216</v>
      </c>
      <c r="C270" s="92" t="s">
        <v>217</v>
      </c>
      <c r="D270" s="92" t="s">
        <v>218</v>
      </c>
      <c r="E270" s="92" t="s">
        <v>219</v>
      </c>
      <c r="F270" s="92" t="s">
        <v>220</v>
      </c>
      <c r="G270" s="56"/>
      <c r="H270" s="56"/>
      <c r="I270" s="56"/>
      <c r="J270" s="56"/>
      <c r="L270" s="56"/>
    </row>
    <row r="271" spans="1:14" s="1" customFormat="1" ht="12.75" x14ac:dyDescent="0.2">
      <c r="A271" s="92" t="s">
        <v>221</v>
      </c>
      <c r="B271" s="91" t="s">
        <v>251</v>
      </c>
      <c r="C271" s="91" t="s">
        <v>251</v>
      </c>
      <c r="D271" s="91"/>
      <c r="E271" s="91"/>
      <c r="F271" s="91"/>
    </row>
    <row r="272" spans="1:14" s="1" customFormat="1" ht="12.75" hidden="1" x14ac:dyDescent="0.2">
      <c r="A272" s="92" t="s">
        <v>222</v>
      </c>
      <c r="B272" s="91"/>
      <c r="C272" s="91"/>
      <c r="D272" s="91"/>
      <c r="E272" s="91"/>
      <c r="F272" s="91"/>
    </row>
    <row r="273" spans="1:12" s="1" customFormat="1" ht="12.75" hidden="1" x14ac:dyDescent="0.2">
      <c r="A273" s="92" t="s">
        <v>223</v>
      </c>
      <c r="B273" s="91"/>
      <c r="C273" s="91"/>
      <c r="D273" s="91"/>
      <c r="E273" s="91"/>
      <c r="F273" s="91"/>
    </row>
    <row r="274" spans="1:12" s="1" customFormat="1" ht="12.75" hidden="1" x14ac:dyDescent="0.2">
      <c r="A274" s="92" t="s">
        <v>224</v>
      </c>
      <c r="B274" s="91"/>
      <c r="C274" s="91"/>
      <c r="D274" s="91"/>
      <c r="E274" s="91"/>
      <c r="F274" s="91"/>
    </row>
    <row r="275" spans="1:12" s="1" customFormat="1" ht="60.75" customHeight="1" x14ac:dyDescent="0.2">
      <c r="A275" s="92" t="s">
        <v>225</v>
      </c>
      <c r="B275" s="92" t="s">
        <v>216</v>
      </c>
      <c r="C275" s="92" t="s">
        <v>217</v>
      </c>
      <c r="D275" s="156" t="s">
        <v>226</v>
      </c>
      <c r="E275" s="156"/>
      <c r="F275" s="92" t="s">
        <v>227</v>
      </c>
      <c r="G275" s="54"/>
      <c r="H275" s="54"/>
      <c r="I275" s="54"/>
      <c r="J275" s="54"/>
      <c r="L275" s="54"/>
    </row>
    <row r="276" spans="1:12" s="1" customFormat="1" ht="12.75" x14ac:dyDescent="0.2">
      <c r="A276" s="92" t="s">
        <v>228</v>
      </c>
      <c r="B276" s="91" t="s">
        <v>251</v>
      </c>
      <c r="C276" s="91" t="s">
        <v>251</v>
      </c>
      <c r="D276" s="107"/>
      <c r="E276" s="107"/>
      <c r="F276" s="91"/>
    </row>
    <row r="277" spans="1:12" s="1" customFormat="1" ht="12.75" hidden="1" x14ac:dyDescent="0.2">
      <c r="A277" s="92" t="s">
        <v>229</v>
      </c>
      <c r="B277" s="91"/>
      <c r="C277" s="91"/>
      <c r="D277" s="107"/>
      <c r="E277" s="107"/>
      <c r="F277" s="91"/>
    </row>
    <row r="278" spans="1:12" s="1" customFormat="1" ht="12.75" hidden="1" x14ac:dyDescent="0.2">
      <c r="A278" s="92" t="s">
        <v>230</v>
      </c>
      <c r="B278" s="91"/>
      <c r="C278" s="91"/>
      <c r="D278" s="107"/>
      <c r="E278" s="107"/>
      <c r="F278" s="91"/>
    </row>
    <row r="279" spans="1:12" s="1" customFormat="1" ht="60.75" customHeight="1" x14ac:dyDescent="0.25">
      <c r="A279" s="92" t="s">
        <v>231</v>
      </c>
      <c r="B279" s="92" t="s">
        <v>216</v>
      </c>
      <c r="C279" s="92" t="s">
        <v>217</v>
      </c>
      <c r="D279" s="156" t="s">
        <v>232</v>
      </c>
      <c r="E279" s="156"/>
      <c r="F279" s="92" t="s">
        <v>233</v>
      </c>
      <c r="G279" s="53"/>
      <c r="H279" s="53"/>
      <c r="I279" s="53"/>
      <c r="J279" s="55"/>
      <c r="K279" s="45"/>
      <c r="L279" s="53"/>
    </row>
    <row r="280" spans="1:12" s="1" customFormat="1" x14ac:dyDescent="0.25">
      <c r="A280" s="92" t="s">
        <v>151</v>
      </c>
      <c r="B280" s="91" t="s">
        <v>251</v>
      </c>
      <c r="C280" s="91">
        <v>200000</v>
      </c>
      <c r="D280" s="107"/>
      <c r="E280" s="107"/>
      <c r="F280" s="91"/>
      <c r="G280" s="53"/>
      <c r="K280"/>
    </row>
    <row r="281" spans="1:12" s="1" customFormat="1" ht="24" hidden="1" x14ac:dyDescent="0.25">
      <c r="A281" s="92" t="s">
        <v>234</v>
      </c>
      <c r="B281" s="91"/>
      <c r="C281" s="91"/>
      <c r="D281" s="107"/>
      <c r="E281" s="107"/>
      <c r="F281" s="91"/>
      <c r="G281" s="53"/>
      <c r="K281" s="45"/>
    </row>
    <row r="282" spans="1:12" s="1" customFormat="1" ht="24" hidden="1" x14ac:dyDescent="0.25">
      <c r="A282" s="92" t="s">
        <v>235</v>
      </c>
      <c r="B282" s="91"/>
      <c r="C282" s="91"/>
      <c r="D282" s="107"/>
      <c r="E282" s="107"/>
      <c r="F282" s="91"/>
      <c r="G282" s="53"/>
      <c r="K282"/>
    </row>
    <row r="283" spans="1:12" s="1" customFormat="1" hidden="1" x14ac:dyDescent="0.25">
      <c r="A283" s="92" t="s">
        <v>236</v>
      </c>
      <c r="B283" s="91"/>
      <c r="C283" s="91"/>
      <c r="D283" s="107"/>
      <c r="E283" s="107"/>
      <c r="F283" s="91"/>
      <c r="G283" s="53"/>
      <c r="K283"/>
    </row>
    <row r="284" spans="1:12" s="1" customFormat="1" hidden="1" x14ac:dyDescent="0.25">
      <c r="A284" s="92" t="s">
        <v>237</v>
      </c>
      <c r="B284" s="91"/>
      <c r="C284" s="91"/>
      <c r="D284" s="107"/>
      <c r="E284" s="107"/>
      <c r="F284" s="91"/>
      <c r="G284" s="53"/>
      <c r="K284"/>
    </row>
    <row r="285" spans="1:12" s="1" customFormat="1" hidden="1" x14ac:dyDescent="0.25">
      <c r="A285" s="92" t="s">
        <v>238</v>
      </c>
      <c r="B285" s="91"/>
      <c r="C285" s="91"/>
      <c r="D285" s="107"/>
      <c r="E285" s="107"/>
      <c r="F285" s="91"/>
      <c r="G285" s="53"/>
      <c r="K285"/>
    </row>
    <row r="286" spans="1:12" s="1" customFormat="1" ht="30" hidden="1" customHeight="1" x14ac:dyDescent="0.25">
      <c r="A286" s="92" t="s">
        <v>239</v>
      </c>
      <c r="B286" s="91"/>
      <c r="C286" s="91"/>
      <c r="D286" s="107"/>
      <c r="E286" s="107"/>
      <c r="F286" s="91"/>
      <c r="G286" s="53"/>
      <c r="K286"/>
    </row>
    <row r="287" spans="1:12" s="1" customFormat="1" ht="30" hidden="1" customHeight="1" x14ac:dyDescent="0.25">
      <c r="A287" s="92" t="s">
        <v>240</v>
      </c>
      <c r="B287" s="91"/>
      <c r="C287" s="91"/>
      <c r="D287" s="107"/>
      <c r="E287" s="107"/>
      <c r="F287" s="91"/>
      <c r="G287" s="53"/>
      <c r="K287"/>
    </row>
    <row r="288" spans="1:12" s="1" customFormat="1" ht="30" hidden="1" customHeight="1" thickBot="1" x14ac:dyDescent="0.25">
      <c r="A288" s="92" t="s">
        <v>241</v>
      </c>
      <c r="B288" s="91"/>
      <c r="C288" s="91"/>
      <c r="D288" s="107"/>
      <c r="E288" s="107"/>
      <c r="F288" s="91"/>
      <c r="G288" s="53"/>
      <c r="K288"/>
    </row>
    <row r="289" spans="1:11" s="45" customFormat="1" x14ac:dyDescent="0.25">
      <c r="A289" s="159" t="s">
        <v>60</v>
      </c>
      <c r="B289" s="159"/>
      <c r="C289" s="159"/>
      <c r="D289" s="159"/>
      <c r="E289" s="159"/>
      <c r="F289" s="159"/>
      <c r="K289"/>
    </row>
    <row r="290" spans="1:11" s="45" customFormat="1" x14ac:dyDescent="0.25">
      <c r="A290" s="76">
        <v>1</v>
      </c>
      <c r="B290" s="160" t="s">
        <v>278</v>
      </c>
      <c r="C290" s="160"/>
      <c r="D290" s="160"/>
      <c r="E290" s="160"/>
      <c r="F290" s="160"/>
      <c r="K290"/>
    </row>
    <row r="291" spans="1:11" s="45" customFormat="1" x14ac:dyDescent="0.25">
      <c r="A291" s="76">
        <f t="shared" ref="A291:A298" si="38">A290+1</f>
        <v>2</v>
      </c>
      <c r="B291" s="160" t="s">
        <v>286</v>
      </c>
      <c r="C291" s="160"/>
      <c r="D291" s="160"/>
      <c r="E291" s="160"/>
      <c r="F291" s="160"/>
      <c r="K291"/>
    </row>
    <row r="292" spans="1:11" s="45" customFormat="1" x14ac:dyDescent="0.25">
      <c r="A292" s="76">
        <f t="shared" si="38"/>
        <v>3</v>
      </c>
      <c r="B292" s="161" t="str">
        <f>(IF(F206="Saleable area Loading :","We have considered Saleable area of Flats as per our Calculation.","We considered Saleable area of Flat as per Builder area Sheet."))</f>
        <v>We have considered Saleable area of Flats as per our Calculation.</v>
      </c>
      <c r="C292" s="162"/>
      <c r="D292" s="162"/>
      <c r="E292" s="162"/>
      <c r="F292" s="162"/>
      <c r="K292"/>
    </row>
    <row r="293" spans="1:11" s="45" customFormat="1" x14ac:dyDescent="0.25">
      <c r="A293" s="76">
        <f t="shared" si="38"/>
        <v>4</v>
      </c>
      <c r="B293" s="162" t="s">
        <v>346</v>
      </c>
      <c r="C293" s="162"/>
      <c r="D293" s="162"/>
      <c r="E293" s="162"/>
      <c r="F293" s="162"/>
      <c r="K293"/>
    </row>
    <row r="294" spans="1:11" s="45" customFormat="1" x14ac:dyDescent="0.25">
      <c r="A294" s="76">
        <f t="shared" si="38"/>
        <v>5</v>
      </c>
      <c r="B294" s="160" t="s">
        <v>279</v>
      </c>
      <c r="C294" s="160"/>
      <c r="D294" s="160"/>
      <c r="E294" s="160"/>
      <c r="F294" s="160"/>
      <c r="K294"/>
    </row>
    <row r="295" spans="1:11" s="45" customFormat="1" x14ac:dyDescent="0.25">
      <c r="A295" s="76">
        <f t="shared" si="38"/>
        <v>6</v>
      </c>
      <c r="B295" s="162" t="s">
        <v>345</v>
      </c>
      <c r="C295" s="162"/>
      <c r="D295" s="162"/>
      <c r="E295" s="162"/>
      <c r="F295" s="162"/>
      <c r="K295"/>
    </row>
    <row r="296" spans="1:11" s="45" customFormat="1" x14ac:dyDescent="0.25">
      <c r="A296" s="76">
        <f t="shared" si="38"/>
        <v>7</v>
      </c>
      <c r="B296" s="160" t="s">
        <v>280</v>
      </c>
      <c r="C296" s="160"/>
      <c r="D296" s="160"/>
      <c r="E296" s="160"/>
      <c r="F296" s="160"/>
      <c r="K296"/>
    </row>
    <row r="297" spans="1:11" s="45" customFormat="1" ht="33" customHeight="1" x14ac:dyDescent="0.25">
      <c r="A297" s="76">
        <f t="shared" si="38"/>
        <v>8</v>
      </c>
      <c r="B297" s="153" t="s">
        <v>281</v>
      </c>
      <c r="C297" s="153"/>
      <c r="D297" s="153"/>
      <c r="E297" s="153"/>
      <c r="F297" s="153"/>
      <c r="K297"/>
    </row>
    <row r="298" spans="1:11" s="45" customFormat="1" ht="27" customHeight="1" x14ac:dyDescent="0.25">
      <c r="A298" s="76">
        <f t="shared" si="38"/>
        <v>9</v>
      </c>
      <c r="B298" s="153" t="s">
        <v>375</v>
      </c>
      <c r="C298" s="153"/>
      <c r="D298" s="153"/>
      <c r="E298" s="153"/>
      <c r="F298" s="153"/>
      <c r="K298"/>
    </row>
    <row r="299" spans="1:11" x14ac:dyDescent="0.25">
      <c r="A299" s="151" t="s">
        <v>61</v>
      </c>
      <c r="B299" s="151"/>
      <c r="C299" s="152" t="str">
        <f>B2</f>
        <v>Flower Valley</v>
      </c>
      <c r="D299" s="152"/>
      <c r="E299" s="152"/>
      <c r="F299" s="152"/>
    </row>
    <row r="345" spans="1:1" x14ac:dyDescent="0.25">
      <c r="A345" s="50" t="s">
        <v>62</v>
      </c>
    </row>
    <row r="391" spans="1:1" x14ac:dyDescent="0.25">
      <c r="A391" s="50" t="s">
        <v>63</v>
      </c>
    </row>
    <row r="392" spans="1:1" x14ac:dyDescent="0.25">
      <c r="A392" s="50"/>
    </row>
    <row r="433" spans="1:6" ht="57" customHeight="1" x14ac:dyDescent="0.25">
      <c r="A433" s="51" t="s">
        <v>64</v>
      </c>
      <c r="B433" s="90" t="s">
        <v>378</v>
      </c>
      <c r="C433" s="157" t="s">
        <v>65</v>
      </c>
      <c r="D433" s="157"/>
      <c r="E433" s="158"/>
      <c r="F433" s="158"/>
    </row>
  </sheetData>
  <dataConsolidate/>
  <mergeCells count="394">
    <mergeCell ref="D286:E286"/>
    <mergeCell ref="A118:B119"/>
    <mergeCell ref="A162:F162"/>
    <mergeCell ref="C163:D163"/>
    <mergeCell ref="E163:F163"/>
    <mergeCell ref="G163:H163"/>
    <mergeCell ref="I163:L164"/>
    <mergeCell ref="C164:D164"/>
    <mergeCell ref="E164:F164"/>
    <mergeCell ref="G164:H164"/>
    <mergeCell ref="A152:D153"/>
    <mergeCell ref="E152:F153"/>
    <mergeCell ref="G161:H161"/>
    <mergeCell ref="I158:L159"/>
    <mergeCell ref="C159:D159"/>
    <mergeCell ref="A124:F124"/>
    <mergeCell ref="A223:F223"/>
    <mergeCell ref="L224:M224"/>
    <mergeCell ref="A230:F230"/>
    <mergeCell ref="L231:M231"/>
    <mergeCell ref="A237:F237"/>
    <mergeCell ref="L238:M238"/>
    <mergeCell ref="A250:F250"/>
    <mergeCell ref="G251:H251"/>
    <mergeCell ref="E267:F267"/>
    <mergeCell ref="C45:F45"/>
    <mergeCell ref="G45:H45"/>
    <mergeCell ref="B210:F210"/>
    <mergeCell ref="B214:F214"/>
    <mergeCell ref="A244:F244"/>
    <mergeCell ref="G244:K244"/>
    <mergeCell ref="A245:F245"/>
    <mergeCell ref="G208:K208"/>
    <mergeCell ref="A254:F254"/>
    <mergeCell ref="G255:H255"/>
    <mergeCell ref="A258:F258"/>
    <mergeCell ref="G259:H259"/>
    <mergeCell ref="G258:H258"/>
    <mergeCell ref="A172:F172"/>
    <mergeCell ref="C173:D173"/>
    <mergeCell ref="E173:F173"/>
    <mergeCell ref="G173:H173"/>
    <mergeCell ref="C174:D174"/>
    <mergeCell ref="E174:F174"/>
    <mergeCell ref="G174:H174"/>
    <mergeCell ref="C175:D175"/>
    <mergeCell ref="E175:F175"/>
    <mergeCell ref="G175:H175"/>
    <mergeCell ref="G117:H117"/>
    <mergeCell ref="C118:F118"/>
    <mergeCell ref="G118:H118"/>
    <mergeCell ref="C119:F119"/>
    <mergeCell ref="G119:H119"/>
    <mergeCell ref="G43:H43"/>
    <mergeCell ref="G44:H44"/>
    <mergeCell ref="A40:B40"/>
    <mergeCell ref="C40:F40"/>
    <mergeCell ref="A41:B41"/>
    <mergeCell ref="C41:F41"/>
    <mergeCell ref="A51:B51"/>
    <mergeCell ref="C51:F51"/>
    <mergeCell ref="A57:B57"/>
    <mergeCell ref="C57:F57"/>
    <mergeCell ref="A58:B58"/>
    <mergeCell ref="A55:B55"/>
    <mergeCell ref="C55:F55"/>
    <mergeCell ref="G46:H46"/>
    <mergeCell ref="G47:H47"/>
    <mergeCell ref="G48:H48"/>
    <mergeCell ref="A49:B49"/>
    <mergeCell ref="C49:F49"/>
    <mergeCell ref="A56:B56"/>
    <mergeCell ref="G36:H36"/>
    <mergeCell ref="G37:H37"/>
    <mergeCell ref="G38:H38"/>
    <mergeCell ref="G39:H39"/>
    <mergeCell ref="G40:H40"/>
    <mergeCell ref="G41:H41"/>
    <mergeCell ref="G42:H42"/>
    <mergeCell ref="D86:F86"/>
    <mergeCell ref="A85:A86"/>
    <mergeCell ref="B85:B86"/>
    <mergeCell ref="C85:C86"/>
    <mergeCell ref="G55:H55"/>
    <mergeCell ref="G56:H56"/>
    <mergeCell ref="G57:H57"/>
    <mergeCell ref="G58:H58"/>
    <mergeCell ref="G59:H59"/>
    <mergeCell ref="A60:B60"/>
    <mergeCell ref="C60:F60"/>
    <mergeCell ref="G60:H60"/>
    <mergeCell ref="C46:F46"/>
    <mergeCell ref="A47:B47"/>
    <mergeCell ref="C47:F47"/>
    <mergeCell ref="A48:B48"/>
    <mergeCell ref="C48:F48"/>
    <mergeCell ref="I12:J12"/>
    <mergeCell ref="I13:J13"/>
    <mergeCell ref="G29:H29"/>
    <mergeCell ref="G30:H30"/>
    <mergeCell ref="G31:H31"/>
    <mergeCell ref="G32:H32"/>
    <mergeCell ref="G35:H35"/>
    <mergeCell ref="G33:H34"/>
    <mergeCell ref="A167:F167"/>
    <mergeCell ref="A16:F16"/>
    <mergeCell ref="A27:F27"/>
    <mergeCell ref="A32:F32"/>
    <mergeCell ref="B17:F17"/>
    <mergeCell ref="B19:C19"/>
    <mergeCell ref="E19:F19"/>
    <mergeCell ref="B20:C20"/>
    <mergeCell ref="A121:B121"/>
    <mergeCell ref="C121:F121"/>
    <mergeCell ref="A110:F110"/>
    <mergeCell ref="A111:D111"/>
    <mergeCell ref="E111:F111"/>
    <mergeCell ref="A112:D112"/>
    <mergeCell ref="E112:F112"/>
    <mergeCell ref="A109:B109"/>
    <mergeCell ref="A50:B50"/>
    <mergeCell ref="C50:F50"/>
    <mergeCell ref="A46:B46"/>
    <mergeCell ref="A45:B45"/>
    <mergeCell ref="C7:F7"/>
    <mergeCell ref="C8:F8"/>
    <mergeCell ref="A9:B9"/>
    <mergeCell ref="C9:F9"/>
    <mergeCell ref="A15:B15"/>
    <mergeCell ref="A44:B44"/>
    <mergeCell ref="C44:F44"/>
    <mergeCell ref="A43:B43"/>
    <mergeCell ref="C43:F43"/>
    <mergeCell ref="C15:F15"/>
    <mergeCell ref="B26:C26"/>
    <mergeCell ref="E26:F26"/>
    <mergeCell ref="B21:C21"/>
    <mergeCell ref="E21:F21"/>
    <mergeCell ref="E20:F20"/>
    <mergeCell ref="B22:C22"/>
    <mergeCell ref="E22:F22"/>
    <mergeCell ref="B23:C23"/>
    <mergeCell ref="E23:F23"/>
    <mergeCell ref="A35:B35"/>
    <mergeCell ref="C35:F35"/>
    <mergeCell ref="A39:B39"/>
    <mergeCell ref="C39:F39"/>
    <mergeCell ref="E24:F24"/>
    <mergeCell ref="A8:B8"/>
    <mergeCell ref="B24:C24"/>
    <mergeCell ref="C37:F37"/>
    <mergeCell ref="A36:B36"/>
    <mergeCell ref="C36:F36"/>
    <mergeCell ref="A28:B28"/>
    <mergeCell ref="A29:B29"/>
    <mergeCell ref="A30:B30"/>
    <mergeCell ref="A31:B31"/>
    <mergeCell ref="B18:F18"/>
    <mergeCell ref="B25:F25"/>
    <mergeCell ref="A38:B38"/>
    <mergeCell ref="C38:F38"/>
    <mergeCell ref="A1:F1"/>
    <mergeCell ref="B2:D2"/>
    <mergeCell ref="A3:F3"/>
    <mergeCell ref="A10:F10"/>
    <mergeCell ref="A4:B4"/>
    <mergeCell ref="A80:F80"/>
    <mergeCell ref="B81:F81"/>
    <mergeCell ref="A42:F42"/>
    <mergeCell ref="C4:F4"/>
    <mergeCell ref="A5:B5"/>
    <mergeCell ref="A6:B6"/>
    <mergeCell ref="C5:F5"/>
    <mergeCell ref="C6:F6"/>
    <mergeCell ref="A7:B7"/>
    <mergeCell ref="A14:F14"/>
    <mergeCell ref="C12:D12"/>
    <mergeCell ref="E12:F12"/>
    <mergeCell ref="C13:D13"/>
    <mergeCell ref="E13:F13"/>
    <mergeCell ref="A37:B37"/>
    <mergeCell ref="A33:B33"/>
    <mergeCell ref="C33:F33"/>
    <mergeCell ref="A34:B34"/>
    <mergeCell ref="C34:F34"/>
    <mergeCell ref="L184:M184"/>
    <mergeCell ref="A205:F205"/>
    <mergeCell ref="A206:A207"/>
    <mergeCell ref="B206:B207"/>
    <mergeCell ref="C206:C207"/>
    <mergeCell ref="D206:D207"/>
    <mergeCell ref="E206:E207"/>
    <mergeCell ref="G207:H207"/>
    <mergeCell ref="A190:F190"/>
    <mergeCell ref="G191:H191"/>
    <mergeCell ref="L191:M191"/>
    <mergeCell ref="A197:F197"/>
    <mergeCell ref="G198:H198"/>
    <mergeCell ref="L198:M198"/>
    <mergeCell ref="G184:H184"/>
    <mergeCell ref="G206:K206"/>
    <mergeCell ref="L210:M210"/>
    <mergeCell ref="A204:F204"/>
    <mergeCell ref="A216:F216"/>
    <mergeCell ref="A262:F262"/>
    <mergeCell ref="B263:C263"/>
    <mergeCell ref="E263:F263"/>
    <mergeCell ref="B264:C264"/>
    <mergeCell ref="E264:F264"/>
    <mergeCell ref="L217:M217"/>
    <mergeCell ref="A246:F246"/>
    <mergeCell ref="G247:H247"/>
    <mergeCell ref="L247:M247"/>
    <mergeCell ref="A208:F208"/>
    <mergeCell ref="A209:F209"/>
    <mergeCell ref="H263:I263"/>
    <mergeCell ref="L251:M251"/>
    <mergeCell ref="L255:M255"/>
    <mergeCell ref="L259:M259"/>
    <mergeCell ref="C433:D433"/>
    <mergeCell ref="E433:F433"/>
    <mergeCell ref="A125:B126"/>
    <mergeCell ref="D284:E284"/>
    <mergeCell ref="D285:E285"/>
    <mergeCell ref="B269:C269"/>
    <mergeCell ref="E269:F269"/>
    <mergeCell ref="A289:F289"/>
    <mergeCell ref="B290:F290"/>
    <mergeCell ref="B291:F291"/>
    <mergeCell ref="B292:F292"/>
    <mergeCell ref="B293:F293"/>
    <mergeCell ref="B294:F294"/>
    <mergeCell ref="D280:E280"/>
    <mergeCell ref="D282:E282"/>
    <mergeCell ref="D283:E283"/>
    <mergeCell ref="C161:D161"/>
    <mergeCell ref="E161:F161"/>
    <mergeCell ref="E159:F159"/>
    <mergeCell ref="B295:F295"/>
    <mergeCell ref="B296:F296"/>
    <mergeCell ref="B298:F298"/>
    <mergeCell ref="E177:F177"/>
    <mergeCell ref="B267:C267"/>
    <mergeCell ref="A299:B299"/>
    <mergeCell ref="C299:F299"/>
    <mergeCell ref="B297:F297"/>
    <mergeCell ref="E143:F151"/>
    <mergeCell ref="B265:C265"/>
    <mergeCell ref="E265:F265"/>
    <mergeCell ref="B266:C266"/>
    <mergeCell ref="E266:F266"/>
    <mergeCell ref="B180:B181"/>
    <mergeCell ref="C180:C181"/>
    <mergeCell ref="D180:D181"/>
    <mergeCell ref="E180:E181"/>
    <mergeCell ref="A182:F182"/>
    <mergeCell ref="A183:F183"/>
    <mergeCell ref="C177:D177"/>
    <mergeCell ref="C158:D158"/>
    <mergeCell ref="D287:E287"/>
    <mergeCell ref="D288:E288"/>
    <mergeCell ref="D275:E275"/>
    <mergeCell ref="D279:E279"/>
    <mergeCell ref="D276:E276"/>
    <mergeCell ref="D277:E277"/>
    <mergeCell ref="D278:E278"/>
    <mergeCell ref="D281:E281"/>
    <mergeCell ref="J82:L82"/>
    <mergeCell ref="A65:F65"/>
    <mergeCell ref="A61:F61"/>
    <mergeCell ref="A59:B59"/>
    <mergeCell ref="C59:F59"/>
    <mergeCell ref="G51:H51"/>
    <mergeCell ref="G52:H52"/>
    <mergeCell ref="G53:H53"/>
    <mergeCell ref="G54:H54"/>
    <mergeCell ref="A78:F78"/>
    <mergeCell ref="C56:F56"/>
    <mergeCell ref="G49:H49"/>
    <mergeCell ref="G50:H50"/>
    <mergeCell ref="B107:C107"/>
    <mergeCell ref="D89:F89"/>
    <mergeCell ref="A62:B62"/>
    <mergeCell ref="C58:F58"/>
    <mergeCell ref="C54:F54"/>
    <mergeCell ref="A52:F52"/>
    <mergeCell ref="A53:B53"/>
    <mergeCell ref="C53:F53"/>
    <mergeCell ref="A54:B54"/>
    <mergeCell ref="B99:C99"/>
    <mergeCell ref="E99:F99"/>
    <mergeCell ref="D90:F90"/>
    <mergeCell ref="D91:F91"/>
    <mergeCell ref="D92:F92"/>
    <mergeCell ref="D93:F93"/>
    <mergeCell ref="D94:F94"/>
    <mergeCell ref="D95:F95"/>
    <mergeCell ref="E107:F107"/>
    <mergeCell ref="B103:C103"/>
    <mergeCell ref="B102:C102"/>
    <mergeCell ref="E102:F102"/>
    <mergeCell ref="B104:C104"/>
    <mergeCell ref="G108:H108"/>
    <mergeCell ref="G62:H62"/>
    <mergeCell ref="G63:H63"/>
    <mergeCell ref="G64:H64"/>
    <mergeCell ref="G65:H65"/>
    <mergeCell ref="D82:F82"/>
    <mergeCell ref="D83:F83"/>
    <mergeCell ref="D84:F84"/>
    <mergeCell ref="D85:F85"/>
    <mergeCell ref="D87:F87"/>
    <mergeCell ref="D88:F88"/>
    <mergeCell ref="A69:F69"/>
    <mergeCell ref="B79:F79"/>
    <mergeCell ref="A63:B63"/>
    <mergeCell ref="A64:B64"/>
    <mergeCell ref="C62:F62"/>
    <mergeCell ref="C63:F63"/>
    <mergeCell ref="C64:F64"/>
    <mergeCell ref="B105:C105"/>
    <mergeCell ref="E105:F105"/>
    <mergeCell ref="E106:F106"/>
    <mergeCell ref="B106:C106"/>
    <mergeCell ref="A108:B108"/>
    <mergeCell ref="C108:F108"/>
    <mergeCell ref="E104:F104"/>
    <mergeCell ref="B96:F96"/>
    <mergeCell ref="A97:F97"/>
    <mergeCell ref="A101:F101"/>
    <mergeCell ref="B100:C100"/>
    <mergeCell ref="E100:F100"/>
    <mergeCell ref="E103:F103"/>
    <mergeCell ref="E128:F128"/>
    <mergeCell ref="A154:F154"/>
    <mergeCell ref="C109:F109"/>
    <mergeCell ref="A120:B120"/>
    <mergeCell ref="C120:F120"/>
    <mergeCell ref="A113:D113"/>
    <mergeCell ref="E113:F113"/>
    <mergeCell ref="A114:F114"/>
    <mergeCell ref="A117:B117"/>
    <mergeCell ref="C117:F117"/>
    <mergeCell ref="E129:F137"/>
    <mergeCell ref="A139:B140"/>
    <mergeCell ref="B141:F141"/>
    <mergeCell ref="E142:F142"/>
    <mergeCell ref="A138:F138"/>
    <mergeCell ref="G181:H181"/>
    <mergeCell ref="A180:A181"/>
    <mergeCell ref="A122:B122"/>
    <mergeCell ref="A123:B123"/>
    <mergeCell ref="C122:F122"/>
    <mergeCell ref="C123:F123"/>
    <mergeCell ref="G158:H158"/>
    <mergeCell ref="A157:F157"/>
    <mergeCell ref="G169:H169"/>
    <mergeCell ref="G159:H159"/>
    <mergeCell ref="C160:D160"/>
    <mergeCell ref="E160:F160"/>
    <mergeCell ref="G160:H160"/>
    <mergeCell ref="C165:D165"/>
    <mergeCell ref="E165:F165"/>
    <mergeCell ref="G165:H165"/>
    <mergeCell ref="C166:D166"/>
    <mergeCell ref="E166:F166"/>
    <mergeCell ref="G166:H166"/>
    <mergeCell ref="C176:D176"/>
    <mergeCell ref="E176:F176"/>
    <mergeCell ref="G176:H176"/>
    <mergeCell ref="B268:C268"/>
    <mergeCell ref="E268:F268"/>
    <mergeCell ref="E158:F158"/>
    <mergeCell ref="G109:H109"/>
    <mergeCell ref="G120:H120"/>
    <mergeCell ref="G121:H121"/>
    <mergeCell ref="G122:H122"/>
    <mergeCell ref="G123:H123"/>
    <mergeCell ref="G180:H180"/>
    <mergeCell ref="C170:D170"/>
    <mergeCell ref="E170:F170"/>
    <mergeCell ref="G170:H170"/>
    <mergeCell ref="C171:D171"/>
    <mergeCell ref="E171:F171"/>
    <mergeCell ref="G171:H171"/>
    <mergeCell ref="A178:F178"/>
    <mergeCell ref="A179:F179"/>
    <mergeCell ref="G177:H177"/>
    <mergeCell ref="C168:D168"/>
    <mergeCell ref="E168:F168"/>
    <mergeCell ref="G168:H168"/>
    <mergeCell ref="C169:D169"/>
    <mergeCell ref="E169:F169"/>
    <mergeCell ref="B127:F127"/>
  </mergeCells>
  <dataValidations count="18">
    <dataValidation type="list" allowBlank="1" showInputMessage="1" showErrorMessage="1" sqref="B40:B41 B37:B38 B34:B35">
      <formula1>$C$303:$C$308</formula1>
    </dataValidation>
    <dataValidation type="list" allowBlank="1" showInputMessage="1" showErrorMessage="1" sqref="F34:F35 F37:F38 F41">
      <formula1>$G$299:$G$301</formula1>
    </dataValidation>
    <dataValidation type="list" allowBlank="1" showInputMessage="1" showErrorMessage="1" sqref="F2">
      <formula1>"Airoli,Goregaon"</formula1>
    </dataValidation>
    <dataValidation type="list" allowBlank="1" showInputMessage="1" showErrorMessage="1" sqref="D11">
      <formula1>"Mr. Abhishek Manjrekar,Mr. Rushabh Kakade,Miss. Bharti,Mr. Ajinkya Oturkar"</formula1>
    </dataValidation>
    <dataValidation type="list" allowBlank="1" showInputMessage="1" showErrorMessage="1" sqref="E13:F13">
      <formula1>"Kunal Kadam,Sachin Sawant,Shruti Fule,Hitakshi Mhatre,Anjali Kamble,Sonali Kumbhar,Pooja Kawale,Shruti Tathare"</formula1>
    </dataValidation>
    <dataValidation type="list" allowBlank="1" showInputMessage="1" showErrorMessage="1" sqref="A19">
      <formula1>"Plot No.,Survey No.,CTS No.,Gut No."</formula1>
    </dataValidation>
    <dataValidation type="list" allowBlank="1" showInputMessage="1" showErrorMessage="1" sqref="D20">
      <formula1>"Ward No.,Existing Builidng Name &amp; No.,City"</formula1>
    </dataValidation>
    <dataValidation type="list" allowBlank="1" showInputMessage="1" showErrorMessage="1" sqref="E22:F22">
      <formula1>"Mumbai,Thane,Palghar,Raigad,Pune"</formula1>
    </dataValidation>
    <dataValidation type="list" allowBlank="1" showInputMessage="1" showErrorMessage="1" sqref="C120:F121 B98 C71:F71 B73:F73 B76:F76 B103:C107 E104:F107 E102:F102 B100:C100 C108:F109">
      <formula1>"Yes,No"</formula1>
    </dataValidation>
    <dataValidation type="list" allowBlank="1" showInputMessage="1" showErrorMessage="1" sqref="B83:B85 B87:B90 B92:B95">
      <formula1>"Applicable and Received,Applicable and Not Received,Not Applicable"</formula1>
    </dataValidation>
    <dataValidation type="list" allowBlank="1" showInputMessage="1" showErrorMessage="1" sqref="D98">
      <formula1>"Registered,Not Registered"</formula1>
    </dataValidation>
    <dataValidation type="list" allowBlank="1" showInputMessage="1" showErrorMessage="1" sqref="B102:C102">
      <formula1>"Zone II,Zone III,Zone IV,Zone V"</formula1>
    </dataValidation>
    <dataValidation type="list" allowBlank="1" showInputMessage="1" showErrorMessage="1" sqref="E103:F103">
      <formula1>"Not Appicable,Zone I,Zone II,Zone III,Zone IV"</formula1>
    </dataValidation>
    <dataValidation type="list" allowBlank="1" showInputMessage="1" showErrorMessage="1" sqref="E264:F269">
      <formula1>"Carpet Area,Buildup Area,Saleable Area"</formula1>
    </dataValidation>
    <dataValidation type="list" allowBlank="1" showInputMessage="1" showErrorMessage="1" sqref="B290:F290">
      <formula1>"Construction Work is active at the time of visit.,Construction Work is not active at the time of visit.,Work not yet Started, All work Completed"</formula1>
    </dataValidation>
    <dataValidation type="list" allowBlank="1" showInputMessage="1" showErrorMessage="1" sqref="B71">
      <formula1>"Yes &amp; 0.15m, No"</formula1>
    </dataValidation>
    <dataValidation type="list" allowBlank="1" showInputMessage="1" showErrorMessage="1" sqref="B91">
      <formula1>"Applicable and Received,Applicable and Not Received,Not Applicable,To be obtained"</formula1>
    </dataValidation>
    <dataValidation type="list" allowBlank="1" showInputMessage="1" showErrorMessage="1" sqref="F181">
      <formula1>"45%,50%,55%,60%"</formula1>
    </dataValidation>
  </dataValidations>
  <hyperlinks>
    <hyperlink ref="C6" r:id="rId1"/>
    <hyperlink ref="B25" r:id="rId2"/>
  </hyperlinks>
  <pageMargins left="0.39370078740157483" right="0.39370078740157483" top="0.78740157480314965" bottom="0.78740157480314965" header="0.31496062992125984" footer="0.31496062992125984"/>
  <pageSetup fitToHeight="0" orientation="portrait" r:id="rId3"/>
  <headerFooter>
    <oddHeader>&amp;C&amp;G</oddHeader>
    <oddFooter>&amp;L&amp;"-,Bold"Ref No: &amp;F&amp;R&amp;"-,Bold"&amp;P</oddFooter>
  </headerFooter>
  <rowBreaks count="4" manualBreakCount="4">
    <brk id="137" max="16383" man="1"/>
    <brk id="298" max="16383" man="1"/>
    <brk id="344" max="16383" man="1"/>
    <brk id="390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4:K131"/>
  <sheetViews>
    <sheetView topLeftCell="A123" workbookViewId="0">
      <selection activeCell="B134" sqref="B134"/>
    </sheetView>
  </sheetViews>
  <sheetFormatPr defaultRowHeight="15" x14ac:dyDescent="0.25"/>
  <sheetData>
    <row r="104" spans="2:11" ht="15.75" thickBot="1" x14ac:dyDescent="0.3"/>
    <row r="105" spans="2:11" ht="15.75" x14ac:dyDescent="0.25">
      <c r="B105" s="203" t="s">
        <v>4</v>
      </c>
      <c r="C105" s="204"/>
      <c r="D105" s="205" t="s">
        <v>44</v>
      </c>
      <c r="E105" s="206"/>
      <c r="F105" s="206"/>
      <c r="G105" s="206"/>
      <c r="H105" s="206"/>
      <c r="I105" s="207"/>
      <c r="J105" s="13" t="str">
        <f ca="1">(IF(F109&gt;99%,"All work completed. Please provide OC.",IF(F109&gt;89.8%,"Plinth, RCC, Brick, Plaster, Flooring, Painting work Completed. Finishing work is in process.",IF(F109&lt;94%,(IF(D109=0,"Work not yet Started.",IF(E109=25%,"Piling work in process",IF(E109=50%,"Excavation work in process",IF(E109=100%,"Excavation work Completed. ","0")))&amp;(IF(D110=0%,"",IF(D110=K111,"Footing work is process",IF(D110=K112,"Footing work Completed",IF(D110=K113,"1st Basement Completed",IF(D110=K114,"1st &amp; 2nd Basement Completed",IF(D110=K115,"1st to 3rd Basement Completed",IF(D110=K116,"1st to 4th Basement Completed",IF(D110=K117,"Plinth work is process",IF(D110=K118,"Plinth work completed","0")))))))))))&amp;(IF(D111=(D106+E106+F106),", RCC Slab",IF(D111&gt;0,", RCC upto "&amp;D111&amp;" Slab",""))&amp;(IF(D112=F106,", Brickwork",IF(D112&gt;0,", Brickwork upto "&amp;D112&amp;" Floor",""))&amp;(IF(D113=F106,", Internal Plaster",IF(D113&gt;0,", Internal Plaster upto "&amp;D113&amp;" Floor",""))&amp;(IF(D114=F106,", External Plaster",IF(D114&gt;0,", External Plaster upto "&amp;D114&amp;" Floor",""))&amp;(IF(D115=F106,", Flooring",IF(D115&gt;0,", Flooring upto "&amp;D115&amp;" Floor",""))&amp;(IF(D116=F106,", Painting",IF(D116&gt;0,", Painting upto "&amp;D116&amp;" Floor",""))&amp;(IF(D117&gt;0,", Finishing upto "&amp;D117&amp;" Floor","")&amp;(IF(D111&gt;0.5," Completed",""))))))))))))))</f>
        <v>All work completed. Please provide OC.</v>
      </c>
      <c r="K105" s="14"/>
    </row>
    <row r="106" spans="2:11" ht="15.75" x14ac:dyDescent="0.25">
      <c r="B106" s="15" t="s">
        <v>5</v>
      </c>
      <c r="C106" s="16">
        <v>0</v>
      </c>
      <c r="D106" s="32">
        <v>1</v>
      </c>
      <c r="E106" s="33">
        <v>0</v>
      </c>
      <c r="F106" s="33">
        <f ca="1">--TRIM(RIGHT(SUBSTITUTE(LEFT(D105,_xlfn.AGGREGATE(16,6,FIND({0,1,2,3,4,5,6,7,8,9},D105,ROW(INDIRECT("1:"&amp;LEN(D105)))),1))," ",REPT(" ",LEN(D105))),LEN(D105)))</f>
        <v>7</v>
      </c>
      <c r="G106" s="33"/>
      <c r="H106" s="33"/>
      <c r="I106" s="34"/>
      <c r="J106" s="17"/>
      <c r="K106" s="18"/>
    </row>
    <row r="107" spans="2:11" ht="15.75" x14ac:dyDescent="0.25">
      <c r="B107" s="208" t="s">
        <v>9</v>
      </c>
      <c r="C107" s="209"/>
      <c r="D107" s="210" t="str">
        <f>J107</f>
        <v>All work Completed. OC Received.</v>
      </c>
      <c r="E107" s="210"/>
      <c r="F107" s="210"/>
      <c r="G107" s="210"/>
      <c r="H107" s="210"/>
      <c r="I107" s="211"/>
      <c r="J107" s="17" t="s">
        <v>10</v>
      </c>
      <c r="K107" s="18"/>
    </row>
    <row r="108" spans="2:11" ht="31.5" x14ac:dyDescent="0.25">
      <c r="B108" s="193" t="s">
        <v>11</v>
      </c>
      <c r="C108" s="194"/>
      <c r="D108" s="19" t="s">
        <v>13</v>
      </c>
      <c r="E108" s="19" t="s">
        <v>14</v>
      </c>
      <c r="F108" s="194" t="s">
        <v>15</v>
      </c>
      <c r="G108" s="194"/>
      <c r="H108" s="194" t="s">
        <v>41</v>
      </c>
      <c r="I108" s="212"/>
      <c r="J108" s="20" t="s">
        <v>16</v>
      </c>
      <c r="K108" s="21">
        <f ca="1">F106*25%</f>
        <v>1.75</v>
      </c>
    </row>
    <row r="109" spans="2:11" ht="15.75" x14ac:dyDescent="0.25">
      <c r="B109" s="193" t="s">
        <v>17</v>
      </c>
      <c r="C109" s="194"/>
      <c r="D109" s="22">
        <f ca="1">K110</f>
        <v>7</v>
      </c>
      <c r="E109" s="23">
        <f ca="1">((100/F106)*D109)/100</f>
        <v>1</v>
      </c>
      <c r="F109" s="197">
        <f ca="1">(((D110/F106*10)+(40/(D106+E106+F106)*D111)+(7.5/(F106)*D112)+(7.5/(F106)*D113)+(10/F106*D114)+(10/F106*D115)+(5/F106*D116)+(5/F106*D117)+(5/F106*D118))/100)</f>
        <v>1</v>
      </c>
      <c r="G109" s="197"/>
      <c r="H109" s="197">
        <f ca="1">((((D109/F106)*20)+((D110/F106)*25)+(30/(F106+E106+D106)*D111)+(5/F106*D112)+(5/F106*D113)+(5/F106*D114)+(5/F106*D115)+(0/F106*D116)+(0/F106*D117)+(5/F106*D118))/100)</f>
        <v>1</v>
      </c>
      <c r="I109" s="199"/>
      <c r="J109" s="20" t="s">
        <v>18</v>
      </c>
      <c r="K109" s="24">
        <f ca="1">F106*50%</f>
        <v>3.5</v>
      </c>
    </row>
    <row r="110" spans="2:11" ht="15.75" x14ac:dyDescent="0.25">
      <c r="B110" s="193" t="s">
        <v>19</v>
      </c>
      <c r="C110" s="194"/>
      <c r="D110" s="25">
        <f ca="1">K118</f>
        <v>7</v>
      </c>
      <c r="E110" s="23">
        <f ca="1">((100/F106)*D110)/100</f>
        <v>1</v>
      </c>
      <c r="F110" s="197"/>
      <c r="G110" s="197"/>
      <c r="H110" s="197"/>
      <c r="I110" s="199"/>
      <c r="J110" s="20" t="s">
        <v>20</v>
      </c>
      <c r="K110" s="24">
        <f ca="1">F106</f>
        <v>7</v>
      </c>
    </row>
    <row r="111" spans="2:11" ht="15.75" x14ac:dyDescent="0.25">
      <c r="B111" s="201" t="s">
        <v>21</v>
      </c>
      <c r="C111" s="202"/>
      <c r="D111" s="25">
        <v>8</v>
      </c>
      <c r="E111" s="23">
        <f ca="1">((100/(D106+E106+F106))*D111)/100</f>
        <v>1</v>
      </c>
      <c r="F111" s="197"/>
      <c r="G111" s="197"/>
      <c r="H111" s="197"/>
      <c r="I111" s="199"/>
      <c r="J111" s="20" t="s">
        <v>22</v>
      </c>
      <c r="K111" s="26">
        <f ca="1">(IF(C106&gt;1,(F106/(C106+2)),F106/4))</f>
        <v>1.75</v>
      </c>
    </row>
    <row r="112" spans="2:11" ht="15.75" x14ac:dyDescent="0.25">
      <c r="B112" s="193" t="s">
        <v>23</v>
      </c>
      <c r="C112" s="194" t="s">
        <v>42</v>
      </c>
      <c r="D112" s="22">
        <v>7</v>
      </c>
      <c r="E112" s="23">
        <f ca="1">((100/F106)*D112)/100</f>
        <v>1</v>
      </c>
      <c r="F112" s="197"/>
      <c r="G112" s="197"/>
      <c r="H112" s="197"/>
      <c r="I112" s="199"/>
      <c r="J112" s="20" t="s">
        <v>24</v>
      </c>
      <c r="K112" s="26">
        <f ca="1">(IF(C106&gt;1,(F106/(C106+2)+K111),F106/4+K111))</f>
        <v>3.5</v>
      </c>
    </row>
    <row r="113" spans="2:11" ht="15.75" x14ac:dyDescent="0.25">
      <c r="B113" s="193" t="s">
        <v>25</v>
      </c>
      <c r="C113" s="194" t="s">
        <v>42</v>
      </c>
      <c r="D113" s="22">
        <v>7</v>
      </c>
      <c r="E113" s="23">
        <f ca="1">((100/F106)*D113)/100</f>
        <v>1</v>
      </c>
      <c r="F113" s="197"/>
      <c r="G113" s="197"/>
      <c r="H113" s="197"/>
      <c r="I113" s="199"/>
      <c r="J113" s="20" t="s">
        <v>26</v>
      </c>
      <c r="K113" s="26">
        <f>(IF(C106&gt;1,(F106/(C106+2)+K112),0))</f>
        <v>0</v>
      </c>
    </row>
    <row r="114" spans="2:11" ht="15.75" x14ac:dyDescent="0.25">
      <c r="B114" s="193" t="s">
        <v>27</v>
      </c>
      <c r="C114" s="194" t="s">
        <v>43</v>
      </c>
      <c r="D114" s="22">
        <v>7</v>
      </c>
      <c r="E114" s="23">
        <f ca="1">((100/(F106))*D114)/100</f>
        <v>1</v>
      </c>
      <c r="F114" s="197"/>
      <c r="G114" s="197"/>
      <c r="H114" s="197"/>
      <c r="I114" s="199"/>
      <c r="J114" s="20" t="s">
        <v>28</v>
      </c>
      <c r="K114" s="26">
        <f>(IF(C106&gt;2,(F106/(C106+2)+K113),0))</f>
        <v>0</v>
      </c>
    </row>
    <row r="115" spans="2:11" ht="15.75" x14ac:dyDescent="0.25">
      <c r="B115" s="193" t="s">
        <v>29</v>
      </c>
      <c r="C115" s="194" t="s">
        <v>29</v>
      </c>
      <c r="D115" s="22">
        <v>7</v>
      </c>
      <c r="E115" s="23">
        <f ca="1">((100/F106)*D115)/100</f>
        <v>1</v>
      </c>
      <c r="F115" s="197"/>
      <c r="G115" s="197"/>
      <c r="H115" s="197"/>
      <c r="I115" s="199"/>
      <c r="J115" s="20" t="s">
        <v>30</v>
      </c>
      <c r="K115" s="27">
        <f>(IF(C106&gt;3,(F106/(C106+2)+K114),0))</f>
        <v>0</v>
      </c>
    </row>
    <row r="116" spans="2:11" ht="15.75" x14ac:dyDescent="0.25">
      <c r="B116" s="193" t="s">
        <v>31</v>
      </c>
      <c r="C116" s="194"/>
      <c r="D116" s="22">
        <v>7</v>
      </c>
      <c r="E116" s="23">
        <f ca="1">((100/F106)*D116)/100</f>
        <v>1</v>
      </c>
      <c r="F116" s="197"/>
      <c r="G116" s="197"/>
      <c r="H116" s="197"/>
      <c r="I116" s="199"/>
      <c r="J116" s="20" t="s">
        <v>32</v>
      </c>
      <c r="K116" s="26">
        <f>(IF(C106&gt;4,(F106/(C106+2)+K115),0))</f>
        <v>0</v>
      </c>
    </row>
    <row r="117" spans="2:11" ht="15.75" x14ac:dyDescent="0.25">
      <c r="B117" s="193" t="s">
        <v>33</v>
      </c>
      <c r="C117" s="194" t="s">
        <v>33</v>
      </c>
      <c r="D117" s="22">
        <v>7</v>
      </c>
      <c r="E117" s="23">
        <f ca="1">((100/(F106))*D117)/100</f>
        <v>1</v>
      </c>
      <c r="F117" s="197"/>
      <c r="G117" s="197"/>
      <c r="H117" s="197"/>
      <c r="I117" s="199"/>
      <c r="J117" s="20" t="s">
        <v>34</v>
      </c>
      <c r="K117" s="26">
        <f ca="1">(IF(C106=1,(F106/(C106+3)+K112),IF(C106=0,(F106/4+K112),IF(C106&gt;1,0))))</f>
        <v>5.25</v>
      </c>
    </row>
    <row r="118" spans="2:11" ht="16.5" thickBot="1" x14ac:dyDescent="0.3">
      <c r="B118" s="195" t="s">
        <v>35</v>
      </c>
      <c r="C118" s="196"/>
      <c r="D118" s="28">
        <v>7</v>
      </c>
      <c r="E118" s="29">
        <f ca="1">((100/(F106))*D118)/100</f>
        <v>1</v>
      </c>
      <c r="F118" s="198"/>
      <c r="G118" s="198"/>
      <c r="H118" s="198"/>
      <c r="I118" s="200"/>
      <c r="J118" s="30" t="s">
        <v>36</v>
      </c>
      <c r="K118" s="31">
        <f ca="1">(IF(C106&gt;1.5,(F106/(C106+2)+K112+MAX(0,K113-K112)+MAX(0,K114-K113)+MAX(0,K115-K114)+MAX(0,K116-K115)+MAX(0,K117-K116)),IF(C106=1,(F106/(C106+3)+K117),IF(C106=0,F106/4+K117))))</f>
        <v>7</v>
      </c>
    </row>
    <row r="124" spans="2:11" x14ac:dyDescent="0.25">
      <c r="B124" t="str">
        <f>(IF(E125&gt;99%,"All work completed. Please provide OC.",IF(E125&gt;89.8%,"Plinth, RCC, Brick, Plaster, Flooring, Painting work Completed. Finishing work is in process.",IF(E125&lt;94%,(IF(C125=0,"Work not yet Started.",IF(D125=25%,"Piling work in process",IF(D125=50%,"Excavation work in process",IF(D125=100%,"Excavation work Completed. ","0")))&amp;(IF(C126=0%,"",IF(C126=H127,"Footing work is process",IF(C126=H128,"Footing work Completed",IF(C126=H129,"1st Basement Completed",IF(C126=H130,"1st &amp; 2nd Basement Completed",IF(C126=H131,"1st to 3rd Basement Completed",IF(C126=H132,"1st to 4th Basement Completed",IF(C126=H133,"Plinth work is process",IF(C126=H134,"Plinth work completed","0")))))))))))&amp;(IF(C127=(D122+E122+F122),", RCC Slab",IF(C127&gt;0,", RCC upto "&amp;C127&amp;" Slab",""))&amp;(IF(C128=F122,", Brickwork",IF(C128&gt;0,", Brickwork upto "&amp;C128&amp;" Floor",""))&amp;(IF(C129=F122,", Internal Plaster",IF(C129&gt;0,", Internal Plaster upto "&amp;C129&amp;" Floor",""))&amp;(IF(C130=F122,", External Plaster",IF(C130&gt;0,", External Plaster upto "&amp;C130&amp;" Floor",""))&amp;(IF(C131=F122,", Flooring",IF(C131&gt;0,", Flooring upto "&amp;C131&amp;" Floor",""))&amp;(IF(C132=F122,", Painting",IF(C132&gt;0,", Painting upto "&amp;C132&amp;" Floor",""))&amp;(IF(C133&gt;0,", Finishing upto "&amp;C133&amp;" Floor","")&amp;(IF(C127&gt;0.5," Completed",""))))))))))))))</f>
        <v>Work not yet Started., RCC Slab, Brickwork, Internal Plaster, External Plaster, Flooring, Painting</v>
      </c>
    </row>
    <row r="131" spans="2:2" x14ac:dyDescent="0.25">
      <c r="B131" t="str">
        <f>(IF(E128&gt;99%,"All work completed. Please provide OC.",IF(E128&gt;89.8%,"Plinth, RCC, Brick, Plaster, Flooring, Painting work Completed. Finishing work is in process.",IF(E128&lt;94%,(IF(C128=0,"Work not yet Started.",IF(D128=25%,"Piling work in process",IF(D128=50%,"Excavation work in process",IF(D128=100%,"Excavation work Completed. ","0")))&amp;(IF(C129=0%,"",IF(C129=H130,"Footing work is process",IF(C129=H131,"Footing work Completed",IF(C129=H132,"1st Basement Completed",IF(C129=H133,"1st &amp; 2nd Basement Completed",IF(C129=H134,"1st to 3rd Basement Completed",IF(C129=H135,"1st to 4th Basement Completed",IF(C129=H136,"Plinth work is process",IF(C129=H137,"Plinth work completed","0")))))))))))&amp;(IF(C130=(D125+E125+F125),", RCC Slab",IF(C130&gt;0,", RCC upto "&amp;C130&amp;" Slab",""))&amp;(IF(C131=F125,", Brickwork",IF(C131&gt;0,", Brickwork upto "&amp;C131&amp;" Floor",""))&amp;(IF(C132=F125,", Internal Plaster",IF(C132&gt;0,", Internal Plaster upto "&amp;C132&amp;" Floor",""))&amp;(IF(C133=F125,", External Plaster",IF(C133&gt;0,", External Plaster upto "&amp;C133&amp;" Floor",""))&amp;(IF(C134=F125,", Flooring",IF(C134&gt;0,", Flooring upto "&amp;C134&amp;" Floor",""))&amp;(IF(C135=F125,", Painting",IF(C135&gt;0,", Painting upto "&amp;C135&amp;" Floor",""))&amp;(IF(C136&gt;0,", Finishing upto "&amp;C136&amp;" Floor","")&amp;(IF(C130&gt;0.5," Completed",""))))))))))))))</f>
        <v>Work not yet Started., RCC Slab, Brickwork, Internal Plaster, External Plaster, Flooring, Painting</v>
      </c>
    </row>
  </sheetData>
  <mergeCells count="19">
    <mergeCell ref="B105:C105"/>
    <mergeCell ref="D105:I105"/>
    <mergeCell ref="B107:C107"/>
    <mergeCell ref="D107:I107"/>
    <mergeCell ref="B108:C108"/>
    <mergeCell ref="F108:G108"/>
    <mergeCell ref="H108:I108"/>
    <mergeCell ref="B117:C117"/>
    <mergeCell ref="B118:C118"/>
    <mergeCell ref="B109:C109"/>
    <mergeCell ref="F109:G118"/>
    <mergeCell ref="H109:I118"/>
    <mergeCell ref="B110:C110"/>
    <mergeCell ref="B111:C111"/>
    <mergeCell ref="B112:C112"/>
    <mergeCell ref="B113:C113"/>
    <mergeCell ref="B114:C114"/>
    <mergeCell ref="B115:C115"/>
    <mergeCell ref="B116:C1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</dc:creator>
  <cp:lastModifiedBy>VSJC</cp:lastModifiedBy>
  <cp:lastPrinted>2025-07-17T07:19:00Z</cp:lastPrinted>
  <dcterms:created xsi:type="dcterms:W3CDTF">2023-05-19T08:34:56Z</dcterms:created>
  <dcterms:modified xsi:type="dcterms:W3CDTF">2025-07-17T07:22:02Z</dcterms:modified>
</cp:coreProperties>
</file>