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Shruti\July 25\Old\RBL\"/>
    </mc:Choice>
  </mc:AlternateContent>
  <bookViews>
    <workbookView xWindow="0" yWindow="0" windowWidth="20490" windowHeight="7755"/>
  </bookViews>
  <sheets>
    <sheet name="Sheet1" sheetId="1" r:id="rId1"/>
    <sheet name="Sheet2" sheetId="2" r:id="rId2"/>
  </sheets>
  <definedNames>
    <definedName name="_xlnm.Print_Area" localSheetId="0">Sheet1!$A$1:$F$865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29" i="1" l="1"/>
  <c r="A728" i="1"/>
  <c r="H142" i="1"/>
  <c r="H155" i="1"/>
  <c r="F145" i="1"/>
  <c r="F132" i="1"/>
  <c r="H143" i="1" l="1"/>
  <c r="C135" i="1" s="1"/>
  <c r="E135" i="1" s="1"/>
  <c r="D143" i="1"/>
  <c r="D139" i="1"/>
  <c r="H136" i="1"/>
  <c r="D140" i="1"/>
  <c r="D142" i="1"/>
  <c r="D138" i="1"/>
  <c r="H137" i="1"/>
  <c r="H138" i="1" s="1"/>
  <c r="H139" i="1" s="1"/>
  <c r="H140" i="1" s="1"/>
  <c r="H141" i="1" s="1"/>
  <c r="D141" i="1"/>
  <c r="D137" i="1"/>
  <c r="D136" i="1"/>
  <c r="H156" i="1"/>
  <c r="C148" i="1" s="1"/>
  <c r="E148" i="1" s="1"/>
  <c r="D156" i="1"/>
  <c r="D152" i="1"/>
  <c r="D155" i="1"/>
  <c r="D151" i="1"/>
  <c r="H150" i="1"/>
  <c r="H151" i="1" s="1"/>
  <c r="H152" i="1" s="1"/>
  <c r="H153" i="1" s="1"/>
  <c r="H154" i="1" s="1"/>
  <c r="D154" i="1"/>
  <c r="D150" i="1"/>
  <c r="H149" i="1"/>
  <c r="D153" i="1"/>
  <c r="D149" i="1"/>
  <c r="G131" i="1" l="1"/>
  <c r="B133" i="1" s="1"/>
  <c r="G144" i="1"/>
  <c r="B146" i="1" s="1"/>
  <c r="D135" i="1"/>
  <c r="D148" i="1"/>
  <c r="A720" i="1" l="1"/>
  <c r="A721" i="1" s="1"/>
  <c r="A722" i="1" s="1"/>
  <c r="A723" i="1" s="1"/>
  <c r="A724" i="1" s="1"/>
  <c r="A725" i="1" s="1"/>
  <c r="A726" i="1" l="1"/>
  <c r="J122" i="1"/>
  <c r="A727" i="1" l="1"/>
  <c r="A730" i="1" s="1"/>
  <c r="C58" i="1" l="1"/>
  <c r="G62" i="1"/>
  <c r="C60" i="1"/>
  <c r="C690" i="1" l="1"/>
  <c r="C689" i="1"/>
  <c r="C688" i="1"/>
  <c r="F688" i="1" s="1"/>
  <c r="C687" i="1"/>
  <c r="C684" i="1"/>
  <c r="C683" i="1"/>
  <c r="C682" i="1"/>
  <c r="C681" i="1"/>
  <c r="C678" i="1"/>
  <c r="C677" i="1"/>
  <c r="C676" i="1"/>
  <c r="C674" i="1"/>
  <c r="C672" i="1"/>
  <c r="C671" i="1"/>
  <c r="C670" i="1"/>
  <c r="C668" i="1"/>
  <c r="C666" i="1"/>
  <c r="C665" i="1"/>
  <c r="C664" i="1"/>
  <c r="C663" i="1"/>
  <c r="C662" i="1"/>
  <c r="C660" i="1"/>
  <c r="C659" i="1"/>
  <c r="C658" i="1"/>
  <c r="C657" i="1"/>
  <c r="C656" i="1"/>
  <c r="C654" i="1"/>
  <c r="C653" i="1"/>
  <c r="C652" i="1"/>
  <c r="C650" i="1"/>
  <c r="C647" i="1"/>
  <c r="C646" i="1"/>
  <c r="C645" i="1"/>
  <c r="C641" i="1"/>
  <c r="C640" i="1"/>
  <c r="C639" i="1"/>
  <c r="C638" i="1"/>
  <c r="C637" i="1"/>
  <c r="C635" i="1"/>
  <c r="C634" i="1"/>
  <c r="C633" i="1"/>
  <c r="C632" i="1"/>
  <c r="C631" i="1"/>
  <c r="C629" i="1"/>
  <c r="C628" i="1"/>
  <c r="C627" i="1"/>
  <c r="C626" i="1"/>
  <c r="C625" i="1"/>
  <c r="C623" i="1"/>
  <c r="C622" i="1"/>
  <c r="C621" i="1"/>
  <c r="C619" i="1"/>
  <c r="C617" i="1"/>
  <c r="C616" i="1"/>
  <c r="C615" i="1"/>
  <c r="C614" i="1"/>
  <c r="C613" i="1"/>
  <c r="C611" i="1"/>
  <c r="C610" i="1"/>
  <c r="C609" i="1"/>
  <c r="C608" i="1"/>
  <c r="C605" i="1"/>
  <c r="C604" i="1"/>
  <c r="C603" i="1"/>
  <c r="C599" i="1"/>
  <c r="C598" i="1"/>
  <c r="C597" i="1"/>
  <c r="C592" i="1"/>
  <c r="C591" i="1"/>
  <c r="C590" i="1"/>
  <c r="C587" i="1"/>
  <c r="C586" i="1"/>
  <c r="C585" i="1"/>
  <c r="C581" i="1"/>
  <c r="C580" i="1"/>
  <c r="C576" i="1"/>
  <c r="C575" i="1"/>
  <c r="C572" i="1"/>
  <c r="C571" i="1"/>
  <c r="C570" i="1"/>
  <c r="C567" i="1"/>
  <c r="C566" i="1"/>
  <c r="C565" i="1"/>
  <c r="C561" i="1"/>
  <c r="C560" i="1"/>
  <c r="C555" i="1"/>
  <c r="C554" i="1"/>
  <c r="C551" i="1"/>
  <c r="C550" i="1"/>
  <c r="C549" i="1"/>
  <c r="C546" i="1"/>
  <c r="C545" i="1"/>
  <c r="C544" i="1"/>
  <c r="C541" i="1"/>
  <c r="C540" i="1"/>
  <c r="C539" i="1"/>
  <c r="C535" i="1"/>
  <c r="C534" i="1"/>
  <c r="C531" i="1"/>
  <c r="C530" i="1"/>
  <c r="C529" i="1"/>
  <c r="C526" i="1"/>
  <c r="C525" i="1"/>
  <c r="C524" i="1"/>
  <c r="C520" i="1"/>
  <c r="C519" i="1"/>
  <c r="C515" i="1"/>
  <c r="C514" i="1"/>
  <c r="C463" i="1"/>
  <c r="G254" i="1"/>
  <c r="F687" i="1"/>
  <c r="F689" i="1"/>
  <c r="F690" i="1"/>
  <c r="D690" i="1"/>
  <c r="A687" i="1"/>
  <c r="A688" i="1" s="1"/>
  <c r="A689" i="1" s="1"/>
  <c r="A690" i="1" s="1"/>
  <c r="D592" i="1"/>
  <c r="F591" i="1"/>
  <c r="F590" i="1"/>
  <c r="A590" i="1"/>
  <c r="A591" i="1" s="1"/>
  <c r="A592" i="1" s="1"/>
  <c r="D533" i="1"/>
  <c r="F533" i="1"/>
  <c r="D559" i="1"/>
  <c r="F559" i="1"/>
  <c r="D574" i="1"/>
  <c r="F574" i="1"/>
  <c r="C508" i="1"/>
  <c r="C507" i="1"/>
  <c r="C506" i="1"/>
  <c r="C504" i="1"/>
  <c r="C503" i="1"/>
  <c r="C502" i="1"/>
  <c r="C499" i="1"/>
  <c r="C498" i="1"/>
  <c r="C497" i="1"/>
  <c r="C494" i="1"/>
  <c r="C493" i="1"/>
  <c r="C492" i="1"/>
  <c r="C491" i="1"/>
  <c r="C489" i="1"/>
  <c r="C488" i="1"/>
  <c r="C487" i="1"/>
  <c r="C486" i="1"/>
  <c r="C484" i="1"/>
  <c r="C483" i="1"/>
  <c r="C482" i="1"/>
  <c r="C477" i="1"/>
  <c r="C476" i="1"/>
  <c r="C473" i="1"/>
  <c r="C472" i="1"/>
  <c r="C471" i="1"/>
  <c r="C470" i="1"/>
  <c r="C468" i="1"/>
  <c r="C467" i="1"/>
  <c r="C466" i="1"/>
  <c r="C465" i="1"/>
  <c r="C462" i="1"/>
  <c r="C461" i="1"/>
  <c r="C460" i="1"/>
  <c r="C458" i="1"/>
  <c r="C457" i="1"/>
  <c r="C456" i="1"/>
  <c r="C453" i="1"/>
  <c r="C452" i="1"/>
  <c r="C451" i="1"/>
  <c r="C450" i="1"/>
  <c r="C447" i="1"/>
  <c r="C446" i="1"/>
  <c r="C445" i="1"/>
  <c r="C442" i="1"/>
  <c r="C441" i="1"/>
  <c r="C437" i="1"/>
  <c r="C436" i="1"/>
  <c r="C206" i="1" l="1"/>
  <c r="B205" i="1"/>
  <c r="B206" i="1"/>
  <c r="B207" i="1"/>
  <c r="C207" i="1"/>
  <c r="C205" i="1"/>
  <c r="D688" i="1"/>
  <c r="D689" i="1"/>
  <c r="D687" i="1"/>
  <c r="F592" i="1"/>
  <c r="D590" i="1"/>
  <c r="D591" i="1"/>
  <c r="C430" i="1"/>
  <c r="C429" i="1"/>
  <c r="F429" i="1" s="1"/>
  <c r="C428" i="1"/>
  <c r="F428" i="1" s="1"/>
  <c r="C427" i="1"/>
  <c r="D427" i="1" s="1"/>
  <c r="C426" i="1"/>
  <c r="F426" i="1" s="1"/>
  <c r="C424" i="1"/>
  <c r="D424" i="1" s="1"/>
  <c r="C422" i="1"/>
  <c r="F422" i="1" s="1"/>
  <c r="C421" i="1"/>
  <c r="D421" i="1" s="1"/>
  <c r="C420" i="1"/>
  <c r="F420" i="1" s="1"/>
  <c r="C419" i="1"/>
  <c r="F419" i="1" s="1"/>
  <c r="C417" i="1"/>
  <c r="D417" i="1" s="1"/>
  <c r="C415" i="1"/>
  <c r="F415" i="1" s="1"/>
  <c r="C414" i="1"/>
  <c r="F414" i="1" s="1"/>
  <c r="C413" i="1"/>
  <c r="F413" i="1" s="1"/>
  <c r="C412" i="1"/>
  <c r="F412" i="1" s="1"/>
  <c r="C410" i="1"/>
  <c r="F410" i="1" s="1"/>
  <c r="C409" i="1"/>
  <c r="F409" i="1" s="1"/>
  <c r="C408" i="1"/>
  <c r="F408" i="1" s="1"/>
  <c r="C407" i="1"/>
  <c r="F407" i="1" s="1"/>
  <c r="C406" i="1"/>
  <c r="F406" i="1" s="1"/>
  <c r="C405" i="1"/>
  <c r="F405" i="1" s="1"/>
  <c r="C403" i="1"/>
  <c r="F403" i="1" s="1"/>
  <c r="C402" i="1"/>
  <c r="C401" i="1"/>
  <c r="F401" i="1" s="1"/>
  <c r="I401" i="1" s="1"/>
  <c r="C400" i="1"/>
  <c r="D400" i="1" s="1"/>
  <c r="C399" i="1"/>
  <c r="F399" i="1" s="1"/>
  <c r="C398" i="1"/>
  <c r="F398" i="1" s="1"/>
  <c r="C396" i="1"/>
  <c r="F396" i="1" s="1"/>
  <c r="C394" i="1"/>
  <c r="F394" i="1" s="1"/>
  <c r="C393" i="1"/>
  <c r="F393" i="1" s="1"/>
  <c r="C392" i="1"/>
  <c r="F392" i="1" s="1"/>
  <c r="C391" i="1"/>
  <c r="F391" i="1" s="1"/>
  <c r="C386" i="1"/>
  <c r="D386" i="1" s="1"/>
  <c r="C385" i="1"/>
  <c r="F385" i="1" s="1"/>
  <c r="C384" i="1"/>
  <c r="D384" i="1" s="1"/>
  <c r="C383" i="1"/>
  <c r="F383" i="1" s="1"/>
  <c r="C381" i="1"/>
  <c r="D381" i="1" s="1"/>
  <c r="C380" i="1"/>
  <c r="F380" i="1" s="1"/>
  <c r="C379" i="1"/>
  <c r="F379" i="1" s="1"/>
  <c r="C378" i="1"/>
  <c r="D378" i="1" s="1"/>
  <c r="C377" i="1"/>
  <c r="F377" i="1" s="1"/>
  <c r="C376" i="1"/>
  <c r="F376" i="1" s="1"/>
  <c r="C374" i="1"/>
  <c r="D374" i="1" s="1"/>
  <c r="C373" i="1"/>
  <c r="F373" i="1" s="1"/>
  <c r="C372" i="1"/>
  <c r="F372" i="1" s="1"/>
  <c r="C371" i="1"/>
  <c r="F371" i="1" s="1"/>
  <c r="C370" i="1"/>
  <c r="F370" i="1" s="1"/>
  <c r="C369" i="1"/>
  <c r="C367" i="1"/>
  <c r="F367" i="1" s="1"/>
  <c r="C366" i="1"/>
  <c r="F366" i="1" s="1"/>
  <c r="C365" i="1"/>
  <c r="F365" i="1" s="1"/>
  <c r="C364" i="1"/>
  <c r="F364" i="1" s="1"/>
  <c r="C363" i="1"/>
  <c r="F363" i="1" s="1"/>
  <c r="C362" i="1"/>
  <c r="F362" i="1" s="1"/>
  <c r="C360" i="1"/>
  <c r="F360" i="1" s="1"/>
  <c r="C358" i="1"/>
  <c r="F358" i="1" s="1"/>
  <c r="C357" i="1"/>
  <c r="D357" i="1" s="1"/>
  <c r="C356" i="1"/>
  <c r="D356" i="1" s="1"/>
  <c r="C355" i="1"/>
  <c r="F355" i="1" s="1"/>
  <c r="C353" i="1"/>
  <c r="F353" i="1" s="1"/>
  <c r="C352" i="1"/>
  <c r="F352" i="1" s="1"/>
  <c r="C351" i="1"/>
  <c r="D351" i="1" s="1"/>
  <c r="C350" i="1"/>
  <c r="C349" i="1"/>
  <c r="F349" i="1" s="1"/>
  <c r="C348" i="1"/>
  <c r="F348" i="1" s="1"/>
  <c r="C345" i="1"/>
  <c r="F345" i="1" s="1"/>
  <c r="C344" i="1"/>
  <c r="F344" i="1" s="1"/>
  <c r="C343" i="1"/>
  <c r="D343" i="1" s="1"/>
  <c r="C342" i="1"/>
  <c r="F342" i="1" s="1"/>
  <c r="C341" i="1"/>
  <c r="D341" i="1" s="1"/>
  <c r="C337" i="1"/>
  <c r="C336" i="1"/>
  <c r="D336" i="1" s="1"/>
  <c r="C335" i="1"/>
  <c r="C334" i="1"/>
  <c r="D334" i="1" s="1"/>
  <c r="C330" i="1"/>
  <c r="D330" i="1" s="1"/>
  <c r="C329" i="1"/>
  <c r="F329" i="1" s="1"/>
  <c r="C328" i="1"/>
  <c r="F328" i="1" s="1"/>
  <c r="C327" i="1"/>
  <c r="D402" i="1"/>
  <c r="F684" i="1"/>
  <c r="D684" i="1"/>
  <c r="F683" i="1"/>
  <c r="D683" i="1"/>
  <c r="F682" i="1"/>
  <c r="D682" i="1"/>
  <c r="F681" i="1"/>
  <c r="D681" i="1"/>
  <c r="A681" i="1"/>
  <c r="A682" i="1" s="1"/>
  <c r="A683" i="1" s="1"/>
  <c r="A684" i="1" s="1"/>
  <c r="F678" i="1"/>
  <c r="D678" i="1"/>
  <c r="F677" i="1"/>
  <c r="D677" i="1"/>
  <c r="F676" i="1"/>
  <c r="D676" i="1"/>
  <c r="A675" i="1"/>
  <c r="A676" i="1" s="1"/>
  <c r="A677" i="1" s="1"/>
  <c r="A678" i="1" s="1"/>
  <c r="F674" i="1"/>
  <c r="D674" i="1"/>
  <c r="F672" i="1"/>
  <c r="D672" i="1"/>
  <c r="F671" i="1"/>
  <c r="D671" i="1"/>
  <c r="F670" i="1"/>
  <c r="D670" i="1"/>
  <c r="A669" i="1"/>
  <c r="A670" i="1" s="1"/>
  <c r="A671" i="1" s="1"/>
  <c r="A672" i="1" s="1"/>
  <c r="F668" i="1"/>
  <c r="D668" i="1"/>
  <c r="F666" i="1"/>
  <c r="D666" i="1"/>
  <c r="F665" i="1"/>
  <c r="I665" i="1" s="1"/>
  <c r="D665" i="1"/>
  <c r="F664" i="1"/>
  <c r="I664" i="1" s="1"/>
  <c r="D664" i="1"/>
  <c r="F663" i="1"/>
  <c r="D663" i="1"/>
  <c r="A663" i="1"/>
  <c r="A664" i="1" s="1"/>
  <c r="A665" i="1" s="1"/>
  <c r="A666" i="1" s="1"/>
  <c r="F662" i="1"/>
  <c r="D662" i="1"/>
  <c r="G661" i="1"/>
  <c r="F660" i="1"/>
  <c r="D660" i="1"/>
  <c r="F659" i="1"/>
  <c r="D659" i="1"/>
  <c r="F658" i="1"/>
  <c r="D658" i="1"/>
  <c r="F657" i="1"/>
  <c r="D657" i="1"/>
  <c r="A657" i="1"/>
  <c r="A658" i="1" s="1"/>
  <c r="A659" i="1" s="1"/>
  <c r="A660" i="1" s="1"/>
  <c r="F656" i="1"/>
  <c r="D656" i="1"/>
  <c r="F654" i="1"/>
  <c r="D654" i="1"/>
  <c r="F653" i="1"/>
  <c r="D653" i="1"/>
  <c r="F652" i="1"/>
  <c r="D652" i="1"/>
  <c r="A651" i="1"/>
  <c r="A652" i="1" s="1"/>
  <c r="A653" i="1" s="1"/>
  <c r="A654" i="1" s="1"/>
  <c r="F650" i="1"/>
  <c r="D650" i="1"/>
  <c r="F647" i="1"/>
  <c r="D647" i="1"/>
  <c r="F646" i="1"/>
  <c r="D646" i="1"/>
  <c r="F645" i="1"/>
  <c r="D645" i="1"/>
  <c r="A644" i="1"/>
  <c r="A645" i="1" s="1"/>
  <c r="A646" i="1" s="1"/>
  <c r="A647" i="1" s="1"/>
  <c r="F641" i="1"/>
  <c r="D641" i="1"/>
  <c r="F640" i="1"/>
  <c r="D640" i="1"/>
  <c r="F639" i="1"/>
  <c r="D639" i="1"/>
  <c r="F638" i="1"/>
  <c r="D638" i="1"/>
  <c r="A638" i="1"/>
  <c r="A639" i="1" s="1"/>
  <c r="A640" i="1" s="1"/>
  <c r="A641" i="1" s="1"/>
  <c r="F637" i="1"/>
  <c r="D637" i="1"/>
  <c r="F635" i="1"/>
  <c r="D635" i="1"/>
  <c r="F634" i="1"/>
  <c r="D634" i="1"/>
  <c r="F633" i="1"/>
  <c r="D633" i="1"/>
  <c r="F632" i="1"/>
  <c r="D632" i="1"/>
  <c r="A632" i="1"/>
  <c r="A633" i="1" s="1"/>
  <c r="A634" i="1" s="1"/>
  <c r="A635" i="1" s="1"/>
  <c r="F631" i="1"/>
  <c r="D631" i="1"/>
  <c r="G630" i="1"/>
  <c r="F629" i="1"/>
  <c r="D629" i="1"/>
  <c r="F628" i="1"/>
  <c r="D628" i="1"/>
  <c r="F627" i="1"/>
  <c r="D627" i="1"/>
  <c r="F626" i="1"/>
  <c r="D626" i="1"/>
  <c r="A626" i="1"/>
  <c r="A627" i="1" s="1"/>
  <c r="A628" i="1" s="1"/>
  <c r="A629" i="1" s="1"/>
  <c r="F625" i="1"/>
  <c r="D625" i="1"/>
  <c r="F623" i="1"/>
  <c r="D623" i="1"/>
  <c r="F622" i="1"/>
  <c r="D622" i="1"/>
  <c r="F621" i="1"/>
  <c r="D621" i="1"/>
  <c r="A620" i="1"/>
  <c r="A621" i="1" s="1"/>
  <c r="A622" i="1" s="1"/>
  <c r="A623" i="1" s="1"/>
  <c r="F619" i="1"/>
  <c r="D619" i="1"/>
  <c r="F617" i="1"/>
  <c r="D617" i="1"/>
  <c r="F616" i="1"/>
  <c r="D616" i="1"/>
  <c r="F615" i="1"/>
  <c r="D615" i="1"/>
  <c r="F614" i="1"/>
  <c r="D614" i="1"/>
  <c r="A614" i="1"/>
  <c r="A615" i="1" s="1"/>
  <c r="A616" i="1" s="1"/>
  <c r="A617" i="1" s="1"/>
  <c r="F613" i="1"/>
  <c r="D613" i="1"/>
  <c r="F611" i="1"/>
  <c r="D611" i="1"/>
  <c r="F610" i="1"/>
  <c r="D610" i="1"/>
  <c r="F609" i="1"/>
  <c r="D609" i="1"/>
  <c r="F608" i="1"/>
  <c r="D608" i="1"/>
  <c r="A608" i="1"/>
  <c r="A609" i="1" s="1"/>
  <c r="A610" i="1" s="1"/>
  <c r="A611" i="1" s="1"/>
  <c r="F605" i="1"/>
  <c r="D605" i="1"/>
  <c r="F604" i="1"/>
  <c r="D604" i="1"/>
  <c r="F603" i="1"/>
  <c r="D603" i="1"/>
  <c r="A602" i="1"/>
  <c r="A603" i="1" s="1"/>
  <c r="A604" i="1" s="1"/>
  <c r="A605" i="1" s="1"/>
  <c r="F599" i="1"/>
  <c r="D599" i="1"/>
  <c r="F598" i="1"/>
  <c r="D598" i="1"/>
  <c r="F597" i="1"/>
  <c r="D597" i="1"/>
  <c r="A596" i="1"/>
  <c r="A597" i="1" s="1"/>
  <c r="A598" i="1" s="1"/>
  <c r="A599" i="1" s="1"/>
  <c r="F587" i="1"/>
  <c r="D587" i="1"/>
  <c r="F586" i="1"/>
  <c r="D586" i="1"/>
  <c r="F585" i="1"/>
  <c r="D585" i="1"/>
  <c r="A585" i="1"/>
  <c r="A586" i="1" s="1"/>
  <c r="A587" i="1" s="1"/>
  <c r="F581" i="1"/>
  <c r="D581" i="1"/>
  <c r="F580" i="1"/>
  <c r="D580" i="1"/>
  <c r="A580" i="1"/>
  <c r="A581" i="1" s="1"/>
  <c r="A582" i="1" s="1"/>
  <c r="F579" i="1"/>
  <c r="D579" i="1"/>
  <c r="F576" i="1"/>
  <c r="D576" i="1"/>
  <c r="F575" i="1"/>
  <c r="D575" i="1"/>
  <c r="A575" i="1"/>
  <c r="A576" i="1" s="1"/>
  <c r="A577" i="1" s="1"/>
  <c r="F572" i="1"/>
  <c r="D572" i="1"/>
  <c r="F571" i="1"/>
  <c r="D571" i="1"/>
  <c r="F570" i="1"/>
  <c r="D570" i="1"/>
  <c r="A570" i="1"/>
  <c r="A571" i="1" s="1"/>
  <c r="A572" i="1" s="1"/>
  <c r="F569" i="1"/>
  <c r="D569" i="1"/>
  <c r="G568" i="1"/>
  <c r="F567" i="1"/>
  <c r="D567" i="1"/>
  <c r="F566" i="1"/>
  <c r="D566" i="1"/>
  <c r="F565" i="1"/>
  <c r="D565" i="1"/>
  <c r="A565" i="1"/>
  <c r="A566" i="1" s="1"/>
  <c r="A567" i="1" s="1"/>
  <c r="F564" i="1"/>
  <c r="D564" i="1"/>
  <c r="F561" i="1"/>
  <c r="D561" i="1"/>
  <c r="F560" i="1"/>
  <c r="D560" i="1"/>
  <c r="A560" i="1"/>
  <c r="A561" i="1" s="1"/>
  <c r="A562" i="1" s="1"/>
  <c r="F555" i="1"/>
  <c r="D555" i="1"/>
  <c r="F554" i="1"/>
  <c r="D554" i="1"/>
  <c r="A554" i="1"/>
  <c r="A555" i="1" s="1"/>
  <c r="A556" i="1" s="1"/>
  <c r="F551" i="1"/>
  <c r="D551" i="1"/>
  <c r="F550" i="1"/>
  <c r="D550" i="1"/>
  <c r="F549" i="1"/>
  <c r="D549" i="1"/>
  <c r="A549" i="1"/>
  <c r="A550" i="1" s="1"/>
  <c r="A551" i="1" s="1"/>
  <c r="F548" i="1"/>
  <c r="D548" i="1"/>
  <c r="F546" i="1"/>
  <c r="D546" i="1"/>
  <c r="F545" i="1"/>
  <c r="D545" i="1"/>
  <c r="F544" i="1"/>
  <c r="D544" i="1"/>
  <c r="A544" i="1"/>
  <c r="A545" i="1" s="1"/>
  <c r="A546" i="1" s="1"/>
  <c r="F543" i="1"/>
  <c r="D543" i="1"/>
  <c r="G542" i="1"/>
  <c r="F541" i="1"/>
  <c r="D541" i="1"/>
  <c r="F540" i="1"/>
  <c r="D540" i="1"/>
  <c r="F539" i="1"/>
  <c r="D539" i="1"/>
  <c r="A539" i="1"/>
  <c r="A540" i="1" s="1"/>
  <c r="A541" i="1" s="1"/>
  <c r="F538" i="1"/>
  <c r="D538" i="1"/>
  <c r="F535" i="1"/>
  <c r="D535" i="1"/>
  <c r="F534" i="1"/>
  <c r="D534" i="1"/>
  <c r="A534" i="1"/>
  <c r="A535" i="1" s="1"/>
  <c r="A536" i="1" s="1"/>
  <c r="F531" i="1"/>
  <c r="D531" i="1"/>
  <c r="F530" i="1"/>
  <c r="D530" i="1"/>
  <c r="F529" i="1"/>
  <c r="D529" i="1"/>
  <c r="A529" i="1"/>
  <c r="A530" i="1" s="1"/>
  <c r="A531" i="1" s="1"/>
  <c r="F528" i="1"/>
  <c r="D528" i="1"/>
  <c r="F526" i="1"/>
  <c r="D526" i="1"/>
  <c r="F525" i="1"/>
  <c r="D525" i="1"/>
  <c r="F524" i="1"/>
  <c r="D524" i="1"/>
  <c r="A524" i="1"/>
  <c r="A525" i="1" s="1"/>
  <c r="A526" i="1" s="1"/>
  <c r="F520" i="1"/>
  <c r="J521" i="1" s="1"/>
  <c r="D520" i="1"/>
  <c r="F519" i="1"/>
  <c r="K520" i="1" s="1"/>
  <c r="J520" i="1" s="1"/>
  <c r="D519" i="1"/>
  <c r="A519" i="1"/>
  <c r="A520" i="1" s="1"/>
  <c r="A521" i="1" s="1"/>
  <c r="F515" i="1"/>
  <c r="D515" i="1"/>
  <c r="F514" i="1"/>
  <c r="D514" i="1"/>
  <c r="A514" i="1"/>
  <c r="A515" i="1" s="1"/>
  <c r="A516" i="1" s="1"/>
  <c r="F508" i="1"/>
  <c r="D508" i="1"/>
  <c r="F507" i="1"/>
  <c r="D507" i="1"/>
  <c r="A507" i="1"/>
  <c r="A508" i="1" s="1"/>
  <c r="A509" i="1" s="1"/>
  <c r="F506" i="1"/>
  <c r="D506" i="1"/>
  <c r="F504" i="1"/>
  <c r="D504" i="1"/>
  <c r="F503" i="1"/>
  <c r="D503" i="1"/>
  <c r="F502" i="1"/>
  <c r="D502" i="1"/>
  <c r="A502" i="1"/>
  <c r="A503" i="1" s="1"/>
  <c r="A504" i="1" s="1"/>
  <c r="F499" i="1"/>
  <c r="D499" i="1"/>
  <c r="F498" i="1"/>
  <c r="D498" i="1"/>
  <c r="F497" i="1"/>
  <c r="D497" i="1"/>
  <c r="A497" i="1"/>
  <c r="A498" i="1" s="1"/>
  <c r="A499" i="1" s="1"/>
  <c r="F494" i="1"/>
  <c r="D494" i="1"/>
  <c r="F493" i="1"/>
  <c r="D493" i="1"/>
  <c r="F492" i="1"/>
  <c r="D492" i="1"/>
  <c r="A492" i="1"/>
  <c r="A493" i="1" s="1"/>
  <c r="A494" i="1" s="1"/>
  <c r="F491" i="1"/>
  <c r="D491" i="1"/>
  <c r="G490" i="1"/>
  <c r="F489" i="1"/>
  <c r="D489" i="1"/>
  <c r="F488" i="1"/>
  <c r="D488" i="1"/>
  <c r="F487" i="1"/>
  <c r="D487" i="1"/>
  <c r="A487" i="1"/>
  <c r="A488" i="1" s="1"/>
  <c r="A489" i="1" s="1"/>
  <c r="F486" i="1"/>
  <c r="D486" i="1"/>
  <c r="F484" i="1"/>
  <c r="D484" i="1"/>
  <c r="F483" i="1"/>
  <c r="D483" i="1"/>
  <c r="F482" i="1"/>
  <c r="D482" i="1"/>
  <c r="A482" i="1"/>
  <c r="A483" i="1" s="1"/>
  <c r="A484" i="1" s="1"/>
  <c r="F477" i="1"/>
  <c r="D477" i="1"/>
  <c r="F476" i="1"/>
  <c r="D476" i="1"/>
  <c r="A476" i="1"/>
  <c r="A477" i="1" s="1"/>
  <c r="A478" i="1" s="1"/>
  <c r="F473" i="1"/>
  <c r="D473" i="1"/>
  <c r="F472" i="1"/>
  <c r="D472" i="1"/>
  <c r="F471" i="1"/>
  <c r="D471" i="1"/>
  <c r="A471" i="1"/>
  <c r="A472" i="1" s="1"/>
  <c r="A473" i="1" s="1"/>
  <c r="F470" i="1"/>
  <c r="D470" i="1"/>
  <c r="F468" i="1"/>
  <c r="D468" i="1"/>
  <c r="F467" i="1"/>
  <c r="D467" i="1"/>
  <c r="F466" i="1"/>
  <c r="D466" i="1"/>
  <c r="A466" i="1"/>
  <c r="A467" i="1" s="1"/>
  <c r="A468" i="1" s="1"/>
  <c r="F465" i="1"/>
  <c r="D465" i="1"/>
  <c r="G464" i="1"/>
  <c r="F463" i="1"/>
  <c r="D463" i="1"/>
  <c r="F462" i="1"/>
  <c r="D462" i="1"/>
  <c r="F461" i="1"/>
  <c r="D461" i="1"/>
  <c r="A461" i="1"/>
  <c r="A462" i="1" s="1"/>
  <c r="A463" i="1" s="1"/>
  <c r="F460" i="1"/>
  <c r="D460" i="1"/>
  <c r="F458" i="1"/>
  <c r="D458" i="1"/>
  <c r="F457" i="1"/>
  <c r="D457" i="1"/>
  <c r="F456" i="1"/>
  <c r="D456" i="1"/>
  <c r="A456" i="1"/>
  <c r="A457" i="1" s="1"/>
  <c r="A458" i="1" s="1"/>
  <c r="F453" i="1"/>
  <c r="D453" i="1"/>
  <c r="F452" i="1"/>
  <c r="D452" i="1"/>
  <c r="F451" i="1"/>
  <c r="D451" i="1"/>
  <c r="A451" i="1"/>
  <c r="A452" i="1" s="1"/>
  <c r="A453" i="1" s="1"/>
  <c r="F450" i="1"/>
  <c r="D450" i="1"/>
  <c r="F447" i="1"/>
  <c r="D447" i="1"/>
  <c r="F446" i="1"/>
  <c r="D446" i="1"/>
  <c r="A446" i="1"/>
  <c r="A447" i="1" s="1"/>
  <c r="A448" i="1" s="1"/>
  <c r="F445" i="1"/>
  <c r="D445" i="1"/>
  <c r="F442" i="1"/>
  <c r="D442" i="1"/>
  <c r="F441" i="1"/>
  <c r="D441" i="1"/>
  <c r="A441" i="1"/>
  <c r="A442" i="1" s="1"/>
  <c r="A443" i="1" s="1"/>
  <c r="F437" i="1"/>
  <c r="D437" i="1"/>
  <c r="F436" i="1"/>
  <c r="D436" i="1"/>
  <c r="A436" i="1"/>
  <c r="A437" i="1" s="1"/>
  <c r="A438" i="1" s="1"/>
  <c r="F430" i="1"/>
  <c r="D430" i="1"/>
  <c r="D412" i="1"/>
  <c r="F402" i="1"/>
  <c r="A427" i="1"/>
  <c r="A428" i="1" s="1"/>
  <c r="A429" i="1" s="1"/>
  <c r="A430" i="1" s="1"/>
  <c r="A431" i="1" s="1"/>
  <c r="D422" i="1"/>
  <c r="F421" i="1"/>
  <c r="A420" i="1"/>
  <c r="A421" i="1" s="1"/>
  <c r="A422" i="1" s="1"/>
  <c r="A423" i="1" s="1"/>
  <c r="A424" i="1" s="1"/>
  <c r="A413" i="1"/>
  <c r="A414" i="1" s="1"/>
  <c r="A415" i="1" s="1"/>
  <c r="A416" i="1" s="1"/>
  <c r="A417" i="1" s="1"/>
  <c r="A406" i="1"/>
  <c r="A407" i="1" s="1"/>
  <c r="A408" i="1" s="1"/>
  <c r="A409" i="1" s="1"/>
  <c r="A410" i="1" s="1"/>
  <c r="G404" i="1"/>
  <c r="A399" i="1"/>
  <c r="A400" i="1" s="1"/>
  <c r="A401" i="1" s="1"/>
  <c r="A402" i="1" s="1"/>
  <c r="A403" i="1" s="1"/>
  <c r="A392" i="1"/>
  <c r="A393" i="1" s="1"/>
  <c r="A394" i="1" s="1"/>
  <c r="A395" i="1" s="1"/>
  <c r="A396" i="1" s="1"/>
  <c r="A384" i="1"/>
  <c r="A385" i="1" s="1"/>
  <c r="A386" i="1" s="1"/>
  <c r="A387" i="1" s="1"/>
  <c r="A388" i="1" s="1"/>
  <c r="A377" i="1"/>
  <c r="A378" i="1" s="1"/>
  <c r="A379" i="1" s="1"/>
  <c r="A380" i="1" s="1"/>
  <c r="A381" i="1" s="1"/>
  <c r="D370" i="1"/>
  <c r="A370" i="1"/>
  <c r="A371" i="1" s="1"/>
  <c r="A372" i="1" s="1"/>
  <c r="A373" i="1" s="1"/>
  <c r="A374" i="1" s="1"/>
  <c r="F369" i="1"/>
  <c r="G368" i="1"/>
  <c r="A363" i="1"/>
  <c r="A364" i="1" s="1"/>
  <c r="A365" i="1" s="1"/>
  <c r="A366" i="1" s="1"/>
  <c r="A367" i="1" s="1"/>
  <c r="A356" i="1"/>
  <c r="A357" i="1" s="1"/>
  <c r="A358" i="1" s="1"/>
  <c r="A359" i="1" s="1"/>
  <c r="A360" i="1" s="1"/>
  <c r="F350" i="1"/>
  <c r="D350" i="1"/>
  <c r="D349" i="1"/>
  <c r="A349" i="1"/>
  <c r="A350" i="1" s="1"/>
  <c r="A351" i="1" s="1"/>
  <c r="A352" i="1" s="1"/>
  <c r="A353" i="1" s="1"/>
  <c r="A342" i="1"/>
  <c r="A343" i="1" s="1"/>
  <c r="A344" i="1" s="1"/>
  <c r="A345" i="1" s="1"/>
  <c r="A346" i="1" s="1"/>
  <c r="F337" i="1"/>
  <c r="F335" i="1"/>
  <c r="A335" i="1"/>
  <c r="A336" i="1" s="1"/>
  <c r="A337" i="1" s="1"/>
  <c r="A338" i="1" s="1"/>
  <c r="A339" i="1" s="1"/>
  <c r="A328" i="1"/>
  <c r="A329" i="1" s="1"/>
  <c r="A330" i="1" s="1"/>
  <c r="A331" i="1" s="1"/>
  <c r="A332" i="1" s="1"/>
  <c r="G278" i="1"/>
  <c r="G304" i="1"/>
  <c r="C323" i="1"/>
  <c r="D323" i="1" s="1"/>
  <c r="C322" i="1"/>
  <c r="F322" i="1" s="1"/>
  <c r="C321" i="1"/>
  <c r="D321" i="1" s="1"/>
  <c r="C320" i="1"/>
  <c r="F320" i="1" s="1"/>
  <c r="I320" i="1" s="1"/>
  <c r="C318" i="1"/>
  <c r="F318" i="1" s="1"/>
  <c r="C317" i="1"/>
  <c r="D317" i="1" s="1"/>
  <c r="C316" i="1"/>
  <c r="F316" i="1" s="1"/>
  <c r="C315" i="1"/>
  <c r="F315" i="1" s="1"/>
  <c r="C313" i="1"/>
  <c r="F313" i="1" s="1"/>
  <c r="C312" i="1"/>
  <c r="F312" i="1" s="1"/>
  <c r="C311" i="1"/>
  <c r="F311" i="1" s="1"/>
  <c r="C308" i="1"/>
  <c r="F308" i="1" s="1"/>
  <c r="C307" i="1"/>
  <c r="F307" i="1" s="1"/>
  <c r="C306" i="1"/>
  <c r="F306" i="1" s="1"/>
  <c r="C305" i="1"/>
  <c r="D305" i="1" s="1"/>
  <c r="C303" i="1"/>
  <c r="F303" i="1" s="1"/>
  <c r="C302" i="1"/>
  <c r="F302" i="1" s="1"/>
  <c r="C301" i="1"/>
  <c r="F301" i="1" s="1"/>
  <c r="C300" i="1"/>
  <c r="F300" i="1" s="1"/>
  <c r="C298" i="1"/>
  <c r="F298" i="1" s="1"/>
  <c r="C297" i="1"/>
  <c r="F297" i="1" s="1"/>
  <c r="C296" i="1"/>
  <c r="F296" i="1" s="1"/>
  <c r="C292" i="1"/>
  <c r="F292" i="1" s="1"/>
  <c r="C291" i="1"/>
  <c r="F291" i="1" s="1"/>
  <c r="C290" i="1"/>
  <c r="F290" i="1" s="1"/>
  <c r="C287" i="1"/>
  <c r="F287" i="1" s="1"/>
  <c r="C286" i="1"/>
  <c r="F286" i="1" s="1"/>
  <c r="C285" i="1"/>
  <c r="F285" i="1" s="1"/>
  <c r="C284" i="1"/>
  <c r="F284" i="1" s="1"/>
  <c r="C282" i="1"/>
  <c r="F282" i="1" s="1"/>
  <c r="C281" i="1"/>
  <c r="F281" i="1" s="1"/>
  <c r="C280" i="1"/>
  <c r="F280" i="1" s="1"/>
  <c r="C279" i="1"/>
  <c r="F279" i="1" s="1"/>
  <c r="C277" i="1"/>
  <c r="F277" i="1" s="1"/>
  <c r="C276" i="1"/>
  <c r="F276" i="1" s="1"/>
  <c r="C275" i="1"/>
  <c r="F275" i="1" s="1"/>
  <c r="C274" i="1"/>
  <c r="F274" i="1" s="1"/>
  <c r="C272" i="1"/>
  <c r="F272" i="1" s="1"/>
  <c r="C271" i="1"/>
  <c r="F271" i="1" s="1"/>
  <c r="C270" i="1"/>
  <c r="F270" i="1" s="1"/>
  <c r="C267" i="1"/>
  <c r="F267" i="1" s="1"/>
  <c r="C266" i="1"/>
  <c r="D266" i="1" s="1"/>
  <c r="C265" i="1"/>
  <c r="F265" i="1" s="1"/>
  <c r="C264" i="1"/>
  <c r="D264" i="1" s="1"/>
  <c r="C262" i="1"/>
  <c r="F262" i="1" s="1"/>
  <c r="C261" i="1"/>
  <c r="D261" i="1" s="1"/>
  <c r="C260" i="1"/>
  <c r="F260" i="1" s="1"/>
  <c r="C259" i="1"/>
  <c r="F259" i="1" s="1"/>
  <c r="C257" i="1"/>
  <c r="C256" i="1"/>
  <c r="C255" i="1"/>
  <c r="C254" i="1"/>
  <c r="C252" i="1"/>
  <c r="C251" i="1"/>
  <c r="C250" i="1"/>
  <c r="A321" i="1"/>
  <c r="A322" i="1" s="1"/>
  <c r="A323" i="1" s="1"/>
  <c r="A316" i="1"/>
  <c r="A317" i="1" s="1"/>
  <c r="A318" i="1" s="1"/>
  <c r="A311" i="1"/>
  <c r="A312" i="1" s="1"/>
  <c r="A313" i="1" s="1"/>
  <c r="A306" i="1"/>
  <c r="A307" i="1" s="1"/>
  <c r="A308" i="1" s="1"/>
  <c r="A301" i="1"/>
  <c r="A302" i="1" s="1"/>
  <c r="A303" i="1" s="1"/>
  <c r="A296" i="1"/>
  <c r="A297" i="1" s="1"/>
  <c r="A298" i="1" s="1"/>
  <c r="A285" i="1"/>
  <c r="A286" i="1" s="1"/>
  <c r="A287" i="1" s="1"/>
  <c r="A290" i="1"/>
  <c r="A291" i="1" s="1"/>
  <c r="A292" i="1" s="1"/>
  <c r="A280" i="1"/>
  <c r="A281" i="1" s="1"/>
  <c r="A282" i="1" s="1"/>
  <c r="A270" i="1"/>
  <c r="A271" i="1" s="1"/>
  <c r="A272" i="1" s="1"/>
  <c r="A275" i="1"/>
  <c r="A276" i="1" s="1"/>
  <c r="A277" i="1" s="1"/>
  <c r="A265" i="1"/>
  <c r="A266" i="1" s="1"/>
  <c r="A267" i="1" s="1"/>
  <c r="A260" i="1"/>
  <c r="A261" i="1" s="1"/>
  <c r="A262" i="1" s="1"/>
  <c r="D358" i="1" l="1"/>
  <c r="F378" i="1"/>
  <c r="D391" i="1"/>
  <c r="F336" i="1"/>
  <c r="I316" i="1"/>
  <c r="I315" i="1"/>
  <c r="C203" i="1"/>
  <c r="B203" i="1"/>
  <c r="J681" i="1"/>
  <c r="I681" i="1"/>
  <c r="I682" i="1" s="1"/>
  <c r="E207" i="1"/>
  <c r="D396" i="1"/>
  <c r="E205" i="1"/>
  <c r="E206" i="1"/>
  <c r="F327" i="1"/>
  <c r="B204" i="1"/>
  <c r="C204" i="1"/>
  <c r="F400" i="1"/>
  <c r="D348" i="1"/>
  <c r="F357" i="1"/>
  <c r="F386" i="1"/>
  <c r="D429" i="1"/>
  <c r="D420" i="1"/>
  <c r="F356" i="1"/>
  <c r="D345" i="1"/>
  <c r="F334" i="1"/>
  <c r="D419" i="1"/>
  <c r="F374" i="1"/>
  <c r="F343" i="1"/>
  <c r="D373" i="1"/>
  <c r="D383" i="1"/>
  <c r="D415" i="1"/>
  <c r="D353" i="1"/>
  <c r="F317" i="1"/>
  <c r="D296" i="1"/>
  <c r="F427" i="1"/>
  <c r="D355" i="1"/>
  <c r="F330" i="1"/>
  <c r="D315" i="1"/>
  <c r="F323" i="1"/>
  <c r="F381" i="1"/>
  <c r="D311" i="1"/>
  <c r="F321" i="1"/>
  <c r="D365" i="1"/>
  <c r="D344" i="1"/>
  <c r="D398" i="1"/>
  <c r="F417" i="1"/>
  <c r="F384" i="1"/>
  <c r="D407" i="1"/>
  <c r="D393" i="1"/>
  <c r="D327" i="1"/>
  <c r="F424" i="1"/>
  <c r="D342" i="1"/>
  <c r="D363" i="1"/>
  <c r="D352" i="1"/>
  <c r="D328" i="1"/>
  <c r="D372" i="1"/>
  <c r="D313" i="1"/>
  <c r="D405" i="1"/>
  <c r="F351" i="1"/>
  <c r="D413" i="1"/>
  <c r="F341" i="1"/>
  <c r="D403" i="1"/>
  <c r="D376" i="1"/>
  <c r="F264" i="1"/>
  <c r="D409" i="1"/>
  <c r="D410" i="1"/>
  <c r="D380" i="1"/>
  <c r="D366" i="1"/>
  <c r="D367" i="1"/>
  <c r="D360" i="1"/>
  <c r="D329" i="1"/>
  <c r="D362" i="1"/>
  <c r="D364" i="1"/>
  <c r="D369" i="1"/>
  <c r="D371" i="1"/>
  <c r="D426" i="1"/>
  <c r="D428" i="1"/>
  <c r="D399" i="1"/>
  <c r="D401" i="1"/>
  <c r="D406" i="1"/>
  <c r="D408" i="1"/>
  <c r="D414" i="1"/>
  <c r="D335" i="1"/>
  <c r="D337" i="1"/>
  <c r="D377" i="1"/>
  <c r="D379" i="1"/>
  <c r="D385" i="1"/>
  <c r="D392" i="1"/>
  <c r="D394" i="1"/>
  <c r="D298" i="1"/>
  <c r="D320" i="1"/>
  <c r="D322" i="1"/>
  <c r="D316" i="1"/>
  <c r="D318" i="1"/>
  <c r="D312" i="1"/>
  <c r="D307" i="1"/>
  <c r="F305" i="1"/>
  <c r="D306" i="1"/>
  <c r="D308" i="1"/>
  <c r="D300" i="1"/>
  <c r="D302" i="1"/>
  <c r="D301" i="1"/>
  <c r="D303" i="1"/>
  <c r="D297" i="1"/>
  <c r="D285" i="1"/>
  <c r="D287" i="1"/>
  <c r="D284" i="1"/>
  <c r="D286" i="1"/>
  <c r="D291" i="1"/>
  <c r="D290" i="1"/>
  <c r="D292" i="1"/>
  <c r="D280" i="1"/>
  <c r="D270" i="1"/>
  <c r="F266" i="1"/>
  <c r="D272" i="1"/>
  <c r="D282" i="1"/>
  <c r="D279" i="1"/>
  <c r="D281" i="1"/>
  <c r="D271" i="1"/>
  <c r="D275" i="1"/>
  <c r="D277" i="1"/>
  <c r="D274" i="1"/>
  <c r="D276" i="1"/>
  <c r="D265" i="1"/>
  <c r="D267" i="1"/>
  <c r="F261" i="1"/>
  <c r="D259" i="1"/>
  <c r="D260" i="1"/>
  <c r="D262" i="1"/>
  <c r="F121" i="1"/>
  <c r="E121" i="1"/>
  <c r="D121" i="1"/>
  <c r="C121" i="1"/>
  <c r="B121" i="1"/>
  <c r="A121" i="1"/>
  <c r="C59" i="1"/>
  <c r="C57" i="1"/>
  <c r="C56" i="1"/>
  <c r="C62" i="1" s="1"/>
  <c r="C47" i="1"/>
  <c r="B209" i="1" l="1"/>
  <c r="E204" i="1"/>
  <c r="C209" i="1"/>
  <c r="A183" i="1"/>
  <c r="A157" i="1"/>
  <c r="H193" i="1"/>
  <c r="H192" i="1"/>
  <c r="H191" i="1"/>
  <c r="C187" i="1" s="1"/>
  <c r="H190" i="1"/>
  <c r="F184" i="1"/>
  <c r="F158" i="1"/>
  <c r="H195" i="1" l="1"/>
  <c r="H189" i="1"/>
  <c r="H194" i="1" s="1"/>
  <c r="D195" i="1"/>
  <c r="D189" i="1"/>
  <c r="D193" i="1"/>
  <c r="D187" i="1"/>
  <c r="D192" i="1"/>
  <c r="H188" i="1"/>
  <c r="D194" i="1"/>
  <c r="D188" i="1"/>
  <c r="D191" i="1"/>
  <c r="D190" i="1"/>
  <c r="E187" i="1"/>
  <c r="G183" i="1" s="1"/>
  <c r="B185" i="1" s="1"/>
  <c r="H169" i="1"/>
  <c r="H163" i="1"/>
  <c r="H168" i="1" s="1"/>
  <c r="D166" i="1"/>
  <c r="D165" i="1"/>
  <c r="D169" i="1"/>
  <c r="D163" i="1"/>
  <c r="H162" i="1"/>
  <c r="D168" i="1"/>
  <c r="D162" i="1"/>
  <c r="D167" i="1"/>
  <c r="D164" i="1"/>
  <c r="H164" i="1" l="1"/>
  <c r="H165" i="1" s="1"/>
  <c r="B84" i="1"/>
  <c r="B18" i="1"/>
  <c r="H166" i="1" l="1"/>
  <c r="H167" i="1" s="1"/>
  <c r="B722" i="1"/>
  <c r="F171" i="1"/>
  <c r="H182" i="1" l="1"/>
  <c r="D161" i="1"/>
  <c r="E161" i="1"/>
  <c r="B131" i="2"/>
  <c r="G157" i="1" l="1"/>
  <c r="B159" i="1" s="1"/>
  <c r="C36" i="1"/>
  <c r="A255" i="1" l="1"/>
  <c r="A256" i="1" s="1"/>
  <c r="A257" i="1" s="1"/>
  <c r="A250" i="1"/>
  <c r="A251" i="1" s="1"/>
  <c r="A252" i="1" s="1"/>
  <c r="F235" i="1" l="1"/>
  <c r="D235" i="1"/>
  <c r="F234" i="1"/>
  <c r="D234" i="1"/>
  <c r="F233" i="1"/>
  <c r="D233" i="1"/>
  <c r="F232" i="1"/>
  <c r="D232" i="1"/>
  <c r="F231" i="1"/>
  <c r="D231" i="1"/>
  <c r="A231" i="1"/>
  <c r="A232" i="1" s="1"/>
  <c r="A233" i="1" s="1"/>
  <c r="A234" i="1" s="1"/>
  <c r="A235" i="1" s="1"/>
  <c r="F230" i="1"/>
  <c r="D230" i="1"/>
  <c r="A224" i="1"/>
  <c r="A225" i="1" s="1"/>
  <c r="A226" i="1" s="1"/>
  <c r="A227" i="1" s="1"/>
  <c r="A228" i="1" s="1"/>
  <c r="A217" i="1"/>
  <c r="A218" i="1" s="1"/>
  <c r="A219" i="1" s="1"/>
  <c r="A220" i="1" s="1"/>
  <c r="A221" i="1" s="1"/>
  <c r="F216" i="1"/>
  <c r="B208" i="1"/>
  <c r="C208" i="1"/>
  <c r="C65" i="1" l="1"/>
  <c r="B13" i="1" l="1"/>
  <c r="D257" i="1" l="1"/>
  <c r="F256" i="1"/>
  <c r="F255" i="1"/>
  <c r="F254" i="1"/>
  <c r="F252" i="1"/>
  <c r="D251" i="1"/>
  <c r="D250" i="1"/>
  <c r="F228" i="1"/>
  <c r="D227" i="1"/>
  <c r="F226" i="1"/>
  <c r="F225" i="1"/>
  <c r="F224" i="1"/>
  <c r="F223" i="1"/>
  <c r="D221" i="1"/>
  <c r="D220" i="1"/>
  <c r="D219" i="1"/>
  <c r="D218" i="1"/>
  <c r="D217" i="1"/>
  <c r="F250" i="1" l="1"/>
  <c r="D254" i="1"/>
  <c r="F257" i="1"/>
  <c r="F251" i="1"/>
  <c r="D256" i="1"/>
  <c r="D252" i="1"/>
  <c r="D255" i="1"/>
  <c r="D224" i="1"/>
  <c r="D225" i="1"/>
  <c r="D228" i="1"/>
  <c r="F218" i="1"/>
  <c r="F220" i="1"/>
  <c r="D223" i="1"/>
  <c r="F221" i="1"/>
  <c r="F219" i="1"/>
  <c r="F217" i="1"/>
  <c r="D226" i="1"/>
  <c r="F227" i="1"/>
  <c r="E203" i="1" l="1"/>
  <c r="B124" i="2"/>
  <c r="E209" i="1" l="1"/>
  <c r="E208" i="1"/>
  <c r="M69" i="1"/>
  <c r="C731" i="1" l="1"/>
  <c r="D216" i="1" l="1"/>
  <c r="K116" i="2" l="1"/>
  <c r="K115" i="2"/>
  <c r="K114" i="2"/>
  <c r="K113" i="2"/>
  <c r="D107" i="2"/>
  <c r="F106" i="2"/>
  <c r="E116" i="2" l="1"/>
  <c r="E115" i="2"/>
  <c r="K109" i="2"/>
  <c r="E111" i="2"/>
  <c r="E114" i="2"/>
  <c r="E113" i="2"/>
  <c r="K108" i="2"/>
  <c r="E112" i="2"/>
  <c r="E118" i="2"/>
  <c r="K111" i="2"/>
  <c r="K112" i="2" s="1"/>
  <c r="K117" i="2" s="1"/>
  <c r="K118" i="2" s="1"/>
  <c r="D110" i="2" s="1"/>
  <c r="E117" i="2"/>
  <c r="K110" i="2"/>
  <c r="D109" i="2" s="1"/>
  <c r="H109" i="2" l="1"/>
  <c r="F109" i="2"/>
  <c r="J105" i="2" s="1"/>
  <c r="E110" i="2"/>
  <c r="E109" i="2"/>
  <c r="C174" i="1" l="1"/>
  <c r="H175" i="1"/>
  <c r="H176" i="1"/>
  <c r="D181" i="1"/>
  <c r="D175" i="1"/>
  <c r="D180" i="1"/>
  <c r="D179" i="1"/>
  <c r="D177" i="1"/>
  <c r="D178" i="1"/>
  <c r="D176" i="1"/>
  <c r="D182" i="1"/>
  <c r="H181" i="1" l="1"/>
  <c r="H177" i="1"/>
  <c r="H178" i="1" l="1"/>
  <c r="H179" i="1" s="1"/>
  <c r="H180" i="1" l="1"/>
  <c r="E174" i="1"/>
  <c r="E196" i="1" s="1"/>
  <c r="D174" i="1"/>
  <c r="C38" i="1" l="1"/>
  <c r="G170" i="1"/>
  <c r="B172" i="1" s="1"/>
</calcChain>
</file>

<file path=xl/comments1.xml><?xml version="1.0" encoding="utf-8"?>
<comments xmlns="http://schemas.openxmlformats.org/spreadsheetml/2006/main">
  <authors>
    <author>SACHIN</author>
    <author>Sachin</author>
  </authors>
  <commentList>
    <comment ref="D99" authorId="0" shapeId="0">
      <text>
        <r>
          <rPr>
            <b/>
            <sz val="9"/>
            <color indexed="81"/>
            <rFont val="Tahoma"/>
            <family val="2"/>
          </rPr>
          <t>SACHIN:</t>
        </r>
        <r>
          <rPr>
            <sz val="9"/>
            <color indexed="81"/>
            <rFont val="Tahoma"/>
            <family val="2"/>
          </rPr>
          <t xml:space="preserve">
Title certifcate lawyer name</t>
        </r>
      </text>
    </comment>
    <comment ref="C128" authorId="1" shapeId="0">
      <text>
        <r>
          <rPr>
            <b/>
            <sz val="9"/>
            <color indexed="81"/>
            <rFont val="Tahoma"/>
            <family val="2"/>
          </rPr>
          <t>Sachin:</t>
        </r>
        <r>
          <rPr>
            <sz val="9"/>
            <color indexed="81"/>
            <rFont val="Tahoma"/>
            <family val="2"/>
          </rPr>
          <t xml:space="preserve">
Builder"s recent project names 
take from builder documents
</t>
        </r>
      </text>
    </comment>
    <comment ref="C129" authorId="1" shapeId="0">
      <text>
        <r>
          <rPr>
            <b/>
            <sz val="9"/>
            <color indexed="81"/>
            <rFont val="Tahoma"/>
            <family val="2"/>
          </rPr>
          <t>Sachin:</t>
        </r>
        <r>
          <rPr>
            <sz val="9"/>
            <color indexed="81"/>
            <rFont val="Tahoma"/>
            <family val="2"/>
          </rPr>
          <t xml:space="preserve">
Approved by authority name
Positive or negavtive points
Surrounding buildings or mall etc or less distance from stn</t>
        </r>
      </text>
    </comment>
  </commentList>
</comments>
</file>

<file path=xl/sharedStrings.xml><?xml version="1.0" encoding="utf-8"?>
<sst xmlns="http://schemas.openxmlformats.org/spreadsheetml/2006/main" count="1121" uniqueCount="435">
  <si>
    <t>PROJECT TECHNICAL REPORT</t>
  </si>
  <si>
    <t>RBL BRANCH NAME</t>
  </si>
  <si>
    <t>TDR FSI</t>
  </si>
  <si>
    <t>QUALITY, SPECS</t>
  </si>
  <si>
    <t>Construction details:</t>
  </si>
  <si>
    <t>Basement</t>
  </si>
  <si>
    <t>Ground</t>
  </si>
  <si>
    <t>Podium</t>
  </si>
  <si>
    <t>Floors</t>
  </si>
  <si>
    <t xml:space="preserve">Stage of construction: </t>
  </si>
  <si>
    <t>All work Completed. OC Received.</t>
  </si>
  <si>
    <t>Type of Work</t>
  </si>
  <si>
    <t>Project Progress %</t>
  </si>
  <si>
    <t>Slab/Floor</t>
  </si>
  <si>
    <t>Complition %</t>
  </si>
  <si>
    <t>Progress %</t>
  </si>
  <si>
    <t>Piling Work in process</t>
  </si>
  <si>
    <t>Excavation</t>
  </si>
  <si>
    <t>Excavation in process</t>
  </si>
  <si>
    <t>Plinth</t>
  </si>
  <si>
    <t>Excavation Completed</t>
  </si>
  <si>
    <t>RCC (Including podiums)</t>
  </si>
  <si>
    <t>Footing in Process</t>
  </si>
  <si>
    <t>Brickwork</t>
  </si>
  <si>
    <t>Footing Completed</t>
  </si>
  <si>
    <t>Internal Plaster</t>
  </si>
  <si>
    <t>Basement 1</t>
  </si>
  <si>
    <t>Ext. Plaster &amp; Plumbing</t>
  </si>
  <si>
    <t>Basement 2</t>
  </si>
  <si>
    <t>Flooring &amp; Fitting</t>
  </si>
  <si>
    <t>Basement 3</t>
  </si>
  <si>
    <t>Painting &amp; Wooden</t>
  </si>
  <si>
    <t>Basement 4</t>
  </si>
  <si>
    <t>Building Common Amenities</t>
  </si>
  <si>
    <t>Plinth in process</t>
  </si>
  <si>
    <t>Possession</t>
  </si>
  <si>
    <t>Plinth completed</t>
  </si>
  <si>
    <t>Completion %</t>
  </si>
  <si>
    <t>Plaster</t>
  </si>
  <si>
    <t>Electrical &amp; Plumbing</t>
  </si>
  <si>
    <t>Finishing</t>
  </si>
  <si>
    <t>Disbursement %</t>
  </si>
  <si>
    <t>Brickwork &amp; Internal Plaster</t>
  </si>
  <si>
    <t>External Plaster &amp; Plumbing</t>
  </si>
  <si>
    <t>g +7</t>
  </si>
  <si>
    <t>BUILDING/TOWERWISE UNIT - AREA DETAILS</t>
  </si>
  <si>
    <t>Building &amp; Wing</t>
  </si>
  <si>
    <t>No. of Units</t>
  </si>
  <si>
    <t>Total Carpet Area</t>
  </si>
  <si>
    <t>Total Saleable Area</t>
  </si>
  <si>
    <t>Wing A</t>
  </si>
  <si>
    <t>Total</t>
  </si>
  <si>
    <t>Building details Floor Wise</t>
  </si>
  <si>
    <t xml:space="preserve">Details of Flats in Building   </t>
  </si>
  <si>
    <t>Description</t>
  </si>
  <si>
    <t>Gross Carpet area</t>
  </si>
  <si>
    <t>Attached Terrace area</t>
  </si>
  <si>
    <t>Ground Floor For Commercial, Entrance Lobby &amp; Garage For Parking</t>
  </si>
  <si>
    <t>Builtup Area</t>
  </si>
  <si>
    <t>Saleable area
Loading:</t>
  </si>
  <si>
    <t xml:space="preserve">Details of Commercial in Building   </t>
  </si>
  <si>
    <t>VALUE PARAMETERS</t>
  </si>
  <si>
    <t>Remarks:</t>
  </si>
  <si>
    <t>Photographs Of Property :</t>
  </si>
  <si>
    <t>Layout Of Property :</t>
  </si>
  <si>
    <t xml:space="preserve">Google Map : </t>
  </si>
  <si>
    <t>Name of Engineer Visited the property</t>
  </si>
  <si>
    <t xml:space="preserve">Authorized Signatory
Name &amp; Seal of the agency
                                               </t>
  </si>
  <si>
    <r>
      <t xml:space="preserve">Shop No.
</t>
    </r>
    <r>
      <rPr>
        <b/>
        <sz val="9"/>
        <color rgb="FF000000"/>
        <rFont val="Garamond"/>
        <family val="1"/>
      </rPr>
      <t>(Approved Plan)</t>
    </r>
  </si>
  <si>
    <t>Project Name</t>
  </si>
  <si>
    <t>Valuer Details</t>
  </si>
  <si>
    <t xml:space="preserve">Name Of Valuer </t>
  </si>
  <si>
    <t>Official Email Id</t>
  </si>
  <si>
    <t>Rvo Name Of Which Valuer Is Member</t>
  </si>
  <si>
    <t>Address Of Valution Agency</t>
  </si>
  <si>
    <t>Contact Person Name  &amp; Number</t>
  </si>
  <si>
    <t>Name Of Valuation Agency/Firm</t>
  </si>
  <si>
    <t>Apf Technical Report Assignment Details</t>
  </si>
  <si>
    <t>Builder Company/Entity Details - Seller Of The Project</t>
  </si>
  <si>
    <t>Name Of Entity Formed For Current Project</t>
  </si>
  <si>
    <t>Project Address Details</t>
  </si>
  <si>
    <t>Date of Assignment</t>
  </si>
  <si>
    <t>Date of Visit</t>
  </si>
  <si>
    <t>Date of Valuation</t>
  </si>
  <si>
    <t>Street Name &amp;/No.</t>
  </si>
  <si>
    <t>State</t>
  </si>
  <si>
    <t>Pincode</t>
  </si>
  <si>
    <t>Nearest Rbl Bank Location</t>
  </si>
  <si>
    <t>Landmark</t>
  </si>
  <si>
    <t>District</t>
  </si>
  <si>
    <t>Country</t>
  </si>
  <si>
    <t>Lat, Long</t>
  </si>
  <si>
    <t>Distance From Rbl Bank Location (Kms.)</t>
  </si>
  <si>
    <t>Assigned By</t>
  </si>
  <si>
    <t>Property Visited By (Name)</t>
  </si>
  <si>
    <t>Report Prepared By (Name)</t>
  </si>
  <si>
    <t>North</t>
  </si>
  <si>
    <t>South</t>
  </si>
  <si>
    <t>East</t>
  </si>
  <si>
    <t>West</t>
  </si>
  <si>
    <t>As Per Ownership Docs</t>
  </si>
  <si>
    <t>As Per Site Investigation</t>
  </si>
  <si>
    <t>Project Boundaries Verification</t>
  </si>
  <si>
    <t>General Details</t>
  </si>
  <si>
    <t>Municipal Limit</t>
  </si>
  <si>
    <t>Municipal Authority (Name)</t>
  </si>
  <si>
    <t>Approach Road To Project</t>
  </si>
  <si>
    <t>Location Type*</t>
  </si>
  <si>
    <t>Quality Of Construction*</t>
  </si>
  <si>
    <t>Overall % Completion Of Project</t>
  </si>
  <si>
    <t>Project Falling In Caution Area</t>
  </si>
  <si>
    <t>Reason For Caution</t>
  </si>
  <si>
    <t>Project Architect Name</t>
  </si>
  <si>
    <t>Square Meter</t>
  </si>
  <si>
    <t>Project Area Details ( As Per Approved Plan )</t>
  </si>
  <si>
    <t>Area Type</t>
  </si>
  <si>
    <t>Total Plot Area</t>
  </si>
  <si>
    <t>Total Built Up Area</t>
  </si>
  <si>
    <t>Total Commercial Built Up Area</t>
  </si>
  <si>
    <t>Area Under R.G./Garden</t>
  </si>
  <si>
    <t>FSI / FAR Details</t>
  </si>
  <si>
    <t>Plot FSI / FAR</t>
  </si>
  <si>
    <t>Premium FSI / FAR</t>
  </si>
  <si>
    <t>Fungible FSI</t>
  </si>
  <si>
    <t>Addl .FSI Under any Other Regulation(2)</t>
  </si>
  <si>
    <t>Total FSI/FAR</t>
  </si>
  <si>
    <t>Overall Remarks on Project Area &amp; FSI /FAR</t>
  </si>
  <si>
    <t>Total No. Of Units/Tenaments</t>
  </si>
  <si>
    <t>Total No. Of Parking</t>
  </si>
  <si>
    <t>Residential /Commercial Ratio</t>
  </si>
  <si>
    <t>Surrounding External Amenities</t>
  </si>
  <si>
    <t>Nearestr Bus Stop</t>
  </si>
  <si>
    <t>Nearest Bank</t>
  </si>
  <si>
    <t>Nearest Hospital</t>
  </si>
  <si>
    <t>Name Of The Premises/Description</t>
  </si>
  <si>
    <t>Approx. Distance From Property (In Kms)</t>
  </si>
  <si>
    <t>Nearest Multiplex / Mall/ Market</t>
  </si>
  <si>
    <t>Nearest School/ College</t>
  </si>
  <si>
    <t>Internal Project Specs - Comment On Availability &amp; Quality</t>
  </si>
  <si>
    <t>Structural Elements &amp; Wall Thickness</t>
  </si>
  <si>
    <t>Plaster &amp; Painting</t>
  </si>
  <si>
    <t>Electrification</t>
  </si>
  <si>
    <t>Plumbing &amp; Bath Fittings</t>
  </si>
  <si>
    <t>Door, Windows</t>
  </si>
  <si>
    <t>Availability (Y/N)</t>
  </si>
  <si>
    <t>Potable Water Connection</t>
  </si>
  <si>
    <t>Sewerage System</t>
  </si>
  <si>
    <t>Lift</t>
  </si>
  <si>
    <t>Power Backup</t>
  </si>
  <si>
    <t>Parking</t>
  </si>
  <si>
    <t>Clubhouse</t>
  </si>
  <si>
    <t>Gym</t>
  </si>
  <si>
    <t>Swimming Pool</t>
  </si>
  <si>
    <t>Garden</t>
  </si>
  <si>
    <t>Community Hall</t>
  </si>
  <si>
    <t>Any Additional Amenities, To Above, Pls Specify</t>
  </si>
  <si>
    <t>Technical Documents Details</t>
  </si>
  <si>
    <t>Document Name</t>
  </si>
  <si>
    <t>Approved Layout Plan</t>
  </si>
  <si>
    <t>Approved Floor Plan</t>
  </si>
  <si>
    <t>Construction  / Building Permission / Commencement Certificate</t>
  </si>
  <si>
    <t>Non Agricultural Permission / Land Conversion / Diversion</t>
  </si>
  <si>
    <t>Building Completion / Occupation Permission / Use Permission</t>
  </si>
  <si>
    <t>Location Sketch/ Certificate</t>
  </si>
  <si>
    <t>Authority Allotment Letter</t>
  </si>
  <si>
    <t>Ownership Doc 1</t>
  </si>
  <si>
    <t>Ownership Doc 2</t>
  </si>
  <si>
    <t>Remarks On Documents Verified</t>
  </si>
  <si>
    <t>Approving Authority Name</t>
  </si>
  <si>
    <t>Applicability &amp; Availability</t>
  </si>
  <si>
    <t>Approving Authority</t>
  </si>
  <si>
    <t>Details Of Approval</t>
  </si>
  <si>
    <t>Rera Details ( If Applicable)</t>
  </si>
  <si>
    <t>Rera Applicable</t>
  </si>
  <si>
    <t>Rera Registration No</t>
  </si>
  <si>
    <t>Project Start Date As Per Rera</t>
  </si>
  <si>
    <t>If Any Litigation Record On Project As Per Rera</t>
  </si>
  <si>
    <t>If Applicable, Rera Registration Status</t>
  </si>
  <si>
    <t>Project Completion Date As Per Rera</t>
  </si>
  <si>
    <t xml:space="preserve">Litigation Details As Per Rera Website </t>
  </si>
  <si>
    <t>Critical Parameters</t>
  </si>
  <si>
    <t>Flood Prone Area</t>
  </si>
  <si>
    <t>Coastal Regulatory Zone</t>
  </si>
  <si>
    <t>Falling In Present Or Proposed Road Widening</t>
  </si>
  <si>
    <t>Property Near High/Low Tension (Ht)/(Lt) Lines ?</t>
  </si>
  <si>
    <t>Presence Of Nallah/ Lake / Water Body Nearby</t>
  </si>
  <si>
    <t>Unit Deviation</t>
  </si>
  <si>
    <t>Seismic Zone</t>
  </si>
  <si>
    <t>Zoning As Per Development Plan</t>
  </si>
  <si>
    <t>Falling In Reservation As Per Development Plan</t>
  </si>
  <si>
    <t>Property Within 30 Mtrs From Railway Boundary ?</t>
  </si>
  <si>
    <t>Fsi Deviation</t>
  </si>
  <si>
    <t>Vertical Deviation</t>
  </si>
  <si>
    <t>Habitation In ( % ) Within 1 Kms Around Project</t>
  </si>
  <si>
    <t>Remarks In Case Project Affected By Any Of Critical Parameter</t>
  </si>
  <si>
    <t>Technical Deviations Observed In Project</t>
  </si>
  <si>
    <t>Demolition Risk</t>
  </si>
  <si>
    <t>Detail Of Deviation, If Any</t>
  </si>
  <si>
    <t>Total Phases</t>
  </si>
  <si>
    <t>Total No. Of Buildings</t>
  </si>
  <si>
    <t>Total No. Of Wings</t>
  </si>
  <si>
    <t>Total No. Of Approved Units (A)</t>
  </si>
  <si>
    <t>Total No. Of Unapproved Units (B)</t>
  </si>
  <si>
    <t>Total No. Of (A+B) Units</t>
  </si>
  <si>
    <t>Is The Project Technically Acceptable ?</t>
  </si>
  <si>
    <t>Is The Project Marketable ?</t>
  </si>
  <si>
    <t>Comment On Builder Group Involved In Project Development</t>
  </si>
  <si>
    <t>Overall Comments On Project Acceptability &amp; Marketablity</t>
  </si>
  <si>
    <t>FOUNDATION WIP</t>
  </si>
  <si>
    <t>PLINTH WIP</t>
  </si>
  <si>
    <t>YET TO START</t>
  </si>
  <si>
    <t>Sr.No.</t>
  </si>
  <si>
    <t>Base Rate Psf Rs.</t>
  </si>
  <si>
    <t>Floor Rise
(If Applicable)</t>
  </si>
  <si>
    <t>In Rs. Psf
(If Applicable)</t>
  </si>
  <si>
    <t>In Lumpsum Basis
(If Applicable)</t>
  </si>
  <si>
    <t>Applicable From Floor No.</t>
  </si>
  <si>
    <t>Applicable To Floor No.</t>
  </si>
  <si>
    <t>Applicable To Building /W ing</t>
  </si>
  <si>
    <t xml:space="preserve">Floor Rise 1 </t>
  </si>
  <si>
    <t>Floor Rise 2</t>
  </si>
  <si>
    <t>Floor Rise 3</t>
  </si>
  <si>
    <t>Floor Rise 4</t>
  </si>
  <si>
    <t>Plc Charges
(If Applicable)</t>
  </si>
  <si>
    <t>Details Of Plc/View</t>
  </si>
  <si>
    <t>List Of Unit Nos - Plc Applicable</t>
  </si>
  <si>
    <t>PLC Type 1</t>
  </si>
  <si>
    <t>PLC Type 2</t>
  </si>
  <si>
    <t>PLC Type 3</t>
  </si>
  <si>
    <t>Amenities Details</t>
  </si>
  <si>
    <t>Details Of Amenity Cost - Optional/Compulsory To Buyer, No Of Years, Etc</t>
  </si>
  <si>
    <t>Remarks, If Any</t>
  </si>
  <si>
    <t>Clubhouse &amp; 
Recreational</t>
  </si>
  <si>
    <t>Electricity &amp; Water Con.</t>
  </si>
  <si>
    <t>Infra</t>
  </si>
  <si>
    <t>Development</t>
  </si>
  <si>
    <t>Maintenance</t>
  </si>
  <si>
    <t>Any Other Amenity 1</t>
  </si>
  <si>
    <t>Any Other Amenity 2</t>
  </si>
  <si>
    <t>Any Other Amenity 3</t>
  </si>
  <si>
    <t>Maharashtra</t>
  </si>
  <si>
    <t>India</t>
  </si>
  <si>
    <t>400m</t>
  </si>
  <si>
    <t>Yes</t>
  </si>
  <si>
    <t>1st Floor for Commercial &amp; Parking</t>
  </si>
  <si>
    <t>2nd Floor for Commercial &amp; Parking</t>
  </si>
  <si>
    <t>V.S Jadon &amp; Co.Valuers LLP</t>
  </si>
  <si>
    <t>Mr. Vishwajeet Singh Jadon</t>
  </si>
  <si>
    <t>vsjc.apf@gmail.com</t>
  </si>
  <si>
    <t>Mr. Sachin Sawant - 9820058999</t>
  </si>
  <si>
    <t>NA</t>
  </si>
  <si>
    <t>Taluka</t>
  </si>
  <si>
    <t>City</t>
  </si>
  <si>
    <t>Village</t>
  </si>
  <si>
    <t>As Per Layout Plan</t>
  </si>
  <si>
    <t>Same</t>
  </si>
  <si>
    <t>Location Link</t>
  </si>
  <si>
    <t>Good</t>
  </si>
  <si>
    <t>No</t>
  </si>
  <si>
    <t>Fire Noc &amp; Plans</t>
  </si>
  <si>
    <t>Environmental Clearance</t>
  </si>
  <si>
    <t>Coastal Regulatory Zonex ( Crz ) Noc</t>
  </si>
  <si>
    <t>Registered</t>
  </si>
  <si>
    <t>Zone III</t>
  </si>
  <si>
    <t>Not Appicable</t>
  </si>
  <si>
    <t>Approved no of Floors</t>
  </si>
  <si>
    <t>Proposed no of Floors</t>
  </si>
  <si>
    <t>Grand Total</t>
  </si>
  <si>
    <t>Residential Area Details : Flats</t>
  </si>
  <si>
    <r>
      <t xml:space="preserve">Flat No.
</t>
    </r>
    <r>
      <rPr>
        <b/>
        <sz val="9"/>
        <color rgb="FF000000"/>
        <rFont val="Garamond"/>
        <family val="1"/>
      </rPr>
      <t>(Approved Plan)</t>
    </r>
  </si>
  <si>
    <t>Building /Wing - Name /No</t>
  </si>
  <si>
    <t xml:space="preserve">Base Rate Considered On Area - 
Carpet/ Bua/ Saleale </t>
  </si>
  <si>
    <t>Saleable Area</t>
  </si>
  <si>
    <t>Construction Work is in process at the time of visit.</t>
  </si>
  <si>
    <t>We have considered rate by verifying it from market inquire.</t>
  </si>
  <si>
    <t>Car parking is subjected to authentic documentation.</t>
  </si>
  <si>
    <t>Recommended rate should be considered as all inclusive rate if other charges are not mentioned. (Excluding GST &amp; other government Taxes)</t>
  </si>
  <si>
    <t>Documents received on:</t>
  </si>
  <si>
    <t>Yes &amp; 0.15m</t>
  </si>
  <si>
    <t>Excavation in Process</t>
  </si>
  <si>
    <t>Foundation in Process</t>
  </si>
  <si>
    <t xml:space="preserve">Labours &amp; Materials were found on site at the time of visit. </t>
  </si>
  <si>
    <t>Saleable area Loading :</t>
  </si>
  <si>
    <t>Office No. 1031, Wing J, Akshar Business Park, Plot No. 03 Sector 25, Near APMC Market, Vashi, Navi Mumbai, Maharashtra 400703 TEL: 022-46090378/79/80</t>
  </si>
  <si>
    <t>Project Location details</t>
  </si>
  <si>
    <t>Locality</t>
  </si>
  <si>
    <t>As the project is redevelopement project but rehab statement or rehab flats is not mentioned approved layout plan &amp; floor plan</t>
  </si>
  <si>
    <t>Runwal Pinnacle</t>
  </si>
  <si>
    <t>Airoli</t>
  </si>
  <si>
    <t>Runwal Apartments Private Limited</t>
  </si>
  <si>
    <t>Runwal Pinnacle (Tower 1 to 5)</t>
  </si>
  <si>
    <t>19.160517,72.942787</t>
  </si>
  <si>
    <t>https://maps.app.goo.gl/981LTuJqMJhswP7B9</t>
  </si>
  <si>
    <t>CTS No.</t>
  </si>
  <si>
    <t>681/A/7, 681/A/8 &amp; 681/A/9</t>
  </si>
  <si>
    <t>Nahur</t>
  </si>
  <si>
    <t>Kurla</t>
  </si>
  <si>
    <t>Mumbai</t>
  </si>
  <si>
    <t>Mulund Goregoan Link Road</t>
  </si>
  <si>
    <t>Mulund West</t>
  </si>
  <si>
    <t>Runwal Greens Complex</t>
  </si>
  <si>
    <t>Runwal Greens</t>
  </si>
  <si>
    <t>850m</t>
  </si>
  <si>
    <t>RBL Bank Ltd - Mulund Link Road Branch
Shop no. 10, Marathon Max, Mulund - Goregaon Link Rd</t>
  </si>
  <si>
    <t>Fortis Hospital</t>
  </si>
  <si>
    <t>230m</t>
  </si>
  <si>
    <t>ICICI Bank Nahur</t>
  </si>
  <si>
    <t>550m</t>
  </si>
  <si>
    <t>Holy Angels Marthoma School</t>
  </si>
  <si>
    <t>190m</t>
  </si>
  <si>
    <t>Dmart</t>
  </si>
  <si>
    <t>650m</t>
  </si>
  <si>
    <t>CTS No. 681A/5</t>
  </si>
  <si>
    <t>CTS No. 765, 766, 767, 768</t>
  </si>
  <si>
    <t>CTS No. 681A/7, 681A/8</t>
  </si>
  <si>
    <t>CTS No. 681A/8B</t>
  </si>
  <si>
    <t xml:space="preserve">Mulund Goregaon Link Road
</t>
  </si>
  <si>
    <t>Other Plot</t>
  </si>
  <si>
    <t>Other Plot/ 18.30 M. Wide Road</t>
  </si>
  <si>
    <t>Open Plot/Building</t>
  </si>
  <si>
    <t>Municipal Corporation Of Greater Mumbai (MCGM)</t>
  </si>
  <si>
    <t>Aakar Architects &amp; Consultants</t>
  </si>
  <si>
    <t>Net Plot Area</t>
  </si>
  <si>
    <t>-</t>
  </si>
  <si>
    <t>Area Under Amenity/Open Space</t>
  </si>
  <si>
    <t>Incentive FSI</t>
  </si>
  <si>
    <t>Cars = 917</t>
  </si>
  <si>
    <t>100 : 00</t>
  </si>
  <si>
    <t>Swimming Pool, Spa, Jacuzzi, Sports, Kid's Play Area, Gaming Zone, Party Hall, Mini Theatre, Billiards/Pool Room, Table Tennis, Library, Sky Lounge, Stargazing Deck, Jogging Track, Sky Gym, etc.</t>
  </si>
  <si>
    <t>CHE/ES/4261/S/337NEW
Date : 18/09/2023</t>
  </si>
  <si>
    <t>Applicable and Received</t>
  </si>
  <si>
    <t>MCGM</t>
  </si>
  <si>
    <t>Not Applicable</t>
  </si>
  <si>
    <t>MCGM Fire Brigade</t>
  </si>
  <si>
    <t>Applicable and Not Received</t>
  </si>
  <si>
    <t>SEIAA</t>
  </si>
  <si>
    <t xml:space="preserve">CHE/ES/4261/S/337(NEW)-CFO
Date : 02/06/2019
Valid For : Building No. 2 (Tower 1 to 5) Basement (Total depth 14.70mtrs.) + Ground floor  + 1st to 9th podium floors + Club house level-1 &amp; 2 + 1st to 53rd upper residential floors (Height  210.95mtrs)
</t>
  </si>
  <si>
    <t>Verified By Wadia Ghandy &amp; Co.</t>
  </si>
  <si>
    <t>Court Name = City Civil Court Bombay
Case No. = LC Suit No.10052/2023
Case Type = Civil, Year = 2013
Status = Pending</t>
  </si>
  <si>
    <t>Building No. 2 (Tower 1 to 5 ) = 5B + Gr + 1st to 9th Podium + Club House Level 1 &amp; 2 + 1st to 40th Floor</t>
  </si>
  <si>
    <t>Runwal Bliss, Runwal Forest, Runwal Greens, Runwal Orchid, 
Runwal Heights, etc.</t>
  </si>
  <si>
    <t>Building No. 2</t>
  </si>
  <si>
    <t>Tower 1 to 5</t>
  </si>
  <si>
    <t>Ground Floor For Society Office, Entrance Lobby &amp; Garden</t>
  </si>
  <si>
    <t>1st to 9th Podium floor for Parking</t>
  </si>
  <si>
    <t>1st to 5th Basement Floor For Parking</t>
  </si>
  <si>
    <t>1st &amp; 2nd Club House Level For Billiards, Community Hall, Badminton, Gym, Kids play area, Creche, Swimming Pool, Jacuzzi, yoga Area &amp; Other Amenities.</t>
  </si>
  <si>
    <t>1st Floor For Residential (Part Refuge Area)</t>
  </si>
  <si>
    <t>Refuge Area</t>
  </si>
  <si>
    <t>2BHK</t>
  </si>
  <si>
    <t>3BHK</t>
  </si>
  <si>
    <t>2nd to 4th Floor</t>
  </si>
  <si>
    <t>2.5BHK</t>
  </si>
  <si>
    <t>2 to 7, 9 to 14, 16-21, 23-28, 30-35</t>
  </si>
  <si>
    <t>1-40</t>
  </si>
  <si>
    <t>1-39</t>
  </si>
  <si>
    <t>1-27</t>
  </si>
  <si>
    <t>28-39</t>
  </si>
  <si>
    <t>5th, 16th to 18th Floor</t>
  </si>
  <si>
    <t>6th, 7th &amp; 9th Floor</t>
  </si>
  <si>
    <t>10th Floor</t>
  </si>
  <si>
    <t>8th Floor (Part Refuge Area)</t>
  </si>
  <si>
    <t>15th Floor (Part Refuge Area)</t>
  </si>
  <si>
    <t>Service Floor Between 21st &amp; 22nd Floor</t>
  </si>
  <si>
    <t>13th Floor</t>
  </si>
  <si>
    <t>22nd Floor (Part Refuge Area)</t>
  </si>
  <si>
    <t>23rd to 27th Floor</t>
  </si>
  <si>
    <t>29th &amp; 36th Floor (Part Refuge Area)</t>
  </si>
  <si>
    <t>30th to 32nd Floor</t>
  </si>
  <si>
    <t>39th Floor</t>
  </si>
  <si>
    <t>40th Floor For Terrace Area</t>
  </si>
  <si>
    <t>Tower 1</t>
  </si>
  <si>
    <t>11th, 12th &amp; 14th, 19th to 21st Floor</t>
  </si>
  <si>
    <t>Tower 2</t>
  </si>
  <si>
    <t>Tower 3</t>
  </si>
  <si>
    <t>Tower 4</t>
  </si>
  <si>
    <t>Tower 5</t>
  </si>
  <si>
    <t>1-21</t>
  </si>
  <si>
    <t>61.47</t>
  </si>
  <si>
    <t>22-39</t>
  </si>
  <si>
    <t>56.79</t>
  </si>
  <si>
    <t>65.58</t>
  </si>
  <si>
    <t>5-7, 9-14, 16-21, 23-27</t>
  </si>
  <si>
    <t>56.80</t>
  </si>
  <si>
    <t>6-14, 19-21, 23-28, 29 &amp; 36, 30-35, 37 &amp; 38</t>
  </si>
  <si>
    <t>42.87</t>
  </si>
  <si>
    <t>42.58</t>
  </si>
  <si>
    <t>28, 33-35, 37 &amp; 38-40</t>
  </si>
  <si>
    <t>61.11</t>
  </si>
  <si>
    <t>61.32</t>
  </si>
  <si>
    <t>Wind Pressure Defusing Shaft</t>
  </si>
  <si>
    <t>Terrace Area</t>
  </si>
  <si>
    <t>1BHK</t>
  </si>
  <si>
    <t>Void</t>
  </si>
  <si>
    <t>Service Floor Between 2nd Level Club House &amp; 1st Floor</t>
  </si>
  <si>
    <t>28, 33-35, 37 &amp; 38-39</t>
  </si>
  <si>
    <t>5, 6, 7, 9, 10, 16-18, 11, 12, 14, 19-21, 23-27</t>
  </si>
  <si>
    <t>28, 33-35, 37-40</t>
  </si>
  <si>
    <t>6-14, 19-21, 23-28, 29, 36, 30-35, 37, 38</t>
  </si>
  <si>
    <t>1-40,</t>
  </si>
  <si>
    <t>28.33-35.37.38-40</t>
  </si>
  <si>
    <t>Project Name is approved by MCGM. Surrounded by Runwal Greens, Atmosphere By Wadhava Group, Ashford Royale. Hospital, School, Dmart, Local Market are within 1.00km from project.</t>
  </si>
  <si>
    <t>We considered Gross carpet area = Net carpet + Deck + Utility.</t>
  </si>
  <si>
    <t>Refuge Area Below @ 29th Floor</t>
  </si>
  <si>
    <t>Refuge Area Below @ 1st Floor</t>
  </si>
  <si>
    <t>Terrace Area Below @ 39th Floor</t>
  </si>
  <si>
    <t>40th Floor</t>
  </si>
  <si>
    <t>39th Floor (Part Terrace Area)</t>
  </si>
  <si>
    <t>15th Floor (Part Refuge &amp; Terrace Area)</t>
  </si>
  <si>
    <t>Residential Built Up Area For Tower 1 to 5</t>
  </si>
  <si>
    <t>Area Under Road Set Back</t>
  </si>
  <si>
    <t>Addl .FSI Under Road Setback/land Handover</t>
  </si>
  <si>
    <t>Area Under D.P. Road</t>
  </si>
  <si>
    <t>Area Handover to Hospital Reservation</t>
  </si>
  <si>
    <t>Flats = 810</t>
  </si>
  <si>
    <t xml:space="preserve"> SEIAA-EC-0000001541
Date : 28/05/2019
Valid For : Net Plot Area = 60005.18 Sqm, 
Total Builtup Area = 686525.30</t>
  </si>
  <si>
    <t>Nainesh Tambe</t>
  </si>
  <si>
    <t xml:space="preserve"> On Site, we meet Mr Raj Mandhana (sales) - 8655133244</t>
  </si>
  <si>
    <t>P51800021322</t>
  </si>
  <si>
    <t>Building No. 2 (Tower 1, 2 &amp; 5 ) = 5B + Gr + 1st to 9th Podium + Club House Level 1 &amp; 2 + 1st to 39th Floor
Building No. 2 (Tower 3 &amp; 4 ) = 5B + Gr + 1st to 9th Podium + Club House Level 1 &amp; 2 + 1st to 40th Floor</t>
  </si>
  <si>
    <t>28th, 33rd to 35th, 37th &amp; 38th Floor</t>
  </si>
  <si>
    <t>Building No. 2 (Tower 1, 2 &amp; 5 ) = 5B + Gr + 1st to 9th Podium + Club House Level 1 &amp; 2 + 1st to 53rd Floor</t>
  </si>
  <si>
    <t>Building No. 2 (Tower 3 &amp; 4 ) = 5B + Gr + 1st to 9th Podium + Club House Level 1 &amp; 2 + 1st to 53rd Floor</t>
  </si>
  <si>
    <t>Internal visit was not allowed.</t>
  </si>
  <si>
    <t>Mr. Abhishek Manjrekar</t>
  </si>
  <si>
    <t>Shruti Tathare</t>
  </si>
  <si>
    <t>CHE/ES/4261/S/337(NEW)/FCC/3/Amend
Date : 11/01/2024</t>
  </si>
  <si>
    <t>CHE/ES/4261/S/337(NEW)/FCC/4/Amend
Date : 19/06/2024</t>
  </si>
  <si>
    <t>Valid Upto:  Further C.C. is granted for tower 03 and 04 upto 48th upper floors and C.C. is re-endorsed for tower 01,02 and 05 as per amended approved plan dated 05.03.2024 subject to timely renewal of B.G, SWM NOC, Workmen’s compensation policy and taking all sorts of precautions during construction and for air pollution.
Valid Upto date : 10/06/2025</t>
  </si>
  <si>
    <t>Valid Upto:  Further C.C. is granted for Tower 1, 2 &amp; 5 upto 37th floor as per approved amended plans dated 05/03/2024 by restricting C.C. from 38th to 40th floor for Tower 1, 2 &amp; 5 for instalment facility subject to timely renewal of B.G, SWM NOC, Workmen’s compensation policy and taking all sorts of precautions during construction and for air pollution.
Valid Upto date : 12/06/2026</t>
  </si>
  <si>
    <t>We have updated revised CC from MCGM site on 17/07/2025.</t>
  </si>
  <si>
    <t>Building No. 2 (Tower 1) = 5B + Gr + 1st to 9th Podium + Club House Level 1 &amp; 2 + 1st to 53rd Floor</t>
  </si>
  <si>
    <t>Building No. 2 (Tower 2) = 5B + Gr + 1st to 9th Podium + Club House Level 1 &amp; 2 + 1st to 53rd Floor</t>
  </si>
  <si>
    <t>Building No. 2 (Tower 5) = 5B + Gr + 1st to 9th Podium + Club House Level 1 &amp; 2 + 1st to 53rd Floor</t>
  </si>
  <si>
    <t>Please provide revised approved plans dtd. 05/03/2024.</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</si>
</sst>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color theme="1"/>
      <name val="Calibri"/>
      <family val="2"/>
      <scheme val="minor"/>
    </font>
    <font>
      <sz val="11"/>
      <color theme="1"/>
      <name val="Calibri"/>
      <family val="2"/>
      <scheme val="minor"/>
    </font>
    <font>
      <b/>
      <sz val="9"/>
      <color rgb="FF000000"/>
      <name val="Garamond"/>
      <family val="1"/>
    </font>
    <font>
      <sz val="11"/>
      <color theme="1"/>
      <name val="Garamond"/>
      <family val="1"/>
    </font>
    <font>
      <sz val="11"/>
      <color rgb="FF000000"/>
      <name val="Book Antiqua"/>
      <family val="1"/>
    </font>
    <font>
      <sz val="9"/>
      <color rgb="FF000000"/>
      <name val="Garamond"/>
      <family val="1"/>
    </font>
    <font>
      <sz val="10"/>
      <color theme="1"/>
      <name val="Times New Roman"/>
      <family val="1"/>
    </font>
    <font>
      <sz val="10"/>
      <color rgb="FF000000"/>
      <name val="Times New Roman"/>
      <family val="1"/>
    </font>
    <font>
      <b/>
      <sz val="12"/>
      <color theme="1"/>
      <name val="Times New Roman"/>
      <family val="1"/>
    </font>
    <font>
      <sz val="12"/>
      <color theme="1"/>
      <name val="Times New Roman"/>
      <family val="1"/>
    </font>
    <font>
      <sz val="11"/>
      <color theme="1"/>
      <name val="Times New Roman"/>
      <family val="1"/>
    </font>
    <font>
      <sz val="11"/>
      <color theme="1"/>
      <name val="Calibri"/>
      <family val="2"/>
    </font>
    <font>
      <b/>
      <sz val="12"/>
      <color indexed="8"/>
      <name val="Times New Roman"/>
      <family val="1"/>
    </font>
    <font>
      <sz val="12"/>
      <color indexed="8"/>
      <name val="Times New Roman"/>
      <family val="1"/>
    </font>
    <font>
      <sz val="11"/>
      <color indexed="8"/>
      <name val="Calibri"/>
      <family val="2"/>
    </font>
    <font>
      <b/>
      <sz val="11"/>
      <color theme="1"/>
      <name val="Calibri"/>
      <family val="2"/>
      <scheme val="minor"/>
    </font>
    <font>
      <b/>
      <sz val="10"/>
      <color rgb="FF000000"/>
      <name val="Times New Roman"/>
      <family val="1"/>
    </font>
    <font>
      <b/>
      <sz val="10"/>
      <color theme="1"/>
      <name val="Garamond"/>
      <family val="1"/>
    </font>
    <font>
      <b/>
      <sz val="9"/>
      <color theme="1"/>
      <name val="Garamond"/>
      <family val="1"/>
    </font>
    <font>
      <b/>
      <sz val="9"/>
      <color indexed="8"/>
      <name val="Garamond"/>
      <family val="1"/>
    </font>
    <font>
      <u/>
      <sz val="11"/>
      <color theme="10"/>
      <name val="Calibri"/>
      <family val="2"/>
      <scheme val="minor"/>
    </font>
    <font>
      <b/>
      <sz val="10"/>
      <color rgb="FF000000"/>
      <name val="Garamond"/>
      <family val="1"/>
    </font>
    <font>
      <b/>
      <sz val="11"/>
      <color rgb="FF000000"/>
      <name val="Garamond"/>
      <family val="1"/>
    </font>
    <font>
      <sz val="12"/>
      <color theme="1"/>
      <name val="Garamond"/>
      <family val="1"/>
    </font>
    <font>
      <sz val="11"/>
      <color rgb="FFFF0000"/>
      <name val="Garamond"/>
      <family val="1"/>
    </font>
    <font>
      <sz val="9"/>
      <color indexed="81"/>
      <name val="Tahoma"/>
      <family val="2"/>
    </font>
    <font>
      <b/>
      <sz val="9"/>
      <color indexed="81"/>
      <name val="Tahoma"/>
      <family val="2"/>
    </font>
    <font>
      <sz val="11"/>
      <color rgb="FF000000"/>
      <name val="Garamond"/>
      <family val="1"/>
    </font>
    <font>
      <b/>
      <sz val="11"/>
      <color theme="1"/>
      <name val="Garamond"/>
      <family val="1"/>
    </font>
    <font>
      <sz val="11"/>
      <color indexed="8"/>
      <name val="Garamond"/>
      <family val="1"/>
    </font>
    <font>
      <b/>
      <sz val="11"/>
      <color indexed="8"/>
      <name val="Garamond"/>
      <family val="1"/>
    </font>
    <font>
      <sz val="11"/>
      <name val="Garamond"/>
      <family val="1"/>
    </font>
    <font>
      <b/>
      <sz val="9"/>
      <name val="Garamond"/>
      <family val="1"/>
    </font>
    <font>
      <b/>
      <sz val="11"/>
      <name val="Garamond"/>
      <family val="1"/>
    </font>
    <font>
      <b/>
      <sz val="11"/>
      <color rgb="FFFF0000"/>
      <name val="Garamond"/>
      <family val="1"/>
    </font>
    <font>
      <sz val="9"/>
      <name val="Garamond"/>
      <family val="1"/>
    </font>
    <font>
      <sz val="10"/>
      <name val="Garamond"/>
      <family val="1"/>
    </font>
    <font>
      <b/>
      <sz val="10"/>
      <name val="Garamond"/>
      <family val="1"/>
    </font>
    <font>
      <sz val="10"/>
      <name val="Times New Roman"/>
      <family val="1"/>
    </font>
    <font>
      <sz val="11"/>
      <name val="Calibri"/>
      <family val="2"/>
      <scheme val="minor"/>
    </font>
  </fonts>
  <fills count="9">
    <fill>
      <patternFill patternType="none"/>
    </fill>
    <fill>
      <patternFill patternType="gray125"/>
    </fill>
    <fill>
      <patternFill patternType="solid">
        <fgColor rgb="FFFFFFFF"/>
        <bgColor auto="1"/>
      </patternFill>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bgColor indexed="64"/>
      </patternFill>
    </fill>
    <fill>
      <patternFill patternType="solid">
        <fgColor theme="9" tint="0.59999389629810485"/>
        <bgColor indexed="64"/>
      </patternFill>
    </fill>
    <fill>
      <patternFill patternType="solid">
        <fgColor theme="9" tint="0.39997558519241921"/>
        <bgColor indexed="64"/>
      </patternFill>
    </fill>
  </fills>
  <borders count="30">
    <border>
      <left/>
      <right/>
      <top/>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0" fontId="4" fillId="0" borderId="0"/>
    <xf numFmtId="0" fontId="1" fillId="0" borderId="0"/>
    <xf numFmtId="0" fontId="14" fillId="0" borderId="0"/>
    <xf numFmtId="0" fontId="20" fillId="0" borderId="0" applyNumberFormat="0" applyFill="0" applyBorder="0" applyAlignment="0" applyProtection="0"/>
    <xf numFmtId="9" fontId="1" fillId="0" borderId="0" applyFont="0" applyFill="0" applyBorder="0" applyAlignment="0" applyProtection="0"/>
  </cellStyleXfs>
  <cellXfs count="357">
    <xf numFmtId="0" fontId="0" fillId="0" borderId="0" xfId="0"/>
    <xf numFmtId="0" fontId="6" fillId="0" borderId="0" xfId="0" applyFont="1"/>
    <xf numFmtId="0" fontId="6" fillId="0" borderId="13" xfId="2" applyFont="1" applyBorder="1" applyProtection="1">
      <protection hidden="1"/>
    </xf>
    <xf numFmtId="0" fontId="6" fillId="0" borderId="14" xfId="2" applyFont="1" applyBorder="1" applyProtection="1">
      <protection hidden="1"/>
    </xf>
    <xf numFmtId="0" fontId="6" fillId="0" borderId="0" xfId="2" applyFont="1" applyProtection="1">
      <protection hidden="1"/>
    </xf>
    <xf numFmtId="0" fontId="6" fillId="0" borderId="1" xfId="2" applyFont="1" applyBorder="1" applyProtection="1">
      <protection hidden="1"/>
    </xf>
    <xf numFmtId="0" fontId="7" fillId="0" borderId="0" xfId="0" applyFont="1" applyProtection="1">
      <protection hidden="1"/>
    </xf>
    <xf numFmtId="0" fontId="6" fillId="0" borderId="1" xfId="2" applyFont="1" applyBorder="1"/>
    <xf numFmtId="0" fontId="7" fillId="0" borderId="1" xfId="0" applyFont="1" applyBorder="1" applyProtection="1">
      <protection hidden="1"/>
    </xf>
    <xf numFmtId="1" fontId="6" fillId="0" borderId="1" xfId="0" applyNumberFormat="1" applyFont="1" applyBorder="1"/>
    <xf numFmtId="1" fontId="6" fillId="0" borderId="1" xfId="0" applyNumberFormat="1" applyFont="1" applyBorder="1" applyAlignment="1">
      <alignment horizontal="right"/>
    </xf>
    <xf numFmtId="0" fontId="7" fillId="0" borderId="18" xfId="0" applyFont="1" applyBorder="1" applyProtection="1">
      <protection hidden="1"/>
    </xf>
    <xf numFmtId="1" fontId="6" fillId="0" borderId="17" xfId="0" applyNumberFormat="1" applyFont="1" applyBorder="1"/>
    <xf numFmtId="0" fontId="9" fillId="0" borderId="13" xfId="2" applyFont="1" applyBorder="1" applyProtection="1">
      <protection hidden="1"/>
    </xf>
    <xf numFmtId="0" fontId="9" fillId="0" borderId="14" xfId="2" applyFont="1" applyBorder="1" applyProtection="1">
      <protection hidden="1"/>
    </xf>
    <xf numFmtId="0" fontId="9" fillId="0" borderId="4"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0" xfId="2" applyFont="1" applyProtection="1">
      <protection hidden="1"/>
    </xf>
    <xf numFmtId="0" fontId="9" fillId="0" borderId="1" xfId="2" applyFont="1" applyBorder="1" applyProtection="1">
      <protection hidden="1"/>
    </xf>
    <xf numFmtId="0" fontId="9" fillId="0" borderId="5" xfId="2" applyFont="1" applyBorder="1" applyAlignment="1" applyProtection="1">
      <alignment horizontal="center" vertical="top" wrapText="1"/>
      <protection locked="0"/>
    </xf>
    <xf numFmtId="0" fontId="10" fillId="0" borderId="0" xfId="0" applyFont="1" applyProtection="1">
      <protection hidden="1"/>
    </xf>
    <xf numFmtId="0" fontId="9" fillId="0" borderId="1" xfId="2" applyFont="1" applyBorder="1"/>
    <xf numFmtId="0" fontId="9" fillId="0" borderId="5" xfId="2" applyFont="1" applyBorder="1" applyAlignment="1" applyProtection="1">
      <alignment horizontal="center" wrapText="1"/>
      <protection locked="0"/>
    </xf>
    <xf numFmtId="9" fontId="9" fillId="3" borderId="5" xfId="2" applyNumberFormat="1" applyFont="1" applyFill="1" applyBorder="1" applyAlignment="1" applyProtection="1">
      <alignment horizontal="center" vertical="center" wrapText="1"/>
      <protection hidden="1"/>
    </xf>
    <xf numFmtId="0" fontId="10" fillId="0" borderId="1" xfId="0" applyFont="1" applyBorder="1" applyProtection="1">
      <protection hidden="1"/>
    </xf>
    <xf numFmtId="1" fontId="9" fillId="0" borderId="5" xfId="2" applyNumberFormat="1" applyFont="1" applyBorder="1" applyAlignment="1" applyProtection="1">
      <alignment horizontal="center" wrapText="1"/>
      <protection locked="0"/>
    </xf>
    <xf numFmtId="1" fontId="11" fillId="0" borderId="1" xfId="0" applyNumberFormat="1" applyFont="1" applyBorder="1"/>
    <xf numFmtId="1" fontId="11" fillId="0" borderId="1" xfId="0" applyNumberFormat="1" applyFont="1" applyBorder="1" applyAlignment="1">
      <alignment horizontal="right"/>
    </xf>
    <xf numFmtId="0" fontId="9" fillId="0" borderId="16" xfId="2" applyFont="1" applyBorder="1" applyAlignment="1" applyProtection="1">
      <alignment horizontal="center" wrapText="1"/>
      <protection locked="0"/>
    </xf>
    <xf numFmtId="9" fontId="9" fillId="3" borderId="16" xfId="2" applyNumberFormat="1" applyFont="1" applyFill="1" applyBorder="1" applyAlignment="1" applyProtection="1">
      <alignment horizontal="center" vertical="center" wrapText="1"/>
      <protection hidden="1"/>
    </xf>
    <xf numFmtId="0" fontId="10" fillId="0" borderId="18" xfId="0" applyFont="1" applyBorder="1" applyProtection="1">
      <protection hidden="1"/>
    </xf>
    <xf numFmtId="1" fontId="11" fillId="0" borderId="17" xfId="0" applyNumberFormat="1" applyFont="1" applyBorder="1"/>
    <xf numFmtId="0" fontId="9" fillId="0" borderId="8" xfId="2" applyFont="1" applyBorder="1" applyAlignment="1" applyProtection="1">
      <alignment vertical="top"/>
      <protection locked="0"/>
    </xf>
    <xf numFmtId="0" fontId="9" fillId="0" borderId="3" xfId="2" applyFont="1" applyBorder="1" applyAlignment="1" applyProtection="1">
      <alignment vertical="top"/>
      <protection locked="0"/>
    </xf>
    <xf numFmtId="0" fontId="9" fillId="0" borderId="2" xfId="2" applyFont="1" applyBorder="1" applyAlignment="1" applyProtection="1">
      <alignment vertical="top"/>
      <protection locked="0"/>
    </xf>
    <xf numFmtId="0" fontId="9" fillId="0" borderId="0" xfId="0" applyFont="1" applyAlignment="1">
      <alignment horizontal="center" vertical="center"/>
    </xf>
    <xf numFmtId="0" fontId="13" fillId="0" borderId="0" xfId="3" applyFont="1"/>
    <xf numFmtId="0" fontId="9" fillId="0" borderId="0" xfId="2" applyFont="1"/>
    <xf numFmtId="0" fontId="9" fillId="0" borderId="0" xfId="2" applyFont="1" applyAlignment="1">
      <alignment horizontal="center" vertical="center"/>
    </xf>
    <xf numFmtId="1" fontId="9" fillId="0" borderId="0" xfId="2" applyNumberFormat="1" applyFont="1" applyAlignment="1">
      <alignment horizontal="center" vertical="center"/>
    </xf>
    <xf numFmtId="1" fontId="12" fillId="0" borderId="0" xfId="0" applyNumberFormat="1" applyFont="1" applyAlignment="1" applyProtection="1">
      <alignment vertical="center" wrapText="1"/>
      <protection locked="0"/>
    </xf>
    <xf numFmtId="0" fontId="12" fillId="0" borderId="0" xfId="2" applyFont="1" applyAlignment="1" applyProtection="1">
      <alignment vertical="top"/>
      <protection locked="0"/>
    </xf>
    <xf numFmtId="1" fontId="12" fillId="0" borderId="0" xfId="2" applyNumberFormat="1" applyFont="1" applyAlignment="1" applyProtection="1">
      <alignment vertical="center" wrapText="1"/>
      <protection locked="0"/>
    </xf>
    <xf numFmtId="0" fontId="15" fillId="0" borderId="0" xfId="0" applyFont="1"/>
    <xf numFmtId="0" fontId="2" fillId="4" borderId="5" xfId="0" applyFont="1" applyFill="1" applyBorder="1" applyAlignment="1">
      <alignment horizontal="left" vertical="top" wrapText="1"/>
    </xf>
    <xf numFmtId="0" fontId="2" fillId="4" borderId="5" xfId="1" applyFont="1" applyFill="1" applyBorder="1" applyAlignment="1">
      <alignment vertical="center" wrapText="1"/>
    </xf>
    <xf numFmtId="1" fontId="19" fillId="4" borderId="5" xfId="0" applyNumberFormat="1" applyFont="1" applyFill="1" applyBorder="1" applyAlignment="1" applyProtection="1">
      <alignment horizontal="center" vertical="center" wrapText="1"/>
      <protection locked="0"/>
    </xf>
    <xf numFmtId="0" fontId="2" fillId="4" borderId="5" xfId="0" applyFont="1" applyFill="1" applyBorder="1" applyAlignment="1">
      <alignment horizontal="center" vertical="center" wrapText="1"/>
    </xf>
    <xf numFmtId="0" fontId="15" fillId="0" borderId="0" xfId="0" applyFont="1" applyAlignment="1">
      <alignment horizontal="left"/>
    </xf>
    <xf numFmtId="0" fontId="16" fillId="5" borderId="5" xfId="0" applyFont="1" applyFill="1" applyBorder="1" applyAlignment="1">
      <alignment horizontal="left" vertical="center" wrapText="1"/>
    </xf>
    <xf numFmtId="0" fontId="0" fillId="0" borderId="0" xfId="0" applyAlignment="1">
      <alignment horizontal="left"/>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0" fontId="6" fillId="0" borderId="0" xfId="0" applyFont="1" applyBorder="1"/>
    <xf numFmtId="0" fontId="2" fillId="0" borderId="0" xfId="0" applyFont="1" applyBorder="1" applyAlignment="1">
      <alignment horizontal="center" vertical="top" wrapText="1"/>
    </xf>
    <xf numFmtId="0" fontId="2" fillId="4" borderId="0" xfId="0" applyFont="1" applyFill="1" applyBorder="1" applyAlignment="1">
      <alignment vertical="top" wrapText="1"/>
    </xf>
    <xf numFmtId="1" fontId="9" fillId="0" borderId="0" xfId="2" applyNumberFormat="1" applyFont="1" applyBorder="1" applyAlignment="1">
      <alignment horizontal="center" vertical="center"/>
    </xf>
    <xf numFmtId="2" fontId="9" fillId="0" borderId="0" xfId="2" applyNumberFormat="1" applyFont="1" applyBorder="1" applyAlignment="1">
      <alignment horizontal="center" vertical="center"/>
    </xf>
    <xf numFmtId="0" fontId="0" fillId="0" borderId="0" xfId="0" applyBorder="1"/>
    <xf numFmtId="0" fontId="9" fillId="0" borderId="0" xfId="2" applyFont="1" applyBorder="1" applyAlignment="1">
      <alignment horizontal="center" vertical="center"/>
    </xf>
    <xf numFmtId="0" fontId="13" fillId="0" borderId="0" xfId="3" applyFont="1" applyBorder="1"/>
    <xf numFmtId="0" fontId="9" fillId="0" borderId="0" xfId="2" applyFont="1" applyBorder="1"/>
    <xf numFmtId="0" fontId="2" fillId="0" borderId="0" xfId="0" applyFont="1" applyBorder="1" applyAlignment="1">
      <alignment vertical="top" wrapText="1"/>
    </xf>
    <xf numFmtId="0" fontId="21" fillId="4" borderId="5" xfId="0" applyFont="1" applyFill="1" applyBorder="1" applyAlignment="1">
      <alignment horizontal="left" vertical="top" wrapText="1"/>
    </xf>
    <xf numFmtId="0" fontId="22" fillId="4" borderId="5" xfId="0" applyFont="1" applyFill="1" applyBorder="1" applyAlignment="1">
      <alignment horizontal="left" vertical="top" wrapText="1"/>
    </xf>
    <xf numFmtId="0" fontId="0" fillId="0" borderId="0" xfId="0" applyAlignment="1">
      <alignment horizontal="center" vertical="center"/>
    </xf>
    <xf numFmtId="0" fontId="7" fillId="0" borderId="0" xfId="0" applyFont="1" applyBorder="1" applyAlignment="1" applyProtection="1">
      <alignment horizontal="center" vertical="center"/>
      <protection hidden="1"/>
    </xf>
    <xf numFmtId="1" fontId="6" fillId="0" borderId="0"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4" xfId="0" applyFont="1" applyBorder="1" applyAlignment="1">
      <alignment horizontal="center" vertical="center"/>
    </xf>
    <xf numFmtId="1" fontId="19" fillId="4" borderId="4" xfId="0" applyNumberFormat="1" applyFont="1" applyFill="1" applyBorder="1" applyAlignment="1" applyProtection="1">
      <alignment horizontal="center" vertical="center" wrapText="1"/>
      <protection locked="0"/>
    </xf>
    <xf numFmtId="0" fontId="2" fillId="4" borderId="5" xfId="0" applyFont="1" applyFill="1" applyBorder="1" applyAlignment="1">
      <alignment horizontal="left" vertical="center" wrapText="1"/>
    </xf>
    <xf numFmtId="0" fontId="3" fillId="4" borderId="11" xfId="2" applyFont="1" applyFill="1" applyBorder="1" applyAlignment="1" applyProtection="1">
      <alignment horizontal="center" vertical="center"/>
      <protection locked="0"/>
    </xf>
    <xf numFmtId="0" fontId="3" fillId="4" borderId="12" xfId="2" applyFont="1" applyFill="1" applyBorder="1" applyAlignment="1" applyProtection="1">
      <alignment horizontal="center" vertical="center"/>
      <protection locked="0"/>
    </xf>
    <xf numFmtId="0" fontId="3" fillId="4" borderId="5" xfId="2" applyFont="1" applyFill="1" applyBorder="1" applyAlignment="1" applyProtection="1">
      <alignment horizontal="center" vertical="center"/>
      <protection locked="0"/>
    </xf>
    <xf numFmtId="0" fontId="3" fillId="4" borderId="6" xfId="2" applyFont="1" applyFill="1" applyBorder="1" applyAlignment="1" applyProtection="1">
      <alignment horizontal="center" vertical="center"/>
      <protection locked="0"/>
    </xf>
    <xf numFmtId="0" fontId="3" fillId="4" borderId="4" xfId="2" applyFont="1" applyFill="1" applyBorder="1" applyAlignment="1" applyProtection="1">
      <alignment horizontal="left" vertical="top" wrapText="1"/>
      <protection locked="0"/>
    </xf>
    <xf numFmtId="0" fontId="3" fillId="4" borderId="5" xfId="0" applyFont="1" applyFill="1" applyBorder="1" applyAlignment="1">
      <alignment horizontal="center"/>
    </xf>
    <xf numFmtId="0" fontId="3" fillId="4" borderId="5" xfId="2" applyFont="1" applyFill="1" applyBorder="1" applyAlignment="1" applyProtection="1">
      <alignment horizontal="center" vertical="top" wrapText="1"/>
      <protection locked="0"/>
    </xf>
    <xf numFmtId="9" fontId="3" fillId="4" borderId="5" xfId="0" applyNumberFormat="1" applyFont="1" applyFill="1" applyBorder="1" applyAlignment="1">
      <alignment horizontal="center" vertical="center"/>
    </xf>
    <xf numFmtId="0" fontId="3" fillId="4" borderId="5" xfId="2" applyFont="1" applyFill="1" applyBorder="1" applyAlignment="1" applyProtection="1">
      <alignment horizontal="center" wrapText="1"/>
      <protection locked="0"/>
    </xf>
    <xf numFmtId="9" fontId="3" fillId="4" borderId="5" xfId="2" applyNumberFormat="1" applyFont="1" applyFill="1" applyBorder="1" applyAlignment="1" applyProtection="1">
      <alignment horizontal="center" vertical="center" wrapText="1"/>
      <protection hidden="1"/>
    </xf>
    <xf numFmtId="1" fontId="3" fillId="4" borderId="5" xfId="2" applyNumberFormat="1" applyFont="1" applyFill="1" applyBorder="1" applyAlignment="1" applyProtection="1">
      <alignment horizontal="center" wrapText="1"/>
      <protection locked="0"/>
    </xf>
    <xf numFmtId="1" fontId="29" fillId="4" borderId="4" xfId="0" applyNumberFormat="1" applyFont="1" applyFill="1" applyBorder="1" applyAlignment="1" applyProtection="1">
      <alignment horizontal="center" vertical="center" wrapText="1"/>
      <protection locked="0"/>
    </xf>
    <xf numFmtId="1" fontId="29" fillId="0" borderId="5" xfId="0" applyNumberFormat="1" applyFont="1" applyBorder="1" applyAlignment="1" applyProtection="1">
      <alignment horizontal="center" vertical="center" wrapText="1"/>
      <protection locked="0"/>
    </xf>
    <xf numFmtId="1" fontId="30" fillId="4" borderId="15" xfId="0" applyNumberFormat="1" applyFont="1" applyFill="1" applyBorder="1" applyAlignment="1" applyProtection="1">
      <alignment horizontal="center" vertical="center" wrapText="1"/>
      <protection locked="0"/>
    </xf>
    <xf numFmtId="0" fontId="21" fillId="4" borderId="5" xfId="0" applyFont="1" applyFill="1" applyBorder="1" applyAlignment="1">
      <alignment horizontal="center" vertical="center" wrapText="1"/>
    </xf>
    <xf numFmtId="0" fontId="0" fillId="0" borderId="0" xfId="0" applyFill="1" applyBorder="1"/>
    <xf numFmtId="0" fontId="2" fillId="0" borderId="0" xfId="1" applyFont="1" applyFill="1" applyBorder="1" applyAlignment="1">
      <alignment vertical="center" wrapText="1"/>
    </xf>
    <xf numFmtId="0" fontId="2" fillId="0" borderId="0" xfId="0" applyFont="1" applyFill="1" applyBorder="1" applyAlignment="1">
      <alignment horizontal="left" vertical="top" wrapText="1"/>
    </xf>
    <xf numFmtId="0" fontId="2" fillId="0" borderId="0" xfId="0" applyFont="1" applyFill="1" applyBorder="1" applyAlignment="1">
      <alignment vertical="center" wrapText="1"/>
    </xf>
    <xf numFmtId="0" fontId="2" fillId="0" borderId="0" xfId="0" applyFont="1" applyFill="1" applyBorder="1" applyAlignment="1">
      <alignment vertical="top" wrapText="1"/>
    </xf>
    <xf numFmtId="0" fontId="0" fillId="0" borderId="0" xfId="0" applyFill="1"/>
    <xf numFmtId="0" fontId="32" fillId="4" borderId="5" xfId="0" applyFont="1" applyFill="1" applyBorder="1" applyAlignment="1">
      <alignment horizontal="left" vertical="top" wrapText="1"/>
    </xf>
    <xf numFmtId="0" fontId="32" fillId="4" borderId="5" xfId="0" applyFont="1" applyFill="1" applyBorder="1" applyAlignment="1">
      <alignment horizontal="center" vertical="center" wrapText="1"/>
    </xf>
    <xf numFmtId="1" fontId="3" fillId="4" borderId="5" xfId="2" applyNumberFormat="1" applyFont="1" applyFill="1" applyBorder="1" applyAlignment="1" applyProtection="1">
      <alignment horizontal="center" vertical="center" wrapText="1"/>
      <protection locked="0"/>
    </xf>
    <xf numFmtId="0" fontId="18" fillId="0" borderId="5" xfId="0" applyFont="1" applyFill="1" applyBorder="1" applyAlignment="1">
      <alignment horizontal="center" vertical="center"/>
    </xf>
    <xf numFmtId="0" fontId="3" fillId="0" borderId="5" xfId="0" applyFont="1" applyBorder="1" applyAlignment="1">
      <alignment horizontal="left" vertical="top"/>
    </xf>
    <xf numFmtId="0" fontId="3" fillId="0" borderId="5" xfId="0" applyFont="1" applyBorder="1" applyAlignment="1">
      <alignment horizontal="center" vertical="center"/>
    </xf>
    <xf numFmtId="0" fontId="27" fillId="0" borderId="5" xfId="0" applyFont="1" applyBorder="1" applyAlignment="1">
      <alignment horizontal="center" vertical="center" wrapText="1"/>
    </xf>
    <xf numFmtId="0" fontId="3" fillId="0" borderId="0" xfId="0" applyFont="1"/>
    <xf numFmtId="0" fontId="33" fillId="4" borderId="5" xfId="0" applyFont="1" applyFill="1" applyBorder="1" applyAlignment="1">
      <alignment horizontal="center" vertical="center" wrapText="1"/>
    </xf>
    <xf numFmtId="0" fontId="3" fillId="0" borderId="5" xfId="0" applyFont="1" applyBorder="1" applyAlignment="1">
      <alignment horizontal="left" vertical="top" wrapText="1"/>
    </xf>
    <xf numFmtId="0" fontId="31" fillId="0" borderId="5" xfId="0" applyFont="1" applyBorder="1" applyAlignment="1">
      <alignment horizontal="center" vertical="center"/>
    </xf>
    <xf numFmtId="1" fontId="30" fillId="0" borderId="5" xfId="0" applyNumberFormat="1" applyFont="1" applyBorder="1" applyAlignment="1" applyProtection="1">
      <alignment horizontal="center" vertical="center" wrapText="1"/>
      <protection locked="0"/>
    </xf>
    <xf numFmtId="1" fontId="19" fillId="0" borderId="5" xfId="2" applyNumberFormat="1" applyFont="1" applyBorder="1" applyAlignment="1" applyProtection="1">
      <alignment horizontal="center" vertical="center" wrapText="1"/>
      <protection locked="0"/>
    </xf>
    <xf numFmtId="0" fontId="2" fillId="4" borderId="9" xfId="0" applyFont="1" applyFill="1" applyBorder="1" applyAlignment="1">
      <alignment horizontal="left" vertical="center" wrapText="1"/>
    </xf>
    <xf numFmtId="0" fontId="2" fillId="4" borderId="6" xfId="0" applyFont="1" applyFill="1" applyBorder="1" applyAlignment="1">
      <alignment horizontal="center" vertical="center" wrapText="1"/>
    </xf>
    <xf numFmtId="0" fontId="2" fillId="4" borderId="9"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4" xfId="0" applyFont="1" applyFill="1" applyBorder="1" applyAlignment="1">
      <alignment horizontal="center" vertical="center" wrapText="1"/>
    </xf>
    <xf numFmtId="0" fontId="2" fillId="4" borderId="15" xfId="0" applyFont="1" applyFill="1" applyBorder="1" applyAlignment="1">
      <alignment horizontal="left" vertical="top" wrapText="1"/>
    </xf>
    <xf numFmtId="0" fontId="28" fillId="4" borderId="4" xfId="0" applyFont="1" applyFill="1" applyBorder="1" applyAlignment="1">
      <alignment horizontal="left" vertical="top"/>
    </xf>
    <xf numFmtId="0" fontId="3" fillId="4" borderId="15" xfId="2" applyFont="1" applyFill="1" applyBorder="1" applyAlignment="1" applyProtection="1">
      <alignment horizontal="left" vertical="top" wrapText="1"/>
      <protection locked="0"/>
    </xf>
    <xf numFmtId="9" fontId="3" fillId="4" borderId="16" xfId="0" applyNumberFormat="1" applyFont="1" applyFill="1" applyBorder="1" applyAlignment="1">
      <alignment horizontal="center" vertical="center"/>
    </xf>
    <xf numFmtId="0" fontId="3" fillId="4" borderId="16" xfId="2" applyFont="1" applyFill="1" applyBorder="1" applyAlignment="1" applyProtection="1">
      <alignment horizontal="center" wrapText="1"/>
      <protection locked="0"/>
    </xf>
    <xf numFmtId="9" fontId="3" fillId="4" borderId="16" xfId="2" applyNumberFormat="1" applyFont="1" applyFill="1" applyBorder="1" applyAlignment="1" applyProtection="1">
      <alignment horizontal="center" vertical="center" wrapText="1"/>
      <protection hidden="1"/>
    </xf>
    <xf numFmtId="1" fontId="30" fillId="4" borderId="4" xfId="0" applyNumberFormat="1" applyFont="1" applyFill="1" applyBorder="1" applyAlignment="1" applyProtection="1">
      <alignment horizontal="center" vertical="center" wrapText="1"/>
      <protection locked="0"/>
    </xf>
    <xf numFmtId="0" fontId="21" fillId="4" borderId="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1" fillId="4" borderId="16" xfId="0" applyFont="1" applyFill="1" applyBorder="1" applyAlignment="1">
      <alignment horizontal="center" vertical="center" wrapText="1"/>
    </xf>
    <xf numFmtId="0" fontId="21" fillId="4" borderId="24" xfId="0" applyFont="1" applyFill="1" applyBorder="1" applyAlignment="1">
      <alignment horizontal="center" vertical="center" wrapText="1"/>
    </xf>
    <xf numFmtId="1" fontId="29" fillId="0" borderId="5" xfId="2" applyNumberFormat="1" applyFont="1" applyBorder="1" applyAlignment="1" applyProtection="1">
      <alignment horizontal="center" vertical="center" wrapText="1"/>
      <protection locked="0"/>
    </xf>
    <xf numFmtId="1" fontId="3" fillId="0" borderId="5" xfId="2" applyNumberFormat="1" applyFont="1" applyBorder="1" applyAlignment="1">
      <alignment horizontal="center" vertical="center"/>
    </xf>
    <xf numFmtId="1" fontId="19" fillId="0" borderId="9" xfId="2" applyNumberFormat="1" applyFont="1" applyBorder="1" applyAlignment="1" applyProtection="1">
      <alignment horizontal="center" vertical="center" wrapText="1"/>
      <protection locked="0"/>
    </xf>
    <xf numFmtId="9" fontId="3" fillId="4" borderId="5" xfId="2" applyNumberFormat="1" applyFont="1" applyFill="1" applyBorder="1" applyAlignment="1" applyProtection="1">
      <alignment horizontal="center" vertical="center" wrapText="1"/>
      <protection hidden="1"/>
    </xf>
    <xf numFmtId="9" fontId="3" fillId="4" borderId="16" xfId="2" applyNumberFormat="1" applyFont="1" applyFill="1" applyBorder="1" applyAlignment="1" applyProtection="1">
      <alignment horizontal="center" vertical="center" wrapText="1"/>
      <protection hidden="1"/>
    </xf>
    <xf numFmtId="0" fontId="27" fillId="0" borderId="5" xfId="0" applyFont="1" applyBorder="1" applyAlignment="1">
      <alignment horizontal="center" vertical="center" wrapText="1"/>
    </xf>
    <xf numFmtId="0" fontId="2" fillId="4" borderId="5" xfId="1" applyFont="1" applyFill="1" applyBorder="1" applyAlignment="1">
      <alignment horizontal="left" vertical="center" wrapText="1"/>
    </xf>
    <xf numFmtId="0" fontId="9" fillId="0" borderId="0" xfId="2" applyFont="1" applyBorder="1" applyAlignment="1">
      <alignment horizontal="center" vertical="center"/>
    </xf>
    <xf numFmtId="0" fontId="9" fillId="0" borderId="0" xfId="2" applyFont="1" applyAlignment="1">
      <alignment horizontal="center" vertical="center"/>
    </xf>
    <xf numFmtId="14" fontId="5" fillId="2" borderId="5" xfId="1" applyNumberFormat="1" applyFont="1" applyFill="1" applyBorder="1" applyAlignment="1" applyProtection="1">
      <alignment horizontal="left" vertical="center" wrapText="1"/>
      <protection locked="0"/>
    </xf>
    <xf numFmtId="0" fontId="5" fillId="2" borderId="5" xfId="1" applyFont="1" applyFill="1" applyBorder="1" applyAlignment="1" applyProtection="1">
      <alignment horizontal="left" vertical="center" wrapText="1"/>
      <protection locked="0"/>
    </xf>
    <xf numFmtId="14" fontId="35" fillId="2" borderId="5" xfId="1" applyNumberFormat="1" applyFont="1" applyFill="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5" xfId="0" applyFont="1" applyBorder="1" applyAlignment="1">
      <alignment horizontal="center" vertical="top" wrapText="1"/>
    </xf>
    <xf numFmtId="0" fontId="31" fillId="0" borderId="5" xfId="0" applyFont="1" applyBorder="1" applyAlignment="1">
      <alignment horizontal="center" vertical="center" wrapText="1"/>
    </xf>
    <xf numFmtId="0" fontId="31" fillId="0" borderId="5" xfId="0" applyFont="1" applyBorder="1" applyAlignment="1">
      <alignment horizontal="left" vertical="top"/>
    </xf>
    <xf numFmtId="0" fontId="9" fillId="0" borderId="0" xfId="2" applyFont="1" applyBorder="1" applyAlignment="1">
      <alignment horizontal="center" vertical="center"/>
    </xf>
    <xf numFmtId="9" fontId="33" fillId="0" borderId="7" xfId="5" applyFont="1" applyFill="1" applyBorder="1" applyAlignment="1" applyProtection="1">
      <alignment horizontal="center" vertical="top" wrapText="1"/>
      <protection locked="0"/>
    </xf>
    <xf numFmtId="1" fontId="13" fillId="0" borderId="0" xfId="2" applyNumberFormat="1" applyFont="1" applyAlignment="1" applyProtection="1">
      <alignment vertical="center" wrapText="1"/>
      <protection locked="0"/>
    </xf>
    <xf numFmtId="49" fontId="0" fillId="0" borderId="0" xfId="0" applyNumberFormat="1"/>
    <xf numFmtId="0" fontId="0" fillId="0" borderId="0" xfId="0" applyBorder="1" applyAlignment="1">
      <alignment horizontal="left"/>
    </xf>
    <xf numFmtId="1" fontId="29" fillId="0" borderId="0" xfId="2" applyNumberFormat="1" applyFont="1" applyBorder="1" applyAlignment="1" applyProtection="1">
      <alignment horizontal="center" vertical="center" wrapText="1"/>
      <protection locked="0"/>
    </xf>
    <xf numFmtId="1" fontId="13" fillId="0" borderId="26" xfId="2" applyNumberFormat="1" applyFont="1" applyBorder="1" applyAlignment="1" applyProtection="1">
      <alignment vertical="center" wrapText="1"/>
      <protection locked="0"/>
    </xf>
    <xf numFmtId="1" fontId="13" fillId="0" borderId="0" xfId="2" applyNumberFormat="1" applyFont="1" applyBorder="1" applyAlignment="1" applyProtection="1">
      <alignment vertical="center" wrapText="1"/>
      <protection locked="0"/>
    </xf>
    <xf numFmtId="49" fontId="0" fillId="0" borderId="0" xfId="0" applyNumberFormat="1" applyBorder="1"/>
    <xf numFmtId="49" fontId="0" fillId="0" borderId="0" xfId="0" applyNumberFormat="1" applyBorder="1" applyAlignment="1">
      <alignment horizontal="center"/>
    </xf>
    <xf numFmtId="0" fontId="0" fillId="0" borderId="0" xfId="0" applyBorder="1" applyAlignment="1"/>
    <xf numFmtId="49" fontId="9" fillId="0" borderId="0" xfId="2" applyNumberFormat="1" applyFont="1" applyBorder="1" applyAlignment="1">
      <alignment horizontal="center" vertical="center"/>
    </xf>
    <xf numFmtId="49" fontId="0" fillId="0" borderId="0" xfId="0" applyNumberFormat="1" applyBorder="1" applyAlignment="1"/>
    <xf numFmtId="49" fontId="9" fillId="0" borderId="0" xfId="2" applyNumberFormat="1" applyFont="1" applyBorder="1" applyAlignment="1">
      <alignment vertical="center"/>
    </xf>
    <xf numFmtId="1" fontId="9" fillId="0" borderId="0" xfId="2" applyNumberFormat="1" applyFont="1" applyBorder="1" applyAlignment="1">
      <alignment horizontal="right" vertical="center"/>
    </xf>
    <xf numFmtId="0" fontId="0" fillId="0" borderId="0" xfId="0" applyBorder="1" applyAlignment="1">
      <alignment horizontal="right"/>
    </xf>
    <xf numFmtId="0" fontId="0" fillId="0" borderId="0" xfId="0" applyFill="1" applyBorder="1" applyAlignment="1">
      <alignment horizontal="right"/>
    </xf>
    <xf numFmtId="49" fontId="8" fillId="0" borderId="0" xfId="2" applyNumberFormat="1" applyFont="1" applyBorder="1" applyAlignment="1">
      <alignment horizontal="center" vertical="center"/>
    </xf>
    <xf numFmtId="49" fontId="15" fillId="0" borderId="0" xfId="0" applyNumberFormat="1" applyFont="1" applyBorder="1" applyAlignment="1">
      <alignment horizontal="center"/>
    </xf>
    <xf numFmtId="1" fontId="31" fillId="0" borderId="5" xfId="2" applyNumberFormat="1" applyFont="1" applyBorder="1" applyAlignment="1" applyProtection="1">
      <alignment horizontal="center" vertical="center" wrapText="1"/>
      <protection locked="0"/>
    </xf>
    <xf numFmtId="0" fontId="0" fillId="0" borderId="0" xfId="0" applyAlignment="1"/>
    <xf numFmtId="0" fontId="9" fillId="0" borderId="0" xfId="2" applyFont="1" applyBorder="1" applyAlignment="1">
      <alignment vertical="center"/>
    </xf>
    <xf numFmtId="9" fontId="32" fillId="0" borderId="7" xfId="2" applyNumberFormat="1" applyFont="1" applyBorder="1" applyAlignment="1" applyProtection="1">
      <alignment horizontal="center" vertical="center" wrapText="1"/>
      <protection locked="0"/>
    </xf>
    <xf numFmtId="1" fontId="31" fillId="0" borderId="5" xfId="2" applyNumberFormat="1" applyFont="1" applyBorder="1" applyAlignment="1">
      <alignment horizontal="center" vertical="center"/>
    </xf>
    <xf numFmtId="1" fontId="33" fillId="0" borderId="16" xfId="0" applyNumberFormat="1" applyFont="1" applyBorder="1" applyAlignment="1" applyProtection="1">
      <alignment horizontal="center" vertical="center" wrapText="1"/>
      <protection locked="0"/>
    </xf>
    <xf numFmtId="0" fontId="38" fillId="4" borderId="5" xfId="0" applyFont="1" applyFill="1" applyBorder="1" applyAlignment="1">
      <alignment horizontal="center" vertical="center" wrapText="1"/>
    </xf>
    <xf numFmtId="14" fontId="35" fillId="2" borderId="5" xfId="1" applyNumberFormat="1" applyFont="1" applyFill="1" applyBorder="1" applyAlignment="1" applyProtection="1">
      <alignment horizontal="left" vertical="center" wrapText="1"/>
      <protection locked="0"/>
    </xf>
    <xf numFmtId="1" fontId="0" fillId="0" borderId="0" xfId="0" applyNumberFormat="1"/>
    <xf numFmtId="0" fontId="0" fillId="0" borderId="0" xfId="0" applyAlignment="1">
      <alignment horizontal="left"/>
    </xf>
    <xf numFmtId="0" fontId="3" fillId="4" borderId="5" xfId="2" applyFont="1" applyFill="1" applyBorder="1" applyAlignment="1" applyProtection="1">
      <alignment horizontal="center" vertical="center" wrapText="1"/>
      <protection locked="0"/>
    </xf>
    <xf numFmtId="9" fontId="3" fillId="4" borderId="5" xfId="2" applyNumberFormat="1" applyFont="1" applyFill="1" applyBorder="1" applyAlignment="1" applyProtection="1">
      <alignment horizontal="center" vertical="center" wrapText="1"/>
      <protection hidden="1"/>
    </xf>
    <xf numFmtId="9" fontId="3" fillId="4" borderId="16" xfId="2" applyNumberFormat="1" applyFont="1" applyFill="1" applyBorder="1" applyAlignment="1" applyProtection="1">
      <alignment horizontal="center" vertical="center" wrapText="1"/>
      <protection hidden="1"/>
    </xf>
    <xf numFmtId="0" fontId="0" fillId="0" borderId="0" xfId="0" applyFill="1" applyBorder="1" applyAlignment="1">
      <alignment vertical="center"/>
    </xf>
    <xf numFmtId="0" fontId="17" fillId="0" borderId="5" xfId="0" applyFont="1" applyFill="1" applyBorder="1" applyAlignment="1">
      <alignment horizontal="left" vertical="center" wrapText="1"/>
    </xf>
    <xf numFmtId="0" fontId="28" fillId="4" borderId="10" xfId="2" applyFont="1" applyFill="1" applyBorder="1" applyAlignment="1" applyProtection="1">
      <alignment horizontal="left" vertical="top" wrapText="1"/>
      <protection locked="0"/>
    </xf>
    <xf numFmtId="0" fontId="28" fillId="4" borderId="11" xfId="2" applyFont="1" applyFill="1" applyBorder="1" applyAlignment="1" applyProtection="1">
      <alignment horizontal="left" vertical="top" wrapText="1"/>
      <protection locked="0"/>
    </xf>
    <xf numFmtId="0" fontId="28" fillId="4" borderId="4" xfId="2" applyFont="1" applyFill="1" applyBorder="1" applyAlignment="1" applyProtection="1">
      <alignment horizontal="left" vertical="top" wrapText="1"/>
      <protection locked="0"/>
    </xf>
    <xf numFmtId="0" fontId="28" fillId="4" borderId="5" xfId="2" applyFont="1" applyFill="1" applyBorder="1" applyAlignment="1" applyProtection="1">
      <alignment horizontal="left" vertical="top" wrapText="1"/>
      <protection locked="0"/>
    </xf>
    <xf numFmtId="0" fontId="28" fillId="4" borderId="6" xfId="2" applyFont="1" applyFill="1" applyBorder="1" applyAlignment="1" applyProtection="1">
      <alignment horizontal="left" vertical="top" wrapText="1"/>
      <protection locked="0"/>
    </xf>
    <xf numFmtId="0" fontId="3" fillId="4" borderId="5" xfId="2" applyFont="1" applyFill="1" applyBorder="1" applyAlignment="1" applyProtection="1">
      <alignment horizontal="center" vertical="center" wrapText="1"/>
      <protection locked="0"/>
    </xf>
    <xf numFmtId="0" fontId="3" fillId="4" borderId="6" xfId="2" applyFont="1" applyFill="1" applyBorder="1" applyAlignment="1" applyProtection="1">
      <alignment horizontal="center" vertical="center" wrapText="1"/>
      <protection locked="0"/>
    </xf>
    <xf numFmtId="9" fontId="3" fillId="4" borderId="5" xfId="2" applyNumberFormat="1" applyFont="1" applyFill="1" applyBorder="1" applyAlignment="1" applyProtection="1">
      <alignment horizontal="center" vertical="center" wrapText="1"/>
      <protection hidden="1"/>
    </xf>
    <xf numFmtId="9" fontId="3" fillId="4" borderId="6" xfId="2" applyNumberFormat="1" applyFont="1" applyFill="1" applyBorder="1" applyAlignment="1" applyProtection="1">
      <alignment horizontal="center" vertical="center" wrapText="1"/>
      <protection hidden="1"/>
    </xf>
    <xf numFmtId="9" fontId="3" fillId="4" borderId="16" xfId="2" applyNumberFormat="1" applyFont="1" applyFill="1" applyBorder="1" applyAlignment="1" applyProtection="1">
      <alignment horizontal="center" vertical="center" wrapText="1"/>
      <protection hidden="1"/>
    </xf>
    <xf numFmtId="9" fontId="3" fillId="4" borderId="24" xfId="2" applyNumberFormat="1" applyFont="1" applyFill="1" applyBorder="1" applyAlignment="1" applyProtection="1">
      <alignment horizontal="center" vertical="center" wrapText="1"/>
      <protection hidden="1"/>
    </xf>
    <xf numFmtId="0" fontId="17" fillId="0" borderId="5" xfId="0" applyFont="1" applyFill="1" applyBorder="1" applyAlignment="1">
      <alignment horizontal="left" vertical="center"/>
    </xf>
    <xf numFmtId="1" fontId="29" fillId="0" borderId="8" xfId="2" applyNumberFormat="1" applyFont="1" applyBorder="1" applyAlignment="1" applyProtection="1">
      <alignment horizontal="center" vertical="center" wrapText="1"/>
      <protection locked="0"/>
    </xf>
    <xf numFmtId="1" fontId="29" fillId="0" borderId="3" xfId="2" applyNumberFormat="1" applyFont="1" applyBorder="1" applyAlignment="1" applyProtection="1">
      <alignment horizontal="center" vertical="center" wrapText="1"/>
      <protection locked="0"/>
    </xf>
    <xf numFmtId="1" fontId="29" fillId="0" borderId="25" xfId="2" applyNumberFormat="1" applyFont="1" applyBorder="1" applyAlignment="1" applyProtection="1">
      <alignment horizontal="center" vertical="center" wrapText="1"/>
      <protection locked="0"/>
    </xf>
    <xf numFmtId="1" fontId="3" fillId="0" borderId="5" xfId="0" applyNumberFormat="1"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1" fontId="9" fillId="0" borderId="0" xfId="0" applyNumberFormat="1" applyFont="1" applyAlignment="1" applyProtection="1">
      <alignment horizontal="center" vertical="top" wrapText="1"/>
      <protection locked="0"/>
    </xf>
    <xf numFmtId="0" fontId="12" fillId="0" borderId="0" xfId="2" applyFont="1" applyAlignment="1" applyProtection="1">
      <alignment horizontal="center" vertical="top"/>
      <protection locked="0"/>
    </xf>
    <xf numFmtId="1" fontId="31" fillId="0" borderId="8" xfId="2" applyNumberFormat="1" applyFont="1" applyBorder="1" applyAlignment="1" applyProtection="1">
      <alignment horizontal="center" vertical="center" wrapText="1"/>
      <protection locked="0"/>
    </xf>
    <xf numFmtId="1" fontId="31" fillId="0" borderId="3" xfId="2" applyNumberFormat="1" applyFont="1" applyBorder="1" applyAlignment="1" applyProtection="1">
      <alignment horizontal="center" vertical="center" wrapText="1"/>
      <protection locked="0"/>
    </xf>
    <xf numFmtId="1" fontId="31" fillId="0" borderId="25" xfId="2" applyNumberFormat="1" applyFont="1" applyBorder="1" applyAlignment="1" applyProtection="1">
      <alignment horizontal="center" vertical="center" wrapText="1"/>
      <protection locked="0"/>
    </xf>
    <xf numFmtId="1" fontId="30" fillId="0" borderId="5" xfId="2" applyNumberFormat="1" applyFont="1" applyBorder="1" applyAlignment="1" applyProtection="1">
      <alignment horizontal="center" vertical="center" wrapText="1"/>
      <protection locked="0"/>
    </xf>
    <xf numFmtId="1" fontId="3" fillId="0" borderId="8" xfId="2" applyNumberFormat="1" applyFont="1" applyBorder="1" applyAlignment="1">
      <alignment horizontal="center" vertical="center"/>
    </xf>
    <xf numFmtId="1" fontId="3" fillId="0" borderId="3" xfId="2" applyNumberFormat="1" applyFont="1" applyBorder="1" applyAlignment="1">
      <alignment horizontal="center" vertical="center"/>
    </xf>
    <xf numFmtId="1" fontId="3" fillId="0" borderId="25" xfId="2" applyNumberFormat="1" applyFont="1" applyBorder="1" applyAlignment="1">
      <alignment horizontal="center" vertical="center"/>
    </xf>
    <xf numFmtId="0" fontId="9" fillId="0" borderId="0" xfId="2" applyFont="1" applyBorder="1" applyAlignment="1">
      <alignment horizontal="center" vertical="center"/>
    </xf>
    <xf numFmtId="0" fontId="2" fillId="0" borderId="0" xfId="0" applyFont="1" applyFill="1" applyBorder="1" applyAlignment="1">
      <alignment horizontal="center" vertical="top" wrapText="1"/>
    </xf>
    <xf numFmtId="0" fontId="2" fillId="4" borderId="5" xfId="0" applyFont="1" applyFill="1" applyBorder="1" applyAlignment="1">
      <alignment horizontal="center" vertical="top" wrapText="1"/>
    </xf>
    <xf numFmtId="0" fontId="3" fillId="0" borderId="5" xfId="0" applyFont="1" applyBorder="1" applyAlignment="1">
      <alignment horizontal="center" vertical="top"/>
    </xf>
    <xf numFmtId="2" fontId="31" fillId="0" borderId="5" xfId="0" applyNumberFormat="1" applyFont="1" applyBorder="1" applyAlignment="1">
      <alignment horizontal="center" vertical="top"/>
    </xf>
    <xf numFmtId="0" fontId="21" fillId="4" borderId="5" xfId="0" applyFont="1" applyFill="1" applyBorder="1" applyAlignment="1">
      <alignment horizontal="center" vertical="center" wrapText="1"/>
    </xf>
    <xf numFmtId="0" fontId="21" fillId="4" borderId="16"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9" fontId="39" fillId="0" borderId="11" xfId="0" applyNumberFormat="1" applyFont="1" applyBorder="1" applyAlignment="1">
      <alignment horizontal="center" vertical="center"/>
    </xf>
    <xf numFmtId="0" fontId="39" fillId="0" borderId="12" xfId="0" applyFont="1" applyBorder="1" applyAlignment="1">
      <alignment horizontal="center" vertical="center"/>
    </xf>
    <xf numFmtId="0" fontId="39" fillId="0" borderId="16" xfId="0" applyFont="1" applyBorder="1" applyAlignment="1">
      <alignment horizontal="center" vertical="center"/>
    </xf>
    <xf numFmtId="0" fontId="39" fillId="0" borderId="24" xfId="0" applyFont="1" applyBorder="1" applyAlignment="1">
      <alignment horizontal="center" vertical="center"/>
    </xf>
    <xf numFmtId="0" fontId="34" fillId="4" borderId="10" xfId="2" applyFont="1" applyFill="1" applyBorder="1" applyAlignment="1" applyProtection="1">
      <alignment horizontal="left" vertical="top" wrapText="1"/>
      <protection locked="0"/>
    </xf>
    <xf numFmtId="0" fontId="34" fillId="4" borderId="11" xfId="2" applyFont="1" applyFill="1" applyBorder="1" applyAlignment="1" applyProtection="1">
      <alignment horizontal="left" vertical="top" wrapText="1"/>
      <protection locked="0"/>
    </xf>
    <xf numFmtId="0" fontId="34" fillId="4" borderId="4" xfId="2" applyFont="1" applyFill="1" applyBorder="1" applyAlignment="1" applyProtection="1">
      <alignment horizontal="left" vertical="top" wrapText="1"/>
      <protection locked="0"/>
    </xf>
    <xf numFmtId="0" fontId="34" fillId="4" borderId="5" xfId="2" applyFont="1" applyFill="1" applyBorder="1" applyAlignment="1" applyProtection="1">
      <alignment horizontal="left" vertical="top" wrapText="1"/>
      <protection locked="0"/>
    </xf>
    <xf numFmtId="0" fontId="24" fillId="3" borderId="5" xfId="0" applyFont="1" applyFill="1" applyBorder="1" applyAlignment="1">
      <alignment horizontal="center" vertical="top" wrapText="1"/>
    </xf>
    <xf numFmtId="0" fontId="2" fillId="8" borderId="9" xfId="0" applyFont="1" applyFill="1" applyBorder="1" applyAlignment="1">
      <alignment horizontal="center" vertical="top" wrapText="1"/>
    </xf>
    <xf numFmtId="0" fontId="33" fillId="4" borderId="10" xfId="2" applyFont="1" applyFill="1" applyBorder="1" applyAlignment="1" applyProtection="1">
      <alignment horizontal="left" vertical="top" wrapText="1"/>
      <protection locked="0"/>
    </xf>
    <xf numFmtId="0" fontId="33" fillId="4" borderId="11" xfId="2" applyFont="1" applyFill="1" applyBorder="1" applyAlignment="1" applyProtection="1">
      <alignment horizontal="left" vertical="top" wrapText="1"/>
      <protection locked="0"/>
    </xf>
    <xf numFmtId="0" fontId="33" fillId="4" borderId="4" xfId="2" applyFont="1" applyFill="1" applyBorder="1" applyAlignment="1" applyProtection="1">
      <alignment horizontal="left" vertical="top" wrapText="1"/>
      <protection locked="0"/>
    </xf>
    <xf numFmtId="0" fontId="33" fillId="4" borderId="5" xfId="2" applyFont="1" applyFill="1" applyBorder="1" applyAlignment="1" applyProtection="1">
      <alignment horizontal="left" vertical="top" wrapText="1"/>
      <protection locked="0"/>
    </xf>
    <xf numFmtId="0" fontId="3" fillId="0" borderId="5" xfId="0" applyFont="1" applyBorder="1" applyAlignment="1">
      <alignment horizontal="center" vertical="top" wrapText="1"/>
    </xf>
    <xf numFmtId="0" fontId="31" fillId="0" borderId="5" xfId="0" applyFont="1" applyBorder="1" applyAlignment="1">
      <alignment horizontal="center" vertical="top" wrapText="1"/>
    </xf>
    <xf numFmtId="0" fontId="31" fillId="3" borderId="5" xfId="0" applyFont="1" applyFill="1" applyBorder="1" applyAlignment="1">
      <alignment horizontal="center" vertical="top" wrapText="1"/>
    </xf>
    <xf numFmtId="9" fontId="27" fillId="3" borderId="5" xfId="0" applyNumberFormat="1" applyFont="1" applyFill="1" applyBorder="1" applyAlignment="1">
      <alignment horizontal="left" vertical="top" wrapText="1"/>
    </xf>
    <xf numFmtId="0" fontId="27" fillId="3" borderId="5" xfId="0" applyFont="1" applyFill="1" applyBorder="1" applyAlignment="1">
      <alignment horizontal="left" vertical="top" wrapText="1"/>
    </xf>
    <xf numFmtId="0" fontId="20" fillId="0" borderId="5" xfId="4" applyBorder="1" applyAlignment="1">
      <alignment horizontal="left" vertical="center"/>
    </xf>
    <xf numFmtId="0" fontId="3" fillId="0" borderId="5" xfId="0" applyFont="1" applyBorder="1" applyAlignment="1">
      <alignment horizontal="left" vertical="center"/>
    </xf>
    <xf numFmtId="0" fontId="27" fillId="0" borderId="5" xfId="0" applyFont="1" applyBorder="1" applyAlignment="1">
      <alignment horizontal="center" vertical="top" wrapText="1"/>
    </xf>
    <xf numFmtId="0" fontId="27" fillId="0" borderId="6" xfId="0" applyFont="1" applyBorder="1" applyAlignment="1">
      <alignment horizontal="center" vertical="top" wrapText="1"/>
    </xf>
    <xf numFmtId="0" fontId="2" fillId="4" borderId="4" xfId="0" applyFont="1" applyFill="1" applyBorder="1" applyAlignment="1">
      <alignment horizontal="center" vertical="center" wrapText="1"/>
    </xf>
    <xf numFmtId="0" fontId="27" fillId="0" borderId="5" xfId="0" applyFont="1" applyBorder="1" applyAlignment="1">
      <alignment horizontal="center" vertical="center" wrapText="1"/>
    </xf>
    <xf numFmtId="0" fontId="2" fillId="0" borderId="26" xfId="0" applyFont="1" applyFill="1" applyBorder="1" applyAlignment="1">
      <alignment horizontal="center" vertical="top" wrapText="1"/>
    </xf>
    <xf numFmtId="2" fontId="2" fillId="0" borderId="0" xfId="0" applyNumberFormat="1" applyFont="1" applyFill="1" applyBorder="1" applyAlignment="1">
      <alignment horizontal="center" vertical="top" wrapText="1"/>
    </xf>
    <xf numFmtId="0" fontId="2" fillId="0" borderId="0" xfId="1" applyFont="1" applyFill="1" applyBorder="1" applyAlignment="1">
      <alignment horizontal="center" vertical="center" wrapText="1"/>
    </xf>
    <xf numFmtId="0" fontId="2" fillId="4" borderId="0" xfId="0" applyFont="1" applyFill="1" applyBorder="1" applyAlignment="1">
      <alignment horizontal="center" vertical="center" wrapText="1"/>
    </xf>
    <xf numFmtId="1" fontId="19" fillId="5" borderId="4" xfId="0" applyNumberFormat="1" applyFont="1" applyFill="1" applyBorder="1" applyAlignment="1" applyProtection="1">
      <alignment horizontal="center" vertical="center" wrapText="1"/>
      <protection locked="0"/>
    </xf>
    <xf numFmtId="1" fontId="19" fillId="5" borderId="5" xfId="0" applyNumberFormat="1" applyFont="1" applyFill="1" applyBorder="1" applyAlignment="1" applyProtection="1">
      <alignment horizontal="center" vertical="center" wrapText="1"/>
      <protection locked="0"/>
    </xf>
    <xf numFmtId="1" fontId="19" fillId="5" borderId="6" xfId="0" applyNumberFormat="1" applyFont="1" applyFill="1" applyBorder="1" applyAlignment="1" applyProtection="1">
      <alignment horizontal="center" vertical="center" wrapText="1"/>
      <protection locked="0"/>
    </xf>
    <xf numFmtId="0" fontId="2" fillId="5" borderId="5"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2" fillId="4" borderId="5" xfId="0" applyFont="1" applyFill="1" applyBorder="1" applyAlignment="1">
      <alignment horizontal="center" vertical="center"/>
    </xf>
    <xf numFmtId="0" fontId="3" fillId="0" borderId="5" xfId="0" applyFont="1" applyBorder="1" applyAlignment="1">
      <alignment horizontal="center" vertical="center"/>
    </xf>
    <xf numFmtId="0" fontId="31" fillId="0" borderId="5" xfId="0" applyFont="1" applyBorder="1" applyAlignment="1">
      <alignment horizontal="center" vertical="top"/>
    </xf>
    <xf numFmtId="0" fontId="5" fillId="4" borderId="5" xfId="1" applyFont="1" applyFill="1" applyBorder="1" applyAlignment="1">
      <alignment horizontal="left" vertical="center" wrapText="1"/>
    </xf>
    <xf numFmtId="0" fontId="2" fillId="4" borderId="5" xfId="1" applyFont="1" applyFill="1" applyBorder="1" applyAlignment="1">
      <alignment horizontal="left" vertical="center" wrapText="1"/>
    </xf>
    <xf numFmtId="0" fontId="3" fillId="0" borderId="9" xfId="0" applyFont="1" applyBorder="1" applyAlignment="1">
      <alignment horizontal="left" vertical="center" wrapText="1"/>
    </xf>
    <xf numFmtId="0" fontId="3" fillId="0" borderId="9" xfId="0" applyFont="1" applyBorder="1" applyAlignment="1">
      <alignment horizontal="left" vertical="center"/>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3" fillId="0" borderId="5" xfId="0" applyFont="1" applyBorder="1" applyAlignment="1">
      <alignment horizontal="left" vertical="center" wrapText="1"/>
    </xf>
    <xf numFmtId="0" fontId="17" fillId="6" borderId="5" xfId="0" applyFont="1" applyFill="1" applyBorder="1" applyAlignment="1">
      <alignment horizontal="center" vertical="center"/>
    </xf>
    <xf numFmtId="0" fontId="23" fillId="0" borderId="5" xfId="0" applyFont="1" applyBorder="1" applyAlignment="1">
      <alignment horizontal="left" vertical="top"/>
    </xf>
    <xf numFmtId="0" fontId="2" fillId="5" borderId="5" xfId="1" applyFont="1" applyFill="1" applyBorder="1" applyAlignment="1">
      <alignment horizontal="center" vertical="center"/>
    </xf>
    <xf numFmtId="0" fontId="2" fillId="4" borderId="5" xfId="1" applyFont="1" applyFill="1" applyBorder="1" applyAlignment="1">
      <alignment horizontal="left" vertical="top" wrapText="1"/>
    </xf>
    <xf numFmtId="0" fontId="22" fillId="3" borderId="5" xfId="0" applyFont="1" applyFill="1" applyBorder="1" applyAlignment="1">
      <alignment horizontal="center" vertical="top" wrapText="1"/>
    </xf>
    <xf numFmtId="0" fontId="22" fillId="3" borderId="6" xfId="0" applyFont="1" applyFill="1" applyBorder="1" applyAlignment="1">
      <alignment horizontal="center" vertical="top" wrapText="1"/>
    </xf>
    <xf numFmtId="0" fontId="20" fillId="4" borderId="5" xfId="4" applyFill="1" applyBorder="1" applyAlignment="1">
      <alignment horizontal="left" vertical="center" wrapText="1"/>
    </xf>
    <xf numFmtId="0" fontId="35" fillId="2" borderId="5" xfId="1" applyFont="1" applyFill="1" applyBorder="1" applyAlignment="1" applyProtection="1">
      <alignment horizontal="left" vertical="center" wrapText="1"/>
      <protection locked="0"/>
    </xf>
    <xf numFmtId="0" fontId="5" fillId="2" borderId="5" xfId="1" applyFont="1" applyFill="1" applyBorder="1" applyAlignment="1" applyProtection="1">
      <alignment horizontal="left" vertical="center" wrapText="1"/>
      <protection locked="0"/>
    </xf>
    <xf numFmtId="1" fontId="28" fillId="0" borderId="27" xfId="0" applyNumberFormat="1" applyFont="1" applyBorder="1" applyAlignment="1" applyProtection="1">
      <alignment horizontal="center" vertical="center"/>
      <protection locked="0"/>
    </xf>
    <xf numFmtId="1" fontId="28" fillId="0" borderId="28" xfId="0" applyNumberFormat="1" applyFont="1" applyBorder="1" applyAlignment="1" applyProtection="1">
      <alignment horizontal="center" vertical="center"/>
      <protection locked="0"/>
    </xf>
    <xf numFmtId="1" fontId="28" fillId="0" borderId="29" xfId="0" applyNumberFormat="1" applyFont="1" applyBorder="1" applyAlignment="1" applyProtection="1">
      <alignment horizontal="center" vertical="center"/>
      <protection locked="0"/>
    </xf>
    <xf numFmtId="0" fontId="19" fillId="4" borderId="5" xfId="2" applyFont="1" applyFill="1" applyBorder="1" applyAlignment="1" applyProtection="1">
      <alignment horizontal="center" vertical="center"/>
      <protection locked="0"/>
    </xf>
    <xf numFmtId="0" fontId="19" fillId="4" borderId="9" xfId="2" applyFont="1" applyFill="1" applyBorder="1" applyAlignment="1" applyProtection="1">
      <alignment horizontal="center" vertical="center"/>
      <protection locked="0"/>
    </xf>
    <xf numFmtId="1" fontId="19" fillId="0" borderId="5" xfId="2" applyNumberFormat="1" applyFont="1" applyBorder="1" applyAlignment="1" applyProtection="1">
      <alignment horizontal="center" vertical="center" wrapText="1"/>
      <protection locked="0"/>
    </xf>
    <xf numFmtId="1" fontId="19" fillId="0" borderId="8" xfId="2" applyNumberFormat="1" applyFont="1" applyBorder="1" applyAlignment="1" applyProtection="1">
      <alignment horizontal="center" vertical="center" wrapText="1"/>
      <protection locked="0"/>
    </xf>
    <xf numFmtId="1" fontId="13" fillId="0" borderId="0" xfId="2" applyNumberFormat="1" applyFont="1" applyAlignment="1" applyProtection="1">
      <alignment horizontal="center" vertical="center" wrapText="1"/>
      <protection locked="0"/>
    </xf>
    <xf numFmtId="1" fontId="12" fillId="0" borderId="0" xfId="2" applyNumberFormat="1" applyFont="1" applyAlignment="1" applyProtection="1">
      <alignment horizontal="center" vertical="top" wrapText="1"/>
      <protection locked="0"/>
    </xf>
    <xf numFmtId="0" fontId="19" fillId="0" borderId="5" xfId="2" applyFont="1" applyBorder="1" applyAlignment="1" applyProtection="1">
      <alignment horizontal="center" vertical="top"/>
      <protection locked="0"/>
    </xf>
    <xf numFmtId="0" fontId="18" fillId="5" borderId="10" xfId="0" applyFont="1" applyFill="1" applyBorder="1" applyAlignment="1">
      <alignment horizontal="center"/>
    </xf>
    <xf numFmtId="0" fontId="18" fillId="5" borderId="11" xfId="0" applyFont="1" applyFill="1" applyBorder="1" applyAlignment="1">
      <alignment horizontal="center"/>
    </xf>
    <xf numFmtId="0" fontId="18" fillId="5" borderId="12" xfId="0" applyFont="1" applyFill="1" applyBorder="1" applyAlignment="1">
      <alignment horizontal="center"/>
    </xf>
    <xf numFmtId="0" fontId="2" fillId="4" borderId="6" xfId="0" applyFont="1" applyFill="1" applyBorder="1" applyAlignment="1">
      <alignment horizontal="center" vertical="center" wrapText="1"/>
    </xf>
    <xf numFmtId="0" fontId="30" fillId="4" borderId="5" xfId="2" applyFont="1" applyFill="1" applyBorder="1" applyAlignment="1" applyProtection="1">
      <alignment horizontal="center" vertical="center"/>
      <protection locked="0"/>
    </xf>
    <xf numFmtId="0" fontId="30" fillId="4" borderId="7" xfId="2" applyFont="1" applyFill="1" applyBorder="1" applyAlignment="1" applyProtection="1">
      <alignment horizontal="center" vertical="center"/>
      <protection locked="0"/>
    </xf>
    <xf numFmtId="1" fontId="33" fillId="0" borderId="5" xfId="2" applyNumberFormat="1" applyFont="1" applyFill="1" applyBorder="1" applyAlignment="1" applyProtection="1">
      <alignment horizontal="center" vertical="center" wrapText="1"/>
      <protection locked="0"/>
    </xf>
    <xf numFmtId="0" fontId="2" fillId="0" borderId="0" xfId="0" applyFont="1" applyAlignment="1">
      <alignment horizontal="center" vertical="top" wrapText="1"/>
    </xf>
    <xf numFmtId="0" fontId="0" fillId="0" borderId="0" xfId="0" applyBorder="1" applyAlignment="1">
      <alignment horizontal="center" wrapText="1"/>
    </xf>
    <xf numFmtId="0" fontId="16" fillId="5" borderId="5"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18" fillId="5" borderId="7" xfId="0" applyFont="1" applyFill="1" applyBorder="1" applyAlignment="1">
      <alignment horizontal="left"/>
    </xf>
    <xf numFmtId="0" fontId="37" fillId="0" borderId="5" xfId="0" applyFont="1" applyFill="1" applyBorder="1" applyAlignment="1">
      <alignment horizontal="left" vertical="center" wrapText="1"/>
    </xf>
    <xf numFmtId="0" fontId="37" fillId="0" borderId="5" xfId="0" applyFont="1" applyFill="1" applyBorder="1" applyAlignment="1">
      <alignment horizontal="left" vertical="center"/>
    </xf>
    <xf numFmtId="0" fontId="15" fillId="0" borderId="0" xfId="0" applyFont="1" applyAlignment="1">
      <alignment horizontal="center"/>
    </xf>
    <xf numFmtId="0" fontId="0" fillId="0" borderId="0" xfId="0" applyAlignment="1">
      <alignment horizontal="center"/>
    </xf>
    <xf numFmtId="0" fontId="2" fillId="3" borderId="5" xfId="0" applyFont="1" applyFill="1" applyBorder="1" applyAlignment="1">
      <alignment horizontal="center" vertical="top" wrapText="1"/>
    </xf>
    <xf numFmtId="0" fontId="27" fillId="0" borderId="6" xfId="0" applyFont="1" applyBorder="1" applyAlignment="1">
      <alignment horizontal="center" vertical="center" wrapText="1"/>
    </xf>
    <xf numFmtId="0" fontId="24" fillId="0" borderId="8" xfId="0" applyFont="1" applyBorder="1" applyAlignment="1">
      <alignment horizontal="center" vertical="top"/>
    </xf>
    <xf numFmtId="0" fontId="24" fillId="0" borderId="3" xfId="0" applyFont="1" applyBorder="1" applyAlignment="1">
      <alignment horizontal="center" vertical="top"/>
    </xf>
    <xf numFmtId="0" fontId="24" fillId="0" borderId="25" xfId="0" applyFont="1" applyBorder="1" applyAlignment="1">
      <alignment horizontal="center" vertical="top"/>
    </xf>
    <xf numFmtId="0" fontId="2" fillId="5" borderId="5" xfId="0" applyFont="1" applyFill="1" applyBorder="1" applyAlignment="1">
      <alignment horizontal="center" vertical="top" wrapText="1"/>
    </xf>
    <xf numFmtId="14" fontId="3" fillId="0" borderId="5" xfId="0" applyNumberFormat="1" applyFont="1" applyBorder="1" applyAlignment="1">
      <alignment horizontal="center" vertical="center"/>
    </xf>
    <xf numFmtId="0" fontId="2" fillId="4" borderId="8" xfId="0" applyFont="1" applyFill="1" applyBorder="1" applyAlignment="1">
      <alignment horizontal="center" vertical="top" wrapText="1"/>
    </xf>
    <xf numFmtId="0" fontId="2" fillId="4" borderId="25" xfId="0" applyFont="1" applyFill="1" applyBorder="1" applyAlignment="1">
      <alignment horizontal="center" vertical="top" wrapText="1"/>
    </xf>
    <xf numFmtId="0" fontId="2" fillId="4" borderId="6" xfId="0" applyFont="1" applyFill="1" applyBorder="1" applyAlignment="1">
      <alignment horizontal="center" vertical="top" wrapText="1"/>
    </xf>
    <xf numFmtId="0" fontId="31" fillId="0" borderId="9" xfId="0" applyFont="1" applyBorder="1" applyAlignment="1">
      <alignment horizontal="left" vertical="top" wrapText="1"/>
    </xf>
    <xf numFmtId="0" fontId="0" fillId="0" borderId="5" xfId="0" applyBorder="1" applyAlignment="1">
      <alignment horizontal="center"/>
    </xf>
    <xf numFmtId="49" fontId="0" fillId="0" borderId="5" xfId="0" applyNumberFormat="1" applyBorder="1" applyAlignment="1">
      <alignment horizontal="center"/>
    </xf>
    <xf numFmtId="0" fontId="36" fillId="0" borderId="5" xfId="1" applyFont="1" applyBorder="1" applyAlignment="1" applyProtection="1">
      <alignment horizontal="center" vertical="top"/>
      <protection locked="0"/>
    </xf>
    <xf numFmtId="0" fontId="3" fillId="0" borderId="16" xfId="0" applyFont="1" applyBorder="1" applyAlignment="1">
      <alignment horizontal="left" vertical="top"/>
    </xf>
    <xf numFmtId="0" fontId="3" fillId="0" borderId="24" xfId="0" applyFont="1" applyBorder="1" applyAlignment="1">
      <alignment horizontal="left" vertical="top"/>
    </xf>
    <xf numFmtId="0" fontId="31" fillId="0" borderId="5" xfId="0" applyFont="1" applyBorder="1" applyAlignment="1">
      <alignment horizontal="left" vertical="top" wrapText="1"/>
    </xf>
    <xf numFmtId="0" fontId="31" fillId="0" borderId="5" xfId="0" applyFont="1" applyBorder="1" applyAlignment="1">
      <alignment horizontal="left" vertical="top"/>
    </xf>
    <xf numFmtId="1" fontId="28" fillId="0" borderId="5" xfId="0" applyNumberFormat="1" applyFont="1" applyBorder="1" applyAlignment="1" applyProtection="1">
      <alignment horizontal="center" vertical="center"/>
      <protection locked="0"/>
    </xf>
    <xf numFmtId="0" fontId="28" fillId="0" borderId="5" xfId="0" applyFont="1" applyBorder="1" applyAlignment="1" applyProtection="1">
      <alignment horizontal="center" vertical="center"/>
      <protection locked="0"/>
    </xf>
    <xf numFmtId="1" fontId="28" fillId="0" borderId="5" xfId="0" applyNumberFormat="1"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1" fontId="8" fillId="0" borderId="0" xfId="0" applyNumberFormat="1" applyFont="1" applyAlignment="1" applyProtection="1">
      <alignment horizontal="center" vertical="top" wrapText="1"/>
      <protection locked="0"/>
    </xf>
    <xf numFmtId="0" fontId="8" fillId="0" borderId="0" xfId="0" applyFont="1" applyAlignment="1" applyProtection="1">
      <alignment horizontal="center" vertical="top" wrapText="1"/>
      <protection locked="0"/>
    </xf>
    <xf numFmtId="0" fontId="19" fillId="5" borderId="7" xfId="2" applyFont="1" applyFill="1" applyBorder="1" applyAlignment="1" applyProtection="1">
      <alignment horizontal="center" vertical="center"/>
      <protection locked="0"/>
    </xf>
    <xf numFmtId="0" fontId="18" fillId="4" borderId="5" xfId="0" applyFont="1" applyFill="1" applyBorder="1" applyAlignment="1" applyProtection="1">
      <alignment horizontal="center" vertical="center"/>
      <protection locked="0"/>
    </xf>
    <xf numFmtId="0" fontId="18" fillId="4" borderId="5"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1" fontId="12" fillId="0" borderId="0" xfId="0" applyNumberFormat="1" applyFont="1" applyAlignment="1" applyProtection="1">
      <alignment horizontal="center" vertical="top" wrapText="1"/>
      <protection locked="0"/>
    </xf>
    <xf numFmtId="1" fontId="19" fillId="7" borderId="10" xfId="0" applyNumberFormat="1" applyFont="1" applyFill="1" applyBorder="1" applyAlignment="1" applyProtection="1">
      <alignment horizontal="center" vertical="center" wrapText="1"/>
      <protection locked="0"/>
    </xf>
    <xf numFmtId="1" fontId="19" fillId="7" borderId="11" xfId="0" applyNumberFormat="1" applyFont="1" applyFill="1" applyBorder="1" applyAlignment="1" applyProtection="1">
      <alignment horizontal="center" vertical="center" wrapText="1"/>
      <protection locked="0"/>
    </xf>
    <xf numFmtId="1" fontId="19" fillId="7" borderId="12" xfId="0" applyNumberFormat="1" applyFont="1" applyFill="1" applyBorder="1" applyAlignment="1" applyProtection="1">
      <alignment horizontal="center" vertical="center" wrapText="1"/>
      <protection locked="0"/>
    </xf>
    <xf numFmtId="1" fontId="33" fillId="0" borderId="5" xfId="2" applyNumberFormat="1" applyFont="1" applyBorder="1" applyAlignment="1" applyProtection="1">
      <alignment horizontal="center" vertical="center" wrapText="1"/>
      <protection locked="0"/>
    </xf>
    <xf numFmtId="1" fontId="30" fillId="0" borderId="5" xfId="2" applyNumberFormat="1" applyFont="1" applyFill="1" applyBorder="1" applyAlignment="1" applyProtection="1">
      <alignment horizontal="center" vertical="center" wrapText="1"/>
      <protection locked="0"/>
    </xf>
    <xf numFmtId="1" fontId="9" fillId="0" borderId="0" xfId="2" applyNumberFormat="1" applyFont="1" applyBorder="1" applyAlignment="1">
      <alignment horizontal="center" vertical="center"/>
    </xf>
    <xf numFmtId="49" fontId="15" fillId="0" borderId="0" xfId="0" applyNumberFormat="1" applyFont="1" applyBorder="1" applyAlignment="1">
      <alignment horizontal="center" wrapText="1"/>
    </xf>
    <xf numFmtId="0" fontId="0" fillId="0" borderId="0" xfId="0" applyFill="1" applyBorder="1" applyAlignment="1">
      <alignment horizontal="right" vertical="center"/>
    </xf>
    <xf numFmtId="0" fontId="0" fillId="0" borderId="0" xfId="0" applyAlignment="1">
      <alignment horizontal="left"/>
    </xf>
    <xf numFmtId="0" fontId="8" fillId="0" borderId="19" xfId="2" applyFont="1" applyBorder="1" applyAlignment="1" applyProtection="1">
      <alignment horizontal="left" vertical="top" wrapText="1"/>
      <protection locked="0"/>
    </xf>
    <xf numFmtId="0" fontId="8" fillId="0" borderId="20" xfId="2" applyFont="1" applyBorder="1" applyAlignment="1" applyProtection="1">
      <alignment horizontal="left" vertical="top" wrapText="1"/>
      <protection locked="0"/>
    </xf>
    <xf numFmtId="0" fontId="8" fillId="0" borderId="21" xfId="2" applyFont="1" applyBorder="1" applyAlignment="1" applyProtection="1">
      <alignment horizontal="left" vertical="top" wrapText="1"/>
      <protection locked="0"/>
    </xf>
    <xf numFmtId="0" fontId="8" fillId="0" borderId="22" xfId="2" applyFont="1" applyBorder="1" applyAlignment="1" applyProtection="1">
      <alignment horizontal="left" vertical="top" wrapText="1"/>
      <protection locked="0"/>
    </xf>
    <xf numFmtId="0" fontId="8" fillId="0" borderId="23" xfId="2" applyFont="1" applyBorder="1" applyAlignment="1" applyProtection="1">
      <alignment horizontal="left" vertical="top" wrapText="1"/>
      <protection locked="0"/>
    </xf>
    <xf numFmtId="0" fontId="8" fillId="0" borderId="4" xfId="2" applyFont="1" applyBorder="1" applyAlignment="1" applyProtection="1">
      <alignment horizontal="left" vertical="top"/>
      <protection locked="0"/>
    </xf>
    <xf numFmtId="0" fontId="8" fillId="0" borderId="5" xfId="2" applyFont="1" applyBorder="1" applyAlignment="1" applyProtection="1">
      <alignment horizontal="left" vertical="top"/>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9" fillId="0" borderId="4" xfId="2" applyFont="1" applyBorder="1" applyAlignment="1" applyProtection="1">
      <alignment horizontal="center" vertical="top" wrapText="1"/>
      <protection locked="0"/>
    </xf>
    <xf numFmtId="0" fontId="9" fillId="0" borderId="5" xfId="2" applyFont="1" applyBorder="1" applyAlignment="1" applyProtection="1">
      <alignment horizontal="center" vertical="top" wrapText="1"/>
      <protection locked="0"/>
    </xf>
    <xf numFmtId="0" fontId="9" fillId="0" borderId="6" xfId="2" applyFont="1" applyBorder="1" applyAlignment="1" applyProtection="1">
      <alignment horizontal="center" vertical="top" wrapText="1"/>
      <protection locked="0"/>
    </xf>
    <xf numFmtId="0" fontId="9" fillId="0" borderId="15" xfId="2" applyFont="1" applyBorder="1" applyAlignment="1" applyProtection="1">
      <alignment horizontal="center" vertical="top" wrapText="1"/>
      <protection locked="0"/>
    </xf>
    <xf numFmtId="0" fontId="9" fillId="0" borderId="16" xfId="2" applyFont="1" applyBorder="1" applyAlignment="1" applyProtection="1">
      <alignment horizontal="center" vertical="top" wrapText="1"/>
      <protection locked="0"/>
    </xf>
    <xf numFmtId="9" fontId="9" fillId="3" borderId="5" xfId="2" applyNumberFormat="1" applyFont="1" applyFill="1" applyBorder="1" applyAlignment="1" applyProtection="1">
      <alignment horizontal="center" vertical="center" wrapText="1"/>
      <protection hidden="1"/>
    </xf>
    <xf numFmtId="9" fontId="9" fillId="3" borderId="16" xfId="2" applyNumberFormat="1" applyFont="1" applyFill="1" applyBorder="1" applyAlignment="1" applyProtection="1">
      <alignment horizontal="center" vertical="center" wrapText="1"/>
      <protection hidden="1"/>
    </xf>
    <xf numFmtId="9" fontId="9" fillId="3" borderId="6" xfId="2" applyNumberFormat="1" applyFont="1" applyFill="1" applyBorder="1" applyAlignment="1" applyProtection="1">
      <alignment horizontal="center" vertical="center" wrapText="1"/>
      <protection hidden="1"/>
    </xf>
    <xf numFmtId="9" fontId="9" fillId="3" borderId="24" xfId="2" applyNumberFormat="1" applyFont="1" applyFill="1" applyBorder="1" applyAlignment="1" applyProtection="1">
      <alignment horizontal="center" vertical="center" wrapText="1"/>
      <protection hidden="1"/>
    </xf>
    <xf numFmtId="0" fontId="9" fillId="0" borderId="4"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cellXfs>
  <cellStyles count="6">
    <cellStyle name="Excel Built-in Normal" xfId="3"/>
    <cellStyle name="Hyperlink" xfId="4" builtinId="8"/>
    <cellStyle name="Normal" xfId="0" builtinId="0"/>
    <cellStyle name="Normal 2" xfId="1"/>
    <cellStyle name="Normal 3" xfId="2"/>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9.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8</xdr:col>
      <xdr:colOff>36635</xdr:colOff>
      <xdr:row>25</xdr:row>
      <xdr:rowOff>564173</xdr:rowOff>
    </xdr:from>
    <xdr:to>
      <xdr:col>13</xdr:col>
      <xdr:colOff>556847</xdr:colOff>
      <xdr:row>29</xdr:row>
      <xdr:rowOff>287008</xdr:rowOff>
    </xdr:to>
    <xdr:pic>
      <xdr:nvPicPr>
        <xdr:cNvPr id="2" name="Picture 1"/>
        <xdr:cNvPicPr>
          <a:picLocks noChangeAspect="1"/>
        </xdr:cNvPicPr>
      </xdr:nvPicPr>
      <xdr:blipFill>
        <a:blip xmlns:r="http://schemas.openxmlformats.org/officeDocument/2006/relationships" r:embed="rId1"/>
        <a:stretch>
          <a:fillRect/>
        </a:stretch>
      </xdr:blipFill>
      <xdr:spPr>
        <a:xfrm>
          <a:off x="7781193" y="6542942"/>
          <a:ext cx="5866667" cy="1657143"/>
        </a:xfrm>
        <a:prstGeom prst="rect">
          <a:avLst/>
        </a:prstGeom>
        <a:ln>
          <a:solidFill>
            <a:schemeClr val="tx1"/>
          </a:solidFill>
        </a:ln>
      </xdr:spPr>
    </xdr:pic>
    <xdr:clientData/>
  </xdr:twoCellAnchor>
  <xdr:twoCellAnchor>
    <xdr:from>
      <xdr:col>0</xdr:col>
      <xdr:colOff>190500</xdr:colOff>
      <xdr:row>778</xdr:row>
      <xdr:rowOff>19050</xdr:rowOff>
    </xdr:from>
    <xdr:to>
      <xdr:col>5</xdr:col>
      <xdr:colOff>1024125</xdr:colOff>
      <xdr:row>793</xdr:row>
      <xdr:rowOff>51985</xdr:rowOff>
    </xdr:to>
    <xdr:grpSp>
      <xdr:nvGrpSpPr>
        <xdr:cNvPr id="14" name="Group 13"/>
        <xdr:cNvGrpSpPr/>
      </xdr:nvGrpSpPr>
      <xdr:grpSpPr>
        <a:xfrm>
          <a:off x="190500" y="162620325"/>
          <a:ext cx="6120000" cy="2890435"/>
          <a:chOff x="551281" y="380822"/>
          <a:chExt cx="6120000" cy="2890435"/>
        </a:xfrm>
      </xdr:grpSpPr>
      <xdr:pic>
        <xdr:nvPicPr>
          <xdr:cNvPr id="22" name="Picture 21"/>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51281" y="380822"/>
            <a:ext cx="6120000" cy="2890435"/>
          </a:xfrm>
          <a:prstGeom prst="rect">
            <a:avLst/>
          </a:prstGeom>
          <a:ln>
            <a:solidFill>
              <a:schemeClr val="tx1"/>
            </a:solidFill>
          </a:ln>
        </xdr:spPr>
      </xdr:pic>
      <xdr:sp macro="" textlink="">
        <xdr:nvSpPr>
          <xdr:cNvPr id="23" name="Rectangle 22"/>
          <xdr:cNvSpPr/>
        </xdr:nvSpPr>
        <xdr:spPr>
          <a:xfrm>
            <a:off x="2812211" y="1621767"/>
            <a:ext cx="781817" cy="1362974"/>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4" name="TextBox 3"/>
          <xdr:cNvSpPr txBox="1"/>
        </xdr:nvSpPr>
        <xdr:spPr>
          <a:xfrm>
            <a:off x="1345721" y="1621767"/>
            <a:ext cx="1684101"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Building No. 2</a:t>
            </a:r>
          </a:p>
          <a:p>
            <a:r>
              <a:rPr lang="en-US" b="1">
                <a:solidFill>
                  <a:srgbClr val="FF0000"/>
                </a:solidFill>
              </a:rPr>
              <a:t>Tower 1 to 5</a:t>
            </a:r>
            <a:endParaRPr lang="en-IN" b="1">
              <a:solidFill>
                <a:srgbClr val="FF0000"/>
              </a:solidFill>
            </a:endParaRPr>
          </a:p>
        </xdr:txBody>
      </xdr:sp>
    </xdr:grpSp>
    <xdr:clientData/>
  </xdr:twoCellAnchor>
  <xdr:twoCellAnchor>
    <xdr:from>
      <xdr:col>0</xdr:col>
      <xdr:colOff>518622</xdr:colOff>
      <xdr:row>794</xdr:row>
      <xdr:rowOff>40791</xdr:rowOff>
    </xdr:from>
    <xdr:to>
      <xdr:col>5</xdr:col>
      <xdr:colOff>661497</xdr:colOff>
      <xdr:row>820</xdr:row>
      <xdr:rowOff>91112</xdr:rowOff>
    </xdr:to>
    <xdr:grpSp>
      <xdr:nvGrpSpPr>
        <xdr:cNvPr id="15" name="Group 14"/>
        <xdr:cNvGrpSpPr/>
      </xdr:nvGrpSpPr>
      <xdr:grpSpPr>
        <a:xfrm>
          <a:off x="518622" y="165690066"/>
          <a:ext cx="5429250" cy="5003321"/>
          <a:chOff x="879403" y="3778370"/>
          <a:chExt cx="5429250" cy="5003321"/>
        </a:xfrm>
      </xdr:grpSpPr>
      <xdr:pic>
        <xdr:nvPicPr>
          <xdr:cNvPr id="16" name="Picture 15"/>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879403" y="3778370"/>
            <a:ext cx="5429250" cy="5003321"/>
          </a:xfrm>
          <a:prstGeom prst="rect">
            <a:avLst/>
          </a:prstGeom>
          <a:ln>
            <a:solidFill>
              <a:schemeClr val="tx1"/>
            </a:solidFill>
          </a:ln>
        </xdr:spPr>
      </xdr:pic>
      <xdr:sp macro="" textlink="">
        <xdr:nvSpPr>
          <xdr:cNvPr id="17" name="TextBox 6"/>
          <xdr:cNvSpPr txBox="1"/>
        </xdr:nvSpPr>
        <xdr:spPr>
          <a:xfrm>
            <a:off x="1530422" y="7058025"/>
            <a:ext cx="1038225"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b="1">
                <a:solidFill>
                  <a:srgbClr val="FF0000"/>
                </a:solidFill>
              </a:rPr>
              <a:t>Tower 4</a:t>
            </a:r>
            <a:endParaRPr lang="en-IN" b="1">
              <a:solidFill>
                <a:srgbClr val="FF0000"/>
              </a:solidFill>
            </a:endParaRPr>
          </a:p>
        </xdr:txBody>
      </xdr:sp>
      <xdr:sp macro="" textlink="">
        <xdr:nvSpPr>
          <xdr:cNvPr id="18" name="TextBox 7"/>
          <xdr:cNvSpPr txBox="1"/>
        </xdr:nvSpPr>
        <xdr:spPr>
          <a:xfrm>
            <a:off x="1345721" y="6010275"/>
            <a:ext cx="1038225"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b="1">
                <a:solidFill>
                  <a:srgbClr val="FF0000"/>
                </a:solidFill>
              </a:rPr>
              <a:t>Tower 5</a:t>
            </a:r>
            <a:endParaRPr lang="en-IN" b="1">
              <a:solidFill>
                <a:srgbClr val="FF0000"/>
              </a:solidFill>
            </a:endParaRPr>
          </a:p>
        </xdr:txBody>
      </xdr:sp>
      <xdr:sp macro="" textlink="">
        <xdr:nvSpPr>
          <xdr:cNvPr id="19" name="TextBox 8"/>
          <xdr:cNvSpPr txBox="1"/>
        </xdr:nvSpPr>
        <xdr:spPr>
          <a:xfrm>
            <a:off x="3409950" y="7058025"/>
            <a:ext cx="1038225"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b="1">
                <a:solidFill>
                  <a:srgbClr val="FF0000"/>
                </a:solidFill>
              </a:rPr>
              <a:t>Tower 3</a:t>
            </a:r>
            <a:endParaRPr lang="en-IN" b="1">
              <a:solidFill>
                <a:srgbClr val="FF0000"/>
              </a:solidFill>
            </a:endParaRPr>
          </a:p>
        </xdr:txBody>
      </xdr:sp>
      <xdr:sp macro="" textlink="">
        <xdr:nvSpPr>
          <xdr:cNvPr id="20" name="TextBox 9"/>
          <xdr:cNvSpPr txBox="1"/>
        </xdr:nvSpPr>
        <xdr:spPr>
          <a:xfrm>
            <a:off x="3481387" y="6219825"/>
            <a:ext cx="1038225"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b="1">
                <a:solidFill>
                  <a:srgbClr val="FF0000"/>
                </a:solidFill>
              </a:rPr>
              <a:t>Tower 2</a:t>
            </a:r>
            <a:endParaRPr lang="en-IN" b="1">
              <a:solidFill>
                <a:srgbClr val="FF0000"/>
              </a:solidFill>
            </a:endParaRPr>
          </a:p>
        </xdr:txBody>
      </xdr:sp>
      <xdr:sp macro="" textlink="">
        <xdr:nvSpPr>
          <xdr:cNvPr id="21" name="TextBox 10"/>
          <xdr:cNvSpPr txBox="1"/>
        </xdr:nvSpPr>
        <xdr:spPr>
          <a:xfrm>
            <a:off x="3514725" y="4972050"/>
            <a:ext cx="1038225"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b="1">
                <a:solidFill>
                  <a:srgbClr val="FF0000"/>
                </a:solidFill>
              </a:rPr>
              <a:t>Tower 1</a:t>
            </a:r>
            <a:endParaRPr lang="en-IN" b="1">
              <a:solidFill>
                <a:srgbClr val="FF0000"/>
              </a:solidFill>
            </a:endParaRPr>
          </a:p>
        </xdr:txBody>
      </xdr:sp>
    </xdr:grpSp>
    <xdr:clientData/>
  </xdr:twoCellAnchor>
  <xdr:twoCellAnchor editAs="oneCell">
    <xdr:from>
      <xdr:col>0</xdr:col>
      <xdr:colOff>666750</xdr:colOff>
      <xdr:row>824</xdr:row>
      <xdr:rowOff>28575</xdr:rowOff>
    </xdr:from>
    <xdr:to>
      <xdr:col>5</xdr:col>
      <xdr:colOff>641679</xdr:colOff>
      <xdr:row>862</xdr:row>
      <xdr:rowOff>160278</xdr:rowOff>
    </xdr:to>
    <xdr:pic>
      <xdr:nvPicPr>
        <xdr:cNvPr id="27" name="Picture 26"/>
        <xdr:cNvPicPr>
          <a:picLocks noChangeAspect="1"/>
        </xdr:cNvPicPr>
      </xdr:nvPicPr>
      <xdr:blipFill>
        <a:blip xmlns:r="http://schemas.openxmlformats.org/officeDocument/2006/relationships" r:embed="rId4"/>
        <a:stretch>
          <a:fillRect/>
        </a:stretch>
      </xdr:blipFill>
      <xdr:spPr>
        <a:xfrm>
          <a:off x="666750" y="171297600"/>
          <a:ext cx="5261304" cy="7370703"/>
        </a:xfrm>
        <a:prstGeom prst="rect">
          <a:avLst/>
        </a:prstGeom>
      </xdr:spPr>
    </xdr:pic>
    <xdr:clientData/>
  </xdr:twoCellAnchor>
  <xdr:twoCellAnchor editAs="oneCell">
    <xdr:from>
      <xdr:col>6</xdr:col>
      <xdr:colOff>76200</xdr:colOff>
      <xdr:row>96</xdr:row>
      <xdr:rowOff>95250</xdr:rowOff>
    </xdr:from>
    <xdr:to>
      <xdr:col>12</xdr:col>
      <xdr:colOff>265929</xdr:colOff>
      <xdr:row>96</xdr:row>
      <xdr:rowOff>714298</xdr:rowOff>
    </xdr:to>
    <xdr:pic>
      <xdr:nvPicPr>
        <xdr:cNvPr id="3" name="Picture 2"/>
        <xdr:cNvPicPr>
          <a:picLocks noChangeAspect="1"/>
        </xdr:cNvPicPr>
      </xdr:nvPicPr>
      <xdr:blipFill>
        <a:blip xmlns:r="http://schemas.openxmlformats.org/officeDocument/2006/relationships" r:embed="rId5"/>
        <a:stretch>
          <a:fillRect/>
        </a:stretch>
      </xdr:blipFill>
      <xdr:spPr>
        <a:xfrm>
          <a:off x="6610350" y="27765375"/>
          <a:ext cx="6171429" cy="619048"/>
        </a:xfrm>
        <a:prstGeom prst="rect">
          <a:avLst/>
        </a:prstGeom>
        <a:ln>
          <a:solidFill>
            <a:sysClr val="windowText" lastClr="000000"/>
          </a:solidFill>
        </a:ln>
      </xdr:spPr>
    </xdr:pic>
    <xdr:clientData/>
  </xdr:twoCellAnchor>
  <xdr:twoCellAnchor editAs="oneCell">
    <xdr:from>
      <xdr:col>6</xdr:col>
      <xdr:colOff>485775</xdr:colOff>
      <xdr:row>15</xdr:row>
      <xdr:rowOff>66675</xdr:rowOff>
    </xdr:from>
    <xdr:to>
      <xdr:col>12</xdr:col>
      <xdr:colOff>264075</xdr:colOff>
      <xdr:row>22</xdr:row>
      <xdr:rowOff>26315</xdr:rowOff>
    </xdr:to>
    <xdr:pic>
      <xdr:nvPicPr>
        <xdr:cNvPr id="4" name="Picture 3"/>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7019925" y="3771900"/>
          <a:ext cx="5760000" cy="2017040"/>
        </a:xfrm>
        <a:prstGeom prst="rect">
          <a:avLst/>
        </a:prstGeom>
        <a:ln>
          <a:solidFill>
            <a:sysClr val="windowText" lastClr="000000"/>
          </a:solidFill>
        </a:ln>
      </xdr:spPr>
    </xdr:pic>
    <xdr:clientData/>
  </xdr:twoCellAnchor>
  <xdr:oneCellAnchor>
    <xdr:from>
      <xdr:col>9</xdr:col>
      <xdr:colOff>590550</xdr:colOff>
      <xdr:row>736</xdr:row>
      <xdr:rowOff>0</xdr:rowOff>
    </xdr:from>
    <xdr:ext cx="659989" cy="264560"/>
    <xdr:sp macro="" textlink="">
      <xdr:nvSpPr>
        <xdr:cNvPr id="5" name="TextBox 4"/>
        <xdr:cNvSpPr txBox="1"/>
      </xdr:nvSpPr>
      <xdr:spPr>
        <a:xfrm>
          <a:off x="8934450" y="149618700"/>
          <a:ext cx="65998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1"/>
            <a:t>Tower 4</a:t>
          </a:r>
        </a:p>
      </xdr:txBody>
    </xdr:sp>
    <xdr:clientData/>
  </xdr:oneCellAnchor>
  <xdr:twoCellAnchor editAs="oneCell">
    <xdr:from>
      <xdr:col>10</xdr:col>
      <xdr:colOff>400050</xdr:colOff>
      <xdr:row>121</xdr:row>
      <xdr:rowOff>571500</xdr:rowOff>
    </xdr:from>
    <xdr:to>
      <xdr:col>30</xdr:col>
      <xdr:colOff>514350</xdr:colOff>
      <xdr:row>148</xdr:row>
      <xdr:rowOff>323850</xdr:rowOff>
    </xdr:to>
    <xdr:pic>
      <xdr:nvPicPr>
        <xdr:cNvPr id="33" name="Picture 32"/>
        <xdr:cNvPicPr>
          <a:picLocks noChangeAspect="1"/>
        </xdr:cNvPicPr>
      </xdr:nvPicPr>
      <xdr:blipFill>
        <a:blip xmlns:r="http://schemas.openxmlformats.org/officeDocument/2006/relationships" r:embed="rId7"/>
        <a:stretch>
          <a:fillRect/>
        </a:stretch>
      </xdr:blipFill>
      <xdr:spPr>
        <a:xfrm>
          <a:off x="10991850" y="37261800"/>
          <a:ext cx="13011150" cy="7315200"/>
        </a:xfrm>
        <a:prstGeom prst="rect">
          <a:avLst/>
        </a:prstGeom>
      </xdr:spPr>
    </xdr:pic>
    <xdr:clientData/>
  </xdr:twoCellAnchor>
  <xdr:twoCellAnchor>
    <xdr:from>
      <xdr:col>0</xdr:col>
      <xdr:colOff>19512</xdr:colOff>
      <xdr:row>732</xdr:row>
      <xdr:rowOff>28575</xdr:rowOff>
    </xdr:from>
    <xdr:to>
      <xdr:col>5</xdr:col>
      <xdr:colOff>1200153</xdr:colOff>
      <xdr:row>771</xdr:row>
      <xdr:rowOff>38100</xdr:rowOff>
    </xdr:to>
    <xdr:grpSp>
      <xdr:nvGrpSpPr>
        <xdr:cNvPr id="60" name="Group 59"/>
        <xdr:cNvGrpSpPr/>
      </xdr:nvGrpSpPr>
      <xdr:grpSpPr>
        <a:xfrm>
          <a:off x="19512" y="153866850"/>
          <a:ext cx="6467016" cy="7439025"/>
          <a:chOff x="29037" y="153704925"/>
          <a:chExt cx="6467016" cy="7439025"/>
        </a:xfrm>
      </xdr:grpSpPr>
      <xdr:grpSp>
        <xdr:nvGrpSpPr>
          <xdr:cNvPr id="50" name="Group 49"/>
          <xdr:cNvGrpSpPr/>
        </xdr:nvGrpSpPr>
        <xdr:grpSpPr>
          <a:xfrm>
            <a:off x="29037" y="153704925"/>
            <a:ext cx="6467016" cy="7429500"/>
            <a:chOff x="29037" y="153628725"/>
            <a:chExt cx="6467016" cy="7429500"/>
          </a:xfrm>
        </xdr:grpSpPr>
        <xdr:grpSp>
          <xdr:nvGrpSpPr>
            <xdr:cNvPr id="26" name="Group 25">
              <a:extLst>
                <a:ext uri="{FF2B5EF4-FFF2-40B4-BE49-F238E27FC236}">
                  <a16:creationId xmlns="" xmlns:a16="http://schemas.microsoft.com/office/drawing/2014/main" id="{B5DC9BE2-E808-4C9C-90E4-B1A39ED01FCA}"/>
                </a:ext>
              </a:extLst>
            </xdr:cNvPr>
            <xdr:cNvGrpSpPr/>
          </xdr:nvGrpSpPr>
          <xdr:grpSpPr>
            <a:xfrm>
              <a:off x="29037" y="153628725"/>
              <a:ext cx="6467016" cy="7429500"/>
              <a:chOff x="-354712" y="234544"/>
              <a:chExt cx="8178838" cy="8598172"/>
            </a:xfrm>
          </xdr:grpSpPr>
          <xdr:grpSp>
            <xdr:nvGrpSpPr>
              <xdr:cNvPr id="28" name="Group 27">
                <a:extLst>
                  <a:ext uri="{FF2B5EF4-FFF2-40B4-BE49-F238E27FC236}">
                    <a16:creationId xmlns="" xmlns:a16="http://schemas.microsoft.com/office/drawing/2014/main" id="{4E4811C0-2DBD-4565-8A12-35CF21C13BA8}"/>
                  </a:ext>
                </a:extLst>
              </xdr:cNvPr>
              <xdr:cNvGrpSpPr/>
            </xdr:nvGrpSpPr>
            <xdr:grpSpPr>
              <a:xfrm>
                <a:off x="-307111" y="234544"/>
                <a:ext cx="8131237" cy="8598172"/>
                <a:chOff x="-163676" y="252473"/>
                <a:chExt cx="8131237" cy="8598172"/>
              </a:xfrm>
            </xdr:grpSpPr>
            <xdr:pic>
              <xdr:nvPicPr>
                <xdr:cNvPr id="38" name="Picture 37">
                  <a:extLst>
                    <a:ext uri="{FF2B5EF4-FFF2-40B4-BE49-F238E27FC236}">
                      <a16:creationId xmlns="" xmlns:a16="http://schemas.microsoft.com/office/drawing/2014/main" id="{B3B6AF77-883B-497F-83B1-BF19E30080D2}"/>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56312" y="252473"/>
                  <a:ext cx="2559474" cy="3329036"/>
                </a:xfrm>
                <a:prstGeom prst="rect">
                  <a:avLst/>
                </a:prstGeom>
                <a:ln>
                  <a:solidFill>
                    <a:schemeClr val="tx1"/>
                  </a:solidFill>
                </a:ln>
              </xdr:spPr>
            </xdr:pic>
            <xdr:pic>
              <xdr:nvPicPr>
                <xdr:cNvPr id="40" name="Picture 39">
                  <a:extLst>
                    <a:ext uri="{FF2B5EF4-FFF2-40B4-BE49-F238E27FC236}">
                      <a16:creationId xmlns="" xmlns:a16="http://schemas.microsoft.com/office/drawing/2014/main" id="{DFB1B703-B673-4A5E-979B-79ED72128B6E}"/>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592199" y="252473"/>
                  <a:ext cx="2559474" cy="3329036"/>
                </a:xfrm>
                <a:prstGeom prst="rect">
                  <a:avLst/>
                </a:prstGeom>
                <a:ln>
                  <a:solidFill>
                    <a:schemeClr val="tx1"/>
                  </a:solidFill>
                </a:ln>
              </xdr:spPr>
            </xdr:pic>
            <xdr:pic>
              <xdr:nvPicPr>
                <xdr:cNvPr id="41" name="Picture 40">
                  <a:extLst>
                    <a:ext uri="{FF2B5EF4-FFF2-40B4-BE49-F238E27FC236}">
                      <a16:creationId xmlns="" xmlns:a16="http://schemas.microsoft.com/office/drawing/2014/main" id="{71866099-97B8-4284-A05C-337E99250113}"/>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5228663" y="252473"/>
                  <a:ext cx="2566615" cy="3329036"/>
                </a:xfrm>
                <a:prstGeom prst="rect">
                  <a:avLst/>
                </a:prstGeom>
                <a:ln>
                  <a:solidFill>
                    <a:schemeClr val="tx1"/>
                  </a:solidFill>
                </a:ln>
              </xdr:spPr>
            </xdr:pic>
            <xdr:pic>
              <xdr:nvPicPr>
                <xdr:cNvPr id="42" name="Picture 41">
                  <a:extLst>
                    <a:ext uri="{FF2B5EF4-FFF2-40B4-BE49-F238E27FC236}">
                      <a16:creationId xmlns="" xmlns:a16="http://schemas.microsoft.com/office/drawing/2014/main" id="{79344565-FDA9-4612-9DC6-25A8576CF734}"/>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63676" y="3696248"/>
                  <a:ext cx="1975589" cy="2520000"/>
                </a:xfrm>
                <a:prstGeom prst="rect">
                  <a:avLst/>
                </a:prstGeom>
                <a:ln>
                  <a:solidFill>
                    <a:schemeClr val="tx1"/>
                  </a:solidFill>
                </a:ln>
              </xdr:spPr>
            </xdr:pic>
            <xdr:pic>
              <xdr:nvPicPr>
                <xdr:cNvPr id="43" name="Picture 42">
                  <a:extLst>
                    <a:ext uri="{FF2B5EF4-FFF2-40B4-BE49-F238E27FC236}">
                      <a16:creationId xmlns="" xmlns:a16="http://schemas.microsoft.com/office/drawing/2014/main" id="{FB93EDBF-24D0-4916-8866-10862C0AA8EA}"/>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908283" y="3696248"/>
                  <a:ext cx="1894674" cy="2520000"/>
                </a:xfrm>
                <a:prstGeom prst="rect">
                  <a:avLst/>
                </a:prstGeom>
                <a:ln>
                  <a:solidFill>
                    <a:schemeClr val="tx1"/>
                  </a:solidFill>
                </a:ln>
              </xdr:spPr>
            </xdr:pic>
            <xdr:pic>
              <xdr:nvPicPr>
                <xdr:cNvPr id="44" name="Picture 43">
                  <a:extLst>
                    <a:ext uri="{FF2B5EF4-FFF2-40B4-BE49-F238E27FC236}">
                      <a16:creationId xmlns="" xmlns:a16="http://schemas.microsoft.com/office/drawing/2014/main" id="{31388FB2-7BD9-46E6-A3E7-F81C8082FB4F}"/>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5955832" y="3696248"/>
                  <a:ext cx="2011729" cy="2520000"/>
                </a:xfrm>
                <a:prstGeom prst="rect">
                  <a:avLst/>
                </a:prstGeom>
                <a:ln>
                  <a:solidFill>
                    <a:schemeClr val="tx1"/>
                  </a:solidFill>
                </a:ln>
              </xdr:spPr>
            </xdr:pic>
            <xdr:pic>
              <xdr:nvPicPr>
                <xdr:cNvPr id="45" name="Picture 44">
                  <a:extLst>
                    <a:ext uri="{FF2B5EF4-FFF2-40B4-BE49-F238E27FC236}">
                      <a16:creationId xmlns="" xmlns:a16="http://schemas.microsoft.com/office/drawing/2014/main" id="{4AA15841-9C9E-4940-88B0-3B21A07E4492}"/>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3895918" y="3696248"/>
                  <a:ext cx="1977692" cy="2520000"/>
                </a:xfrm>
                <a:prstGeom prst="rect">
                  <a:avLst/>
                </a:prstGeom>
                <a:ln>
                  <a:solidFill>
                    <a:schemeClr val="tx1"/>
                  </a:solidFill>
                </a:ln>
              </xdr:spPr>
            </xdr:pic>
            <xdr:pic>
              <xdr:nvPicPr>
                <xdr:cNvPr id="46" name="Picture 45">
                  <a:extLst>
                    <a:ext uri="{FF2B5EF4-FFF2-40B4-BE49-F238E27FC236}">
                      <a16:creationId xmlns="" xmlns:a16="http://schemas.microsoft.com/office/drawing/2014/main" id="{F0002D7D-2F0F-46E4-B380-657760C5D755}"/>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957412" y="6326310"/>
                  <a:ext cx="1899540" cy="2524335"/>
                </a:xfrm>
                <a:prstGeom prst="rect">
                  <a:avLst/>
                </a:prstGeom>
                <a:ln>
                  <a:solidFill>
                    <a:schemeClr val="tx1"/>
                  </a:solidFill>
                </a:ln>
              </xdr:spPr>
            </xdr:pic>
          </xdr:grpSp>
          <xdr:sp macro="" textlink="">
            <xdr:nvSpPr>
              <xdr:cNvPr id="29" name="TextBox 66">
                <a:extLst>
                  <a:ext uri="{FF2B5EF4-FFF2-40B4-BE49-F238E27FC236}">
                    <a16:creationId xmlns="" xmlns:a16="http://schemas.microsoft.com/office/drawing/2014/main" id="{B32D744A-BC46-40AC-9F42-372D3C7A6717}"/>
                  </a:ext>
                </a:extLst>
              </xdr:cNvPr>
              <xdr:cNvSpPr txBox="1"/>
            </xdr:nvSpPr>
            <xdr:spPr>
              <a:xfrm>
                <a:off x="83987" y="693710"/>
                <a:ext cx="1334573" cy="39670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rgbClr val="FF0000"/>
                    </a:solidFill>
                  </a:rPr>
                  <a:t>Tower 1</a:t>
                </a:r>
                <a:endParaRPr lang="en-IN" sz="1600" b="1">
                  <a:solidFill>
                    <a:srgbClr val="FF0000"/>
                  </a:solidFill>
                </a:endParaRPr>
              </a:p>
            </xdr:txBody>
          </xdr:sp>
          <xdr:sp macro="" textlink="">
            <xdr:nvSpPr>
              <xdr:cNvPr id="30" name="TextBox 67">
                <a:extLst>
                  <a:ext uri="{FF2B5EF4-FFF2-40B4-BE49-F238E27FC236}">
                    <a16:creationId xmlns="" xmlns:a16="http://schemas.microsoft.com/office/drawing/2014/main" id="{0AF0180A-206E-46C6-9FE7-712B60B0CC7C}"/>
                  </a:ext>
                </a:extLst>
              </xdr:cNvPr>
              <xdr:cNvSpPr txBox="1"/>
            </xdr:nvSpPr>
            <xdr:spPr>
              <a:xfrm rot="283916">
                <a:off x="3032334" y="747037"/>
                <a:ext cx="1190582" cy="43299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solidFill>
                      <a:srgbClr val="FF0000"/>
                    </a:solidFill>
                  </a:rPr>
                  <a:t>Tower 2</a:t>
                </a:r>
                <a:endParaRPr lang="en-IN" sz="1800" b="1">
                  <a:solidFill>
                    <a:srgbClr val="FF0000"/>
                  </a:solidFill>
                </a:endParaRPr>
              </a:p>
            </xdr:txBody>
          </xdr:sp>
          <xdr:sp macro="" textlink="">
            <xdr:nvSpPr>
              <xdr:cNvPr id="31" name="TextBox 68">
                <a:extLst>
                  <a:ext uri="{FF2B5EF4-FFF2-40B4-BE49-F238E27FC236}">
                    <a16:creationId xmlns="" xmlns:a16="http://schemas.microsoft.com/office/drawing/2014/main" id="{41DBBCB4-A0E8-4AE9-AFA9-3230D99A729A}"/>
                  </a:ext>
                </a:extLst>
              </xdr:cNvPr>
              <xdr:cNvSpPr txBox="1"/>
            </xdr:nvSpPr>
            <xdr:spPr>
              <a:xfrm rot="283916">
                <a:off x="5312771" y="803805"/>
                <a:ext cx="1631894" cy="43299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solidFill>
                      <a:srgbClr val="FF0000"/>
                    </a:solidFill>
                  </a:rPr>
                  <a:t>Tower 2</a:t>
                </a:r>
                <a:endParaRPr lang="en-IN" sz="1800" b="1">
                  <a:solidFill>
                    <a:srgbClr val="FF0000"/>
                  </a:solidFill>
                </a:endParaRPr>
              </a:p>
            </xdr:txBody>
          </xdr:sp>
          <xdr:sp macro="" textlink="">
            <xdr:nvSpPr>
              <xdr:cNvPr id="32" name="TextBox 69">
                <a:extLst>
                  <a:ext uri="{FF2B5EF4-FFF2-40B4-BE49-F238E27FC236}">
                    <a16:creationId xmlns="" xmlns:a16="http://schemas.microsoft.com/office/drawing/2014/main" id="{8DB36139-D416-433C-9873-20E3C3739F2C}"/>
                  </a:ext>
                </a:extLst>
              </xdr:cNvPr>
              <xdr:cNvSpPr txBox="1"/>
            </xdr:nvSpPr>
            <xdr:spPr>
              <a:xfrm rot="21380251">
                <a:off x="-354712" y="3921083"/>
                <a:ext cx="1190581" cy="3604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Tower 5</a:t>
                </a:r>
                <a:endParaRPr lang="en-IN" sz="1400" b="1">
                  <a:solidFill>
                    <a:srgbClr val="FF0000"/>
                  </a:solidFill>
                </a:endParaRPr>
              </a:p>
            </xdr:txBody>
          </xdr:sp>
          <xdr:sp macro="" textlink="">
            <xdr:nvSpPr>
              <xdr:cNvPr id="35" name="TextBox 71">
                <a:extLst>
                  <a:ext uri="{FF2B5EF4-FFF2-40B4-BE49-F238E27FC236}">
                    <a16:creationId xmlns="" xmlns:a16="http://schemas.microsoft.com/office/drawing/2014/main" id="{773211D4-50AC-4955-A560-E7E60490502E}"/>
                  </a:ext>
                </a:extLst>
              </xdr:cNvPr>
              <xdr:cNvSpPr txBox="1"/>
            </xdr:nvSpPr>
            <xdr:spPr>
              <a:xfrm rot="21380251">
                <a:off x="-121123" y="3628593"/>
                <a:ext cx="1052816" cy="373898"/>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a:solidFill>
                      <a:srgbClr val="FF0000"/>
                    </a:solidFill>
                  </a:rPr>
                  <a:t>Tower 3</a:t>
                </a:r>
                <a:endParaRPr lang="en-IN" sz="1200" b="1">
                  <a:solidFill>
                    <a:srgbClr val="FF0000"/>
                  </a:solidFill>
                </a:endParaRPr>
              </a:p>
            </xdr:txBody>
          </xdr:sp>
          <xdr:sp macro="" textlink="">
            <xdr:nvSpPr>
              <xdr:cNvPr id="36" name="TextBox 73">
                <a:extLst>
                  <a:ext uri="{FF2B5EF4-FFF2-40B4-BE49-F238E27FC236}">
                    <a16:creationId xmlns="" xmlns:a16="http://schemas.microsoft.com/office/drawing/2014/main" id="{38DEA4BE-A4E8-4F7C-B4C2-E997E7CB7426}"/>
                  </a:ext>
                </a:extLst>
              </xdr:cNvPr>
              <xdr:cNvSpPr txBox="1"/>
            </xdr:nvSpPr>
            <xdr:spPr>
              <a:xfrm rot="21380251">
                <a:off x="816985" y="3588426"/>
                <a:ext cx="938336" cy="32428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a:solidFill>
                      <a:srgbClr val="FF0000"/>
                    </a:solidFill>
                  </a:rPr>
                  <a:t>Tower 4</a:t>
                </a:r>
                <a:endParaRPr lang="en-IN" sz="1200" b="1">
                  <a:solidFill>
                    <a:srgbClr val="FF0000"/>
                  </a:solidFill>
                </a:endParaRPr>
              </a:p>
            </xdr:txBody>
          </xdr:sp>
          <xdr:sp macro="" textlink="">
            <xdr:nvSpPr>
              <xdr:cNvPr id="37" name="TextBox 74">
                <a:extLst>
                  <a:ext uri="{FF2B5EF4-FFF2-40B4-BE49-F238E27FC236}">
                    <a16:creationId xmlns="" xmlns:a16="http://schemas.microsoft.com/office/drawing/2014/main" id="{432226AD-8459-4D22-94AF-F546A3C34225}"/>
                  </a:ext>
                </a:extLst>
              </xdr:cNvPr>
              <xdr:cNvSpPr txBox="1"/>
            </xdr:nvSpPr>
            <xdr:spPr>
              <a:xfrm rot="21380251">
                <a:off x="2292210" y="3977834"/>
                <a:ext cx="940655" cy="32428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a:solidFill>
                      <a:srgbClr val="FF0000"/>
                    </a:solidFill>
                  </a:rPr>
                  <a:t>Tower 4</a:t>
                </a:r>
                <a:endParaRPr lang="en-IN" sz="1200" b="1">
                  <a:solidFill>
                    <a:srgbClr val="FF0000"/>
                  </a:solidFill>
                </a:endParaRPr>
              </a:p>
            </xdr:txBody>
          </xdr:sp>
        </xdr:grpSp>
        <xdr:cxnSp macro="">
          <xdr:nvCxnSpPr>
            <xdr:cNvPr id="7" name="Straight Arrow Connector 6"/>
            <xdr:cNvCxnSpPr/>
          </xdr:nvCxnSpPr>
          <xdr:spPr>
            <a:xfrm flipH="1">
              <a:off x="2933700" y="154371675"/>
              <a:ext cx="123825" cy="37147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8" name="Straight Arrow Connector 47"/>
            <xdr:cNvCxnSpPr/>
          </xdr:nvCxnSpPr>
          <xdr:spPr>
            <a:xfrm flipH="1">
              <a:off x="666751" y="154333575"/>
              <a:ext cx="95249" cy="3143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6" name="Straight Arrow Connector 55"/>
            <xdr:cNvCxnSpPr/>
          </xdr:nvCxnSpPr>
          <xdr:spPr>
            <a:xfrm>
              <a:off x="495301" y="157048200"/>
              <a:ext cx="114299" cy="33337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7" name="Straight Arrow Connector 56"/>
            <xdr:cNvCxnSpPr/>
          </xdr:nvCxnSpPr>
          <xdr:spPr>
            <a:xfrm>
              <a:off x="628651" y="156810075"/>
              <a:ext cx="257174" cy="1714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pic>
        <xdr:nvPicPr>
          <xdr:cNvPr id="58" name="Picture 57" descr="https://vsjcllp.vsjadon.com/upload/insp-241022-1525.jpg"/>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a:ext>
            </a:extLst>
          </a:blip>
          <a:srcRect/>
          <a:stretch>
            <a:fillRect/>
          </a:stretch>
        </xdr:blipFill>
        <xdr:spPr bwMode="auto">
          <a:xfrm>
            <a:off x="4143375" y="158953200"/>
            <a:ext cx="1624519" cy="21907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59" name="Picture 58" descr="https://vsjcllp.vsjadon.com/upload/insp-241022-843.jpg"/>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784138" y="158943674"/>
            <a:ext cx="1640482" cy="21812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22</xdr:col>
      <xdr:colOff>209550</xdr:colOff>
      <xdr:row>170</xdr:row>
      <xdr:rowOff>76200</xdr:rowOff>
    </xdr:to>
    <xdr:pic>
      <xdr:nvPicPr>
        <xdr:cNvPr id="2" name="Picture 1"/>
        <xdr:cNvPicPr>
          <a:picLocks noChangeAspect="1"/>
        </xdr:cNvPicPr>
      </xdr:nvPicPr>
      <xdr:blipFill>
        <a:blip xmlns:r="http://schemas.openxmlformats.org/officeDocument/2006/relationships" r:embed="rId1"/>
        <a:stretch>
          <a:fillRect/>
        </a:stretch>
      </xdr:blipFill>
      <xdr:spPr>
        <a:xfrm>
          <a:off x="609600" y="25498425"/>
          <a:ext cx="13011150" cy="7315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omments" Target="../comments1.xml"/><Relationship Id="rId2" Type="http://schemas.openxmlformats.org/officeDocument/2006/relationships/hyperlink" Target="https://maps.app.goo.gl/981LTuJqMJhswP7B9" TargetMode="External"/><Relationship Id="rId1" Type="http://schemas.openxmlformats.org/officeDocument/2006/relationships/hyperlink" Target="mailto:vsjc.apf@gmail.com"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865"/>
  <sheetViews>
    <sheetView tabSelected="1" view="pageBreakPreview" zoomScaleNormal="100" zoomScaleSheetLayoutView="100" zoomScalePageLayoutView="85" workbookViewId="0">
      <selection activeCell="J6" sqref="J6"/>
    </sheetView>
  </sheetViews>
  <sheetFormatPr defaultRowHeight="15" x14ac:dyDescent="0.25"/>
  <cols>
    <col min="1" max="1" width="18.28515625" style="50" customWidth="1"/>
    <col min="2" max="2" width="16.28515625" customWidth="1"/>
    <col min="3" max="3" width="13.140625" style="102" customWidth="1"/>
    <col min="4" max="4" width="17.28515625" customWidth="1"/>
    <col min="5" max="5" width="14.28515625" customWidth="1"/>
    <col min="6" max="6" width="18.7109375" customWidth="1"/>
    <col min="9" max="9" width="8.85546875" customWidth="1"/>
    <col min="10" max="10" width="33.7109375" customWidth="1"/>
    <col min="12" max="12" width="19.7109375" customWidth="1"/>
  </cols>
  <sheetData>
    <row r="1" spans="1:12" x14ac:dyDescent="0.25">
      <c r="A1" s="264" t="s">
        <v>0</v>
      </c>
      <c r="B1" s="264"/>
      <c r="C1" s="264"/>
      <c r="D1" s="264"/>
      <c r="E1" s="264"/>
      <c r="F1" s="264"/>
      <c r="G1" s="59"/>
      <c r="H1" s="59"/>
      <c r="I1" s="59"/>
      <c r="J1" s="59"/>
      <c r="K1" s="59"/>
      <c r="L1" s="59"/>
    </row>
    <row r="2" spans="1:12" ht="27.75" customHeight="1" x14ac:dyDescent="0.25">
      <c r="A2" s="65" t="s">
        <v>69</v>
      </c>
      <c r="B2" s="265" t="s">
        <v>287</v>
      </c>
      <c r="C2" s="265"/>
      <c r="D2" s="265"/>
      <c r="E2" s="64" t="s">
        <v>1</v>
      </c>
      <c r="F2" s="104" t="s">
        <v>288</v>
      </c>
      <c r="G2" s="59"/>
      <c r="H2" s="59"/>
      <c r="I2" s="59"/>
      <c r="J2" s="59"/>
      <c r="K2" s="59"/>
      <c r="L2" s="59"/>
    </row>
    <row r="3" spans="1:12" x14ac:dyDescent="0.25">
      <c r="A3" s="266" t="s">
        <v>70</v>
      </c>
      <c r="B3" s="266"/>
      <c r="C3" s="266"/>
      <c r="D3" s="266"/>
      <c r="E3" s="266"/>
      <c r="F3" s="266"/>
      <c r="G3" s="59"/>
      <c r="H3" s="59"/>
      <c r="I3" s="59"/>
      <c r="J3" s="59"/>
      <c r="K3" s="59"/>
      <c r="L3" s="59"/>
    </row>
    <row r="4" spans="1:12" ht="15" customHeight="1" x14ac:dyDescent="0.25">
      <c r="A4" s="267" t="s">
        <v>76</v>
      </c>
      <c r="B4" s="267"/>
      <c r="C4" s="257" t="s">
        <v>246</v>
      </c>
      <c r="D4" s="257"/>
      <c r="E4" s="257"/>
      <c r="F4" s="257"/>
      <c r="G4" s="59"/>
      <c r="H4" s="59"/>
      <c r="I4" s="59"/>
      <c r="J4" s="59"/>
      <c r="K4" s="59"/>
      <c r="L4" s="59"/>
    </row>
    <row r="5" spans="1:12" ht="15" customHeight="1" x14ac:dyDescent="0.25">
      <c r="A5" s="258" t="s">
        <v>71</v>
      </c>
      <c r="B5" s="258"/>
      <c r="C5" s="257" t="s">
        <v>247</v>
      </c>
      <c r="D5" s="257"/>
      <c r="E5" s="257"/>
      <c r="F5" s="257"/>
      <c r="G5" s="59"/>
      <c r="H5" s="59"/>
      <c r="I5" s="59"/>
      <c r="J5" s="59"/>
      <c r="K5" s="59"/>
      <c r="L5" s="59"/>
    </row>
    <row r="6" spans="1:12" ht="15" customHeight="1" x14ac:dyDescent="0.25">
      <c r="A6" s="258" t="s">
        <v>72</v>
      </c>
      <c r="B6" s="258"/>
      <c r="C6" s="270" t="s">
        <v>248</v>
      </c>
      <c r="D6" s="270"/>
      <c r="E6" s="270"/>
      <c r="F6" s="270"/>
      <c r="G6" s="59"/>
      <c r="H6" s="59"/>
      <c r="I6" s="59"/>
      <c r="J6" s="59"/>
      <c r="K6" s="59"/>
      <c r="L6" s="59"/>
    </row>
    <row r="7" spans="1:12" ht="15" customHeight="1" x14ac:dyDescent="0.25">
      <c r="A7" s="258" t="s">
        <v>75</v>
      </c>
      <c r="B7" s="258"/>
      <c r="C7" s="257" t="s">
        <v>249</v>
      </c>
      <c r="D7" s="257"/>
      <c r="E7" s="257"/>
      <c r="F7" s="257"/>
      <c r="G7" s="59"/>
      <c r="H7" s="59"/>
      <c r="I7" s="59"/>
      <c r="J7" s="59"/>
      <c r="K7" s="59"/>
      <c r="L7" s="59"/>
    </row>
    <row r="8" spans="1:12" ht="15" customHeight="1" x14ac:dyDescent="0.25">
      <c r="A8" s="258" t="s">
        <v>73</v>
      </c>
      <c r="B8" s="258"/>
      <c r="C8" s="257"/>
      <c r="D8" s="257"/>
      <c r="E8" s="257"/>
      <c r="F8" s="257"/>
      <c r="G8" s="59"/>
      <c r="H8" s="59"/>
      <c r="I8" s="59"/>
      <c r="J8" s="59"/>
      <c r="K8" s="59"/>
      <c r="L8" s="59"/>
    </row>
    <row r="9" spans="1:12" ht="33" customHeight="1" x14ac:dyDescent="0.25">
      <c r="A9" s="258" t="s">
        <v>74</v>
      </c>
      <c r="B9" s="258"/>
      <c r="C9" s="257" t="s">
        <v>283</v>
      </c>
      <c r="D9" s="257"/>
      <c r="E9" s="257"/>
      <c r="F9" s="257"/>
      <c r="G9" s="59"/>
      <c r="H9" s="59"/>
      <c r="I9" s="89"/>
      <c r="J9" s="89"/>
      <c r="K9" s="89"/>
      <c r="L9" s="89"/>
    </row>
    <row r="10" spans="1:12" x14ac:dyDescent="0.25">
      <c r="A10" s="266" t="s">
        <v>77</v>
      </c>
      <c r="B10" s="266"/>
      <c r="C10" s="266"/>
      <c r="D10" s="266"/>
      <c r="E10" s="266"/>
      <c r="F10" s="266"/>
      <c r="G10" s="59"/>
      <c r="H10" s="59"/>
      <c r="I10" s="89"/>
      <c r="J10" s="89"/>
      <c r="K10" s="89"/>
      <c r="L10" s="89"/>
    </row>
    <row r="11" spans="1:12" ht="24" x14ac:dyDescent="0.25">
      <c r="A11" s="45" t="s">
        <v>81</v>
      </c>
      <c r="B11" s="133">
        <v>45855</v>
      </c>
      <c r="C11" s="130" t="s">
        <v>93</v>
      </c>
      <c r="D11" s="134" t="s">
        <v>424</v>
      </c>
      <c r="E11" s="130" t="s">
        <v>277</v>
      </c>
      <c r="F11" s="135">
        <v>45302</v>
      </c>
      <c r="G11" s="59"/>
      <c r="H11" s="59"/>
      <c r="I11" s="90"/>
      <c r="J11" s="90"/>
      <c r="K11" s="90"/>
      <c r="L11" s="90"/>
    </row>
    <row r="12" spans="1:12" x14ac:dyDescent="0.25">
      <c r="A12" s="45" t="s">
        <v>82</v>
      </c>
      <c r="B12" s="169">
        <v>45855</v>
      </c>
      <c r="C12" s="267" t="s">
        <v>94</v>
      </c>
      <c r="D12" s="267"/>
      <c r="E12" s="271" t="s">
        <v>416</v>
      </c>
      <c r="F12" s="271"/>
      <c r="G12" s="59"/>
      <c r="H12" s="59"/>
      <c r="I12" s="244"/>
      <c r="J12" s="244"/>
      <c r="K12" s="90"/>
      <c r="L12" s="90"/>
    </row>
    <row r="13" spans="1:12" x14ac:dyDescent="0.25">
      <c r="A13" s="45" t="s">
        <v>83</v>
      </c>
      <c r="B13" s="133" t="str">
        <f ca="1">TEXT(TODAY(),"DD/MM/YYYY")</f>
        <v>17/07/2025</v>
      </c>
      <c r="C13" s="267" t="s">
        <v>95</v>
      </c>
      <c r="D13" s="267"/>
      <c r="E13" s="272" t="s">
        <v>425</v>
      </c>
      <c r="F13" s="272"/>
      <c r="G13" s="59"/>
      <c r="H13" s="59"/>
      <c r="I13" s="244"/>
      <c r="J13" s="244"/>
      <c r="K13" s="90"/>
      <c r="L13" s="90"/>
    </row>
    <row r="14" spans="1:12" x14ac:dyDescent="0.25">
      <c r="A14" s="249" t="s">
        <v>78</v>
      </c>
      <c r="B14" s="249"/>
      <c r="C14" s="249"/>
      <c r="D14" s="249"/>
      <c r="E14" s="249"/>
      <c r="F14" s="249"/>
      <c r="G14" s="59"/>
      <c r="H14" s="59"/>
      <c r="I14" s="89"/>
      <c r="J14" s="89"/>
      <c r="K14" s="89"/>
      <c r="L14" s="89"/>
    </row>
    <row r="15" spans="1:12" ht="28.5" customHeight="1" x14ac:dyDescent="0.25">
      <c r="A15" s="211" t="s">
        <v>79</v>
      </c>
      <c r="B15" s="211"/>
      <c r="C15" s="255" t="s">
        <v>289</v>
      </c>
      <c r="D15" s="255"/>
      <c r="E15" s="255"/>
      <c r="F15" s="255"/>
      <c r="G15" s="59"/>
      <c r="H15" s="59"/>
      <c r="I15" s="89"/>
      <c r="J15" s="89"/>
      <c r="K15" s="89"/>
      <c r="L15" s="89"/>
    </row>
    <row r="16" spans="1:12" x14ac:dyDescent="0.25">
      <c r="A16" s="249" t="s">
        <v>80</v>
      </c>
      <c r="B16" s="249"/>
      <c r="C16" s="249"/>
      <c r="D16" s="249"/>
      <c r="E16" s="249"/>
      <c r="F16" s="249"/>
      <c r="G16" s="59"/>
      <c r="H16" s="59"/>
      <c r="I16" s="89"/>
      <c r="J16" s="89"/>
      <c r="K16" s="89"/>
      <c r="L16" s="89"/>
    </row>
    <row r="17" spans="1:12" x14ac:dyDescent="0.25">
      <c r="A17" s="73" t="s">
        <v>69</v>
      </c>
      <c r="B17" s="237" t="s">
        <v>290</v>
      </c>
      <c r="C17" s="237"/>
      <c r="D17" s="237"/>
      <c r="E17" s="237"/>
      <c r="F17" s="237"/>
      <c r="G17" s="59"/>
      <c r="H17" s="59"/>
      <c r="I17" s="89"/>
      <c r="J17" s="89"/>
      <c r="K17" s="89"/>
      <c r="L17" s="89"/>
    </row>
    <row r="18" spans="1:12" ht="58.5" customHeight="1" x14ac:dyDescent="0.25">
      <c r="A18" s="73" t="s">
        <v>284</v>
      </c>
      <c r="B18" s="263" t="str">
        <f>CONCATENATE((IF(OR(B2="",B2="NA"),"",B2)),", ",(IF(OR(A19="",A19="NA"),"",A19)),".",(IF(OR(B19="",B19="NA"),"",B19)),", near ",(IF(OR(E21="",E21="NA"),"",E21)),", ",(IF(OR(B20="",B20="NA"),"",B20)),", ",(IF(OR(B21="",B21="NA"),"",B21)),", ",(IF(OR(E19="",E19="NA"),"",E19)),", ",(IF(OR(E20="",E20="NA"),"",E20)),", ",(IF(OR(B22="",B22="NA"),"",B22)),", ",(IF(OR(E22="",E22="NA"),"",E22))," - ",(IF(OR(B24="",B24="NA"),"",B24)),".")</f>
        <v>Runwal Pinnacle, CTS No..681/A/7, 681/A/8 &amp; 681/A/9, near Runwal Greens, Mulund Goregoan Link Road, Nahur, Runwal Greens Complex, Mulund West, Kurla, Mumbai - 400078.</v>
      </c>
      <c r="C18" s="263"/>
      <c r="D18" s="263"/>
      <c r="E18" s="263"/>
      <c r="F18" s="263"/>
      <c r="G18" s="59"/>
      <c r="H18" s="59"/>
      <c r="I18" s="89"/>
      <c r="J18" s="91"/>
      <c r="K18" s="89"/>
      <c r="L18" s="89"/>
    </row>
    <row r="19" spans="1:12" x14ac:dyDescent="0.25">
      <c r="A19" s="73" t="s">
        <v>293</v>
      </c>
      <c r="B19" s="237" t="s">
        <v>294</v>
      </c>
      <c r="C19" s="237"/>
      <c r="D19" s="73" t="s">
        <v>285</v>
      </c>
      <c r="E19" s="237" t="s">
        <v>300</v>
      </c>
      <c r="F19" s="237"/>
      <c r="G19" s="59"/>
      <c r="H19" s="59"/>
      <c r="I19" s="89"/>
      <c r="J19" s="91"/>
      <c r="K19" s="89"/>
      <c r="L19" s="89"/>
    </row>
    <row r="20" spans="1:12" ht="28.5" customHeight="1" x14ac:dyDescent="0.25">
      <c r="A20" s="73" t="s">
        <v>84</v>
      </c>
      <c r="B20" s="237" t="s">
        <v>298</v>
      </c>
      <c r="C20" s="237"/>
      <c r="D20" s="73" t="s">
        <v>252</v>
      </c>
      <c r="E20" s="237" t="s">
        <v>299</v>
      </c>
      <c r="F20" s="237"/>
      <c r="G20" s="59"/>
      <c r="H20" s="59"/>
      <c r="I20" s="89"/>
      <c r="J20" s="91"/>
      <c r="K20" s="89"/>
      <c r="L20" s="89"/>
    </row>
    <row r="21" spans="1:12" x14ac:dyDescent="0.25">
      <c r="A21" s="73" t="s">
        <v>253</v>
      </c>
      <c r="B21" s="237" t="s">
        <v>295</v>
      </c>
      <c r="C21" s="237"/>
      <c r="D21" s="73" t="s">
        <v>88</v>
      </c>
      <c r="E21" s="237" t="s">
        <v>301</v>
      </c>
      <c r="F21" s="237"/>
      <c r="G21" s="59"/>
      <c r="H21" s="59"/>
      <c r="I21" s="89"/>
      <c r="J21" s="91"/>
      <c r="K21" s="89"/>
      <c r="L21" s="59"/>
    </row>
    <row r="22" spans="1:12" x14ac:dyDescent="0.25">
      <c r="A22" s="73" t="s">
        <v>251</v>
      </c>
      <c r="B22" s="237" t="s">
        <v>296</v>
      </c>
      <c r="C22" s="237"/>
      <c r="D22" s="73" t="s">
        <v>89</v>
      </c>
      <c r="E22" s="237" t="s">
        <v>297</v>
      </c>
      <c r="F22" s="237"/>
      <c r="G22" s="59"/>
      <c r="H22" s="59"/>
      <c r="I22" s="89"/>
      <c r="J22" s="91"/>
      <c r="K22" s="89"/>
      <c r="L22" s="59"/>
    </row>
    <row r="23" spans="1:12" x14ac:dyDescent="0.25">
      <c r="A23" s="73" t="s">
        <v>85</v>
      </c>
      <c r="B23" s="237" t="s">
        <v>240</v>
      </c>
      <c r="C23" s="237"/>
      <c r="D23" s="73" t="s">
        <v>90</v>
      </c>
      <c r="E23" s="237" t="s">
        <v>241</v>
      </c>
      <c r="F23" s="237"/>
      <c r="G23" s="59"/>
      <c r="H23" s="59"/>
      <c r="I23" s="89"/>
      <c r="J23" s="91"/>
      <c r="K23" s="89"/>
      <c r="L23" s="59"/>
    </row>
    <row r="24" spans="1:12" x14ac:dyDescent="0.25">
      <c r="A24" s="73" t="s">
        <v>86</v>
      </c>
      <c r="B24" s="237">
        <v>400078</v>
      </c>
      <c r="C24" s="237"/>
      <c r="D24" s="73" t="s">
        <v>91</v>
      </c>
      <c r="E24" s="237" t="s">
        <v>291</v>
      </c>
      <c r="F24" s="237"/>
      <c r="G24" s="59"/>
      <c r="H24" s="59"/>
      <c r="I24" s="89"/>
      <c r="J24" s="91"/>
      <c r="K24" s="89"/>
      <c r="L24" s="59"/>
    </row>
    <row r="25" spans="1:12" x14ac:dyDescent="0.25">
      <c r="A25" s="73" t="s">
        <v>256</v>
      </c>
      <c r="B25" s="236" t="s">
        <v>292</v>
      </c>
      <c r="C25" s="237"/>
      <c r="D25" s="237"/>
      <c r="E25" s="237"/>
      <c r="F25" s="237"/>
      <c r="G25" s="59"/>
      <c r="H25" s="59"/>
      <c r="I25" s="89"/>
      <c r="J25" s="91"/>
      <c r="K25" s="89"/>
      <c r="L25" s="59"/>
    </row>
    <row r="26" spans="1:12" ht="71.25" customHeight="1" thickBot="1" x14ac:dyDescent="0.3">
      <c r="A26" s="108" t="s">
        <v>87</v>
      </c>
      <c r="B26" s="259" t="s">
        <v>303</v>
      </c>
      <c r="C26" s="259"/>
      <c r="D26" s="108" t="s">
        <v>92</v>
      </c>
      <c r="E26" s="260" t="s">
        <v>302</v>
      </c>
      <c r="F26" s="260"/>
      <c r="G26" s="59"/>
      <c r="H26" s="59"/>
      <c r="I26" s="89"/>
      <c r="J26" s="91"/>
      <c r="K26" s="89"/>
      <c r="L26" s="59"/>
    </row>
    <row r="27" spans="1:12" x14ac:dyDescent="0.25">
      <c r="A27" s="250" t="s">
        <v>102</v>
      </c>
      <c r="B27" s="251"/>
      <c r="C27" s="251"/>
      <c r="D27" s="251"/>
      <c r="E27" s="251"/>
      <c r="F27" s="252"/>
      <c r="G27" s="59"/>
      <c r="H27" s="59"/>
      <c r="I27" s="89"/>
      <c r="J27" s="89"/>
      <c r="K27" s="89"/>
      <c r="L27" s="59"/>
    </row>
    <row r="28" spans="1:12" x14ac:dyDescent="0.25">
      <c r="A28" s="240"/>
      <c r="B28" s="211"/>
      <c r="C28" s="47" t="s">
        <v>96</v>
      </c>
      <c r="D28" s="47" t="s">
        <v>97</v>
      </c>
      <c r="E28" s="47" t="s">
        <v>98</v>
      </c>
      <c r="F28" s="109" t="s">
        <v>99</v>
      </c>
      <c r="G28" s="59"/>
      <c r="H28" s="59"/>
      <c r="I28" s="89"/>
      <c r="J28" s="89"/>
      <c r="K28" s="89"/>
      <c r="L28" s="59"/>
    </row>
    <row r="29" spans="1:12" ht="51" customHeight="1" x14ac:dyDescent="0.25">
      <c r="A29" s="240" t="s">
        <v>100</v>
      </c>
      <c r="B29" s="211"/>
      <c r="C29" s="136" t="s">
        <v>312</v>
      </c>
      <c r="D29" s="136" t="s">
        <v>313</v>
      </c>
      <c r="E29" s="136" t="s">
        <v>314</v>
      </c>
      <c r="F29" s="136" t="s">
        <v>315</v>
      </c>
      <c r="G29" s="205"/>
      <c r="H29" s="205"/>
      <c r="I29" s="89"/>
      <c r="J29" s="89"/>
      <c r="K29" s="89"/>
      <c r="L29" s="59"/>
    </row>
    <row r="30" spans="1:12" ht="47.25" customHeight="1" x14ac:dyDescent="0.25">
      <c r="A30" s="240" t="s">
        <v>254</v>
      </c>
      <c r="B30" s="211"/>
      <c r="C30" s="140" t="s">
        <v>316</v>
      </c>
      <c r="D30" s="136" t="s">
        <v>317</v>
      </c>
      <c r="E30" s="136" t="s">
        <v>317</v>
      </c>
      <c r="F30" s="137" t="s">
        <v>318</v>
      </c>
      <c r="G30" s="205"/>
      <c r="H30" s="205"/>
      <c r="I30" s="89"/>
      <c r="J30" s="59"/>
      <c r="K30" s="59"/>
      <c r="L30" s="59"/>
    </row>
    <row r="31" spans="1:12" ht="30" customHeight="1" thickBot="1" x14ac:dyDescent="0.3">
      <c r="A31" s="261" t="s">
        <v>101</v>
      </c>
      <c r="B31" s="262"/>
      <c r="C31" s="138" t="s">
        <v>304</v>
      </c>
      <c r="D31" s="138" t="s">
        <v>319</v>
      </c>
      <c r="E31" s="138" t="s">
        <v>301</v>
      </c>
      <c r="F31" s="139" t="s">
        <v>319</v>
      </c>
      <c r="G31" s="205"/>
      <c r="H31" s="205"/>
      <c r="I31" s="89"/>
      <c r="J31" s="59"/>
      <c r="K31" s="59"/>
      <c r="L31" s="59"/>
    </row>
    <row r="32" spans="1:12" x14ac:dyDescent="0.25">
      <c r="A32" s="253" t="s">
        <v>103</v>
      </c>
      <c r="B32" s="253"/>
      <c r="C32" s="253"/>
      <c r="D32" s="253"/>
      <c r="E32" s="253"/>
      <c r="F32" s="253"/>
      <c r="G32" s="205"/>
      <c r="H32" s="205"/>
      <c r="I32" s="89"/>
      <c r="J32" s="59"/>
      <c r="K32" s="59"/>
      <c r="L32" s="59"/>
    </row>
    <row r="33" spans="1:12" x14ac:dyDescent="0.25">
      <c r="A33" s="206" t="s">
        <v>104</v>
      </c>
      <c r="B33" s="206"/>
      <c r="C33" s="235" t="s">
        <v>320</v>
      </c>
      <c r="D33" s="235"/>
      <c r="E33" s="235"/>
      <c r="F33" s="235"/>
      <c r="G33" s="245" t="s">
        <v>255</v>
      </c>
      <c r="H33" s="245"/>
      <c r="I33" s="59"/>
      <c r="J33" s="59"/>
      <c r="K33" s="59"/>
      <c r="L33" s="59"/>
    </row>
    <row r="34" spans="1:12" ht="15" customHeight="1" x14ac:dyDescent="0.25">
      <c r="A34" s="206" t="s">
        <v>105</v>
      </c>
      <c r="B34" s="206"/>
      <c r="C34" s="235" t="s">
        <v>320</v>
      </c>
      <c r="D34" s="235"/>
      <c r="E34" s="235"/>
      <c r="F34" s="235"/>
      <c r="G34" s="245"/>
      <c r="H34" s="245"/>
      <c r="I34" s="59"/>
      <c r="J34" s="59"/>
      <c r="K34" s="59"/>
      <c r="L34" s="59"/>
    </row>
    <row r="35" spans="1:12" ht="15" customHeight="1" x14ac:dyDescent="0.25">
      <c r="A35" s="206" t="s">
        <v>106</v>
      </c>
      <c r="B35" s="206"/>
      <c r="C35" s="235" t="s">
        <v>298</v>
      </c>
      <c r="D35" s="235"/>
      <c r="E35" s="235"/>
      <c r="F35" s="235"/>
      <c r="G35" s="205"/>
      <c r="H35" s="205"/>
      <c r="I35" s="59"/>
      <c r="J35" s="59"/>
      <c r="K35" s="59"/>
      <c r="L35" s="59"/>
    </row>
    <row r="36" spans="1:12" x14ac:dyDescent="0.25">
      <c r="A36" s="206" t="s">
        <v>107</v>
      </c>
      <c r="B36" s="206"/>
      <c r="C36" s="235" t="str">
        <f>IF(AND(E22="Mumbai"),"Developed","Developing")</f>
        <v>Developed</v>
      </c>
      <c r="D36" s="235"/>
      <c r="E36" s="235"/>
      <c r="F36" s="235"/>
      <c r="G36" s="205"/>
      <c r="H36" s="205"/>
      <c r="I36" s="59"/>
      <c r="J36" s="59"/>
      <c r="K36" s="59"/>
      <c r="L36" s="59"/>
    </row>
    <row r="37" spans="1:12" ht="15" customHeight="1" x14ac:dyDescent="0.25">
      <c r="A37" s="206" t="s">
        <v>108</v>
      </c>
      <c r="B37" s="206"/>
      <c r="C37" s="235" t="s">
        <v>257</v>
      </c>
      <c r="D37" s="235"/>
      <c r="E37" s="235"/>
      <c r="F37" s="235"/>
      <c r="G37" s="205"/>
      <c r="H37" s="205"/>
      <c r="I37" s="59"/>
      <c r="J37" s="59"/>
      <c r="K37" s="59"/>
      <c r="L37" s="59"/>
    </row>
    <row r="38" spans="1:12" x14ac:dyDescent="0.25">
      <c r="A38" s="206" t="s">
        <v>109</v>
      </c>
      <c r="B38" s="206"/>
      <c r="C38" s="234">
        <f ca="1">E196</f>
        <v>0.55494920174165452</v>
      </c>
      <c r="D38" s="235"/>
      <c r="E38" s="235"/>
      <c r="F38" s="235"/>
      <c r="G38" s="205"/>
      <c r="H38" s="205"/>
      <c r="I38" s="59"/>
      <c r="J38" s="59"/>
      <c r="K38" s="59"/>
      <c r="L38" s="59"/>
    </row>
    <row r="39" spans="1:12" ht="15" customHeight="1" x14ac:dyDescent="0.25">
      <c r="A39" s="206" t="s">
        <v>110</v>
      </c>
      <c r="B39" s="206"/>
      <c r="C39" s="235" t="s">
        <v>258</v>
      </c>
      <c r="D39" s="235"/>
      <c r="E39" s="235"/>
      <c r="F39" s="235"/>
      <c r="G39" s="205"/>
      <c r="H39" s="205"/>
      <c r="I39" s="59"/>
      <c r="J39" s="59"/>
      <c r="K39" s="59"/>
      <c r="L39" s="59"/>
    </row>
    <row r="40" spans="1:12" x14ac:dyDescent="0.25">
      <c r="A40" s="206" t="s">
        <v>111</v>
      </c>
      <c r="B40" s="206"/>
      <c r="C40" s="235" t="s">
        <v>258</v>
      </c>
      <c r="D40" s="235"/>
      <c r="E40" s="235"/>
      <c r="F40" s="235"/>
      <c r="G40" s="205"/>
      <c r="H40" s="205"/>
      <c r="I40" s="59"/>
      <c r="J40" s="59"/>
      <c r="K40" s="59"/>
      <c r="L40" s="59"/>
    </row>
    <row r="41" spans="1:12" x14ac:dyDescent="0.25">
      <c r="A41" s="206" t="s">
        <v>112</v>
      </c>
      <c r="B41" s="206"/>
      <c r="C41" s="235" t="s">
        <v>321</v>
      </c>
      <c r="D41" s="235"/>
      <c r="E41" s="235"/>
      <c r="F41" s="235"/>
      <c r="G41" s="205"/>
      <c r="H41" s="205"/>
      <c r="I41" s="59"/>
      <c r="J41" s="59"/>
      <c r="K41" s="59"/>
      <c r="L41" s="59"/>
    </row>
    <row r="42" spans="1:12" x14ac:dyDescent="0.25">
      <c r="A42" s="249" t="s">
        <v>114</v>
      </c>
      <c r="B42" s="249"/>
      <c r="C42" s="249"/>
      <c r="D42" s="249"/>
      <c r="E42" s="249"/>
      <c r="F42" s="249"/>
      <c r="G42" s="205"/>
      <c r="H42" s="205"/>
      <c r="I42" s="59"/>
      <c r="J42" s="59"/>
      <c r="K42" s="59"/>
      <c r="L42" s="59"/>
    </row>
    <row r="43" spans="1:12" x14ac:dyDescent="0.25">
      <c r="A43" s="206" t="s">
        <v>115</v>
      </c>
      <c r="B43" s="206"/>
      <c r="C43" s="206" t="s">
        <v>113</v>
      </c>
      <c r="D43" s="206"/>
      <c r="E43" s="206"/>
      <c r="F43" s="206"/>
      <c r="G43" s="205"/>
      <c r="H43" s="205"/>
      <c r="I43" s="59"/>
      <c r="J43" s="59"/>
      <c r="K43" s="59"/>
      <c r="L43" s="59"/>
    </row>
    <row r="44" spans="1:12" x14ac:dyDescent="0.25">
      <c r="A44" s="206" t="s">
        <v>116</v>
      </c>
      <c r="B44" s="206"/>
      <c r="C44" s="207">
        <v>82054.2</v>
      </c>
      <c r="D44" s="207"/>
      <c r="E44" s="207"/>
      <c r="F44" s="207"/>
      <c r="G44" s="205"/>
      <c r="H44" s="205"/>
      <c r="I44" s="59"/>
      <c r="J44" s="59"/>
      <c r="K44" s="59"/>
      <c r="L44" s="59"/>
    </row>
    <row r="45" spans="1:12" x14ac:dyDescent="0.25">
      <c r="A45" s="206" t="s">
        <v>322</v>
      </c>
      <c r="B45" s="206"/>
      <c r="C45" s="207">
        <v>63288.9</v>
      </c>
      <c r="D45" s="207"/>
      <c r="E45" s="207"/>
      <c r="F45" s="207"/>
      <c r="G45" s="205"/>
      <c r="H45" s="205"/>
      <c r="I45" s="59"/>
      <c r="J45" s="59"/>
      <c r="K45" s="59"/>
      <c r="L45" s="59"/>
    </row>
    <row r="46" spans="1:12" x14ac:dyDescent="0.25">
      <c r="A46" s="206" t="s">
        <v>117</v>
      </c>
      <c r="B46" s="206"/>
      <c r="C46" s="207">
        <v>262107.08</v>
      </c>
      <c r="D46" s="207"/>
      <c r="E46" s="207"/>
      <c r="F46" s="207"/>
      <c r="G46" s="205"/>
      <c r="H46" s="205"/>
      <c r="I46" s="59"/>
      <c r="J46" s="59"/>
      <c r="K46" s="59"/>
      <c r="L46" s="59"/>
    </row>
    <row r="47" spans="1:12" x14ac:dyDescent="0.25">
      <c r="A47" s="206" t="s">
        <v>409</v>
      </c>
      <c r="B47" s="206"/>
      <c r="C47" s="207">
        <f>60691.44</f>
        <v>60691.44</v>
      </c>
      <c r="D47" s="207"/>
      <c r="E47" s="207"/>
      <c r="F47" s="207"/>
      <c r="G47" s="205"/>
      <c r="H47" s="205"/>
      <c r="I47" s="59"/>
      <c r="J47" s="59"/>
      <c r="K47" s="59"/>
      <c r="L47" s="59"/>
    </row>
    <row r="48" spans="1:12" x14ac:dyDescent="0.25">
      <c r="A48" s="206" t="s">
        <v>118</v>
      </c>
      <c r="B48" s="206"/>
      <c r="C48" s="207" t="s">
        <v>323</v>
      </c>
      <c r="D48" s="207"/>
      <c r="E48" s="207"/>
      <c r="F48" s="207"/>
      <c r="G48" s="205"/>
      <c r="H48" s="205"/>
      <c r="I48" s="59"/>
      <c r="J48" s="59"/>
      <c r="K48" s="59"/>
      <c r="L48" s="59"/>
    </row>
    <row r="49" spans="1:14" x14ac:dyDescent="0.25">
      <c r="A49" s="206" t="s">
        <v>410</v>
      </c>
      <c r="B49" s="206"/>
      <c r="C49" s="207">
        <v>2517.3000000000002</v>
      </c>
      <c r="D49" s="207"/>
      <c r="E49" s="207"/>
      <c r="F49" s="207"/>
      <c r="G49" s="205"/>
      <c r="H49" s="205"/>
      <c r="I49" s="59"/>
      <c r="J49" s="59"/>
      <c r="K49" s="59"/>
      <c r="L49" s="59"/>
    </row>
    <row r="50" spans="1:14" x14ac:dyDescent="0.25">
      <c r="A50" s="206" t="s">
        <v>412</v>
      </c>
      <c r="B50" s="206"/>
      <c r="C50" s="207">
        <v>5692</v>
      </c>
      <c r="D50" s="207"/>
      <c r="E50" s="207"/>
      <c r="F50" s="207"/>
      <c r="G50" s="205"/>
      <c r="H50" s="205"/>
      <c r="I50" s="59"/>
      <c r="J50" s="59"/>
      <c r="K50" s="59"/>
      <c r="L50" s="59"/>
    </row>
    <row r="51" spans="1:14" x14ac:dyDescent="0.25">
      <c r="A51" s="206" t="s">
        <v>413</v>
      </c>
      <c r="B51" s="206"/>
      <c r="C51" s="207">
        <v>3283.72</v>
      </c>
      <c r="D51" s="207"/>
      <c r="E51" s="207"/>
      <c r="F51" s="207"/>
      <c r="G51" s="205"/>
      <c r="H51" s="205"/>
      <c r="I51" s="59"/>
      <c r="J51" s="59"/>
      <c r="K51" s="59"/>
      <c r="L51" s="59"/>
    </row>
    <row r="52" spans="1:14" x14ac:dyDescent="0.25">
      <c r="A52" s="206" t="s">
        <v>324</v>
      </c>
      <c r="B52" s="206"/>
      <c r="C52" s="207">
        <v>10556</v>
      </c>
      <c r="D52" s="207"/>
      <c r="E52" s="207"/>
      <c r="F52" s="207"/>
      <c r="G52" s="205"/>
      <c r="H52" s="205"/>
      <c r="I52" s="59"/>
      <c r="J52" s="59"/>
      <c r="K52" s="59"/>
      <c r="L52" s="59"/>
    </row>
    <row r="53" spans="1:14" x14ac:dyDescent="0.25">
      <c r="A53" s="206" t="s">
        <v>119</v>
      </c>
      <c r="B53" s="206"/>
      <c r="C53" s="207">
        <v>16543.61</v>
      </c>
      <c r="D53" s="207"/>
      <c r="E53" s="207"/>
      <c r="F53" s="207"/>
      <c r="G53" s="205"/>
      <c r="H53" s="205"/>
      <c r="I53" s="59"/>
      <c r="J53" s="59"/>
      <c r="K53" s="59"/>
      <c r="L53" s="59"/>
    </row>
    <row r="54" spans="1:14" x14ac:dyDescent="0.25">
      <c r="A54" s="304" t="s">
        <v>120</v>
      </c>
      <c r="B54" s="304"/>
      <c r="C54" s="304"/>
      <c r="D54" s="304"/>
      <c r="E54" s="304"/>
      <c r="F54" s="304"/>
      <c r="G54" s="205"/>
      <c r="H54" s="205"/>
      <c r="I54" s="59"/>
      <c r="J54" s="59"/>
      <c r="K54" s="59"/>
      <c r="L54" s="59"/>
    </row>
    <row r="55" spans="1:14" x14ac:dyDescent="0.25">
      <c r="A55" s="206" t="s">
        <v>121</v>
      </c>
      <c r="B55" s="206"/>
      <c r="C55" s="208">
        <v>1</v>
      </c>
      <c r="D55" s="208"/>
      <c r="E55" s="208"/>
      <c r="F55" s="208"/>
      <c r="G55" s="205"/>
      <c r="H55" s="205"/>
      <c r="I55" s="59"/>
      <c r="J55" s="59"/>
      <c r="K55" s="59"/>
      <c r="L55" s="59"/>
    </row>
    <row r="56" spans="1:14" x14ac:dyDescent="0.25">
      <c r="A56" s="206" t="s">
        <v>122</v>
      </c>
      <c r="B56" s="206"/>
      <c r="C56" s="208">
        <f>31644.45/C45</f>
        <v>0.5</v>
      </c>
      <c r="D56" s="208"/>
      <c r="E56" s="208"/>
      <c r="F56" s="208"/>
      <c r="G56" s="205"/>
      <c r="H56" s="205"/>
      <c r="I56" s="59"/>
      <c r="J56" s="59"/>
      <c r="K56" s="59"/>
      <c r="L56" s="59"/>
    </row>
    <row r="57" spans="1:14" x14ac:dyDescent="0.25">
      <c r="A57" s="206" t="s">
        <v>2</v>
      </c>
      <c r="B57" s="206"/>
      <c r="C57" s="208">
        <f>49870.4/C45</f>
        <v>0.78798019873943137</v>
      </c>
      <c r="D57" s="208"/>
      <c r="E57" s="208"/>
      <c r="F57" s="208"/>
      <c r="G57" s="205"/>
      <c r="H57" s="205"/>
      <c r="I57" s="59"/>
      <c r="J57" s="59"/>
      <c r="K57" s="59"/>
      <c r="L57" s="59"/>
    </row>
    <row r="58" spans="1:14" x14ac:dyDescent="0.25">
      <c r="A58" s="206" t="s">
        <v>123</v>
      </c>
      <c r="B58" s="206"/>
      <c r="C58" s="208">
        <f>(48698.84+1555.36+15666.87)/C45</f>
        <v>1.0415897574456183</v>
      </c>
      <c r="D58" s="208"/>
      <c r="E58" s="208"/>
      <c r="F58" s="208"/>
      <c r="G58" s="205"/>
      <c r="H58" s="205"/>
      <c r="I58" s="59"/>
      <c r="J58" s="59"/>
      <c r="K58" s="59"/>
      <c r="L58" s="59"/>
    </row>
    <row r="59" spans="1:14" x14ac:dyDescent="0.25">
      <c r="A59" s="206" t="s">
        <v>325</v>
      </c>
      <c r="B59" s="206"/>
      <c r="C59" s="208">
        <f>43480/C45</f>
        <v>0.68700830635387877</v>
      </c>
      <c r="D59" s="208"/>
      <c r="E59" s="208"/>
      <c r="F59" s="208"/>
      <c r="G59" s="205"/>
      <c r="H59" s="205"/>
      <c r="I59" s="59"/>
      <c r="J59" s="59"/>
      <c r="K59" s="59"/>
      <c r="L59" s="59"/>
    </row>
    <row r="60" spans="1:14" ht="26.25" customHeight="1" x14ac:dyDescent="0.25">
      <c r="A60" s="206" t="s">
        <v>411</v>
      </c>
      <c r="B60" s="206"/>
      <c r="C60" s="208">
        <f>8209.3/C45</f>
        <v>0.12971152919390286</v>
      </c>
      <c r="D60" s="208"/>
      <c r="E60" s="208"/>
      <c r="F60" s="208"/>
      <c r="G60" s="205"/>
      <c r="H60" s="205"/>
      <c r="I60" s="59"/>
      <c r="J60" s="59"/>
      <c r="K60" s="59"/>
      <c r="L60" s="59"/>
    </row>
    <row r="61" spans="1:14" ht="21" hidden="1" customHeight="1" x14ac:dyDescent="0.25">
      <c r="A61" s="306" t="s">
        <v>124</v>
      </c>
      <c r="B61" s="307"/>
      <c r="C61" s="301"/>
      <c r="D61" s="302"/>
      <c r="E61" s="302"/>
      <c r="F61" s="303"/>
      <c r="G61" s="242"/>
      <c r="H61" s="205"/>
      <c r="I61" s="59"/>
      <c r="J61" s="59"/>
      <c r="K61" s="59"/>
      <c r="L61" s="59"/>
    </row>
    <row r="62" spans="1:14" x14ac:dyDescent="0.25">
      <c r="A62" s="206" t="s">
        <v>125</v>
      </c>
      <c r="B62" s="206"/>
      <c r="C62" s="208">
        <f>SUM(C55:F61)</f>
        <v>4.1462897917328316</v>
      </c>
      <c r="D62" s="208"/>
      <c r="E62" s="208"/>
      <c r="F62" s="208"/>
      <c r="G62" s="243">
        <f>C46/C45</f>
        <v>4.1414383880901706</v>
      </c>
      <c r="H62" s="243"/>
      <c r="I62" s="59"/>
      <c r="J62" s="59"/>
      <c r="K62" s="59"/>
      <c r="L62" s="59"/>
    </row>
    <row r="63" spans="1:14" x14ac:dyDescent="0.25">
      <c r="A63" s="206" t="s">
        <v>126</v>
      </c>
      <c r="B63" s="206"/>
      <c r="C63" s="207"/>
      <c r="D63" s="207"/>
      <c r="E63" s="207"/>
      <c r="F63" s="207"/>
      <c r="G63" s="205"/>
      <c r="H63" s="205"/>
      <c r="I63" s="59"/>
      <c r="J63" s="59"/>
      <c r="K63" s="59"/>
      <c r="L63" s="59"/>
    </row>
    <row r="64" spans="1:14" x14ac:dyDescent="0.25">
      <c r="A64" s="299"/>
      <c r="B64" s="299"/>
      <c r="C64" s="299"/>
      <c r="D64" s="299"/>
      <c r="E64" s="299"/>
      <c r="F64" s="299"/>
      <c r="G64" s="59"/>
      <c r="H64" s="59"/>
      <c r="I64" s="59"/>
      <c r="J64" s="59"/>
      <c r="K64" s="59"/>
      <c r="L64" s="59"/>
      <c r="M64" s="59"/>
      <c r="N64" s="59"/>
    </row>
    <row r="65" spans="1:14" x14ac:dyDescent="0.25">
      <c r="A65" s="206" t="s">
        <v>127</v>
      </c>
      <c r="B65" s="206"/>
      <c r="C65" s="310" t="str">
        <f>D121</f>
        <v>Flats = 810</v>
      </c>
      <c r="D65" s="310"/>
      <c r="E65" s="310"/>
      <c r="F65" s="310"/>
      <c r="G65" s="205"/>
      <c r="H65" s="205"/>
      <c r="I65" s="92"/>
      <c r="J65" s="92"/>
      <c r="K65" s="89"/>
      <c r="L65" s="89"/>
      <c r="M65" s="59"/>
      <c r="N65" s="59"/>
    </row>
    <row r="66" spans="1:14" x14ac:dyDescent="0.25">
      <c r="A66" s="206" t="s">
        <v>128</v>
      </c>
      <c r="B66" s="206"/>
      <c r="C66" s="310" t="s">
        <v>326</v>
      </c>
      <c r="D66" s="310"/>
      <c r="E66" s="310"/>
      <c r="F66" s="310"/>
      <c r="G66" s="205"/>
      <c r="H66" s="205"/>
      <c r="I66" s="89"/>
      <c r="J66" s="89"/>
      <c r="K66" s="89"/>
      <c r="L66" s="89"/>
      <c r="M66" s="59"/>
      <c r="N66" s="59"/>
    </row>
    <row r="67" spans="1:14" x14ac:dyDescent="0.25">
      <c r="A67" s="206" t="s">
        <v>129</v>
      </c>
      <c r="B67" s="206"/>
      <c r="C67" s="311" t="s">
        <v>327</v>
      </c>
      <c r="D67" s="311"/>
      <c r="E67" s="311"/>
      <c r="F67" s="311"/>
      <c r="G67" s="205"/>
      <c r="H67" s="205"/>
      <c r="I67" s="89"/>
      <c r="J67" s="89"/>
      <c r="K67" s="89"/>
      <c r="L67" s="89"/>
      <c r="M67" s="59"/>
      <c r="N67" s="59"/>
    </row>
    <row r="68" spans="1:14" x14ac:dyDescent="0.25">
      <c r="A68" s="249" t="s">
        <v>130</v>
      </c>
      <c r="B68" s="249"/>
      <c r="C68" s="249"/>
      <c r="D68" s="249"/>
      <c r="E68" s="249"/>
      <c r="F68" s="249"/>
      <c r="G68" s="205"/>
      <c r="H68" s="205"/>
      <c r="I68" s="89"/>
      <c r="J68" s="89"/>
      <c r="K68" s="89"/>
      <c r="L68" s="89"/>
      <c r="M68" s="59"/>
      <c r="N68" s="59"/>
    </row>
    <row r="69" spans="1:14" ht="39" customHeight="1" x14ac:dyDescent="0.25">
      <c r="A69" s="100"/>
      <c r="B69" s="47" t="s">
        <v>131</v>
      </c>
      <c r="C69" s="47" t="s">
        <v>132</v>
      </c>
      <c r="D69" s="47" t="s">
        <v>137</v>
      </c>
      <c r="E69" s="47" t="s">
        <v>133</v>
      </c>
      <c r="F69" s="47" t="s">
        <v>136</v>
      </c>
      <c r="G69" s="93"/>
      <c r="H69" s="93"/>
      <c r="I69" s="93"/>
      <c r="J69" s="93"/>
      <c r="K69" s="93"/>
      <c r="L69" s="93"/>
      <c r="M69" s="93" t="str">
        <f t="shared" ref="M69" si="0">PROPER(G69)</f>
        <v/>
      </c>
      <c r="N69" s="59"/>
    </row>
    <row r="70" spans="1:14" ht="42.75" customHeight="1" x14ac:dyDescent="0.25">
      <c r="A70" s="47" t="s">
        <v>134</v>
      </c>
      <c r="B70" s="136" t="s">
        <v>304</v>
      </c>
      <c r="C70" s="136" t="s">
        <v>306</v>
      </c>
      <c r="D70" s="136" t="s">
        <v>308</v>
      </c>
      <c r="E70" s="136" t="s">
        <v>304</v>
      </c>
      <c r="F70" s="136" t="s">
        <v>310</v>
      </c>
      <c r="G70" s="93"/>
      <c r="H70" s="89"/>
      <c r="I70" s="89"/>
      <c r="J70" s="89"/>
      <c r="K70" s="89"/>
      <c r="L70" s="89"/>
      <c r="M70" s="89"/>
      <c r="N70" s="59"/>
    </row>
    <row r="71" spans="1:14" ht="57.75" customHeight="1" x14ac:dyDescent="0.25">
      <c r="A71" s="47" t="s">
        <v>135</v>
      </c>
      <c r="B71" s="100" t="s">
        <v>305</v>
      </c>
      <c r="C71" s="100" t="s">
        <v>307</v>
      </c>
      <c r="D71" s="100" t="s">
        <v>242</v>
      </c>
      <c r="E71" s="100" t="s">
        <v>309</v>
      </c>
      <c r="F71" s="100" t="s">
        <v>311</v>
      </c>
      <c r="G71" s="93"/>
      <c r="H71" s="89"/>
      <c r="I71" s="89"/>
      <c r="J71" s="89"/>
      <c r="K71" s="89"/>
      <c r="L71" s="89"/>
      <c r="M71" s="94"/>
    </row>
    <row r="72" spans="1:14" x14ac:dyDescent="0.25">
      <c r="A72" s="249" t="s">
        <v>138</v>
      </c>
      <c r="B72" s="249"/>
      <c r="C72" s="249"/>
      <c r="D72" s="249"/>
      <c r="E72" s="249"/>
      <c r="F72" s="249"/>
      <c r="G72" s="93"/>
      <c r="H72" s="89"/>
      <c r="I72" s="89"/>
      <c r="J72" s="89"/>
      <c r="K72" s="89"/>
      <c r="L72" s="89"/>
      <c r="M72" s="94"/>
    </row>
    <row r="73" spans="1:14" ht="47.25" customHeight="1" x14ac:dyDescent="0.25">
      <c r="A73" s="100"/>
      <c r="B73" s="47" t="s">
        <v>139</v>
      </c>
      <c r="C73" s="47" t="s">
        <v>140</v>
      </c>
      <c r="D73" s="47" t="s">
        <v>141</v>
      </c>
      <c r="E73" s="47" t="s">
        <v>142</v>
      </c>
      <c r="F73" s="47" t="s">
        <v>143</v>
      </c>
      <c r="G73" s="93"/>
      <c r="H73" s="93"/>
      <c r="I73" s="93"/>
      <c r="J73" s="93"/>
      <c r="K73" s="93"/>
      <c r="L73" s="93"/>
      <c r="M73" s="94"/>
    </row>
    <row r="74" spans="1:14" ht="25.5" customHeight="1" x14ac:dyDescent="0.25">
      <c r="A74" s="47" t="s">
        <v>144</v>
      </c>
      <c r="B74" s="141" t="s">
        <v>278</v>
      </c>
      <c r="C74" s="141" t="s">
        <v>243</v>
      </c>
      <c r="D74" s="141" t="s">
        <v>243</v>
      </c>
      <c r="E74" s="141" t="s">
        <v>243</v>
      </c>
      <c r="F74" s="141" t="s">
        <v>243</v>
      </c>
      <c r="G74" s="93"/>
      <c r="H74" s="93"/>
      <c r="I74" s="93"/>
      <c r="J74" s="93"/>
      <c r="K74" s="93"/>
      <c r="L74" s="93"/>
      <c r="M74" s="94"/>
    </row>
    <row r="75" spans="1:14" ht="42.75" customHeight="1" x14ac:dyDescent="0.25">
      <c r="A75" s="100"/>
      <c r="B75" s="96" t="s">
        <v>145</v>
      </c>
      <c r="C75" s="96" t="s">
        <v>146</v>
      </c>
      <c r="D75" s="96" t="s">
        <v>147</v>
      </c>
      <c r="E75" s="96" t="s">
        <v>148</v>
      </c>
      <c r="F75" s="96" t="s">
        <v>149</v>
      </c>
      <c r="G75" s="93"/>
      <c r="H75" s="93"/>
      <c r="I75" s="93"/>
      <c r="J75" s="93"/>
      <c r="K75" s="93"/>
      <c r="L75" s="93"/>
      <c r="M75" s="94"/>
    </row>
    <row r="76" spans="1:14" x14ac:dyDescent="0.25">
      <c r="A76" s="47" t="s">
        <v>144</v>
      </c>
      <c r="B76" s="141" t="s">
        <v>243</v>
      </c>
      <c r="C76" s="141" t="s">
        <v>243</v>
      </c>
      <c r="D76" s="141" t="s">
        <v>243</v>
      </c>
      <c r="E76" s="141" t="s">
        <v>243</v>
      </c>
      <c r="F76" s="141" t="s">
        <v>243</v>
      </c>
      <c r="G76" s="93"/>
      <c r="H76" s="93"/>
      <c r="I76" s="93"/>
      <c r="J76" s="93"/>
      <c r="K76" s="93"/>
      <c r="L76" s="93"/>
      <c r="M76" s="94"/>
    </row>
    <row r="77" spans="1:14" hidden="1" x14ac:dyDescent="0.25">
      <c r="A77" s="44" t="s">
        <v>3</v>
      </c>
      <c r="B77" s="142"/>
      <c r="C77" s="142"/>
      <c r="D77" s="142"/>
      <c r="E77" s="142"/>
      <c r="F77" s="142"/>
      <c r="G77" s="93"/>
      <c r="H77" s="93"/>
      <c r="I77" s="93"/>
      <c r="J77" s="93"/>
      <c r="K77" s="93"/>
      <c r="L77" s="93"/>
      <c r="M77" s="94"/>
    </row>
    <row r="78" spans="1:14" x14ac:dyDescent="0.25">
      <c r="A78" s="100"/>
      <c r="B78" s="96" t="s">
        <v>150</v>
      </c>
      <c r="C78" s="96" t="s">
        <v>151</v>
      </c>
      <c r="D78" s="96" t="s">
        <v>152</v>
      </c>
      <c r="E78" s="96" t="s">
        <v>153</v>
      </c>
      <c r="F78" s="96" t="s">
        <v>154</v>
      </c>
      <c r="G78" s="93"/>
      <c r="H78" s="93"/>
      <c r="I78" s="93"/>
      <c r="J78" s="93"/>
      <c r="K78" s="93"/>
      <c r="L78" s="93"/>
      <c r="M78" s="94"/>
    </row>
    <row r="79" spans="1:14" x14ac:dyDescent="0.25">
      <c r="A79" s="47" t="s">
        <v>144</v>
      </c>
      <c r="B79" s="141" t="s">
        <v>258</v>
      </c>
      <c r="C79" s="141" t="s">
        <v>258</v>
      </c>
      <c r="D79" s="141" t="s">
        <v>258</v>
      </c>
      <c r="E79" s="141" t="s">
        <v>258</v>
      </c>
      <c r="F79" s="141" t="s">
        <v>258</v>
      </c>
      <c r="G79" s="93"/>
      <c r="H79" s="93"/>
      <c r="I79" s="93"/>
      <c r="J79" s="93"/>
      <c r="K79" s="93"/>
      <c r="L79" s="93"/>
      <c r="M79" s="94"/>
    </row>
    <row r="80" spans="1:14" hidden="1" x14ac:dyDescent="0.25">
      <c r="A80" s="44" t="s">
        <v>3</v>
      </c>
      <c r="B80" s="99"/>
      <c r="C80" s="99"/>
      <c r="D80" s="99"/>
      <c r="E80" s="99"/>
      <c r="F80" s="99"/>
      <c r="G80" s="93"/>
      <c r="H80" s="89"/>
      <c r="I80" s="89"/>
      <c r="J80" s="89"/>
      <c r="K80" s="89"/>
      <c r="L80" s="89"/>
      <c r="M80" s="94"/>
    </row>
    <row r="81" spans="1:13" x14ac:dyDescent="0.25">
      <c r="A81" s="207"/>
      <c r="B81" s="207"/>
      <c r="C81" s="207"/>
      <c r="D81" s="207"/>
      <c r="E81" s="207"/>
      <c r="F81" s="207"/>
      <c r="G81" s="93"/>
      <c r="H81" s="89"/>
      <c r="I81" s="89"/>
      <c r="J81" s="89"/>
      <c r="K81" s="89"/>
      <c r="L81" s="89"/>
      <c r="M81" s="94"/>
    </row>
    <row r="82" spans="1:13" ht="54" customHeight="1" thickBot="1" x14ac:dyDescent="0.3">
      <c r="A82" s="110" t="s">
        <v>155</v>
      </c>
      <c r="B82" s="309" t="s">
        <v>328</v>
      </c>
      <c r="C82" s="309"/>
      <c r="D82" s="309"/>
      <c r="E82" s="309"/>
      <c r="F82" s="309"/>
      <c r="G82" s="93"/>
      <c r="H82" s="89"/>
      <c r="I82" s="89"/>
      <c r="J82" s="89"/>
      <c r="K82" s="89"/>
      <c r="L82" s="89"/>
      <c r="M82" s="94"/>
    </row>
    <row r="83" spans="1:13" x14ac:dyDescent="0.25">
      <c r="A83" s="250" t="s">
        <v>156</v>
      </c>
      <c r="B83" s="251"/>
      <c r="C83" s="251"/>
      <c r="D83" s="251"/>
      <c r="E83" s="251"/>
      <c r="F83" s="252"/>
      <c r="G83" s="93"/>
      <c r="H83" s="59"/>
      <c r="I83" s="59"/>
      <c r="J83" s="59"/>
      <c r="K83" s="59"/>
      <c r="L83" s="59"/>
    </row>
    <row r="84" spans="1:13" ht="36.75" customHeight="1" x14ac:dyDescent="0.25">
      <c r="A84" s="111" t="s">
        <v>168</v>
      </c>
      <c r="B84" s="268" t="str">
        <f>C33</f>
        <v>Municipal Corporation Of Greater Mumbai (MCGM)</v>
      </c>
      <c r="C84" s="268"/>
      <c r="D84" s="268"/>
      <c r="E84" s="268"/>
      <c r="F84" s="269"/>
      <c r="G84" s="93"/>
      <c r="H84" s="89"/>
      <c r="I84" s="89"/>
      <c r="J84" s="89"/>
      <c r="K84" s="89"/>
      <c r="L84" s="89"/>
    </row>
    <row r="85" spans="1:13" ht="31.5" customHeight="1" x14ac:dyDescent="0.25">
      <c r="A85" s="112" t="s">
        <v>157</v>
      </c>
      <c r="B85" s="47" t="s">
        <v>169</v>
      </c>
      <c r="C85" s="47" t="s">
        <v>170</v>
      </c>
      <c r="D85" s="206" t="s">
        <v>171</v>
      </c>
      <c r="E85" s="206"/>
      <c r="F85" s="308"/>
      <c r="G85" s="93"/>
      <c r="H85" s="89"/>
      <c r="I85" s="93"/>
      <c r="J85" s="205"/>
      <c r="K85" s="205"/>
      <c r="L85" s="205"/>
    </row>
    <row r="86" spans="1:13" ht="31.5" customHeight="1" x14ac:dyDescent="0.25">
      <c r="A86" s="112" t="s">
        <v>158</v>
      </c>
      <c r="B86" s="101" t="s">
        <v>330</v>
      </c>
      <c r="C86" s="101" t="s">
        <v>331</v>
      </c>
      <c r="D86" s="238" t="s">
        <v>329</v>
      </c>
      <c r="E86" s="238"/>
      <c r="F86" s="239"/>
      <c r="G86" s="93"/>
      <c r="H86" s="89"/>
      <c r="I86" s="89"/>
      <c r="J86" s="89"/>
      <c r="K86" s="89"/>
      <c r="L86" s="89"/>
    </row>
    <row r="87" spans="1:13" ht="31.5" customHeight="1" x14ac:dyDescent="0.25">
      <c r="A87" s="112" t="s">
        <v>159</v>
      </c>
      <c r="B87" s="101" t="s">
        <v>330</v>
      </c>
      <c r="C87" s="101" t="s">
        <v>331</v>
      </c>
      <c r="D87" s="238" t="s">
        <v>329</v>
      </c>
      <c r="E87" s="238"/>
      <c r="F87" s="239"/>
      <c r="G87" s="93"/>
      <c r="H87" s="89"/>
      <c r="I87" s="89"/>
      <c r="J87" s="89"/>
      <c r="K87" s="89"/>
      <c r="L87" s="89"/>
    </row>
    <row r="88" spans="1:13" ht="31.5" customHeight="1" x14ac:dyDescent="0.25">
      <c r="A88" s="240" t="s">
        <v>160</v>
      </c>
      <c r="B88" s="241" t="s">
        <v>330</v>
      </c>
      <c r="C88" s="241" t="s">
        <v>331</v>
      </c>
      <c r="D88" s="238" t="s">
        <v>426</v>
      </c>
      <c r="E88" s="238"/>
      <c r="F88" s="239"/>
      <c r="G88" s="93"/>
      <c r="H88" s="89"/>
      <c r="I88" s="89"/>
      <c r="J88" s="89"/>
      <c r="K88" s="89"/>
      <c r="L88" s="89"/>
    </row>
    <row r="89" spans="1:13" ht="105.75" customHeight="1" x14ac:dyDescent="0.25">
      <c r="A89" s="240"/>
      <c r="B89" s="241"/>
      <c r="C89" s="241"/>
      <c r="D89" s="241" t="s">
        <v>428</v>
      </c>
      <c r="E89" s="241"/>
      <c r="F89" s="300"/>
      <c r="G89" s="93"/>
      <c r="H89" s="89"/>
      <c r="I89" s="89"/>
      <c r="J89" s="175"/>
      <c r="K89" s="89"/>
      <c r="L89" s="89"/>
    </row>
    <row r="90" spans="1:13" ht="31.5" customHeight="1" x14ac:dyDescent="0.25">
      <c r="A90" s="240" t="s">
        <v>160</v>
      </c>
      <c r="B90" s="241" t="s">
        <v>330</v>
      </c>
      <c r="C90" s="241" t="s">
        <v>331</v>
      </c>
      <c r="D90" s="238" t="s">
        <v>427</v>
      </c>
      <c r="E90" s="238"/>
      <c r="F90" s="239"/>
      <c r="G90" s="93"/>
      <c r="H90" s="89"/>
      <c r="I90" s="89"/>
      <c r="J90" s="89"/>
      <c r="K90" s="89"/>
      <c r="L90" s="89"/>
    </row>
    <row r="91" spans="1:13" ht="125.25" customHeight="1" x14ac:dyDescent="0.25">
      <c r="A91" s="240"/>
      <c r="B91" s="241"/>
      <c r="C91" s="241"/>
      <c r="D91" s="238" t="s">
        <v>429</v>
      </c>
      <c r="E91" s="238"/>
      <c r="F91" s="239"/>
      <c r="G91" s="93"/>
      <c r="H91" s="89"/>
      <c r="I91" s="89"/>
      <c r="J91" s="89"/>
      <c r="K91" s="89"/>
      <c r="L91" s="89"/>
    </row>
    <row r="92" spans="1:13" ht="54" customHeight="1" x14ac:dyDescent="0.25">
      <c r="A92" s="112" t="s">
        <v>161</v>
      </c>
      <c r="B92" s="101" t="s">
        <v>332</v>
      </c>
      <c r="C92" s="129" t="s">
        <v>250</v>
      </c>
      <c r="D92" s="241" t="s">
        <v>250</v>
      </c>
      <c r="E92" s="241"/>
      <c r="F92" s="300"/>
      <c r="G92" s="93"/>
      <c r="H92" s="89"/>
      <c r="I92" s="89"/>
      <c r="J92" s="89"/>
      <c r="K92" s="89"/>
      <c r="L92" s="59"/>
    </row>
    <row r="93" spans="1:13" ht="35.450000000000003" customHeight="1" x14ac:dyDescent="0.25">
      <c r="A93" s="112" t="s">
        <v>162</v>
      </c>
      <c r="B93" s="101" t="s">
        <v>332</v>
      </c>
      <c r="C93" s="129" t="s">
        <v>250</v>
      </c>
      <c r="D93" s="241" t="s">
        <v>250</v>
      </c>
      <c r="E93" s="241"/>
      <c r="F93" s="300"/>
      <c r="G93" s="93"/>
      <c r="H93" s="89"/>
      <c r="I93" s="89"/>
      <c r="J93" s="89"/>
      <c r="K93" s="89"/>
      <c r="L93" s="59"/>
    </row>
    <row r="94" spans="1:13" ht="29.1" customHeight="1" x14ac:dyDescent="0.25">
      <c r="A94" s="112" t="s">
        <v>163</v>
      </c>
      <c r="B94" s="101" t="s">
        <v>332</v>
      </c>
      <c r="C94" s="129" t="s">
        <v>250</v>
      </c>
      <c r="D94" s="241" t="s">
        <v>250</v>
      </c>
      <c r="E94" s="241"/>
      <c r="F94" s="300"/>
      <c r="G94" s="93"/>
      <c r="H94" s="89"/>
      <c r="I94" s="89"/>
      <c r="J94" s="89"/>
      <c r="K94" s="89"/>
      <c r="L94" s="59"/>
    </row>
    <row r="95" spans="1:13" ht="29.45" customHeight="1" x14ac:dyDescent="0.25">
      <c r="A95" s="112" t="s">
        <v>164</v>
      </c>
      <c r="B95" s="101" t="s">
        <v>332</v>
      </c>
      <c r="C95" s="129" t="s">
        <v>250</v>
      </c>
      <c r="D95" s="241" t="s">
        <v>250</v>
      </c>
      <c r="E95" s="241"/>
      <c r="F95" s="300"/>
      <c r="G95" s="93"/>
      <c r="H95" s="89"/>
      <c r="I95" s="89"/>
      <c r="J95" s="89"/>
      <c r="K95" s="89"/>
      <c r="L95" s="59"/>
    </row>
    <row r="96" spans="1:13" ht="96" customHeight="1" x14ac:dyDescent="0.25">
      <c r="A96" s="112" t="s">
        <v>259</v>
      </c>
      <c r="B96" s="101" t="s">
        <v>330</v>
      </c>
      <c r="C96" s="129" t="s">
        <v>333</v>
      </c>
      <c r="D96" s="238" t="s">
        <v>336</v>
      </c>
      <c r="E96" s="238"/>
      <c r="F96" s="239"/>
      <c r="G96" s="93"/>
      <c r="H96" s="89"/>
      <c r="I96" s="89"/>
      <c r="J96" s="89"/>
      <c r="K96" s="89"/>
      <c r="L96" s="59"/>
    </row>
    <row r="97" spans="1:12" ht="62.25" customHeight="1" x14ac:dyDescent="0.25">
      <c r="A97" s="112" t="s">
        <v>260</v>
      </c>
      <c r="B97" s="101" t="s">
        <v>334</v>
      </c>
      <c r="C97" s="129" t="s">
        <v>335</v>
      </c>
      <c r="D97" s="238" t="s">
        <v>415</v>
      </c>
      <c r="E97" s="238"/>
      <c r="F97" s="239"/>
      <c r="G97" s="93"/>
      <c r="H97" s="89"/>
      <c r="I97" s="89"/>
      <c r="J97" s="89"/>
      <c r="K97" s="89"/>
      <c r="L97" s="59"/>
    </row>
    <row r="98" spans="1:12" ht="40.5" customHeight="1" x14ac:dyDescent="0.25">
      <c r="A98" s="112" t="s">
        <v>261</v>
      </c>
      <c r="B98" s="101" t="s">
        <v>332</v>
      </c>
      <c r="C98" s="129" t="s">
        <v>250</v>
      </c>
      <c r="D98" s="241" t="s">
        <v>250</v>
      </c>
      <c r="E98" s="241"/>
      <c r="F98" s="300"/>
      <c r="G98" s="93"/>
      <c r="H98" s="89"/>
      <c r="I98" s="89"/>
      <c r="J98" s="89"/>
      <c r="K98" s="89"/>
      <c r="L98" s="59"/>
    </row>
    <row r="99" spans="1:12" ht="31.5" customHeight="1" x14ac:dyDescent="0.25">
      <c r="A99" s="112" t="s">
        <v>165</v>
      </c>
      <c r="B99" s="101" t="s">
        <v>330</v>
      </c>
      <c r="C99" s="129" t="s">
        <v>250</v>
      </c>
      <c r="D99" s="241" t="s">
        <v>337</v>
      </c>
      <c r="E99" s="241"/>
      <c r="F99" s="300"/>
      <c r="G99" s="93"/>
      <c r="H99" s="89"/>
      <c r="I99" s="89"/>
      <c r="J99" s="89"/>
      <c r="K99" s="89"/>
      <c r="L99" s="59"/>
    </row>
    <row r="100" spans="1:12" ht="36" hidden="1" customHeight="1" x14ac:dyDescent="0.25">
      <c r="A100" s="112" t="s">
        <v>166</v>
      </c>
      <c r="B100" s="101"/>
      <c r="C100" s="101"/>
      <c r="D100" s="238"/>
      <c r="E100" s="238"/>
      <c r="F100" s="239"/>
      <c r="G100" s="93"/>
      <c r="H100" s="89"/>
      <c r="I100" s="89"/>
      <c r="J100" s="89"/>
      <c r="K100" s="89"/>
      <c r="L100" s="59"/>
    </row>
    <row r="101" spans="1:12" ht="24.75" thickBot="1" x14ac:dyDescent="0.3">
      <c r="A101" s="113" t="s">
        <v>167</v>
      </c>
      <c r="B101" s="313"/>
      <c r="C101" s="313"/>
      <c r="D101" s="313"/>
      <c r="E101" s="313"/>
      <c r="F101" s="314"/>
      <c r="G101" s="93"/>
      <c r="H101" s="89"/>
      <c r="I101" s="89"/>
      <c r="J101" s="89"/>
      <c r="K101" s="89"/>
      <c r="L101" s="59"/>
    </row>
    <row r="102" spans="1:12" x14ac:dyDescent="0.25">
      <c r="A102" s="253" t="s">
        <v>172</v>
      </c>
      <c r="B102" s="253"/>
      <c r="C102" s="253"/>
      <c r="D102" s="253"/>
      <c r="E102" s="253"/>
      <c r="F102" s="253"/>
      <c r="G102" s="93"/>
      <c r="H102" s="89"/>
      <c r="I102" s="93"/>
      <c r="J102" s="89"/>
      <c r="K102" s="89"/>
      <c r="L102" s="59"/>
    </row>
    <row r="103" spans="1:12" ht="48" x14ac:dyDescent="0.25">
      <c r="A103" s="47" t="s">
        <v>173</v>
      </c>
      <c r="B103" s="105" t="s">
        <v>243</v>
      </c>
      <c r="C103" s="96" t="s">
        <v>177</v>
      </c>
      <c r="D103" s="105" t="s">
        <v>262</v>
      </c>
      <c r="E103" s="103" t="s">
        <v>174</v>
      </c>
      <c r="F103" s="105" t="s">
        <v>418</v>
      </c>
      <c r="G103" s="93"/>
      <c r="H103" s="89"/>
      <c r="I103" s="89"/>
      <c r="J103" s="93"/>
      <c r="K103" s="89"/>
      <c r="L103" s="59"/>
    </row>
    <row r="104" spans="1:12" ht="24" x14ac:dyDescent="0.25">
      <c r="A104" s="44" t="s">
        <v>175</v>
      </c>
      <c r="B104" s="305">
        <v>43637</v>
      </c>
      <c r="C104" s="255"/>
      <c r="D104" s="44" t="s">
        <v>178</v>
      </c>
      <c r="E104" s="305">
        <v>46568</v>
      </c>
      <c r="F104" s="255"/>
      <c r="G104" s="93"/>
      <c r="H104" s="89"/>
      <c r="I104" s="89"/>
      <c r="J104" s="93"/>
      <c r="K104" s="89"/>
      <c r="L104" s="59"/>
    </row>
    <row r="105" spans="1:12" ht="62.25" customHeight="1" x14ac:dyDescent="0.25">
      <c r="A105" s="44" t="s">
        <v>176</v>
      </c>
      <c r="B105" s="256" t="s">
        <v>243</v>
      </c>
      <c r="C105" s="256"/>
      <c r="D105" s="95" t="s">
        <v>179</v>
      </c>
      <c r="E105" s="315" t="s">
        <v>338</v>
      </c>
      <c r="F105" s="316"/>
      <c r="G105" s="93"/>
      <c r="H105" s="89"/>
      <c r="I105" s="89"/>
      <c r="J105" s="93"/>
      <c r="K105" s="89"/>
      <c r="L105" s="59"/>
    </row>
    <row r="106" spans="1:12" x14ac:dyDescent="0.25">
      <c r="A106" s="249" t="s">
        <v>180</v>
      </c>
      <c r="B106" s="249"/>
      <c r="C106" s="249"/>
      <c r="D106" s="249"/>
      <c r="E106" s="249"/>
      <c r="F106" s="249"/>
      <c r="G106" s="93"/>
      <c r="H106" s="89"/>
      <c r="I106" s="93"/>
      <c r="J106" s="89"/>
      <c r="K106" s="89"/>
      <c r="L106" s="59"/>
    </row>
    <row r="107" spans="1:12" x14ac:dyDescent="0.25">
      <c r="A107" s="44" t="s">
        <v>187</v>
      </c>
      <c r="B107" s="312" t="s">
        <v>263</v>
      </c>
      <c r="C107" s="312"/>
      <c r="D107" s="44" t="s">
        <v>181</v>
      </c>
      <c r="E107" s="256" t="s">
        <v>258</v>
      </c>
      <c r="F107" s="256"/>
      <c r="G107" s="93"/>
      <c r="H107" s="89"/>
      <c r="I107" s="89"/>
      <c r="J107" s="93"/>
      <c r="K107" s="89"/>
      <c r="L107" s="59"/>
    </row>
    <row r="108" spans="1:12" ht="24" x14ac:dyDescent="0.25">
      <c r="A108" s="44" t="s">
        <v>188</v>
      </c>
      <c r="B108" s="256" t="s">
        <v>243</v>
      </c>
      <c r="C108" s="256"/>
      <c r="D108" s="95" t="s">
        <v>182</v>
      </c>
      <c r="E108" s="312" t="s">
        <v>264</v>
      </c>
      <c r="F108" s="312"/>
      <c r="G108" s="93"/>
      <c r="H108" s="89"/>
      <c r="I108" s="89"/>
      <c r="J108" s="93"/>
      <c r="K108" s="89"/>
      <c r="L108" s="59"/>
    </row>
    <row r="109" spans="1:12" ht="36" x14ac:dyDescent="0.25">
      <c r="A109" s="44" t="s">
        <v>189</v>
      </c>
      <c r="B109" s="256" t="s">
        <v>258</v>
      </c>
      <c r="C109" s="256"/>
      <c r="D109" s="95" t="s">
        <v>183</v>
      </c>
      <c r="E109" s="256" t="s">
        <v>258</v>
      </c>
      <c r="F109" s="256"/>
      <c r="G109" s="93"/>
      <c r="H109" s="89"/>
      <c r="I109" s="89"/>
      <c r="J109" s="93"/>
      <c r="K109" s="89"/>
      <c r="L109" s="59"/>
    </row>
    <row r="110" spans="1:12" ht="24" customHeight="1" x14ac:dyDescent="0.25">
      <c r="A110" s="44" t="s">
        <v>190</v>
      </c>
      <c r="B110" s="256" t="s">
        <v>258</v>
      </c>
      <c r="C110" s="256"/>
      <c r="D110" s="95" t="s">
        <v>184</v>
      </c>
      <c r="E110" s="256" t="s">
        <v>258</v>
      </c>
      <c r="F110" s="256"/>
      <c r="G110" s="93"/>
      <c r="H110" s="89"/>
      <c r="I110" s="89"/>
      <c r="J110" s="93"/>
      <c r="K110" s="89"/>
      <c r="L110" s="59"/>
    </row>
    <row r="111" spans="1:12" ht="36" x14ac:dyDescent="0.25">
      <c r="A111" s="44" t="s">
        <v>191</v>
      </c>
      <c r="B111" s="256" t="s">
        <v>258</v>
      </c>
      <c r="C111" s="256"/>
      <c r="D111" s="95" t="s">
        <v>185</v>
      </c>
      <c r="E111" s="256" t="s">
        <v>258</v>
      </c>
      <c r="F111" s="256"/>
      <c r="G111" s="93"/>
      <c r="H111" s="89"/>
      <c r="I111" s="89"/>
      <c r="J111" s="93"/>
      <c r="K111" s="89"/>
      <c r="L111" s="59"/>
    </row>
    <row r="112" spans="1:12" x14ac:dyDescent="0.25">
      <c r="A112" s="44" t="s">
        <v>192</v>
      </c>
      <c r="B112" s="256" t="s">
        <v>258</v>
      </c>
      <c r="C112" s="256"/>
      <c r="D112" s="95" t="s">
        <v>186</v>
      </c>
      <c r="E112" s="256" t="s">
        <v>258</v>
      </c>
      <c r="F112" s="256"/>
      <c r="G112" s="93"/>
      <c r="H112" s="89"/>
      <c r="I112" s="89"/>
      <c r="J112" s="93"/>
      <c r="K112" s="89"/>
      <c r="L112" s="59"/>
    </row>
    <row r="113" spans="1:12" x14ac:dyDescent="0.25">
      <c r="A113" s="206" t="s">
        <v>193</v>
      </c>
      <c r="B113" s="206"/>
      <c r="C113" s="233" t="s">
        <v>243</v>
      </c>
      <c r="D113" s="233"/>
      <c r="E113" s="233"/>
      <c r="F113" s="233"/>
      <c r="G113" s="205"/>
      <c r="H113" s="205"/>
      <c r="I113" s="89"/>
      <c r="J113" s="89"/>
      <c r="K113" s="89"/>
      <c r="L113" s="59"/>
    </row>
    <row r="114" spans="1:12" ht="30" customHeight="1" x14ac:dyDescent="0.25">
      <c r="A114" s="206" t="s">
        <v>194</v>
      </c>
      <c r="B114" s="206"/>
      <c r="C114" s="233" t="s">
        <v>258</v>
      </c>
      <c r="D114" s="233"/>
      <c r="E114" s="233"/>
      <c r="F114" s="233"/>
      <c r="G114" s="205"/>
      <c r="H114" s="205"/>
      <c r="I114" s="89"/>
      <c r="J114" s="89"/>
      <c r="K114" s="89"/>
      <c r="L114" s="59"/>
    </row>
    <row r="115" spans="1:12" x14ac:dyDescent="0.25">
      <c r="A115" s="249" t="s">
        <v>195</v>
      </c>
      <c r="B115" s="249"/>
      <c r="C115" s="249"/>
      <c r="D115" s="249"/>
      <c r="E115" s="249"/>
      <c r="F115" s="249"/>
      <c r="G115" s="93"/>
      <c r="H115" s="89"/>
      <c r="I115" s="89"/>
      <c r="J115" s="89"/>
      <c r="K115" s="89"/>
      <c r="L115" s="59"/>
    </row>
    <row r="116" spans="1:12" ht="36" customHeight="1" x14ac:dyDescent="0.25">
      <c r="A116" s="254" t="s">
        <v>197</v>
      </c>
      <c r="B116" s="254"/>
      <c r="C116" s="254"/>
      <c r="D116" s="254"/>
      <c r="E116" s="254" t="s">
        <v>196</v>
      </c>
      <c r="F116" s="254"/>
      <c r="G116" s="93"/>
      <c r="H116" s="93"/>
      <c r="I116" s="93"/>
      <c r="J116" s="93"/>
      <c r="K116" s="93"/>
      <c r="L116" s="63"/>
    </row>
    <row r="117" spans="1:12" x14ac:dyDescent="0.25">
      <c r="A117" s="255" t="s">
        <v>250</v>
      </c>
      <c r="B117" s="255"/>
      <c r="C117" s="255"/>
      <c r="D117" s="255"/>
      <c r="E117" s="256" t="s">
        <v>258</v>
      </c>
      <c r="F117" s="256"/>
      <c r="G117" s="89"/>
      <c r="H117" s="89"/>
      <c r="I117" s="89"/>
      <c r="J117" s="89"/>
      <c r="K117" s="89"/>
      <c r="L117" s="59"/>
    </row>
    <row r="118" spans="1:12" hidden="1" x14ac:dyDescent="0.25">
      <c r="A118" s="255"/>
      <c r="B118" s="255"/>
      <c r="C118" s="255"/>
      <c r="D118" s="255"/>
      <c r="E118" s="255"/>
      <c r="F118" s="255"/>
      <c r="G118" s="59"/>
      <c r="H118" s="59"/>
      <c r="I118" s="59"/>
      <c r="J118" s="59"/>
      <c r="K118" s="59"/>
      <c r="L118" s="59"/>
    </row>
    <row r="119" spans="1:12" x14ac:dyDescent="0.25">
      <c r="A119" s="207"/>
      <c r="B119" s="207"/>
      <c r="C119" s="207"/>
      <c r="D119" s="207"/>
      <c r="E119" s="207"/>
      <c r="F119" s="207"/>
      <c r="G119" s="59"/>
      <c r="H119" s="59"/>
      <c r="I119" s="59"/>
      <c r="J119" s="59"/>
      <c r="K119" s="59"/>
      <c r="L119" s="59"/>
    </row>
    <row r="120" spans="1:12" ht="36" x14ac:dyDescent="0.25">
      <c r="A120" s="47" t="s">
        <v>198</v>
      </c>
      <c r="B120" s="47" t="s">
        <v>199</v>
      </c>
      <c r="C120" s="47" t="s">
        <v>200</v>
      </c>
      <c r="D120" s="47" t="s">
        <v>201</v>
      </c>
      <c r="E120" s="47" t="s">
        <v>202</v>
      </c>
      <c r="F120" s="47" t="s">
        <v>203</v>
      </c>
      <c r="G120" s="93"/>
      <c r="H120" s="93"/>
      <c r="I120" s="63"/>
      <c r="J120" s="63"/>
      <c r="K120" s="63"/>
      <c r="L120" s="63"/>
    </row>
    <row r="121" spans="1:12" ht="45.75" customHeight="1" x14ac:dyDescent="0.25">
      <c r="A121" s="100">
        <f t="shared" ref="A121:F121" si="1">A200</f>
        <v>1</v>
      </c>
      <c r="B121" s="100">
        <f t="shared" si="1"/>
        <v>5</v>
      </c>
      <c r="C121" s="100">
        <f t="shared" si="1"/>
        <v>0</v>
      </c>
      <c r="D121" s="100" t="str">
        <f t="shared" si="1"/>
        <v>Flats = 810</v>
      </c>
      <c r="E121" s="100" t="str">
        <f t="shared" si="1"/>
        <v>-</v>
      </c>
      <c r="F121" s="100">
        <f t="shared" si="1"/>
        <v>810</v>
      </c>
      <c r="G121" s="94"/>
      <c r="H121" s="94"/>
    </row>
    <row r="122" spans="1:12" ht="60" customHeight="1" x14ac:dyDescent="0.25">
      <c r="A122" s="206" t="s">
        <v>265</v>
      </c>
      <c r="B122" s="206"/>
      <c r="C122" s="233" t="s">
        <v>419</v>
      </c>
      <c r="D122" s="233"/>
      <c r="E122" s="233"/>
      <c r="F122" s="233"/>
      <c r="G122" s="205"/>
      <c r="H122" s="205"/>
      <c r="J122">
        <f>67-53-2-9</f>
        <v>3</v>
      </c>
    </row>
    <row r="123" spans="1:12" ht="30.75" customHeight="1" x14ac:dyDescent="0.25">
      <c r="A123" s="206" t="s">
        <v>266</v>
      </c>
      <c r="B123" s="206"/>
      <c r="C123" s="233" t="s">
        <v>421</v>
      </c>
      <c r="D123" s="233"/>
      <c r="E123" s="233"/>
      <c r="F123" s="233"/>
      <c r="G123" s="205"/>
      <c r="H123" s="205"/>
    </row>
    <row r="124" spans="1:12" ht="29.25" customHeight="1" x14ac:dyDescent="0.25">
      <c r="A124" s="206"/>
      <c r="B124" s="206"/>
      <c r="C124" s="233" t="s">
        <v>422</v>
      </c>
      <c r="D124" s="233"/>
      <c r="E124" s="233"/>
      <c r="F124" s="233"/>
      <c r="G124" s="205"/>
      <c r="H124" s="205"/>
    </row>
    <row r="125" spans="1:12" ht="31.5" hidden="1" customHeight="1" x14ac:dyDescent="0.25">
      <c r="A125" s="206"/>
      <c r="B125" s="206"/>
      <c r="C125" s="225" t="s">
        <v>339</v>
      </c>
      <c r="D125" s="225"/>
      <c r="E125" s="225"/>
      <c r="F125" s="225"/>
      <c r="G125" s="205"/>
      <c r="H125" s="205"/>
    </row>
    <row r="126" spans="1:12" x14ac:dyDescent="0.25">
      <c r="A126" s="206" t="s">
        <v>204</v>
      </c>
      <c r="B126" s="206"/>
      <c r="C126" s="233" t="s">
        <v>243</v>
      </c>
      <c r="D126" s="233"/>
      <c r="E126" s="233"/>
      <c r="F126" s="233"/>
      <c r="G126" s="205"/>
      <c r="H126" s="205"/>
    </row>
    <row r="127" spans="1:12" x14ac:dyDescent="0.25">
      <c r="A127" s="206" t="s">
        <v>205</v>
      </c>
      <c r="B127" s="206"/>
      <c r="C127" s="233" t="s">
        <v>243</v>
      </c>
      <c r="D127" s="233"/>
      <c r="E127" s="233"/>
      <c r="F127" s="233"/>
      <c r="G127" s="205"/>
      <c r="H127" s="205"/>
    </row>
    <row r="128" spans="1:12" ht="31.5" customHeight="1" x14ac:dyDescent="0.25">
      <c r="A128" s="206" t="s">
        <v>206</v>
      </c>
      <c r="B128" s="206"/>
      <c r="C128" s="231" t="s">
        <v>340</v>
      </c>
      <c r="D128" s="207"/>
      <c r="E128" s="207"/>
      <c r="F128" s="207"/>
      <c r="G128" s="205"/>
      <c r="H128" s="205"/>
    </row>
    <row r="129" spans="1:12" ht="47.25" customHeight="1" x14ac:dyDescent="0.25">
      <c r="A129" s="206" t="s">
        <v>207</v>
      </c>
      <c r="B129" s="206"/>
      <c r="C129" s="232" t="s">
        <v>401</v>
      </c>
      <c r="D129" s="232"/>
      <c r="E129" s="232"/>
      <c r="F129" s="232"/>
      <c r="G129" s="205"/>
      <c r="H129" s="205"/>
    </row>
    <row r="130" spans="1:12" ht="15.75" thickBot="1" x14ac:dyDescent="0.3">
      <c r="A130" s="226" t="s">
        <v>4</v>
      </c>
      <c r="B130" s="226"/>
      <c r="C130" s="226"/>
      <c r="D130" s="226"/>
      <c r="E130" s="226"/>
      <c r="F130" s="226"/>
      <c r="G130" s="1"/>
      <c r="H130" s="1"/>
    </row>
    <row r="131" spans="1:12" ht="21.75" customHeight="1" x14ac:dyDescent="0.25">
      <c r="A131" s="177" t="s">
        <v>431</v>
      </c>
      <c r="B131" s="178"/>
      <c r="C131" s="74" t="s">
        <v>5</v>
      </c>
      <c r="D131" s="74" t="s">
        <v>6</v>
      </c>
      <c r="E131" s="74" t="s">
        <v>7</v>
      </c>
      <c r="F131" s="75" t="s">
        <v>8</v>
      </c>
      <c r="G131" s="2" t="str">
        <f ca="1">(IF(E135&gt;99%,"All work completed. Please provide OC.",IF(E135&gt;89.8%,"Plinth, RCC, Brick, Plaster, Flooring, Painting work Completed. Finishing work is in process.",IF(E135&lt;94%,(IF(C135=0,"Work not yet Started.",IF(C135=H136,"Excavation Work in process",IF(C135=H137,"Foudation Work in process",IF(C135=H138,"1st Basement Completed",IF(C135=H139,"1st &amp; 2nd Basement Completed",IF(C135=H140,"1st to 3rd Basement Completed",IF(C135=H141,"1st to 4th Basement Completed",IF(C135=H142,"Plinth work is process",IF(C135=H143,"Plinth work completed","0"))))))))))))&amp;(IF(C136=(D132+E132+F132),", RCC Slab",IF(C136&gt;0,", RCC upto "&amp;C136&amp;" Slab",""))&amp;(IF(C137=F132,", Brickwork",IF(C137&gt;0,", Brickwork upto "&amp;C137&amp;" Floor",""))&amp;(IF(C138=F132,", Internal Plaster",IF(C138&gt;0,", Internal Plaster upto "&amp;C138&amp;" Floor",""))&amp;(IF(C139=F132,", External Plaster",IF(C139&gt;0,", External Plaster upto "&amp;C139&amp;" Floor",""))&amp;(IF(C140=F132,", Flooring",IF(C140&gt;0,", Flooring upto "&amp;C140&amp;" Floor",""))&amp;(IF(C141=F132,", Painting",IF(C141&gt;0,", Painting upto "&amp;C141&amp;" Floor",""))&amp;(IF(C142&gt;0,", Finishing upto "&amp;C142&amp;" Floor","")&amp;(IF(C136&gt;0.5," Completed","")))))))))))</f>
        <v>Plinth work completed, RCC upto 19 Slab, Brickwork upto 7 Floor, Internal Plaster upto 5 Floor Completed</v>
      </c>
      <c r="H131" s="3"/>
    </row>
    <row r="132" spans="1:12" ht="24" customHeight="1" x14ac:dyDescent="0.25">
      <c r="A132" s="179"/>
      <c r="B132" s="180"/>
      <c r="C132" s="76">
        <v>5</v>
      </c>
      <c r="D132" s="76">
        <v>1</v>
      </c>
      <c r="E132" s="76">
        <v>11</v>
      </c>
      <c r="F132" s="77">
        <f ca="1">--TRIM(RIGHT(SUBSTITUTE(LEFT(A131,_xlfn.AGGREGATE(16,6,FIND({0,1,2,3,4,5,6,7,8,9},A131,ROW(INDIRECT("1:"&amp;LEN(A131)))),1))," ",REPT(" ",LEN(A131))),LEN(A131)))</f>
        <v>53</v>
      </c>
      <c r="G132" s="4"/>
      <c r="H132" s="5"/>
      <c r="L132" t="s">
        <v>210</v>
      </c>
    </row>
    <row r="133" spans="1:12" ht="30.75" customHeight="1" x14ac:dyDescent="0.25">
      <c r="A133" s="114" t="s">
        <v>9</v>
      </c>
      <c r="B133" s="180" t="str">
        <f ca="1">G131</f>
        <v>Plinth work completed, RCC upto 19 Slab, Brickwork upto 7 Floor, Internal Plaster upto 5 Floor Completed</v>
      </c>
      <c r="C133" s="180"/>
      <c r="D133" s="180"/>
      <c r="E133" s="180"/>
      <c r="F133" s="181"/>
      <c r="G133" s="4" t="s">
        <v>10</v>
      </c>
      <c r="H133" s="5"/>
      <c r="L133" t="s">
        <v>208</v>
      </c>
    </row>
    <row r="134" spans="1:12" x14ac:dyDescent="0.25">
      <c r="A134" s="78" t="s">
        <v>11</v>
      </c>
      <c r="B134" s="79" t="s">
        <v>12</v>
      </c>
      <c r="C134" s="80" t="s">
        <v>13</v>
      </c>
      <c r="D134" s="80" t="s">
        <v>14</v>
      </c>
      <c r="E134" s="182" t="s">
        <v>37</v>
      </c>
      <c r="F134" s="183"/>
      <c r="G134" s="6"/>
      <c r="H134" s="7"/>
      <c r="L134" t="s">
        <v>209</v>
      </c>
    </row>
    <row r="135" spans="1:12" x14ac:dyDescent="0.25">
      <c r="A135" s="78" t="s">
        <v>19</v>
      </c>
      <c r="B135" s="81">
        <v>0.35</v>
      </c>
      <c r="C135" s="84">
        <f ca="1">H143</f>
        <v>53</v>
      </c>
      <c r="D135" s="173">
        <f ca="1">((100/F132)*C135)/100</f>
        <v>1</v>
      </c>
      <c r="E135" s="184">
        <f ca="1">((((C135/F132)*35)+(35/(F132+E132+D132)*C136)+(5/F132*C137)+(5/F132*C138)+(5/F132*C139)+(5/F132*C140)+(5/F132*C141)+(2.5/F132*C142)+(2.5/F132*C143))/100)</f>
        <v>0.46362844702467337</v>
      </c>
      <c r="F135" s="185"/>
      <c r="G135" s="6"/>
      <c r="H135" s="8"/>
    </row>
    <row r="136" spans="1:12" ht="30" x14ac:dyDescent="0.25">
      <c r="A136" s="78" t="s">
        <v>21</v>
      </c>
      <c r="B136" s="81">
        <v>0.35</v>
      </c>
      <c r="C136" s="97">
        <v>19</v>
      </c>
      <c r="D136" s="173">
        <f ca="1">((100/(D132+E132+F132))*C136)/100</f>
        <v>0.29230769230769232</v>
      </c>
      <c r="E136" s="184"/>
      <c r="F136" s="185"/>
      <c r="G136" s="6" t="s">
        <v>279</v>
      </c>
      <c r="H136" s="9">
        <f ca="1">F132/7</f>
        <v>7.5714285714285712</v>
      </c>
    </row>
    <row r="137" spans="1:12" x14ac:dyDescent="0.25">
      <c r="A137" s="78" t="s">
        <v>23</v>
      </c>
      <c r="B137" s="81">
        <v>0.05</v>
      </c>
      <c r="C137" s="82">
        <v>7</v>
      </c>
      <c r="D137" s="173">
        <f ca="1">((100/F132)*C137)/100</f>
        <v>0.13207547169811321</v>
      </c>
      <c r="E137" s="184"/>
      <c r="F137" s="185"/>
      <c r="G137" s="6" t="s">
        <v>280</v>
      </c>
      <c r="H137" s="9">
        <f ca="1">(IF(C132&gt;1,(F132/(C132+2)),F132/3.5))</f>
        <v>7.5714285714285712</v>
      </c>
    </row>
    <row r="138" spans="1:12" x14ac:dyDescent="0.25">
      <c r="A138" s="78" t="s">
        <v>38</v>
      </c>
      <c r="B138" s="81">
        <v>0.05</v>
      </c>
      <c r="C138" s="82">
        <v>5</v>
      </c>
      <c r="D138" s="173">
        <f ca="1">((100/F132)*C138)/100</f>
        <v>9.4339622641509441E-2</v>
      </c>
      <c r="E138" s="184"/>
      <c r="F138" s="185"/>
      <c r="G138" s="6" t="s">
        <v>26</v>
      </c>
      <c r="H138" s="9">
        <f ca="1">(IF(C132&gt;1,(F132/(C132+2)+H137),0))</f>
        <v>15.142857142857142</v>
      </c>
    </row>
    <row r="139" spans="1:12" x14ac:dyDescent="0.25">
      <c r="A139" s="78" t="s">
        <v>29</v>
      </c>
      <c r="B139" s="81">
        <v>0.05</v>
      </c>
      <c r="C139" s="82">
        <v>0</v>
      </c>
      <c r="D139" s="173">
        <f ca="1">((100/(F132))*C139)/100</f>
        <v>0</v>
      </c>
      <c r="E139" s="184"/>
      <c r="F139" s="185"/>
      <c r="G139" s="6" t="s">
        <v>28</v>
      </c>
      <c r="H139" s="9">
        <f ca="1">(IF(C132&gt;2,(F132/(C132+2)+H138),0))</f>
        <v>22.714285714285715</v>
      </c>
    </row>
    <row r="140" spans="1:12" ht="14.25" customHeight="1" x14ac:dyDescent="0.25">
      <c r="A140" s="78" t="s">
        <v>39</v>
      </c>
      <c r="B140" s="81">
        <v>0.05</v>
      </c>
      <c r="C140" s="82">
        <v>0</v>
      </c>
      <c r="D140" s="173">
        <f ca="1">((100/F132)*C140)/100</f>
        <v>0</v>
      </c>
      <c r="E140" s="184"/>
      <c r="F140" s="185"/>
      <c r="G140" s="6" t="s">
        <v>30</v>
      </c>
      <c r="H140" s="10">
        <f ca="1">(IF(C132&gt;3,(F132/(C132+2)+H139),0))</f>
        <v>30.285714285714285</v>
      </c>
    </row>
    <row r="141" spans="1:12" x14ac:dyDescent="0.25">
      <c r="A141" s="78" t="s">
        <v>31</v>
      </c>
      <c r="B141" s="81">
        <v>0.05</v>
      </c>
      <c r="C141" s="82">
        <v>0</v>
      </c>
      <c r="D141" s="173">
        <f ca="1">((100/F132)*C141)/100</f>
        <v>0</v>
      </c>
      <c r="E141" s="184"/>
      <c r="F141" s="185"/>
      <c r="G141" s="6" t="s">
        <v>32</v>
      </c>
      <c r="H141" s="9">
        <f ca="1">(IF(C132&gt;4,(F132/(C132+2)+H140),0))</f>
        <v>37.857142857142854</v>
      </c>
    </row>
    <row r="142" spans="1:12" x14ac:dyDescent="0.25">
      <c r="A142" s="78" t="s">
        <v>40</v>
      </c>
      <c r="B142" s="81">
        <v>2.5000000000000001E-2</v>
      </c>
      <c r="C142" s="82">
        <v>0</v>
      </c>
      <c r="D142" s="173">
        <f ca="1">((100/(F132))*C142)/100</f>
        <v>0</v>
      </c>
      <c r="E142" s="184"/>
      <c r="F142" s="185"/>
      <c r="G142" s="6" t="s">
        <v>34</v>
      </c>
      <c r="H142" s="9">
        <f>(IF(C132=1,(F132/(C132+3)+H137),IF(C132=0,(F132*2/7+H137),IF(C132&gt;1,0))))</f>
        <v>0</v>
      </c>
    </row>
    <row r="143" spans="1:12" ht="15.75" thickBot="1" x14ac:dyDescent="0.3">
      <c r="A143" s="115" t="s">
        <v>35</v>
      </c>
      <c r="B143" s="116">
        <v>2.5000000000000001E-2</v>
      </c>
      <c r="C143" s="117">
        <v>0</v>
      </c>
      <c r="D143" s="174">
        <f ca="1">((100/(F132))*C143)/100</f>
        <v>0</v>
      </c>
      <c r="E143" s="186"/>
      <c r="F143" s="187"/>
      <c r="G143" s="11" t="s">
        <v>36</v>
      </c>
      <c r="H143" s="12">
        <f ca="1">F132</f>
        <v>53</v>
      </c>
    </row>
    <row r="144" spans="1:12" ht="21.75" customHeight="1" x14ac:dyDescent="0.25">
      <c r="A144" s="177" t="s">
        <v>432</v>
      </c>
      <c r="B144" s="178"/>
      <c r="C144" s="74" t="s">
        <v>5</v>
      </c>
      <c r="D144" s="74" t="s">
        <v>6</v>
      </c>
      <c r="E144" s="74" t="s">
        <v>7</v>
      </c>
      <c r="F144" s="75" t="s">
        <v>8</v>
      </c>
      <c r="G144" s="2" t="str">
        <f ca="1">(IF(E148&gt;99%,"All work completed. Please provide OC.",IF(E148&gt;89.8%,"Plinth, RCC, Brick, Plaster, Flooring, Painting work Completed. Finishing work is in process.",IF(E148&lt;94%,(IF(C148=0,"Work not yet Started.",IF(C148=H149,"Excavation Work in process",IF(C148=H150,"Foudation Work in process",IF(C148=H151,"1st Basement Completed",IF(C148=H152,"1st &amp; 2nd Basement Completed",IF(C148=H153,"1st to 3rd Basement Completed",IF(C148=H154,"1st to 4th Basement Completed",IF(C148=H155,"Plinth work is process",IF(C148=H156,"Plinth work completed","0"))))))))))))&amp;(IF(C149=(D145+E145+F145),", RCC Slab",IF(C149&gt;0,", RCC upto "&amp;C149&amp;" Slab",""))&amp;(IF(C150=F145,", Brickwork",IF(C150&gt;0,", Brickwork upto "&amp;C150&amp;" Floor",""))&amp;(IF(C151=F145,", Internal Plaster",IF(C151&gt;0,", Internal Plaster upto "&amp;C151&amp;" Floor",""))&amp;(IF(C152=F145,", External Plaster",IF(C152&gt;0,", External Plaster upto "&amp;C152&amp;" Floor",""))&amp;(IF(C153=F145,", Flooring",IF(C153&gt;0,", Flooring upto "&amp;C153&amp;" Floor",""))&amp;(IF(C154=F145,", Painting",IF(C154&gt;0,", Painting upto "&amp;C154&amp;" Floor",""))&amp;(IF(C155&gt;0,", Finishing upto "&amp;C155&amp;" Floor","")&amp;(IF(C149&gt;0.5," Completed","")))))))))))</f>
        <v>Plinth work completed, RCC upto 18 Slab, Brickwork upto 6 Floor, Internal Plaster upto 5 Floor Completed</v>
      </c>
      <c r="H144" s="3"/>
    </row>
    <row r="145" spans="1:12" ht="26.25" customHeight="1" x14ac:dyDescent="0.25">
      <c r="A145" s="179"/>
      <c r="B145" s="180"/>
      <c r="C145" s="76">
        <v>5</v>
      </c>
      <c r="D145" s="76">
        <v>1</v>
      </c>
      <c r="E145" s="76">
        <v>11</v>
      </c>
      <c r="F145" s="77">
        <f ca="1">--TRIM(RIGHT(SUBSTITUTE(LEFT(A144,_xlfn.AGGREGATE(16,6,FIND({0,1,2,3,4,5,6,7,8,9},A144,ROW(INDIRECT("1:"&amp;LEN(A144)))),1))," ",REPT(" ",LEN(A144))),LEN(A144)))</f>
        <v>53</v>
      </c>
      <c r="G145" s="4"/>
      <c r="H145" s="5"/>
      <c r="L145" t="s">
        <v>210</v>
      </c>
    </row>
    <row r="146" spans="1:12" ht="31.5" customHeight="1" x14ac:dyDescent="0.25">
      <c r="A146" s="114" t="s">
        <v>9</v>
      </c>
      <c r="B146" s="180" t="str">
        <f ca="1">G144</f>
        <v>Plinth work completed, RCC upto 18 Slab, Brickwork upto 6 Floor, Internal Plaster upto 5 Floor Completed</v>
      </c>
      <c r="C146" s="180"/>
      <c r="D146" s="180"/>
      <c r="E146" s="180"/>
      <c r="F146" s="181"/>
      <c r="G146" s="4" t="s">
        <v>10</v>
      </c>
      <c r="H146" s="5"/>
      <c r="L146" t="s">
        <v>208</v>
      </c>
    </row>
    <row r="147" spans="1:12" x14ac:dyDescent="0.25">
      <c r="A147" s="78" t="s">
        <v>11</v>
      </c>
      <c r="B147" s="79" t="s">
        <v>12</v>
      </c>
      <c r="C147" s="80" t="s">
        <v>13</v>
      </c>
      <c r="D147" s="80" t="s">
        <v>14</v>
      </c>
      <c r="E147" s="182" t="s">
        <v>37</v>
      </c>
      <c r="F147" s="183"/>
      <c r="G147" s="6"/>
      <c r="H147" s="7"/>
      <c r="L147" t="s">
        <v>209</v>
      </c>
    </row>
    <row r="148" spans="1:12" x14ac:dyDescent="0.25">
      <c r="A148" s="78" t="s">
        <v>19</v>
      </c>
      <c r="B148" s="81">
        <v>0.35</v>
      </c>
      <c r="C148" s="84">
        <f ca="1">H156</f>
        <v>53</v>
      </c>
      <c r="D148" s="173">
        <f ca="1">((100/F145)*C148)/100</f>
        <v>1</v>
      </c>
      <c r="E148" s="184">
        <f ca="1">((((C148/F145)*35)+(35/(F145+E145+D145)*C149)+(5/F145*C150)+(5/F145*C151)+(5/F145*C152)+(5/F145*C153)+(5/F145*C154)+(2.5/F145*C155)+(2.5/F145*C156))/100)</f>
        <v>0.45730043541364296</v>
      </c>
      <c r="F148" s="185"/>
      <c r="G148" s="6"/>
      <c r="H148" s="8"/>
    </row>
    <row r="149" spans="1:12" ht="30" x14ac:dyDescent="0.25">
      <c r="A149" s="78" t="s">
        <v>21</v>
      </c>
      <c r="B149" s="81">
        <v>0.35</v>
      </c>
      <c r="C149" s="97">
        <v>18</v>
      </c>
      <c r="D149" s="173">
        <f ca="1">((100/(D145+E145+F145))*C149)/100</f>
        <v>0.27692307692307694</v>
      </c>
      <c r="E149" s="184"/>
      <c r="F149" s="185"/>
      <c r="G149" s="6" t="s">
        <v>279</v>
      </c>
      <c r="H149" s="9">
        <f ca="1">F145/7</f>
        <v>7.5714285714285712</v>
      </c>
    </row>
    <row r="150" spans="1:12" ht="14.25" customHeight="1" x14ac:dyDescent="0.25">
      <c r="A150" s="78" t="s">
        <v>23</v>
      </c>
      <c r="B150" s="81">
        <v>0.05</v>
      </c>
      <c r="C150" s="82">
        <v>6</v>
      </c>
      <c r="D150" s="173">
        <f ca="1">((100/F145)*C150)/100</f>
        <v>0.11320754716981131</v>
      </c>
      <c r="E150" s="184"/>
      <c r="F150" s="185"/>
      <c r="G150" s="6" t="s">
        <v>280</v>
      </c>
      <c r="H150" s="9">
        <f ca="1">(IF(C145&gt;1,(F145/(C145+2)),F145/3.5))</f>
        <v>7.5714285714285712</v>
      </c>
    </row>
    <row r="151" spans="1:12" x14ac:dyDescent="0.25">
      <c r="A151" s="78" t="s">
        <v>38</v>
      </c>
      <c r="B151" s="81">
        <v>0.05</v>
      </c>
      <c r="C151" s="82">
        <v>5</v>
      </c>
      <c r="D151" s="173">
        <f ca="1">((100/F145)*C151)/100</f>
        <v>9.4339622641509441E-2</v>
      </c>
      <c r="E151" s="184"/>
      <c r="F151" s="185"/>
      <c r="G151" s="6" t="s">
        <v>26</v>
      </c>
      <c r="H151" s="9">
        <f ca="1">(IF(C145&gt;1,(F145/(C145+2)+H150),0))</f>
        <v>15.142857142857142</v>
      </c>
    </row>
    <row r="152" spans="1:12" x14ac:dyDescent="0.25">
      <c r="A152" s="78" t="s">
        <v>29</v>
      </c>
      <c r="B152" s="81">
        <v>0.05</v>
      </c>
      <c r="C152" s="82">
        <v>0</v>
      </c>
      <c r="D152" s="173">
        <f ca="1">((100/(F145))*C152)/100</f>
        <v>0</v>
      </c>
      <c r="E152" s="184"/>
      <c r="F152" s="185"/>
      <c r="G152" s="6" t="s">
        <v>28</v>
      </c>
      <c r="H152" s="9">
        <f ca="1">(IF(C145&gt;2,(F145/(C145+2)+H151),0))</f>
        <v>22.714285714285715</v>
      </c>
    </row>
    <row r="153" spans="1:12" ht="15" customHeight="1" x14ac:dyDescent="0.25">
      <c r="A153" s="78" t="s">
        <v>39</v>
      </c>
      <c r="B153" s="81">
        <v>0.05</v>
      </c>
      <c r="C153" s="82">
        <v>0</v>
      </c>
      <c r="D153" s="173">
        <f ca="1">((100/F145)*C153)/100</f>
        <v>0</v>
      </c>
      <c r="E153" s="184"/>
      <c r="F153" s="185"/>
      <c r="G153" s="6" t="s">
        <v>30</v>
      </c>
      <c r="H153" s="10">
        <f ca="1">(IF(C145&gt;3,(F145/(C145+2)+H152),0))</f>
        <v>30.285714285714285</v>
      </c>
    </row>
    <row r="154" spans="1:12" x14ac:dyDescent="0.25">
      <c r="A154" s="78" t="s">
        <v>31</v>
      </c>
      <c r="B154" s="81">
        <v>0.05</v>
      </c>
      <c r="C154" s="82">
        <v>0</v>
      </c>
      <c r="D154" s="173">
        <f ca="1">((100/F145)*C154)/100</f>
        <v>0</v>
      </c>
      <c r="E154" s="184"/>
      <c r="F154" s="185"/>
      <c r="G154" s="6" t="s">
        <v>32</v>
      </c>
      <c r="H154" s="9">
        <f ca="1">(IF(C145&gt;4,(F145/(C145+2)+H153),0))</f>
        <v>37.857142857142854</v>
      </c>
    </row>
    <row r="155" spans="1:12" x14ac:dyDescent="0.25">
      <c r="A155" s="78" t="s">
        <v>40</v>
      </c>
      <c r="B155" s="81">
        <v>2.5000000000000001E-2</v>
      </c>
      <c r="C155" s="82">
        <v>0</v>
      </c>
      <c r="D155" s="173">
        <f ca="1">((100/(F145))*C155)/100</f>
        <v>0</v>
      </c>
      <c r="E155" s="184"/>
      <c r="F155" s="185"/>
      <c r="G155" s="6" t="s">
        <v>34</v>
      </c>
      <c r="H155" s="9">
        <f>(IF(C145=1,(F145/(C145+3)+H150),IF(C145=0,(F145*2/7+H150),IF(C145&gt;1,0))))</f>
        <v>0</v>
      </c>
    </row>
    <row r="156" spans="1:12" ht="15.75" thickBot="1" x14ac:dyDescent="0.3">
      <c r="A156" s="115" t="s">
        <v>35</v>
      </c>
      <c r="B156" s="116">
        <v>2.5000000000000001E-2</v>
      </c>
      <c r="C156" s="117">
        <v>0</v>
      </c>
      <c r="D156" s="174">
        <f ca="1">((100/(F145))*C156)/100</f>
        <v>0</v>
      </c>
      <c r="E156" s="186"/>
      <c r="F156" s="187"/>
      <c r="G156" s="11" t="s">
        <v>36</v>
      </c>
      <c r="H156" s="12">
        <f ca="1">F145</f>
        <v>53</v>
      </c>
    </row>
    <row r="157" spans="1:12" ht="25.5" customHeight="1" x14ac:dyDescent="0.25">
      <c r="A157" s="227" t="str">
        <f>C124</f>
        <v>Building No. 2 (Tower 3 &amp; 4 ) = 5B + Gr + 1st to 9th Podium + Club House Level 1 &amp; 2 + 1st to 53rd Floor</v>
      </c>
      <c r="B157" s="228"/>
      <c r="C157" s="74" t="s">
        <v>5</v>
      </c>
      <c r="D157" s="74" t="s">
        <v>6</v>
      </c>
      <c r="E157" s="74" t="s">
        <v>7</v>
      </c>
      <c r="F157" s="75" t="s">
        <v>8</v>
      </c>
      <c r="G157" s="2" t="str">
        <f ca="1">(IF(E161&gt;99%,"All work completed. Please provide OC.",IF(E161&gt;89.8%,"Plinth, RCC, Brick, Plaster, Flooring, Painting work Completed. Finishing work is in process.",IF(E161&lt;94%,(IF(C161=0,"Work not yet Started.",IF(C161=H162,"Excavation Work in process",IF(C161=H163,"Foudation Work in process",IF(C161=H164,"1st Basement Completed",IF(C161=H165,"1st &amp; 2nd Basement Completed",IF(C161=H166,"1st to 3rd Basement Completed",IF(C161=H167,"1st to 4th Basement Completed",IF(C161=H168,"Plinth work is process",IF(C161=H169,"Plinth work completed","0"))))))))))))&amp;(IF(C162=(D158+E158+F158),", RCC Slab",IF(C162&gt;0,", RCC upto "&amp;C162&amp;" Slab",""))&amp;(IF(C163=F158,", Brickwork",IF(C163&gt;0,", Brickwork upto "&amp;C163&amp;" Floor",""))&amp;(IF(C164=F158,", Internal Plaster",IF(C164&gt;0,", Internal Plaster upto "&amp;C164&amp;" Floor",""))&amp;(IF(C165=F158,", External Plaster",IF(C165&gt;0,", External Plaster upto "&amp;C165&amp;" Floor",""))&amp;(IF(C166=F158,", Flooring",IF(C166&gt;0,", Flooring upto "&amp;C166&amp;" Floor",""))&amp;(IF(C167=F158,", Painting",IF(C167&gt;0,", Painting upto "&amp;C167&amp;" Floor",""))&amp;(IF(C168&gt;0,", Finishing upto "&amp;C168&amp;" Floor","")&amp;(IF(C162&gt;0.5," Completed","")))))))))))</f>
        <v>Plinth work completed, RCC upto 53 Slab, Brickwork upto 41 Floor, Internal Plaster upto 28 Floor, Flooring upto 2 Floor Completed</v>
      </c>
      <c r="H157" s="3"/>
    </row>
    <row r="158" spans="1:12" ht="34.5" customHeight="1" x14ac:dyDescent="0.25">
      <c r="A158" s="229"/>
      <c r="B158" s="230"/>
      <c r="C158" s="76">
        <v>5</v>
      </c>
      <c r="D158" s="76">
        <v>1</v>
      </c>
      <c r="E158" s="76">
        <v>11</v>
      </c>
      <c r="F158" s="77">
        <f ca="1">--TRIM(RIGHT(SUBSTITUTE(LEFT(A157,_xlfn.AGGREGATE(16,6,FIND({0,1,2,3,4,5,6,7,8,9},A157,ROW(INDIRECT("1:"&amp;LEN(A157)))),1))," ",REPT(" ",LEN(A157))),LEN(A157)))</f>
        <v>53</v>
      </c>
      <c r="G158" s="4"/>
      <c r="H158" s="5"/>
      <c r="L158" t="s">
        <v>210</v>
      </c>
    </row>
    <row r="159" spans="1:12" ht="30.75" customHeight="1" x14ac:dyDescent="0.25">
      <c r="A159" s="114" t="s">
        <v>9</v>
      </c>
      <c r="B159" s="180" t="str">
        <f ca="1">G157</f>
        <v>Plinth work completed, RCC upto 53 Slab, Brickwork upto 41 Floor, Internal Plaster upto 28 Floor, Flooring upto 2 Floor Completed</v>
      </c>
      <c r="C159" s="180"/>
      <c r="D159" s="180"/>
      <c r="E159" s="180"/>
      <c r="F159" s="181"/>
      <c r="G159" s="4" t="s">
        <v>10</v>
      </c>
      <c r="H159" s="5"/>
      <c r="L159" t="s">
        <v>208</v>
      </c>
    </row>
    <row r="160" spans="1:12" x14ac:dyDescent="0.25">
      <c r="A160" s="78" t="s">
        <v>11</v>
      </c>
      <c r="B160" s="79" t="s">
        <v>12</v>
      </c>
      <c r="C160" s="80" t="s">
        <v>13</v>
      </c>
      <c r="D160" s="80" t="s">
        <v>14</v>
      </c>
      <c r="E160" s="182" t="s">
        <v>37</v>
      </c>
      <c r="F160" s="183"/>
      <c r="G160" s="6"/>
      <c r="H160" s="7"/>
      <c r="L160" t="s">
        <v>209</v>
      </c>
    </row>
    <row r="161" spans="1:12" x14ac:dyDescent="0.25">
      <c r="A161" s="78" t="s">
        <v>19</v>
      </c>
      <c r="B161" s="81">
        <v>0.35</v>
      </c>
      <c r="C161" s="84">
        <v>53</v>
      </c>
      <c r="D161" s="127">
        <f ca="1">((100/F158)*C161)/100</f>
        <v>1</v>
      </c>
      <c r="E161" s="184">
        <f ca="1">((((C161/F158)*35)+(35/(F158+E158+D158)*C162)+(5/F158*C163)+(5/F158*C164)+(5/F158*C165)+(5/F158*C166)+(5/F158*C167)+(2.5/F158*C168)+(2.5/F158*C169))/100)</f>
        <v>0.70236574746008695</v>
      </c>
      <c r="F161" s="185"/>
      <c r="G161" s="6"/>
      <c r="H161" s="8"/>
    </row>
    <row r="162" spans="1:12" ht="30" x14ac:dyDescent="0.25">
      <c r="A162" s="78" t="s">
        <v>21</v>
      </c>
      <c r="B162" s="81">
        <v>0.35</v>
      </c>
      <c r="C162" s="97">
        <v>53</v>
      </c>
      <c r="D162" s="127">
        <f ca="1">((100/(D158+E158+F158))*C162)/100</f>
        <v>0.81538461538461549</v>
      </c>
      <c r="E162" s="184"/>
      <c r="F162" s="185"/>
      <c r="G162" s="6" t="s">
        <v>279</v>
      </c>
      <c r="H162" s="9">
        <f ca="1">F158/7</f>
        <v>7.5714285714285712</v>
      </c>
    </row>
    <row r="163" spans="1:12" x14ac:dyDescent="0.25">
      <c r="A163" s="78" t="s">
        <v>23</v>
      </c>
      <c r="B163" s="81">
        <v>0.05</v>
      </c>
      <c r="C163" s="84">
        <v>41</v>
      </c>
      <c r="D163" s="127">
        <f ca="1">((100/F158)*C163)/100</f>
        <v>0.7735849056603773</v>
      </c>
      <c r="E163" s="184"/>
      <c r="F163" s="185"/>
      <c r="G163" s="6" t="s">
        <v>280</v>
      </c>
      <c r="H163" s="9">
        <f ca="1">(IF(C158&gt;1,(F158/(C158+2)),F158/3.5))</f>
        <v>7.5714285714285712</v>
      </c>
    </row>
    <row r="164" spans="1:12" x14ac:dyDescent="0.25">
      <c r="A164" s="78" t="s">
        <v>38</v>
      </c>
      <c r="B164" s="81">
        <v>0.05</v>
      </c>
      <c r="C164" s="84">
        <v>28</v>
      </c>
      <c r="D164" s="127">
        <f ca="1">((100/F158)*C164)/100</f>
        <v>0.52830188679245282</v>
      </c>
      <c r="E164" s="184"/>
      <c r="F164" s="185"/>
      <c r="G164" s="6" t="s">
        <v>26</v>
      </c>
      <c r="H164" s="9">
        <f ca="1">(IF(C158&gt;1,(F158/(C158+2)+H163),0))</f>
        <v>15.142857142857142</v>
      </c>
    </row>
    <row r="165" spans="1:12" x14ac:dyDescent="0.25">
      <c r="A165" s="78" t="s">
        <v>29</v>
      </c>
      <c r="B165" s="81">
        <v>0.05</v>
      </c>
      <c r="C165" s="82">
        <v>0</v>
      </c>
      <c r="D165" s="127">
        <f ca="1">((100/(F158))*C165)/100</f>
        <v>0</v>
      </c>
      <c r="E165" s="184"/>
      <c r="F165" s="185"/>
      <c r="G165" s="6" t="s">
        <v>28</v>
      </c>
      <c r="H165" s="9">
        <f ca="1">(IF(C158&gt;2,(F158/(C158+2)+H164),0))</f>
        <v>22.714285714285715</v>
      </c>
    </row>
    <row r="166" spans="1:12" ht="15.75" customHeight="1" x14ac:dyDescent="0.25">
      <c r="A166" s="78" t="s">
        <v>39</v>
      </c>
      <c r="B166" s="81">
        <v>0.05</v>
      </c>
      <c r="C166" s="172">
        <v>2</v>
      </c>
      <c r="D166" s="127">
        <f ca="1">((100/F158)*C166)/100</f>
        <v>3.7735849056603772E-2</v>
      </c>
      <c r="E166" s="184"/>
      <c r="F166" s="185"/>
      <c r="G166" s="6" t="s">
        <v>30</v>
      </c>
      <c r="H166" s="10">
        <f ca="1">(IF(C158&gt;3,(F158/(C158+2)+H165),0))</f>
        <v>30.285714285714285</v>
      </c>
    </row>
    <row r="167" spans="1:12" x14ac:dyDescent="0.25">
      <c r="A167" s="78" t="s">
        <v>31</v>
      </c>
      <c r="B167" s="81">
        <v>0.05</v>
      </c>
      <c r="C167" s="82">
        <v>0</v>
      </c>
      <c r="D167" s="127">
        <f ca="1">((100/F158)*C167)/100</f>
        <v>0</v>
      </c>
      <c r="E167" s="184"/>
      <c r="F167" s="185"/>
      <c r="G167" s="6" t="s">
        <v>32</v>
      </c>
      <c r="H167" s="9">
        <f ca="1">(IF(C158&gt;4,(F158/(C158+2)+H166),0))</f>
        <v>37.857142857142854</v>
      </c>
    </row>
    <row r="168" spans="1:12" x14ac:dyDescent="0.25">
      <c r="A168" s="78" t="s">
        <v>40</v>
      </c>
      <c r="B168" s="81">
        <v>2.5000000000000001E-2</v>
      </c>
      <c r="C168" s="82">
        <v>0</v>
      </c>
      <c r="D168" s="127">
        <f ca="1">((100/(F158))*C168)/100</f>
        <v>0</v>
      </c>
      <c r="E168" s="184"/>
      <c r="F168" s="185"/>
      <c r="G168" s="6" t="s">
        <v>34</v>
      </c>
      <c r="H168" s="9">
        <f>(IF(C158=1,(F158/(C158+3)+H163),IF(C158=0,(F158*2/7+H163),IF(C158&gt;1,0))))</f>
        <v>0</v>
      </c>
    </row>
    <row r="169" spans="1:12" ht="15.75" thickBot="1" x14ac:dyDescent="0.3">
      <c r="A169" s="115" t="s">
        <v>35</v>
      </c>
      <c r="B169" s="116">
        <v>2.5000000000000001E-2</v>
      </c>
      <c r="C169" s="117">
        <v>0</v>
      </c>
      <c r="D169" s="128">
        <f ca="1">((100/(F158))*C169)/100</f>
        <v>0</v>
      </c>
      <c r="E169" s="186"/>
      <c r="F169" s="187"/>
      <c r="G169" s="11" t="s">
        <v>36</v>
      </c>
      <c r="H169" s="12">
        <f ca="1">F158</f>
        <v>53</v>
      </c>
    </row>
    <row r="170" spans="1:12" ht="21.75" customHeight="1" x14ac:dyDescent="0.25">
      <c r="A170" s="177" t="s">
        <v>433</v>
      </c>
      <c r="B170" s="178"/>
      <c r="C170" s="74" t="s">
        <v>5</v>
      </c>
      <c r="D170" s="74" t="s">
        <v>6</v>
      </c>
      <c r="E170" s="74" t="s">
        <v>7</v>
      </c>
      <c r="F170" s="75" t="s">
        <v>8</v>
      </c>
      <c r="G170" s="2" t="str">
        <f ca="1">(IF(E174&gt;99%,"All work completed. Please provide OC.",IF(E174&gt;89.8%,"Plinth, RCC, Brick, Plaster, Flooring, Painting work Completed. Finishing work is in process.",IF(E174&lt;94%,(IF(C174=0,"Work not yet Started.",IF(C174=H175,"Excavation Work in process",IF(C174=H176,"Foudation Work in process",IF(C174=H177,"1st Basement Completed",IF(C174=H178,"1st &amp; 2nd Basement Completed",IF(C174=H179,"1st to 3rd Basement Completed",IF(C174=H180,"1st to 4th Basement Completed",IF(C174=H181,"Plinth work is process",IF(C174=H182,"Plinth work completed","0"))))))))))))&amp;(IF(C175=(D171+E171+F171),", RCC Slab",IF(C175&gt;0,", RCC upto "&amp;C175&amp;" Slab",""))&amp;(IF(C176=F171,", Brickwork",IF(C176&gt;0,", Brickwork upto "&amp;C176&amp;" Floor",""))&amp;(IF(C177=F171,", Internal Plaster",IF(C177&gt;0,", Internal Plaster upto "&amp;C177&amp;" Floor",""))&amp;(IF(C178=F171,", External Plaster",IF(C178&gt;0,", External Plaster upto "&amp;C178&amp;" Floor",""))&amp;(IF(C179=F171,", Flooring",IF(C179&gt;0,", Flooring upto "&amp;C179&amp;" Floor",""))&amp;(IF(C180=F171,", Painting",IF(C180&gt;0,", Painting upto "&amp;C180&amp;" Floor",""))&amp;(IF(C181&gt;0,", Finishing upto "&amp;C181&amp;" Floor","")&amp;(IF(C175&gt;0.5," Completed","")))))))))))</f>
        <v>Plinth work completed, RCC upto 17 Slab, Brickwork upto 5 Floor, Internal Plaster upto 3 Floor Completed</v>
      </c>
      <c r="H170" s="3"/>
    </row>
    <row r="171" spans="1:12" ht="29.25" customHeight="1" x14ac:dyDescent="0.25">
      <c r="A171" s="179"/>
      <c r="B171" s="180"/>
      <c r="C171" s="76">
        <v>5</v>
      </c>
      <c r="D171" s="76">
        <v>1</v>
      </c>
      <c r="E171" s="76">
        <v>11</v>
      </c>
      <c r="F171" s="77">
        <f ca="1">--TRIM(RIGHT(SUBSTITUTE(LEFT(A170,_xlfn.AGGREGATE(16,6,FIND({0,1,2,3,4,5,6,7,8,9},A170,ROW(INDIRECT("1:"&amp;LEN(A170)))),1))," ",REPT(" ",LEN(A170))),LEN(A170)))</f>
        <v>53</v>
      </c>
      <c r="G171" s="4"/>
      <c r="H171" s="5"/>
      <c r="L171" t="s">
        <v>210</v>
      </c>
    </row>
    <row r="172" spans="1:12" ht="32.25" customHeight="1" x14ac:dyDescent="0.25">
      <c r="A172" s="114" t="s">
        <v>9</v>
      </c>
      <c r="B172" s="180" t="str">
        <f ca="1">G170</f>
        <v>Plinth work completed, RCC upto 17 Slab, Brickwork upto 5 Floor, Internal Plaster upto 3 Floor Completed</v>
      </c>
      <c r="C172" s="180"/>
      <c r="D172" s="180"/>
      <c r="E172" s="180"/>
      <c r="F172" s="181"/>
      <c r="G172" s="4" t="s">
        <v>10</v>
      </c>
      <c r="H172" s="5"/>
      <c r="L172" t="s">
        <v>208</v>
      </c>
    </row>
    <row r="173" spans="1:12" x14ac:dyDescent="0.25">
      <c r="A173" s="78" t="s">
        <v>11</v>
      </c>
      <c r="B173" s="79" t="s">
        <v>12</v>
      </c>
      <c r="C173" s="80" t="s">
        <v>13</v>
      </c>
      <c r="D173" s="80" t="s">
        <v>14</v>
      </c>
      <c r="E173" s="182" t="s">
        <v>37</v>
      </c>
      <c r="F173" s="183"/>
      <c r="G173" s="6"/>
      <c r="H173" s="7"/>
      <c r="L173" t="s">
        <v>209</v>
      </c>
    </row>
    <row r="174" spans="1:12" x14ac:dyDescent="0.25">
      <c r="A174" s="78" t="s">
        <v>19</v>
      </c>
      <c r="B174" s="81">
        <v>0.35</v>
      </c>
      <c r="C174" s="84">
        <f ca="1">H182</f>
        <v>53</v>
      </c>
      <c r="D174" s="83">
        <f ca="1">((100/F171)*C174)/100</f>
        <v>1</v>
      </c>
      <c r="E174" s="184">
        <f ca="1">((((C174/F171)*35)+(35/(F171+E171+D171)*C175)+(5/F171*C176)+(5/F171*C177)+(5/F171*C178)+(5/F171*C179)+(5/F171*C180)+(2.5/F171*C181)+(2.5/F171*C182))/100)</f>
        <v>0.44908563134978224</v>
      </c>
      <c r="F174" s="185"/>
      <c r="G174" s="6"/>
      <c r="H174" s="8"/>
    </row>
    <row r="175" spans="1:12" ht="30" x14ac:dyDescent="0.25">
      <c r="A175" s="78" t="s">
        <v>21</v>
      </c>
      <c r="B175" s="81">
        <v>0.35</v>
      </c>
      <c r="C175" s="97">
        <v>17</v>
      </c>
      <c r="D175" s="83">
        <f ca="1">((100/(D171+E171+F171))*C175)/100</f>
        <v>0.26153846153846155</v>
      </c>
      <c r="E175" s="184"/>
      <c r="F175" s="185"/>
      <c r="G175" s="6" t="s">
        <v>279</v>
      </c>
      <c r="H175" s="9">
        <f ca="1">F171/7</f>
        <v>7.5714285714285712</v>
      </c>
    </row>
    <row r="176" spans="1:12" x14ac:dyDescent="0.25">
      <c r="A176" s="78" t="s">
        <v>23</v>
      </c>
      <c r="B176" s="81">
        <v>0.05</v>
      </c>
      <c r="C176" s="82">
        <v>5</v>
      </c>
      <c r="D176" s="83">
        <f ca="1">((100/F171)*C176)/100</f>
        <v>9.4339622641509441E-2</v>
      </c>
      <c r="E176" s="184"/>
      <c r="F176" s="185"/>
      <c r="G176" s="6" t="s">
        <v>280</v>
      </c>
      <c r="H176" s="9">
        <f ca="1">(IF(C171&gt;1,(F171/(C171+2)),F171/3.5))</f>
        <v>7.5714285714285712</v>
      </c>
    </row>
    <row r="177" spans="1:12" x14ac:dyDescent="0.25">
      <c r="A177" s="78" t="s">
        <v>38</v>
      </c>
      <c r="B177" s="81">
        <v>0.05</v>
      </c>
      <c r="C177" s="82">
        <v>3</v>
      </c>
      <c r="D177" s="83">
        <f ca="1">((100/F171)*C177)/100</f>
        <v>5.6603773584905655E-2</v>
      </c>
      <c r="E177" s="184"/>
      <c r="F177" s="185"/>
      <c r="G177" s="6" t="s">
        <v>26</v>
      </c>
      <c r="H177" s="9">
        <f ca="1">(IF(C171&gt;1,(F171/(C171+2)+H176),0))</f>
        <v>15.142857142857142</v>
      </c>
    </row>
    <row r="178" spans="1:12" x14ac:dyDescent="0.25">
      <c r="A178" s="78" t="s">
        <v>29</v>
      </c>
      <c r="B178" s="81">
        <v>0.05</v>
      </c>
      <c r="C178" s="82">
        <v>0</v>
      </c>
      <c r="D178" s="83">
        <f ca="1">((100/(F171))*C178)/100</f>
        <v>0</v>
      </c>
      <c r="E178" s="184"/>
      <c r="F178" s="185"/>
      <c r="G178" s="6" t="s">
        <v>28</v>
      </c>
      <c r="H178" s="9">
        <f ca="1">(IF(C171&gt;2,(F171/(C171+2)+H177),0))</f>
        <v>22.714285714285715</v>
      </c>
    </row>
    <row r="179" spans="1:12" ht="16.5" customHeight="1" x14ac:dyDescent="0.25">
      <c r="A179" s="78" t="s">
        <v>39</v>
      </c>
      <c r="B179" s="81">
        <v>0.05</v>
      </c>
      <c r="C179" s="82">
        <v>0</v>
      </c>
      <c r="D179" s="83">
        <f ca="1">((100/F171)*C179)/100</f>
        <v>0</v>
      </c>
      <c r="E179" s="184"/>
      <c r="F179" s="185"/>
      <c r="G179" s="6" t="s">
        <v>30</v>
      </c>
      <c r="H179" s="10">
        <f ca="1">(IF(C171&gt;3,(F171/(C171+2)+H178),0))</f>
        <v>30.285714285714285</v>
      </c>
    </row>
    <row r="180" spans="1:12" x14ac:dyDescent="0.25">
      <c r="A180" s="78" t="s">
        <v>31</v>
      </c>
      <c r="B180" s="81">
        <v>0.05</v>
      </c>
      <c r="C180" s="82">
        <v>0</v>
      </c>
      <c r="D180" s="83">
        <f ca="1">((100/F171)*C180)/100</f>
        <v>0</v>
      </c>
      <c r="E180" s="184"/>
      <c r="F180" s="185"/>
      <c r="G180" s="6" t="s">
        <v>32</v>
      </c>
      <c r="H180" s="9">
        <f ca="1">(IF(C171&gt;4,(F171/(C171+2)+H179),0))</f>
        <v>37.857142857142854</v>
      </c>
    </row>
    <row r="181" spans="1:12" x14ac:dyDescent="0.25">
      <c r="A181" s="78" t="s">
        <v>40</v>
      </c>
      <c r="B181" s="81">
        <v>2.5000000000000001E-2</v>
      </c>
      <c r="C181" s="82">
        <v>0</v>
      </c>
      <c r="D181" s="83">
        <f ca="1">((100/(F171))*C181)/100</f>
        <v>0</v>
      </c>
      <c r="E181" s="184"/>
      <c r="F181" s="185"/>
      <c r="G181" s="6" t="s">
        <v>34</v>
      </c>
      <c r="H181" s="9">
        <f>(IF(C171=1,(F171/(C171+3)+H176),IF(C171=0,(F171*2/7+H176),IF(C171&gt;1,0))))</f>
        <v>0</v>
      </c>
    </row>
    <row r="182" spans="1:12" ht="15.75" thickBot="1" x14ac:dyDescent="0.3">
      <c r="A182" s="115" t="s">
        <v>35</v>
      </c>
      <c r="B182" s="116">
        <v>2.5000000000000001E-2</v>
      </c>
      <c r="C182" s="117">
        <v>0</v>
      </c>
      <c r="D182" s="118">
        <f ca="1">((100/(F171))*C182)/100</f>
        <v>0</v>
      </c>
      <c r="E182" s="186"/>
      <c r="F182" s="187"/>
      <c r="G182" s="11" t="s">
        <v>36</v>
      </c>
      <c r="H182" s="12">
        <f ca="1">F171</f>
        <v>53</v>
      </c>
    </row>
    <row r="183" spans="1:12" hidden="1" x14ac:dyDescent="0.25">
      <c r="A183" s="221" t="str">
        <f>C125</f>
        <v>Building No. 2 (Tower 1 to 5 ) = 5B + Gr + 1st to 9th Podium + Club House Level 1 &amp; 2 + 1st to 40th Floor</v>
      </c>
      <c r="B183" s="222"/>
      <c r="C183" s="74" t="s">
        <v>5</v>
      </c>
      <c r="D183" s="74" t="s">
        <v>6</v>
      </c>
      <c r="E183" s="74" t="s">
        <v>7</v>
      </c>
      <c r="F183" s="75" t="s">
        <v>8</v>
      </c>
      <c r="G183" s="2" t="str">
        <f ca="1">(IF(E187&gt;99%,"All work completed. Please provide OC.",IF(E187&gt;89.8%,"Plinth, RCC, Brick, Plaster, Flooring, Painting work Completed. Finishing work is in process.",IF(E187&lt;94%,(IF(C187=0,"Work not yet Started.",IF(C187=H188,"Excavation Work in process",IF(C187=H189,"Foudation Work in process",IF(C187=H190,"1st Basement Completed",IF(C187=H191,"1st &amp; 2nd Basement Completed",IF(C187=H192,"1st to 3rd Basement Completed",IF(C187=H193,"1st to 4th Basement Completed",IF(C187=H194,"Plinth work is process",IF(C187=H195,"Plinth work completed","0"))))))))))))&amp;(IF(C188=(D184+E184+F184),", RCC Slab",IF(C188&gt;0,", RCC upto "&amp;C188&amp;" Slab",""))&amp;(IF(C189=F184,", Brickwork",IF(C189&gt;0,", Brickwork upto "&amp;C189&amp;" Floor",""))&amp;(IF(C190=F184,", Internal Plaster",IF(C190&gt;0,", Internal Plaster upto "&amp;C190&amp;" Floor",""))&amp;(IF(C191=F184,", External Plaster",IF(C191&gt;0,", External Plaster upto "&amp;C191&amp;" Floor",""))&amp;(IF(C192=F184,", Flooring",IF(C192&gt;0,", Flooring upto "&amp;C192&amp;" Floor",""))&amp;(IF(C193=F184,", Painting",IF(C193&gt;0,", Painting upto "&amp;C193&amp;" Floor",""))&amp;(IF(C194&gt;0,", Finishing upto "&amp;C194&amp;" Floor","")&amp;(IF(C188&gt;0.5," Completed","")))))))))))</f>
        <v>Work not yet Started.</v>
      </c>
      <c r="H183" s="3"/>
    </row>
    <row r="184" spans="1:12" hidden="1" x14ac:dyDescent="0.25">
      <c r="A184" s="223"/>
      <c r="B184" s="224"/>
      <c r="C184" s="76">
        <v>0</v>
      </c>
      <c r="D184" s="76">
        <v>1</v>
      </c>
      <c r="E184" s="76">
        <v>0</v>
      </c>
      <c r="F184" s="77">
        <f ca="1">--TRIM(RIGHT(SUBSTITUTE(LEFT(A183,_xlfn.AGGREGATE(16,6,FIND({0,1,2,3,4,5,6,7,8,9},A183,ROW(INDIRECT("1:"&amp;LEN(A183)))),1))," ",REPT(" ",LEN(A183))),LEN(A183)))</f>
        <v>40</v>
      </c>
      <c r="G184" s="4"/>
      <c r="H184" s="5"/>
      <c r="L184" t="s">
        <v>210</v>
      </c>
    </row>
    <row r="185" spans="1:12" hidden="1" x14ac:dyDescent="0.25">
      <c r="A185" s="114" t="s">
        <v>9</v>
      </c>
      <c r="B185" s="180" t="str">
        <f ca="1">G183</f>
        <v>Work not yet Started.</v>
      </c>
      <c r="C185" s="180"/>
      <c r="D185" s="180"/>
      <c r="E185" s="180"/>
      <c r="F185" s="181"/>
      <c r="G185" s="4" t="s">
        <v>10</v>
      </c>
      <c r="H185" s="5"/>
      <c r="L185" t="s">
        <v>208</v>
      </c>
    </row>
    <row r="186" spans="1:12" hidden="1" x14ac:dyDescent="0.25">
      <c r="A186" s="78" t="s">
        <v>11</v>
      </c>
      <c r="B186" s="79" t="s">
        <v>12</v>
      </c>
      <c r="C186" s="80" t="s">
        <v>13</v>
      </c>
      <c r="D186" s="80" t="s">
        <v>14</v>
      </c>
      <c r="E186" s="182" t="s">
        <v>37</v>
      </c>
      <c r="F186" s="183"/>
      <c r="G186" s="6"/>
      <c r="H186" s="7"/>
      <c r="L186" t="s">
        <v>209</v>
      </c>
    </row>
    <row r="187" spans="1:12" hidden="1" x14ac:dyDescent="0.25">
      <c r="A187" s="78" t="s">
        <v>19</v>
      </c>
      <c r="B187" s="81">
        <v>0.35</v>
      </c>
      <c r="C187" s="84">
        <f>H191</f>
        <v>0</v>
      </c>
      <c r="D187" s="127">
        <f ca="1">((100/F184)*C187)/100</f>
        <v>0</v>
      </c>
      <c r="E187" s="184">
        <f ca="1">((((C187/F184)*35)+(35/(F184+E184+D184)*C188)+(5/F184*C189)+(5/F184*C190)+(5/F184*C191)+(5/F184*C192)+(5/F184*C193)+(2.5/F184*C194)+(2.5/F184*C195))/100)</f>
        <v>0</v>
      </c>
      <c r="F187" s="185"/>
      <c r="G187" s="6"/>
      <c r="H187" s="8"/>
    </row>
    <row r="188" spans="1:12" ht="30" hidden="1" x14ac:dyDescent="0.25">
      <c r="A188" s="78" t="s">
        <v>21</v>
      </c>
      <c r="B188" s="81">
        <v>0.35</v>
      </c>
      <c r="C188" s="97">
        <v>0</v>
      </c>
      <c r="D188" s="127">
        <f ca="1">((100/(D184+E184+F184))*C188)/100</f>
        <v>0</v>
      </c>
      <c r="E188" s="184"/>
      <c r="F188" s="185"/>
      <c r="G188" s="6" t="s">
        <v>279</v>
      </c>
      <c r="H188" s="9">
        <f ca="1">F184/7</f>
        <v>5.7142857142857144</v>
      </c>
    </row>
    <row r="189" spans="1:12" hidden="1" x14ac:dyDescent="0.25">
      <c r="A189" s="78" t="s">
        <v>23</v>
      </c>
      <c r="B189" s="81">
        <v>0.05</v>
      </c>
      <c r="C189" s="82">
        <v>0</v>
      </c>
      <c r="D189" s="127">
        <f ca="1">((100/F184)*C189)/100</f>
        <v>0</v>
      </c>
      <c r="E189" s="184"/>
      <c r="F189" s="185"/>
      <c r="G189" s="6" t="s">
        <v>280</v>
      </c>
      <c r="H189" s="9">
        <f ca="1">(IF(C184&gt;1,(F184/(C184+2)),F184/3.5))</f>
        <v>11.428571428571429</v>
      </c>
    </row>
    <row r="190" spans="1:12" hidden="1" x14ac:dyDescent="0.25">
      <c r="A190" s="78" t="s">
        <v>38</v>
      </c>
      <c r="B190" s="81">
        <v>0.05</v>
      </c>
      <c r="C190" s="82">
        <v>0</v>
      </c>
      <c r="D190" s="127">
        <f ca="1">((100/F184)*C190)/100</f>
        <v>0</v>
      </c>
      <c r="E190" s="184"/>
      <c r="F190" s="185"/>
      <c r="G190" s="6" t="s">
        <v>26</v>
      </c>
      <c r="H190" s="9">
        <f>(IF(C184&gt;1,(F184/(C184+2)+H189),0))</f>
        <v>0</v>
      </c>
    </row>
    <row r="191" spans="1:12" hidden="1" x14ac:dyDescent="0.25">
      <c r="A191" s="78" t="s">
        <v>29</v>
      </c>
      <c r="B191" s="81">
        <v>0.05</v>
      </c>
      <c r="C191" s="82">
        <v>0</v>
      </c>
      <c r="D191" s="127">
        <f ca="1">((100/(F184))*C191)/100</f>
        <v>0</v>
      </c>
      <c r="E191" s="184"/>
      <c r="F191" s="185"/>
      <c r="G191" s="6" t="s">
        <v>28</v>
      </c>
      <c r="H191" s="9">
        <f>(IF(C184&gt;2,(F184/(C184+2)+H190),0))</f>
        <v>0</v>
      </c>
    </row>
    <row r="192" spans="1:12" ht="30" hidden="1" x14ac:dyDescent="0.25">
      <c r="A192" s="78" t="s">
        <v>39</v>
      </c>
      <c r="B192" s="81">
        <v>0.05</v>
      </c>
      <c r="C192" s="82">
        <v>0</v>
      </c>
      <c r="D192" s="127">
        <f ca="1">((100/F184)*C192)/100</f>
        <v>0</v>
      </c>
      <c r="E192" s="184"/>
      <c r="F192" s="185"/>
      <c r="G192" s="6" t="s">
        <v>30</v>
      </c>
      <c r="H192" s="10">
        <f>(IF(C184&gt;3,(F184/(C184+2)+H191),0))</f>
        <v>0</v>
      </c>
    </row>
    <row r="193" spans="1:8" hidden="1" x14ac:dyDescent="0.25">
      <c r="A193" s="78" t="s">
        <v>31</v>
      </c>
      <c r="B193" s="81">
        <v>0.05</v>
      </c>
      <c r="C193" s="82">
        <v>0</v>
      </c>
      <c r="D193" s="127">
        <f ca="1">((100/F184)*C193)/100</f>
        <v>0</v>
      </c>
      <c r="E193" s="184"/>
      <c r="F193" s="185"/>
      <c r="G193" s="6" t="s">
        <v>32</v>
      </c>
      <c r="H193" s="9">
        <f>(IF(C184&gt;4,(F184/(C184+2)+H192),0))</f>
        <v>0</v>
      </c>
    </row>
    <row r="194" spans="1:8" hidden="1" x14ac:dyDescent="0.25">
      <c r="A194" s="78" t="s">
        <v>40</v>
      </c>
      <c r="B194" s="81">
        <v>2.5000000000000001E-2</v>
      </c>
      <c r="C194" s="82">
        <v>0</v>
      </c>
      <c r="D194" s="127">
        <f ca="1">((100/(F184))*C194)/100</f>
        <v>0</v>
      </c>
      <c r="E194" s="184"/>
      <c r="F194" s="185"/>
      <c r="G194" s="6" t="s">
        <v>34</v>
      </c>
      <c r="H194" s="9">
        <f ca="1">(IF(C184=1,(F184/(C184+3)+H189),IF(C184=0,(F184*2/7+H189),IF(C184&gt;1,0))))</f>
        <v>22.857142857142858</v>
      </c>
    </row>
    <row r="195" spans="1:8" ht="15.75" hidden="1" thickBot="1" x14ac:dyDescent="0.3">
      <c r="A195" s="115" t="s">
        <v>35</v>
      </c>
      <c r="B195" s="116">
        <v>2.5000000000000001E-2</v>
      </c>
      <c r="C195" s="117">
        <v>0</v>
      </c>
      <c r="D195" s="128">
        <f ca="1">((100/(F184))*C195)/100</f>
        <v>0</v>
      </c>
      <c r="E195" s="186"/>
      <c r="F195" s="187"/>
      <c r="G195" s="11" t="s">
        <v>36</v>
      </c>
      <c r="H195" s="12">
        <f ca="1">F184</f>
        <v>40</v>
      </c>
    </row>
    <row r="196" spans="1:8" s="66" customFormat="1" x14ac:dyDescent="0.25">
      <c r="A196" s="213" t="s">
        <v>109</v>
      </c>
      <c r="B196" s="214"/>
      <c r="C196" s="214"/>
      <c r="D196" s="214"/>
      <c r="E196" s="217">
        <f ca="1">AVERAGE(E135,E148,E161,E161,E174)</f>
        <v>0.55494920174165452</v>
      </c>
      <c r="F196" s="218"/>
    </row>
    <row r="197" spans="1:8" s="66" customFormat="1" ht="15.75" thickBot="1" x14ac:dyDescent="0.3">
      <c r="A197" s="215"/>
      <c r="B197" s="216"/>
      <c r="C197" s="216"/>
      <c r="D197" s="216"/>
      <c r="E197" s="219"/>
      <c r="F197" s="220"/>
      <c r="G197" s="67"/>
      <c r="H197" s="68"/>
    </row>
    <row r="198" spans="1:8" x14ac:dyDescent="0.25">
      <c r="A198" s="328" t="s">
        <v>45</v>
      </c>
      <c r="B198" s="329"/>
      <c r="C198" s="329"/>
      <c r="D198" s="329"/>
      <c r="E198" s="329"/>
      <c r="F198" s="330"/>
    </row>
    <row r="199" spans="1:8" ht="36" x14ac:dyDescent="0.25">
      <c r="A199" s="112" t="s">
        <v>198</v>
      </c>
      <c r="B199" s="47" t="s">
        <v>199</v>
      </c>
      <c r="C199" s="47" t="s">
        <v>200</v>
      </c>
      <c r="D199" s="47" t="s">
        <v>201</v>
      </c>
      <c r="E199" s="47" t="s">
        <v>202</v>
      </c>
      <c r="F199" s="109" t="s">
        <v>203</v>
      </c>
    </row>
    <row r="200" spans="1:8" ht="49.5" customHeight="1" thickBot="1" x14ac:dyDescent="0.3">
      <c r="A200" s="69">
        <v>1</v>
      </c>
      <c r="B200" s="70">
        <v>5</v>
      </c>
      <c r="C200" s="70">
        <v>0</v>
      </c>
      <c r="D200" s="70" t="s">
        <v>414</v>
      </c>
      <c r="E200" s="70" t="s">
        <v>323</v>
      </c>
      <c r="F200" s="71">
        <v>810</v>
      </c>
    </row>
    <row r="201" spans="1:8" s="35" customFormat="1" ht="15.75" customHeight="1" x14ac:dyDescent="0.25">
      <c r="A201" s="246" t="s">
        <v>268</v>
      </c>
      <c r="B201" s="247"/>
      <c r="C201" s="247"/>
      <c r="D201" s="247"/>
      <c r="E201" s="247"/>
      <c r="F201" s="248"/>
      <c r="G201" s="40"/>
      <c r="H201" s="40"/>
    </row>
    <row r="202" spans="1:8" s="35" customFormat="1" ht="15.75" customHeight="1" x14ac:dyDescent="0.25">
      <c r="A202" s="72" t="s">
        <v>46</v>
      </c>
      <c r="B202" s="46" t="s">
        <v>47</v>
      </c>
      <c r="C202" s="324" t="s">
        <v>48</v>
      </c>
      <c r="D202" s="324"/>
      <c r="E202" s="325" t="s">
        <v>49</v>
      </c>
      <c r="F202" s="326"/>
      <c r="G202" s="327"/>
      <c r="H202" s="327"/>
    </row>
    <row r="203" spans="1:8" s="35" customFormat="1" ht="29.25" customHeight="1" x14ac:dyDescent="0.25">
      <c r="A203" s="85" t="s">
        <v>371</v>
      </c>
      <c r="B203" s="86">
        <f>COUNT(C250:C252)+COUNT(C254:C257)*3+COUNT(C259:C262)*4+COUNT(C264:C267)*3+COUNT(C270:C272)+COUNT(C274:C277)+COUNT(C279:C282)*6+COUNT(C284:C287)+COUNT(C290:C292)+COUNT(C296:C298)+COUNT(C300:C303)*5+COUNT(C305:C308)*6+COUNT(C311:C313)*2+COUNT(C315:C318)*3+COUNT(C320:C323)</f>
        <v>150</v>
      </c>
      <c r="C203" s="192">
        <f>SUM(C250:C252)+SUM(C254:C257)*3+SUM(C259:C262)*4+SUM(C264:C267)*3+SUM(C270:C272)+SUM(C274:C277)+SUM(C279:C282)*6+SUM(C284:C287)+SUM(C290:C292)+SUM(C296:C298)+SUM(C300:C303)*5+SUM(C305:C308)*6+SUM(C311:C313)*2+SUM(C315:C318)*3+SUM(C320:C323)</f>
        <v>126601.43183999998</v>
      </c>
      <c r="D203" s="193"/>
      <c r="E203" s="192">
        <f>SUM(F250:F252)+SUM(F254:F257)*3+SUM(F259:F262)*4+SUM(F264:F267)*3+SUM(F270:F272)+SUM(F274:F277)+SUM(F279:F282)*6+SUM(F284:F287)+SUM(F290:F292)+SUM(F296:F298)+SUM(F300:F303)*5+SUM(F305:F308)*6+SUM(F311:F313)*2+SUM(F315:F318)*3+SUM(F320:F323)</f>
        <v>189902.14776000002</v>
      </c>
      <c r="F203" s="194"/>
      <c r="G203" s="195"/>
      <c r="H203" s="195"/>
    </row>
    <row r="204" spans="1:8" s="35" customFormat="1" ht="29.25" customHeight="1" x14ac:dyDescent="0.25">
      <c r="A204" s="85" t="s">
        <v>373</v>
      </c>
      <c r="B204" s="86">
        <f>COUNT(C327:C330)+COUNT(C334:C337)*3+COUNT(C341:C345)*4+COUNT(C348:C353)*3+COUNT(C355:C358,C360)+COUNT(C362:C367)+COUNT(C369:C374)*6+COUNT(C376:C381)+COUNT(C383:C386)+COUNT(C391:C394,C396)+COUNT(C398:C403)*5+COUNT(C405:C410)*6+COUNT(C412:C415,C417)*2+COUNT(C419:C422,C424)*3+COUNT(C426:C430)</f>
        <v>212</v>
      </c>
      <c r="C204" s="192">
        <f>SUM(C327:C330)+SUM(C334:C337)*3+SUM(C341:C345)*4+SUM(C348:C353)*3+SUM(C355:C358,C360)+SUM(C362:C367)+SUM(C369:C374)*6+SUM(C376:C381)+SUM(C383:C386)+SUM(C391:C394,C396)+SUM(C398:C403)*5+SUM(C405:C410)*6+SUM(C412:C415,C417)*2+SUM(C419:C422,C424)*3+SUM(C426:C430)</f>
        <v>124344.22104</v>
      </c>
      <c r="D204" s="193"/>
      <c r="E204" s="192">
        <f>SUM(F327:F330)+SUM(F334:F337)*3+SUM(F341:F345)*4+SUM(F348:F353)*3+SUM(F355:F358,F360)+SUM(F362:F367)+SUM(F369:F374)*6+SUM(F376:F381)+SUM(F383:F386)+SUM(F391:F394,F396)+SUM(F398:F403)*5+SUM(F405:F410)*6+SUM(F412:F415,F417)*2+SUM(F419:F422,F424)*3+SUM(F426:F430)</f>
        <v>186516.33155999996</v>
      </c>
      <c r="F204" s="194"/>
      <c r="G204" s="195"/>
      <c r="H204" s="195"/>
    </row>
    <row r="205" spans="1:8" s="35" customFormat="1" ht="29.25" customHeight="1" x14ac:dyDescent="0.25">
      <c r="A205" s="85" t="s">
        <v>374</v>
      </c>
      <c r="B205" s="86">
        <f>COUNT(C436:C437)+COUNT(C441:C442)*3+COUNT(C445:C447)*4+COUNT(C450:C453)*3+COUNT(C456:C458)+COUNT(C460:C463)+COUNT(C465:C468)*6+COUNT(C470:C473)+COUNT(C476:C477)+COUNT(C482:C484)+COUNT(C486:C489)*5+COUNT(C491:C494)*6+COUNT(C497:C499)*2+COUNT(C502:C504)*3+COUNT(C506:C508)</f>
        <v>134</v>
      </c>
      <c r="C205" s="192">
        <f>SUM(C436:C437)+SUM(C441:C442)*3+SUM(C445:C447)*4+SUM(C450:C453)*3+SUM(C456:C458)+SUM(C460:C463)+SUM(C465:C468)*6+SUM(C470:C473)+SUM(C476:C477)+SUM(C482:C484)+SUM(C486:C489)*5+SUM(C491:C494)*6+SUM(C497:C499)*2+SUM(C502:C504)*3+SUM(C506:C508)</f>
        <v>73560.099599999987</v>
      </c>
      <c r="D205" s="193"/>
      <c r="E205" s="192">
        <f>SUM(F436:F437)+SUM(F441:F442)*3+SUM(F445:F447)*4+SUM(F450:F453)*3+SUM(F456:F458)+SUM(F460:F463)+SUM(F465:F468)*6+SUM(F470:F473)+SUM(F476:F477)+SUM(F482:F484)+SUM(F486:F489)*5+SUM(F491:F494)*6+SUM(F497:F499)*2+SUM(F502:F504)*3+SUM(F506:F508)</f>
        <v>110340.14939999998</v>
      </c>
      <c r="F205" s="194"/>
      <c r="G205" s="195"/>
      <c r="H205" s="195"/>
    </row>
    <row r="206" spans="1:8" s="35" customFormat="1" ht="29.25" customHeight="1" x14ac:dyDescent="0.25">
      <c r="A206" s="85" t="s">
        <v>375</v>
      </c>
      <c r="B206" s="86">
        <f>COUNT(C514:C515)+COUNT(C519:C520)*3+COUNT(C524:C526)*4+COUNT(C528:C531)*3+COUNT(C533:C535)+COUNT(C538:C541)+COUNT(C543:C546)*6+COUNT(C548:C551)+COUNT(C554:C555)+COUNT(C559:C561)+COUNT(C564:C567)*5+COUNT(C569:C572)*6+COUNT(C574:C576)*2+COUNT(C579:C581)*3+COUNT(C585:C587)+COUNT(C590:C592)</f>
        <v>137</v>
      </c>
      <c r="C206" s="192">
        <f>SUM(C514:C515)+SUM(C519:C520)*3+SUM(C524:C526)*4+SUM(C528:C531)*3+SUM(C533:C535)+SUM(C538:C541)+SUM(C543:C546)*6+SUM(C548:C551)+SUM(C554:C555)+SUM(C559:C561)+SUM(C564:C567)*5+SUM(C569:C572)*6+SUM(C574:C576)*2+SUM(C579:C581)*3+SUM(C585:C587)+SUM(C590:C592)</f>
        <v>106123.02947999998</v>
      </c>
      <c r="D206" s="193"/>
      <c r="E206" s="192">
        <f>SUM(F514:F515)+SUM(F519:F520)*3+SUM(F524:F526)*4+SUM(F528:F531)*3+SUM(F533:F535)+SUM(F538:F541)+SUM(F543:F546)*6+SUM(F548:F551)+SUM(F554:F555)+SUM(F559:F561)+SUM(F564:F567)*5+SUM(F569:F572)*6+SUM(F574:F576)*2+SUM(F579:F581)*3+SUM(F585:F587)+SUM(F590:F592)</f>
        <v>159184.54422000001</v>
      </c>
      <c r="F206" s="194"/>
      <c r="G206" s="195"/>
      <c r="H206" s="195"/>
    </row>
    <row r="207" spans="1:8" s="35" customFormat="1" ht="29.25" customHeight="1" x14ac:dyDescent="0.25">
      <c r="A207" s="85" t="s">
        <v>376</v>
      </c>
      <c r="B207" s="86">
        <f>COUNT(C597:C599)+COUNT(C603:C605)*3+COUNT(C608:C611)*4+COUNT(C613:C617)*3+COUNT(C619,C621:C623)+COUNT(C625:C629)+COUNT(C631:C635)*6+COUNT(C637:C641)+COUNT(C645:C647)+COUNT(C650,C652:C654)+COUNT(C656:C660)*5+COUNT(C662:C666)*6+COUNT(C668,C670:C672)*2+COUNT(C674,C676:C678)*3+COUNT(C681:C684)+COUNT(C687:C690)</f>
        <v>177</v>
      </c>
      <c r="C207" s="192">
        <f>SUM(C597:C599)+SUM(C603:C605)*3+SUM(C608:C611)*4+SUM(C613:C617)*3+SUM(C619,C621:C623)+SUM(C625:C629)+SUM(C631:C635)*6+SUM(C637:C641)+SUM(C645:C647)+SUM(C650,C652:C654)+SUM(C656:C660)*5+SUM(C662:C666)*6+SUM(C668,C670:C672)*2+SUM(C674,C676:C678)*3+SUM(C681:C684)+SUM(C687:C690)</f>
        <v>109498.18931999999</v>
      </c>
      <c r="D207" s="193"/>
      <c r="E207" s="192">
        <f>SUM(F597:F599)+SUM(F603:F605)*3+SUM(F608:F611)*4+SUM(F613:F617)*3+SUM(F619,F621:F623)+SUM(F625:F629)+SUM(F631:F635)*6+SUM(F637:F641)+SUM(F645:F647)+SUM(F650,F652:F654)+SUM(F656:F660)*5+SUM(F662:F666)*6+SUM(F668,F670:F672)*2+SUM(F674,F676:F678)*3+SUM(F681:F684)+SUM(F687:F690)</f>
        <v>164247.28398000004</v>
      </c>
      <c r="F207" s="194"/>
      <c r="G207" s="195"/>
      <c r="H207" s="195"/>
    </row>
    <row r="208" spans="1:8" s="35" customFormat="1" ht="15.75" hidden="1" x14ac:dyDescent="0.25">
      <c r="A208" s="119" t="s">
        <v>51</v>
      </c>
      <c r="B208" s="106">
        <f>SUM(B203:B207)</f>
        <v>810</v>
      </c>
      <c r="C208" s="317">
        <f>SUM(C203:C207)</f>
        <v>540126.97127999994</v>
      </c>
      <c r="D208" s="318"/>
      <c r="E208" s="319">
        <f>SUM(E203:E207)</f>
        <v>810190.45692000003</v>
      </c>
      <c r="F208" s="320"/>
      <c r="G208" s="321"/>
      <c r="H208" s="322"/>
    </row>
    <row r="209" spans="1:14" s="35" customFormat="1" ht="16.5" thickBot="1" x14ac:dyDescent="0.3">
      <c r="A209" s="87" t="s">
        <v>267</v>
      </c>
      <c r="B209" s="167">
        <f>SUM(B203:B207)</f>
        <v>810</v>
      </c>
      <c r="C209" s="273">
        <f>SUM(C203:D207)</f>
        <v>540126.97127999994</v>
      </c>
      <c r="D209" s="274"/>
      <c r="E209" s="273">
        <f>SUM(E203:F207)</f>
        <v>810190.45692000003</v>
      </c>
      <c r="F209" s="275"/>
      <c r="G209" s="321"/>
      <c r="H209" s="322"/>
    </row>
    <row r="210" spans="1:14" s="36" customFormat="1" ht="15.75" x14ac:dyDescent="0.25">
      <c r="A210" s="323" t="s">
        <v>52</v>
      </c>
      <c r="B210" s="323"/>
      <c r="C210" s="323"/>
      <c r="D210" s="323"/>
      <c r="E210" s="323"/>
      <c r="F210" s="323"/>
      <c r="G210" s="41"/>
      <c r="H210" s="41"/>
    </row>
    <row r="211" spans="1:14" s="37" customFormat="1" ht="15.75" hidden="1" x14ac:dyDescent="0.25">
      <c r="A211" s="276" t="s">
        <v>60</v>
      </c>
      <c r="B211" s="276"/>
      <c r="C211" s="276"/>
      <c r="D211" s="276"/>
      <c r="E211" s="276"/>
      <c r="F211" s="276"/>
      <c r="G211" s="41"/>
      <c r="H211" s="41"/>
    </row>
    <row r="212" spans="1:14" s="37" customFormat="1" ht="26.45" hidden="1" customHeight="1" x14ac:dyDescent="0.25">
      <c r="A212" s="278" t="s">
        <v>68</v>
      </c>
      <c r="B212" s="278" t="s">
        <v>54</v>
      </c>
      <c r="C212" s="278" t="s">
        <v>55</v>
      </c>
      <c r="D212" s="278" t="s">
        <v>58</v>
      </c>
      <c r="E212" s="278" t="s">
        <v>56</v>
      </c>
      <c r="F212" s="107" t="s">
        <v>59</v>
      </c>
      <c r="G212" s="281"/>
      <c r="H212" s="281"/>
    </row>
    <row r="213" spans="1:14" s="37" customFormat="1" ht="15.75" hidden="1" x14ac:dyDescent="0.25">
      <c r="A213" s="278"/>
      <c r="B213" s="278"/>
      <c r="C213" s="278"/>
      <c r="D213" s="278"/>
      <c r="E213" s="278"/>
      <c r="F213" s="144">
        <v>0.5</v>
      </c>
      <c r="G213" s="281"/>
      <c r="H213" s="281"/>
      <c r="J213" s="62"/>
      <c r="K213" s="62"/>
      <c r="L213" s="62"/>
      <c r="M213" s="62"/>
    </row>
    <row r="214" spans="1:14" s="36" customFormat="1" ht="15.75" hidden="1" x14ac:dyDescent="0.25">
      <c r="A214" s="287" t="s">
        <v>50</v>
      </c>
      <c r="B214" s="287"/>
      <c r="C214" s="287"/>
      <c r="D214" s="287"/>
      <c r="E214" s="287"/>
      <c r="F214" s="287"/>
      <c r="G214" s="41"/>
      <c r="H214" s="41"/>
      <c r="J214" s="61"/>
      <c r="K214" s="61"/>
      <c r="L214" s="61"/>
      <c r="M214" s="61"/>
    </row>
    <row r="215" spans="1:14" s="38" customFormat="1" ht="15.75" hidden="1" customHeight="1" x14ac:dyDescent="0.25">
      <c r="A215" s="200" t="s">
        <v>57</v>
      </c>
      <c r="B215" s="200"/>
      <c r="C215" s="200"/>
      <c r="D215" s="200"/>
      <c r="E215" s="200"/>
      <c r="F215" s="200"/>
      <c r="G215" s="42"/>
      <c r="H215" s="42"/>
      <c r="J215" s="60"/>
      <c r="K215" s="57"/>
      <c r="L215" s="60"/>
      <c r="M215" s="60"/>
    </row>
    <row r="216" spans="1:14" s="38" customFormat="1" ht="15.75" hidden="1" x14ac:dyDescent="0.25">
      <c r="A216" s="124">
        <v>1</v>
      </c>
      <c r="B216" s="124"/>
      <c r="C216" s="124"/>
      <c r="D216" s="125">
        <f>C216*1.2</f>
        <v>0</v>
      </c>
      <c r="E216" s="124">
        <v>0</v>
      </c>
      <c r="F216" s="124">
        <f>(C216+E216)*(($F$213)+1)</f>
        <v>0</v>
      </c>
      <c r="G216" s="280"/>
      <c r="H216" s="280"/>
      <c r="I216" s="39"/>
      <c r="J216" s="58"/>
      <c r="K216" s="60"/>
      <c r="L216" s="204"/>
      <c r="M216" s="204"/>
      <c r="N216" s="39"/>
    </row>
    <row r="217" spans="1:14" hidden="1" x14ac:dyDescent="0.25">
      <c r="A217" s="124">
        <f>A216+1</f>
        <v>2</v>
      </c>
      <c r="B217" s="124"/>
      <c r="C217" s="124"/>
      <c r="D217" s="125">
        <f t="shared" ref="D217:D221" si="2">C217*1.2</f>
        <v>0</v>
      </c>
      <c r="E217" s="124">
        <v>0</v>
      </c>
      <c r="F217" s="124">
        <f t="shared" ref="F217:F221" si="3">(C217+E217)*(($F$213)+1)</f>
        <v>0</v>
      </c>
      <c r="J217" s="59"/>
      <c r="K217" s="59"/>
      <c r="L217" s="59"/>
      <c r="M217" s="59"/>
    </row>
    <row r="218" spans="1:14" hidden="1" x14ac:dyDescent="0.25">
      <c r="A218" s="124">
        <f t="shared" ref="A218:A221" si="4">A217+1</f>
        <v>3</v>
      </c>
      <c r="B218" s="124"/>
      <c r="C218" s="124"/>
      <c r="D218" s="125">
        <f t="shared" si="2"/>
        <v>0</v>
      </c>
      <c r="E218" s="124">
        <v>0</v>
      </c>
      <c r="F218" s="124">
        <f t="shared" si="3"/>
        <v>0</v>
      </c>
    </row>
    <row r="219" spans="1:14" hidden="1" x14ac:dyDescent="0.25">
      <c r="A219" s="124">
        <f t="shared" si="4"/>
        <v>4</v>
      </c>
      <c r="B219" s="124"/>
      <c r="C219" s="124"/>
      <c r="D219" s="125">
        <f t="shared" si="2"/>
        <v>0</v>
      </c>
      <c r="E219" s="124">
        <v>0</v>
      </c>
      <c r="F219" s="124">
        <f t="shared" si="3"/>
        <v>0</v>
      </c>
    </row>
    <row r="220" spans="1:14" hidden="1" x14ac:dyDescent="0.25">
      <c r="A220" s="124">
        <f t="shared" si="4"/>
        <v>5</v>
      </c>
      <c r="B220" s="124"/>
      <c r="C220" s="124"/>
      <c r="D220" s="125">
        <f t="shared" si="2"/>
        <v>0</v>
      </c>
      <c r="E220" s="124">
        <v>0</v>
      </c>
      <c r="F220" s="124">
        <f t="shared" si="3"/>
        <v>0</v>
      </c>
    </row>
    <row r="221" spans="1:14" hidden="1" x14ac:dyDescent="0.25">
      <c r="A221" s="124">
        <f t="shared" si="4"/>
        <v>6</v>
      </c>
      <c r="B221" s="124"/>
      <c r="C221" s="124"/>
      <c r="D221" s="125">
        <f t="shared" si="2"/>
        <v>0</v>
      </c>
      <c r="E221" s="124">
        <v>0</v>
      </c>
      <c r="F221" s="124">
        <f t="shared" si="3"/>
        <v>0</v>
      </c>
    </row>
    <row r="222" spans="1:14" s="38" customFormat="1" ht="15.75" hidden="1" customHeight="1" x14ac:dyDescent="0.25">
      <c r="A222" s="200" t="s">
        <v>244</v>
      </c>
      <c r="B222" s="200"/>
      <c r="C222" s="200"/>
      <c r="D222" s="200"/>
      <c r="E222" s="200"/>
      <c r="F222" s="200"/>
      <c r="G222" s="42"/>
      <c r="H222" s="42"/>
      <c r="J222" s="60"/>
      <c r="K222" s="57"/>
      <c r="L222" s="60"/>
      <c r="M222" s="60"/>
    </row>
    <row r="223" spans="1:14" s="38" customFormat="1" ht="15.75" hidden="1" x14ac:dyDescent="0.25">
      <c r="A223" s="124">
        <v>1</v>
      </c>
      <c r="B223" s="124"/>
      <c r="C223" s="124"/>
      <c r="D223" s="125">
        <f>C223*1.2</f>
        <v>0</v>
      </c>
      <c r="E223" s="124">
        <v>0</v>
      </c>
      <c r="F223" s="124">
        <f>(C223+E223)*(($F$213)+1)</f>
        <v>0</v>
      </c>
      <c r="G223" s="280"/>
      <c r="H223" s="280"/>
      <c r="I223" s="39"/>
      <c r="J223" s="58"/>
      <c r="K223" s="60"/>
      <c r="L223" s="204"/>
      <c r="M223" s="204"/>
      <c r="N223" s="39"/>
    </row>
    <row r="224" spans="1:14" hidden="1" x14ac:dyDescent="0.25">
      <c r="A224" s="124">
        <f>A223+1</f>
        <v>2</v>
      </c>
      <c r="B224" s="124"/>
      <c r="C224" s="124"/>
      <c r="D224" s="125">
        <f t="shared" ref="D224:D228" si="5">C224*1.2</f>
        <v>0</v>
      </c>
      <c r="E224" s="124">
        <v>0</v>
      </c>
      <c r="F224" s="124">
        <f t="shared" ref="F224:F228" si="6">(C224+E224)*(($F$213)+1)</f>
        <v>0</v>
      </c>
      <c r="J224" s="59"/>
      <c r="K224" s="59"/>
      <c r="L224" s="59"/>
      <c r="M224" s="59"/>
    </row>
    <row r="225" spans="1:14" hidden="1" x14ac:dyDescent="0.25">
      <c r="A225" s="124">
        <f t="shared" ref="A225:A228" si="7">A224+1</f>
        <v>3</v>
      </c>
      <c r="B225" s="124"/>
      <c r="C225" s="124"/>
      <c r="D225" s="125">
        <f t="shared" si="5"/>
        <v>0</v>
      </c>
      <c r="E225" s="124">
        <v>0</v>
      </c>
      <c r="F225" s="124">
        <f t="shared" si="6"/>
        <v>0</v>
      </c>
      <c r="J225" s="59"/>
      <c r="K225" s="59"/>
      <c r="L225" s="59"/>
      <c r="M225" s="59"/>
    </row>
    <row r="226" spans="1:14" hidden="1" x14ac:dyDescent="0.25">
      <c r="A226" s="124">
        <f t="shared" si="7"/>
        <v>4</v>
      </c>
      <c r="B226" s="124"/>
      <c r="C226" s="124"/>
      <c r="D226" s="125">
        <f t="shared" si="5"/>
        <v>0</v>
      </c>
      <c r="E226" s="124">
        <v>0</v>
      </c>
      <c r="F226" s="124">
        <f t="shared" si="6"/>
        <v>0</v>
      </c>
      <c r="J226" s="59"/>
      <c r="K226" s="59"/>
      <c r="L226" s="59"/>
      <c r="M226" s="59"/>
    </row>
    <row r="227" spans="1:14" hidden="1" x14ac:dyDescent="0.25">
      <c r="A227" s="124">
        <f t="shared" si="7"/>
        <v>5</v>
      </c>
      <c r="B227" s="124"/>
      <c r="C227" s="124"/>
      <c r="D227" s="125">
        <f t="shared" si="5"/>
        <v>0</v>
      </c>
      <c r="E227" s="124">
        <v>0</v>
      </c>
      <c r="F227" s="124">
        <f t="shared" si="6"/>
        <v>0</v>
      </c>
    </row>
    <row r="228" spans="1:14" hidden="1" x14ac:dyDescent="0.25">
      <c r="A228" s="124">
        <f t="shared" si="7"/>
        <v>6</v>
      </c>
      <c r="B228" s="124"/>
      <c r="C228" s="124"/>
      <c r="D228" s="125">
        <f t="shared" si="5"/>
        <v>0</v>
      </c>
      <c r="E228" s="124">
        <v>0</v>
      </c>
      <c r="F228" s="124">
        <f t="shared" si="6"/>
        <v>0</v>
      </c>
    </row>
    <row r="229" spans="1:14" s="38" customFormat="1" ht="15.75" hidden="1" customHeight="1" x14ac:dyDescent="0.25">
      <c r="A229" s="200" t="s">
        <v>245</v>
      </c>
      <c r="B229" s="200"/>
      <c r="C229" s="200"/>
      <c r="D229" s="200"/>
      <c r="E229" s="200"/>
      <c r="F229" s="200"/>
      <c r="G229" s="42"/>
      <c r="H229" s="42"/>
      <c r="J229" s="60"/>
      <c r="K229" s="57"/>
      <c r="L229" s="60"/>
      <c r="M229" s="60"/>
    </row>
    <row r="230" spans="1:14" s="38" customFormat="1" ht="15.75" hidden="1" x14ac:dyDescent="0.25">
      <c r="A230" s="124">
        <v>1</v>
      </c>
      <c r="B230" s="124"/>
      <c r="C230" s="124"/>
      <c r="D230" s="125">
        <f>C230*1.2</f>
        <v>0</v>
      </c>
      <c r="E230" s="124">
        <v>0</v>
      </c>
      <c r="F230" s="124">
        <f>(C230+E230)*(($F$213)+1)</f>
        <v>0</v>
      </c>
      <c r="G230" s="280"/>
      <c r="H230" s="280"/>
      <c r="I230" s="39"/>
      <c r="J230" s="58"/>
      <c r="K230" s="60"/>
      <c r="L230" s="204"/>
      <c r="M230" s="204"/>
      <c r="N230" s="39"/>
    </row>
    <row r="231" spans="1:14" hidden="1" x14ac:dyDescent="0.25">
      <c r="A231" s="124">
        <f>A230+1</f>
        <v>2</v>
      </c>
      <c r="B231" s="124"/>
      <c r="C231" s="124"/>
      <c r="D231" s="125">
        <f t="shared" ref="D231:D235" si="8">C231*1.2</f>
        <v>0</v>
      </c>
      <c r="E231" s="124">
        <v>0</v>
      </c>
      <c r="F231" s="124">
        <f t="shared" ref="F231:F235" si="9">(C231+E231)*(($F$213)+1)</f>
        <v>0</v>
      </c>
      <c r="J231" s="59"/>
      <c r="K231" s="59"/>
      <c r="L231" s="59"/>
      <c r="M231" s="59"/>
    </row>
    <row r="232" spans="1:14" hidden="1" x14ac:dyDescent="0.25">
      <c r="A232" s="124">
        <f t="shared" ref="A232:A235" si="10">A231+1</f>
        <v>3</v>
      </c>
      <c r="B232" s="124"/>
      <c r="C232" s="124"/>
      <c r="D232" s="125">
        <f t="shared" si="8"/>
        <v>0</v>
      </c>
      <c r="E232" s="124">
        <v>0</v>
      </c>
      <c r="F232" s="124">
        <f t="shared" si="9"/>
        <v>0</v>
      </c>
      <c r="J232" s="59"/>
      <c r="K232" s="59"/>
      <c r="L232" s="59"/>
      <c r="M232" s="59"/>
    </row>
    <row r="233" spans="1:14" hidden="1" x14ac:dyDescent="0.25">
      <c r="A233" s="124">
        <f t="shared" si="10"/>
        <v>4</v>
      </c>
      <c r="B233" s="124"/>
      <c r="C233" s="124"/>
      <c r="D233" s="125">
        <f t="shared" si="8"/>
        <v>0</v>
      </c>
      <c r="E233" s="124">
        <v>0</v>
      </c>
      <c r="F233" s="124">
        <f t="shared" si="9"/>
        <v>0</v>
      </c>
    </row>
    <row r="234" spans="1:14" hidden="1" x14ac:dyDescent="0.25">
      <c r="A234" s="124">
        <f t="shared" si="10"/>
        <v>5</v>
      </c>
      <c r="B234" s="124"/>
      <c r="C234" s="124"/>
      <c r="D234" s="125">
        <f t="shared" si="8"/>
        <v>0</v>
      </c>
      <c r="E234" s="124">
        <v>0</v>
      </c>
      <c r="F234" s="124">
        <f t="shared" si="9"/>
        <v>0</v>
      </c>
    </row>
    <row r="235" spans="1:14" hidden="1" x14ac:dyDescent="0.25">
      <c r="A235" s="124">
        <f t="shared" si="10"/>
        <v>6</v>
      </c>
      <c r="B235" s="124"/>
      <c r="C235" s="124"/>
      <c r="D235" s="125">
        <f t="shared" si="8"/>
        <v>0</v>
      </c>
      <c r="E235" s="124">
        <v>0</v>
      </c>
      <c r="F235" s="124">
        <f t="shared" si="9"/>
        <v>0</v>
      </c>
    </row>
    <row r="236" spans="1:14" s="37" customFormat="1" ht="15.75" hidden="1" x14ac:dyDescent="0.25">
      <c r="A236" s="282"/>
      <c r="B236" s="282"/>
      <c r="C236" s="282"/>
      <c r="D236" s="282"/>
      <c r="E236" s="282"/>
      <c r="F236" s="282"/>
      <c r="G236" s="41"/>
      <c r="H236" s="41"/>
    </row>
    <row r="237" spans="1:14" s="37" customFormat="1" ht="15.75" x14ac:dyDescent="0.25">
      <c r="A237" s="276" t="s">
        <v>53</v>
      </c>
      <c r="B237" s="276"/>
      <c r="C237" s="276"/>
      <c r="D237" s="276"/>
      <c r="E237" s="276"/>
      <c r="F237" s="277"/>
      <c r="G237" s="41"/>
      <c r="H237" s="41"/>
    </row>
    <row r="238" spans="1:14" s="37" customFormat="1" ht="27.6" customHeight="1" x14ac:dyDescent="0.25">
      <c r="A238" s="278" t="s">
        <v>269</v>
      </c>
      <c r="B238" s="278" t="s">
        <v>54</v>
      </c>
      <c r="C238" s="278" t="s">
        <v>55</v>
      </c>
      <c r="D238" s="278" t="s">
        <v>58</v>
      </c>
      <c r="E238" s="279" t="s">
        <v>56</v>
      </c>
      <c r="F238" s="126" t="s">
        <v>282</v>
      </c>
      <c r="G238" s="281"/>
      <c r="H238" s="281"/>
      <c r="I238" s="281"/>
      <c r="J238" s="281"/>
      <c r="K238" s="281"/>
    </row>
    <row r="239" spans="1:14" s="37" customFormat="1" ht="15.75" x14ac:dyDescent="0.25">
      <c r="A239" s="278"/>
      <c r="B239" s="278"/>
      <c r="C239" s="278"/>
      <c r="D239" s="278"/>
      <c r="E239" s="279"/>
      <c r="F239" s="165">
        <v>0.5</v>
      </c>
      <c r="G239" s="124">
        <v>10.763999999999999</v>
      </c>
      <c r="H239" s="148"/>
      <c r="I239" s="62"/>
      <c r="J239" s="62"/>
      <c r="K239" s="59"/>
    </row>
    <row r="240" spans="1:14" s="36" customFormat="1" ht="15.75" x14ac:dyDescent="0.25">
      <c r="A240" s="287" t="s">
        <v>341</v>
      </c>
      <c r="B240" s="287"/>
      <c r="C240" s="287"/>
      <c r="D240" s="287"/>
      <c r="E240" s="287"/>
      <c r="F240" s="288"/>
      <c r="G240" s="196"/>
      <c r="H240" s="196"/>
      <c r="I240" s="196"/>
      <c r="J240" s="196"/>
      <c r="K240" s="196"/>
    </row>
    <row r="241" spans="1:14" s="36" customFormat="1" ht="15.75" x14ac:dyDescent="0.25">
      <c r="A241" s="287" t="s">
        <v>342</v>
      </c>
      <c r="B241" s="287"/>
      <c r="C241" s="287"/>
      <c r="D241" s="287"/>
      <c r="E241" s="287"/>
      <c r="F241" s="288"/>
      <c r="G241" s="196"/>
      <c r="H241" s="196"/>
      <c r="I241" s="196"/>
      <c r="J241" s="196"/>
      <c r="K241" s="196"/>
    </row>
    <row r="242" spans="1:14" s="38" customFormat="1" ht="15.75" customHeight="1" x14ac:dyDescent="0.25">
      <c r="A242" s="200" t="s">
        <v>345</v>
      </c>
      <c r="B242" s="200"/>
      <c r="C242" s="200"/>
      <c r="D242" s="200"/>
      <c r="E242" s="200"/>
      <c r="F242" s="200"/>
      <c r="G242" s="42"/>
      <c r="H242" s="42"/>
      <c r="I242" s="60"/>
      <c r="J242" s="60"/>
      <c r="K242" s="57"/>
    </row>
    <row r="243" spans="1:14" s="38" customFormat="1" ht="15.75" customHeight="1" x14ac:dyDescent="0.25">
      <c r="A243" s="200" t="s">
        <v>343</v>
      </c>
      <c r="B243" s="200"/>
      <c r="C243" s="200"/>
      <c r="D243" s="200"/>
      <c r="E243" s="200"/>
      <c r="F243" s="200"/>
      <c r="G243" s="42"/>
      <c r="H243" s="42"/>
      <c r="I243" s="60"/>
      <c r="J243" s="60"/>
      <c r="K243" s="60"/>
      <c r="L243" s="60"/>
      <c r="M243" s="60"/>
    </row>
    <row r="244" spans="1:14" s="38" customFormat="1" ht="15.75" customHeight="1" x14ac:dyDescent="0.25">
      <c r="A244" s="200" t="s">
        <v>344</v>
      </c>
      <c r="B244" s="200"/>
      <c r="C244" s="200"/>
      <c r="D244" s="200"/>
      <c r="E244" s="200"/>
      <c r="F244" s="200"/>
      <c r="G244" s="42"/>
      <c r="H244" s="42"/>
      <c r="I244" s="60"/>
      <c r="J244" s="60"/>
      <c r="K244" s="59"/>
      <c r="L244" s="60"/>
      <c r="M244" s="60"/>
    </row>
    <row r="245" spans="1:14" s="132" customFormat="1" ht="33.75" customHeight="1" x14ac:dyDescent="0.25">
      <c r="A245" s="200" t="s">
        <v>346</v>
      </c>
      <c r="B245" s="200"/>
      <c r="C245" s="200"/>
      <c r="D245" s="200"/>
      <c r="E245" s="200"/>
      <c r="F245" s="200"/>
      <c r="G245" s="42"/>
      <c r="H245" s="42"/>
      <c r="I245" s="131"/>
      <c r="J245" s="131"/>
      <c r="K245" s="59"/>
      <c r="L245" s="131"/>
      <c r="M245" s="131"/>
    </row>
    <row r="246" spans="1:14" s="132" customFormat="1" ht="15.75" x14ac:dyDescent="0.25">
      <c r="A246" s="200" t="s">
        <v>394</v>
      </c>
      <c r="B246" s="200"/>
      <c r="C246" s="200"/>
      <c r="D246" s="200"/>
      <c r="E246" s="200"/>
      <c r="F246" s="200"/>
      <c r="G246" s="42"/>
      <c r="H246" s="42"/>
      <c r="I246" s="131"/>
      <c r="J246" s="131"/>
      <c r="K246" s="59"/>
      <c r="L246" s="131"/>
      <c r="M246" s="131"/>
    </row>
    <row r="247" spans="1:14" s="36" customFormat="1" ht="15.75" x14ac:dyDescent="0.25">
      <c r="A247" s="287" t="s">
        <v>371</v>
      </c>
      <c r="B247" s="287"/>
      <c r="C247" s="287"/>
      <c r="D247" s="287"/>
      <c r="E247" s="287"/>
      <c r="F247" s="288"/>
      <c r="G247" s="196"/>
      <c r="H247" s="196"/>
      <c r="I247" s="196"/>
      <c r="J247" s="196"/>
      <c r="K247" s="196"/>
    </row>
    <row r="248" spans="1:14" s="38" customFormat="1" ht="15.75" customHeight="1" x14ac:dyDescent="0.25">
      <c r="A248" s="289" t="s">
        <v>347</v>
      </c>
      <c r="B248" s="289"/>
      <c r="C248" s="289"/>
      <c r="D248" s="289"/>
      <c r="E248" s="289"/>
      <c r="F248" s="289"/>
      <c r="G248" s="42">
        <v>1</v>
      </c>
      <c r="H248" s="42"/>
      <c r="I248" s="60"/>
      <c r="J248" s="60"/>
      <c r="K248" s="59"/>
      <c r="L248" s="60"/>
      <c r="M248" s="60"/>
    </row>
    <row r="249" spans="1:14" s="38" customFormat="1" ht="15.75" x14ac:dyDescent="0.25">
      <c r="A249" s="124">
        <v>1</v>
      </c>
      <c r="B249" s="189" t="s">
        <v>348</v>
      </c>
      <c r="C249" s="190"/>
      <c r="D249" s="190"/>
      <c r="E249" s="190"/>
      <c r="F249" s="191"/>
      <c r="G249" s="145"/>
      <c r="H249" s="145"/>
      <c r="I249" s="57"/>
      <c r="J249" s="58"/>
      <c r="K249" s="59"/>
      <c r="L249" s="204"/>
      <c r="M249" s="204"/>
      <c r="N249" s="39"/>
    </row>
    <row r="250" spans="1:14" x14ac:dyDescent="0.25">
      <c r="A250" s="124">
        <f>A249+1</f>
        <v>2</v>
      </c>
      <c r="B250" s="124" t="s">
        <v>352</v>
      </c>
      <c r="C250" s="124">
        <f>(79.22)*10.764</f>
        <v>852.72407999999996</v>
      </c>
      <c r="D250" s="125">
        <f t="shared" ref="D250:D252" si="11">C250*1.2</f>
        <v>1023.2688959999999</v>
      </c>
      <c r="E250" s="124">
        <v>0</v>
      </c>
      <c r="F250" s="124">
        <f t="shared" ref="F250:F252" si="12">C250*(($F$239)+1)+(IF(E250&lt;101,E250,IF(E250&lt;201,E250/2,IF(E250&lt;=301,E250/3,E250/4))))</f>
        <v>1279.0861199999999</v>
      </c>
      <c r="I250" s="59"/>
      <c r="J250" s="59"/>
      <c r="K250" s="59"/>
      <c r="L250" s="59"/>
      <c r="M250" s="59"/>
    </row>
    <row r="251" spans="1:14" x14ac:dyDescent="0.25">
      <c r="A251" s="124">
        <f t="shared" ref="A251:A252" si="13">A250+1</f>
        <v>3</v>
      </c>
      <c r="B251" s="124" t="s">
        <v>350</v>
      </c>
      <c r="C251" s="124">
        <f>(82.18)*10.764</f>
        <v>884.58551999999997</v>
      </c>
      <c r="D251" s="125">
        <f t="shared" si="11"/>
        <v>1061.502624</v>
      </c>
      <c r="E251" s="124">
        <v>0</v>
      </c>
      <c r="F251" s="124">
        <f t="shared" si="12"/>
        <v>1326.8782799999999</v>
      </c>
      <c r="I251" s="59"/>
      <c r="J251" s="59"/>
      <c r="K251" s="59"/>
      <c r="L251" s="59"/>
      <c r="M251" s="59"/>
    </row>
    <row r="252" spans="1:14" ht="15.75" x14ac:dyDescent="0.25">
      <c r="A252" s="124">
        <f t="shared" si="13"/>
        <v>4</v>
      </c>
      <c r="B252" s="124" t="s">
        <v>349</v>
      </c>
      <c r="C252" s="124">
        <f>(62.97)*10.764</f>
        <v>677.80907999999999</v>
      </c>
      <c r="D252" s="125">
        <f t="shared" si="11"/>
        <v>813.37089600000002</v>
      </c>
      <c r="E252" s="124">
        <v>0</v>
      </c>
      <c r="F252" s="124">
        <f t="shared" si="12"/>
        <v>1016.71362</v>
      </c>
      <c r="I252" s="59"/>
      <c r="J252" s="59"/>
      <c r="K252" s="57"/>
      <c r="L252" s="59"/>
      <c r="M252" s="59"/>
    </row>
    <row r="253" spans="1:14" s="38" customFormat="1" ht="15.75" customHeight="1" x14ac:dyDescent="0.25">
      <c r="A253" s="200" t="s">
        <v>351</v>
      </c>
      <c r="B253" s="200"/>
      <c r="C253" s="200"/>
      <c r="D253" s="200"/>
      <c r="E253" s="200"/>
      <c r="F253" s="200"/>
      <c r="G253" s="42">
        <v>3</v>
      </c>
      <c r="H253" s="42"/>
      <c r="I253" s="131"/>
      <c r="J253" s="131"/>
      <c r="K253" s="59"/>
      <c r="L253" s="60"/>
      <c r="M253" s="60"/>
    </row>
    <row r="254" spans="1:14" s="38" customFormat="1" ht="15.75" customHeight="1" x14ac:dyDescent="0.25">
      <c r="A254" s="124">
        <v>1</v>
      </c>
      <c r="B254" s="124" t="s">
        <v>350</v>
      </c>
      <c r="C254" s="124">
        <f>(89.85)*10.764</f>
        <v>967.14539999999988</v>
      </c>
      <c r="D254" s="125">
        <f>C254*1.2</f>
        <v>1160.5744799999998</v>
      </c>
      <c r="E254" s="124">
        <v>0</v>
      </c>
      <c r="F254" s="124">
        <f>C254*(($F$239)+1)+(IF(E254&lt;101,E254,IF(E254&lt;201,E254/2,IF(E254&lt;=301,E254/3,E254/4))))</f>
        <v>1450.7180999999998</v>
      </c>
      <c r="G254" s="132">
        <f>3.05*7.33+1.215*4.27+2.44*2.96+3.25*3.05+3.05*3.05+3.325*3.25+1.375*2.285+1.375*2.285+1.375*2.28+2.575*1.07+0.9*1.36+3.05*1.2+1.79*1.2</f>
        <v>83.994200000000006</v>
      </c>
      <c r="H254" s="132"/>
      <c r="I254" s="164">
        <v>1</v>
      </c>
      <c r="J254" s="150" t="s">
        <v>353</v>
      </c>
      <c r="K254" s="145">
        <v>89.95</v>
      </c>
      <c r="L254" s="145"/>
      <c r="M254" s="143"/>
      <c r="N254" s="39"/>
    </row>
    <row r="255" spans="1:14" x14ac:dyDescent="0.25">
      <c r="A255" s="124">
        <f>A254+1</f>
        <v>2</v>
      </c>
      <c r="B255" s="124" t="s">
        <v>352</v>
      </c>
      <c r="C255" s="124">
        <f>(79.22)*10.764</f>
        <v>852.72407999999996</v>
      </c>
      <c r="D255" s="125">
        <f t="shared" ref="D255:D257" si="14">C255*1.2</f>
        <v>1023.2688959999999</v>
      </c>
      <c r="E255" s="124">
        <v>0</v>
      </c>
      <c r="F255" s="124">
        <f t="shared" ref="F255:F257" si="15">C255*(($F$239)+1)+(IF(E255&lt;101,E255,IF(E255&lt;201,E255/2,IF(E255&lt;=301,E255/3,E255/4))))</f>
        <v>1279.0861199999999</v>
      </c>
      <c r="I255" s="163">
        <v>2</v>
      </c>
      <c r="J255" s="146" t="s">
        <v>354</v>
      </c>
      <c r="K255">
        <v>79.22</v>
      </c>
      <c r="L255" s="59"/>
      <c r="M255" s="59"/>
    </row>
    <row r="256" spans="1:14" x14ac:dyDescent="0.25">
      <c r="A256" s="124">
        <f t="shared" ref="A256:A257" si="16">A255+1</f>
        <v>3</v>
      </c>
      <c r="B256" s="124" t="s">
        <v>350</v>
      </c>
      <c r="C256" s="124">
        <f>(82.18)*10.764</f>
        <v>884.58551999999997</v>
      </c>
      <c r="D256" s="125">
        <f t="shared" si="14"/>
        <v>1061.502624</v>
      </c>
      <c r="E256" s="124">
        <v>0</v>
      </c>
      <c r="F256" s="124">
        <f t="shared" si="15"/>
        <v>1326.8782799999999</v>
      </c>
      <c r="I256" s="163">
        <v>3</v>
      </c>
      <c r="J256" s="146" t="s">
        <v>354</v>
      </c>
      <c r="K256">
        <v>82.18</v>
      </c>
      <c r="L256" s="59"/>
      <c r="M256" s="59"/>
    </row>
    <row r="257" spans="1:14" x14ac:dyDescent="0.25">
      <c r="A257" s="124">
        <f t="shared" si="16"/>
        <v>4</v>
      </c>
      <c r="B257" s="124" t="s">
        <v>349</v>
      </c>
      <c r="C257" s="124">
        <f>(62.97)*10.764</f>
        <v>677.80907999999999</v>
      </c>
      <c r="D257" s="125">
        <f t="shared" si="14"/>
        <v>813.37089600000002</v>
      </c>
      <c r="E257" s="124">
        <v>0</v>
      </c>
      <c r="F257" s="124">
        <f t="shared" si="15"/>
        <v>1016.71362</v>
      </c>
      <c r="I257" s="163">
        <v>4</v>
      </c>
      <c r="J257" s="146" t="s">
        <v>356</v>
      </c>
      <c r="K257">
        <v>62.97</v>
      </c>
      <c r="L257" t="s">
        <v>357</v>
      </c>
      <c r="M257" s="147">
        <v>66.81</v>
      </c>
    </row>
    <row r="258" spans="1:14" s="132" customFormat="1" ht="15.75" customHeight="1" x14ac:dyDescent="0.25">
      <c r="A258" s="200" t="s">
        <v>358</v>
      </c>
      <c r="B258" s="200"/>
      <c r="C258" s="200"/>
      <c r="D258" s="200"/>
      <c r="E258" s="200"/>
      <c r="F258" s="200"/>
      <c r="G258" s="42">
        <v>4</v>
      </c>
      <c r="H258" s="42"/>
      <c r="I258" s="131"/>
      <c r="J258" s="131"/>
      <c r="K258" s="59"/>
      <c r="L258" s="131"/>
      <c r="M258" s="131"/>
    </row>
    <row r="259" spans="1:14" s="132" customFormat="1" ht="15.75" customHeight="1" x14ac:dyDescent="0.25">
      <c r="A259" s="124">
        <v>1</v>
      </c>
      <c r="B259" s="124" t="s">
        <v>350</v>
      </c>
      <c r="C259" s="124">
        <f>(89.85)*10.764</f>
        <v>967.14539999999988</v>
      </c>
      <c r="D259" s="125">
        <f>C259*1.2</f>
        <v>1160.5744799999998</v>
      </c>
      <c r="E259" s="124">
        <v>0</v>
      </c>
      <c r="F259" s="124">
        <f>C259*(($F$239)+1)+(IF(E259&lt;101,E259,IF(E259&lt;201,E259/2,IF(E259&lt;=301,E259/3,E259/4))))</f>
        <v>1450.7180999999998</v>
      </c>
      <c r="G259" s="149"/>
      <c r="H259" s="145"/>
      <c r="I259" s="145"/>
      <c r="J259" s="145"/>
      <c r="K259" s="59"/>
      <c r="L259" s="204"/>
      <c r="M259" s="204"/>
      <c r="N259" s="39"/>
    </row>
    <row r="260" spans="1:14" x14ac:dyDescent="0.25">
      <c r="A260" s="124">
        <f>A259+1</f>
        <v>2</v>
      </c>
      <c r="B260" s="124" t="s">
        <v>352</v>
      </c>
      <c r="C260" s="124">
        <f>(79.22)*10.764</f>
        <v>852.72407999999996</v>
      </c>
      <c r="D260" s="125">
        <f t="shared" ref="D260:D262" si="17">C260*1.2</f>
        <v>1023.2688959999999</v>
      </c>
      <c r="E260" s="124">
        <v>0</v>
      </c>
      <c r="F260" s="124">
        <f t="shared" ref="F260:F262" si="18">C260*(($F$239)+1)+(IF(E260&lt;101,E260,IF(E260&lt;201,E260/2,IF(E260&lt;=301,E260/3,E260/4))))</f>
        <v>1279.0861199999999</v>
      </c>
      <c r="G260" s="146"/>
      <c r="I260" s="59"/>
      <c r="J260" s="59"/>
      <c r="K260" s="59"/>
      <c r="L260" s="59"/>
      <c r="M260" s="59"/>
    </row>
    <row r="261" spans="1:14" x14ac:dyDescent="0.25">
      <c r="A261" s="124">
        <f t="shared" ref="A261:A262" si="19">A260+1</f>
        <v>3</v>
      </c>
      <c r="B261" s="124" t="s">
        <v>350</v>
      </c>
      <c r="C261" s="124">
        <f>(82.18)*10.764</f>
        <v>884.58551999999997</v>
      </c>
      <c r="D261" s="125">
        <f t="shared" si="17"/>
        <v>1061.502624</v>
      </c>
      <c r="E261" s="124">
        <v>0</v>
      </c>
      <c r="F261" s="124">
        <f t="shared" si="18"/>
        <v>1326.8782799999999</v>
      </c>
      <c r="G261" s="146"/>
      <c r="I261" s="59"/>
      <c r="J261" s="59"/>
      <c r="K261" s="59"/>
      <c r="L261" s="59"/>
      <c r="M261" s="59"/>
    </row>
    <row r="262" spans="1:14" ht="15.75" x14ac:dyDescent="0.25">
      <c r="A262" s="124">
        <f t="shared" si="19"/>
        <v>4</v>
      </c>
      <c r="B262" s="124" t="s">
        <v>349</v>
      </c>
      <c r="C262" s="124">
        <f>(62.97)*10.764</f>
        <v>677.80907999999999</v>
      </c>
      <c r="D262" s="125">
        <f t="shared" si="17"/>
        <v>813.37089600000002</v>
      </c>
      <c r="E262" s="124">
        <v>0</v>
      </c>
      <c r="F262" s="124">
        <f t="shared" si="18"/>
        <v>1016.71362</v>
      </c>
      <c r="G262" s="146"/>
      <c r="I262" s="147"/>
      <c r="J262" s="59"/>
      <c r="K262" s="57"/>
      <c r="L262" s="59"/>
      <c r="M262" s="59"/>
    </row>
    <row r="263" spans="1:14" s="132" customFormat="1" ht="15.75" customHeight="1" x14ac:dyDescent="0.25">
      <c r="A263" s="200" t="s">
        <v>359</v>
      </c>
      <c r="B263" s="200"/>
      <c r="C263" s="200"/>
      <c r="D263" s="200"/>
      <c r="E263" s="200"/>
      <c r="F263" s="200"/>
      <c r="G263" s="42">
        <v>3</v>
      </c>
      <c r="H263" s="42"/>
      <c r="I263" s="131"/>
      <c r="J263" s="131"/>
      <c r="K263" s="59"/>
      <c r="L263" s="131"/>
      <c r="M263" s="131"/>
    </row>
    <row r="264" spans="1:14" s="132" customFormat="1" ht="15.75" customHeight="1" x14ac:dyDescent="0.25">
      <c r="A264" s="124">
        <v>1</v>
      </c>
      <c r="B264" s="124" t="s">
        <v>350</v>
      </c>
      <c r="C264" s="124">
        <f>(89.85)*10.764</f>
        <v>967.14539999999988</v>
      </c>
      <c r="D264" s="125">
        <f>C264*1.2</f>
        <v>1160.5744799999998</v>
      </c>
      <c r="E264" s="124">
        <v>0</v>
      </c>
      <c r="F264" s="124">
        <f>C264*(($F$239)+1)+(IF(E264&lt;101,E264,IF(E264&lt;201,E264/2,IF(E264&lt;=301,E264/3,E264/4))))</f>
        <v>1450.7180999999998</v>
      </c>
      <c r="G264" s="149"/>
      <c r="H264" s="145"/>
      <c r="I264" s="145"/>
      <c r="J264" s="145"/>
      <c r="K264" s="59"/>
      <c r="L264" s="204"/>
      <c r="M264" s="204"/>
      <c r="N264" s="39"/>
    </row>
    <row r="265" spans="1:14" x14ac:dyDescent="0.25">
      <c r="A265" s="124">
        <f>A264+1</f>
        <v>2</v>
      </c>
      <c r="B265" s="124" t="s">
        <v>352</v>
      </c>
      <c r="C265" s="124">
        <f>(79.22)*10.764</f>
        <v>852.72407999999996</v>
      </c>
      <c r="D265" s="125">
        <f t="shared" ref="D265:D267" si="20">C265*1.2</f>
        <v>1023.2688959999999</v>
      </c>
      <c r="E265" s="124">
        <v>0</v>
      </c>
      <c r="F265" s="124">
        <f t="shared" ref="F265:F267" si="21">C265*(($F$239)+1)+(IF(E265&lt;101,E265,IF(E265&lt;201,E265/2,IF(E265&lt;=301,E265/3,E265/4))))</f>
        <v>1279.0861199999999</v>
      </c>
      <c r="G265" s="146"/>
      <c r="I265" s="59"/>
      <c r="J265" s="59"/>
      <c r="K265" s="59"/>
      <c r="L265" s="59"/>
      <c r="M265" s="59"/>
    </row>
    <row r="266" spans="1:14" x14ac:dyDescent="0.25">
      <c r="A266" s="124">
        <f t="shared" ref="A266:A267" si="22">A265+1</f>
        <v>3</v>
      </c>
      <c r="B266" s="124" t="s">
        <v>350</v>
      </c>
      <c r="C266" s="124">
        <f>(82.18)*10.764</f>
        <v>884.58551999999997</v>
      </c>
      <c r="D266" s="125">
        <f t="shared" si="20"/>
        <v>1061.502624</v>
      </c>
      <c r="E266" s="124">
        <v>0</v>
      </c>
      <c r="F266" s="124">
        <f t="shared" si="21"/>
        <v>1326.8782799999999</v>
      </c>
      <c r="G266" s="146"/>
      <c r="I266" s="59"/>
      <c r="J266" s="59"/>
      <c r="K266" s="59"/>
      <c r="L266" s="59"/>
      <c r="M266" s="59"/>
    </row>
    <row r="267" spans="1:14" ht="15.75" x14ac:dyDescent="0.25">
      <c r="A267" s="124">
        <f t="shared" si="22"/>
        <v>4</v>
      </c>
      <c r="B267" s="124" t="s">
        <v>349</v>
      </c>
      <c r="C267" s="124">
        <f>(62.97)*10.764</f>
        <v>677.80907999999999</v>
      </c>
      <c r="D267" s="125">
        <f t="shared" si="20"/>
        <v>813.37089600000002</v>
      </c>
      <c r="E267" s="124">
        <v>0</v>
      </c>
      <c r="F267" s="124">
        <f t="shared" si="21"/>
        <v>1016.71362</v>
      </c>
      <c r="G267" s="146"/>
      <c r="I267" s="147"/>
      <c r="J267" s="59"/>
      <c r="K267" s="57"/>
      <c r="L267" s="59"/>
      <c r="M267" s="59"/>
    </row>
    <row r="268" spans="1:14" s="132" customFormat="1" ht="15.75" customHeight="1" x14ac:dyDescent="0.25">
      <c r="A268" s="200" t="s">
        <v>361</v>
      </c>
      <c r="B268" s="200"/>
      <c r="C268" s="200"/>
      <c r="D268" s="200"/>
      <c r="E268" s="200"/>
      <c r="F268" s="200"/>
      <c r="G268" s="42">
        <v>1</v>
      </c>
      <c r="H268" s="42"/>
      <c r="I268" s="131"/>
      <c r="J268" s="131"/>
      <c r="K268" s="59"/>
      <c r="L268" s="131"/>
      <c r="M268" s="131"/>
    </row>
    <row r="269" spans="1:14" s="132" customFormat="1" ht="15.75" customHeight="1" x14ac:dyDescent="0.25">
      <c r="A269" s="124">
        <v>1</v>
      </c>
      <c r="B269" s="189" t="s">
        <v>348</v>
      </c>
      <c r="C269" s="190"/>
      <c r="D269" s="190"/>
      <c r="E269" s="190"/>
      <c r="F269" s="191"/>
      <c r="G269" s="149"/>
      <c r="H269" s="145"/>
      <c r="I269" s="145"/>
      <c r="J269" s="145"/>
      <c r="K269" s="59"/>
      <c r="L269" s="204"/>
      <c r="M269" s="204"/>
      <c r="N269" s="39"/>
    </row>
    <row r="270" spans="1:14" x14ac:dyDescent="0.25">
      <c r="A270" s="124">
        <f>A269+1</f>
        <v>2</v>
      </c>
      <c r="B270" s="124" t="s">
        <v>352</v>
      </c>
      <c r="C270" s="124">
        <f>(79.22)*10.764</f>
        <v>852.72407999999996</v>
      </c>
      <c r="D270" s="125">
        <f t="shared" ref="D270:D272" si="23">C270*1.2</f>
        <v>1023.2688959999999</v>
      </c>
      <c r="E270" s="124">
        <v>0</v>
      </c>
      <c r="F270" s="124">
        <f t="shared" ref="F270:F272" si="24">C270*(($F$239)+1)+(IF(E270&lt;101,E270,IF(E270&lt;201,E270/2,IF(E270&lt;=301,E270/3,E270/4))))</f>
        <v>1279.0861199999999</v>
      </c>
      <c r="G270" s="146"/>
      <c r="I270" s="59"/>
      <c r="J270" s="59"/>
      <c r="K270" s="59"/>
      <c r="L270" s="59"/>
      <c r="M270" s="59"/>
    </row>
    <row r="271" spans="1:14" x14ac:dyDescent="0.25">
      <c r="A271" s="124">
        <f t="shared" ref="A271:A272" si="25">A270+1</f>
        <v>3</v>
      </c>
      <c r="B271" s="124" t="s">
        <v>350</v>
      </c>
      <c r="C271" s="124">
        <f>(82.18)*10.764</f>
        <v>884.58551999999997</v>
      </c>
      <c r="D271" s="125">
        <f t="shared" si="23"/>
        <v>1061.502624</v>
      </c>
      <c r="E271" s="124">
        <v>0</v>
      </c>
      <c r="F271" s="124">
        <f t="shared" si="24"/>
        <v>1326.8782799999999</v>
      </c>
      <c r="G271" s="146"/>
      <c r="I271" s="59"/>
      <c r="J271" s="59"/>
      <c r="K271" s="59"/>
      <c r="L271" s="59"/>
      <c r="M271" s="59"/>
    </row>
    <row r="272" spans="1:14" ht="15.75" x14ac:dyDescent="0.25">
      <c r="A272" s="124">
        <f t="shared" si="25"/>
        <v>4</v>
      </c>
      <c r="B272" s="124" t="s">
        <v>349</v>
      </c>
      <c r="C272" s="124">
        <f>(62.97)*10.764</f>
        <v>677.80907999999999</v>
      </c>
      <c r="D272" s="125">
        <f t="shared" si="23"/>
        <v>813.37089600000002</v>
      </c>
      <c r="E272" s="124">
        <v>0</v>
      </c>
      <c r="F272" s="124">
        <f t="shared" si="24"/>
        <v>1016.71362</v>
      </c>
      <c r="G272" s="146"/>
      <c r="I272" s="147"/>
      <c r="J272" s="59"/>
      <c r="K272" s="57"/>
      <c r="L272" s="59"/>
      <c r="M272" s="59"/>
    </row>
    <row r="273" spans="1:14" s="132" customFormat="1" ht="15.75" customHeight="1" x14ac:dyDescent="0.25">
      <c r="A273" s="200" t="s">
        <v>360</v>
      </c>
      <c r="B273" s="200"/>
      <c r="C273" s="200"/>
      <c r="D273" s="200"/>
      <c r="E273" s="200"/>
      <c r="F273" s="200"/>
      <c r="G273" s="42">
        <v>1</v>
      </c>
      <c r="H273" s="42"/>
      <c r="I273" s="131"/>
      <c r="J273" s="131"/>
      <c r="K273" s="59"/>
      <c r="L273" s="131"/>
      <c r="M273" s="131"/>
    </row>
    <row r="274" spans="1:14" s="132" customFormat="1" ht="15.75" customHeight="1" x14ac:dyDescent="0.25">
      <c r="A274" s="124">
        <v>1</v>
      </c>
      <c r="B274" s="124" t="s">
        <v>350</v>
      </c>
      <c r="C274" s="124">
        <f>(89.85)*10.764</f>
        <v>967.14539999999988</v>
      </c>
      <c r="D274" s="125">
        <f>C274*1.2</f>
        <v>1160.5744799999998</v>
      </c>
      <c r="E274" s="124">
        <v>0</v>
      </c>
      <c r="F274" s="124">
        <f>C274*(($F$239)+1)+(IF(E274&lt;101,E274,IF(E274&lt;201,E274/2,IF(E274&lt;=301,E274/3,E274/4))))</f>
        <v>1450.7180999999998</v>
      </c>
      <c r="G274" s="149"/>
      <c r="H274" s="145"/>
      <c r="I274" s="145"/>
      <c r="J274" s="145"/>
      <c r="K274" s="59"/>
      <c r="L274" s="204"/>
      <c r="M274" s="204"/>
      <c r="N274" s="39"/>
    </row>
    <row r="275" spans="1:14" x14ac:dyDescent="0.25">
      <c r="A275" s="124">
        <f>A274+1</f>
        <v>2</v>
      </c>
      <c r="B275" s="124" t="s">
        <v>352</v>
      </c>
      <c r="C275" s="124">
        <f>(79.22)*10.764</f>
        <v>852.72407999999996</v>
      </c>
      <c r="D275" s="125">
        <f t="shared" ref="D275:D277" si="26">C275*1.2</f>
        <v>1023.2688959999999</v>
      </c>
      <c r="E275" s="124">
        <v>0</v>
      </c>
      <c r="F275" s="124">
        <f t="shared" ref="F275:F277" si="27">C275*(($F$239)+1)+(IF(E275&lt;101,E275,IF(E275&lt;201,E275/2,IF(E275&lt;=301,E275/3,E275/4))))</f>
        <v>1279.0861199999999</v>
      </c>
      <c r="G275" s="146"/>
      <c r="I275" s="59"/>
      <c r="J275" s="59"/>
      <c r="K275" s="59"/>
      <c r="L275" s="59"/>
      <c r="M275" s="59"/>
    </row>
    <row r="276" spans="1:14" x14ac:dyDescent="0.25">
      <c r="A276" s="124">
        <f t="shared" ref="A276:A277" si="28">A275+1</f>
        <v>3</v>
      </c>
      <c r="B276" s="124" t="s">
        <v>350</v>
      </c>
      <c r="C276" s="124">
        <f>(82.18)*10.764</f>
        <v>884.58551999999997</v>
      </c>
      <c r="D276" s="125">
        <f t="shared" si="26"/>
        <v>1061.502624</v>
      </c>
      <c r="E276" s="124">
        <v>0</v>
      </c>
      <c r="F276" s="124">
        <f t="shared" si="27"/>
        <v>1326.8782799999999</v>
      </c>
      <c r="G276" s="146"/>
      <c r="I276" s="59"/>
      <c r="J276" s="59"/>
      <c r="K276" s="59"/>
      <c r="L276" s="59"/>
      <c r="M276" s="59"/>
    </row>
    <row r="277" spans="1:14" ht="15.75" x14ac:dyDescent="0.25">
      <c r="A277" s="124">
        <f t="shared" si="28"/>
        <v>4</v>
      </c>
      <c r="B277" s="124" t="s">
        <v>349</v>
      </c>
      <c r="C277" s="124">
        <f>(62.97)*10.764</f>
        <v>677.80907999999999</v>
      </c>
      <c r="D277" s="125">
        <f t="shared" si="26"/>
        <v>813.37089600000002</v>
      </c>
      <c r="E277" s="124">
        <v>0</v>
      </c>
      <c r="F277" s="124">
        <f t="shared" si="27"/>
        <v>1016.71362</v>
      </c>
      <c r="G277" s="146"/>
      <c r="I277" s="147"/>
      <c r="J277" s="59"/>
      <c r="K277" s="57"/>
      <c r="L277" s="59"/>
      <c r="M277" s="59"/>
    </row>
    <row r="278" spans="1:14" s="132" customFormat="1" ht="15.75" customHeight="1" x14ac:dyDescent="0.25">
      <c r="A278" s="200" t="s">
        <v>372</v>
      </c>
      <c r="B278" s="200"/>
      <c r="C278" s="200"/>
      <c r="D278" s="200"/>
      <c r="E278" s="200"/>
      <c r="F278" s="200"/>
      <c r="G278" s="42">
        <f>3+3</f>
        <v>6</v>
      </c>
      <c r="H278" s="42"/>
      <c r="I278" s="131"/>
      <c r="J278" s="131"/>
      <c r="K278" s="59"/>
      <c r="L278" s="131"/>
      <c r="M278" s="131"/>
    </row>
    <row r="279" spans="1:14" s="132" customFormat="1" ht="15.75" customHeight="1" x14ac:dyDescent="0.25">
      <c r="A279" s="124">
        <v>1</v>
      </c>
      <c r="B279" s="124" t="s">
        <v>350</v>
      </c>
      <c r="C279" s="124">
        <f>(89.85)*10.764</f>
        <v>967.14539999999988</v>
      </c>
      <c r="D279" s="125">
        <f>C279*1.2</f>
        <v>1160.5744799999998</v>
      </c>
      <c r="E279" s="124">
        <v>0</v>
      </c>
      <c r="F279" s="124">
        <f>C279*(($F$239)+1)+(IF(E279&lt;101,E279,IF(E279&lt;201,E279/2,IF(E279&lt;=301,E279/3,E279/4))))</f>
        <v>1450.7180999999998</v>
      </c>
      <c r="G279" s="149"/>
      <c r="H279" s="145"/>
      <c r="I279" s="145"/>
      <c r="J279" s="145"/>
      <c r="K279" s="59"/>
      <c r="L279" s="204"/>
      <c r="M279" s="204"/>
      <c r="N279" s="39"/>
    </row>
    <row r="280" spans="1:14" x14ac:dyDescent="0.25">
      <c r="A280" s="124">
        <f>A279+1</f>
        <v>2</v>
      </c>
      <c r="B280" s="124" t="s">
        <v>352</v>
      </c>
      <c r="C280" s="124">
        <f>(79.22)*10.764</f>
        <v>852.72407999999996</v>
      </c>
      <c r="D280" s="125">
        <f t="shared" ref="D280:D282" si="29">C280*1.2</f>
        <v>1023.2688959999999</v>
      </c>
      <c r="E280" s="124">
        <v>0</v>
      </c>
      <c r="F280" s="124">
        <f t="shared" ref="F280:F282" si="30">C280*(($F$239)+1)+(IF(E280&lt;101,E280,IF(E280&lt;201,E280/2,IF(E280&lt;=301,E280/3,E280/4))))</f>
        <v>1279.0861199999999</v>
      </c>
      <c r="G280" s="146"/>
      <c r="I280" s="59"/>
      <c r="J280" s="59"/>
      <c r="K280" s="59"/>
      <c r="L280" s="59"/>
      <c r="M280" s="59"/>
    </row>
    <row r="281" spans="1:14" x14ac:dyDescent="0.25">
      <c r="A281" s="124">
        <f t="shared" ref="A281:A282" si="31">A280+1</f>
        <v>3</v>
      </c>
      <c r="B281" s="124" t="s">
        <v>350</v>
      </c>
      <c r="C281" s="124">
        <f>(82.18)*10.764</f>
        <v>884.58551999999997</v>
      </c>
      <c r="D281" s="125">
        <f t="shared" si="29"/>
        <v>1061.502624</v>
      </c>
      <c r="E281" s="124">
        <v>0</v>
      </c>
      <c r="F281" s="124">
        <f t="shared" si="30"/>
        <v>1326.8782799999999</v>
      </c>
      <c r="G281" s="146"/>
      <c r="I281" s="59"/>
      <c r="J281" s="59"/>
      <c r="K281" s="59"/>
      <c r="L281" s="59"/>
      <c r="M281" s="59"/>
    </row>
    <row r="282" spans="1:14" ht="15.75" x14ac:dyDescent="0.25">
      <c r="A282" s="124">
        <f t="shared" si="31"/>
        <v>4</v>
      </c>
      <c r="B282" s="124" t="s">
        <v>349</v>
      </c>
      <c r="C282" s="124">
        <f>(62.97)*10.764</f>
        <v>677.80907999999999</v>
      </c>
      <c r="D282" s="125">
        <f t="shared" si="29"/>
        <v>813.37089600000002</v>
      </c>
      <c r="E282" s="124">
        <v>0</v>
      </c>
      <c r="F282" s="124">
        <f t="shared" si="30"/>
        <v>1016.71362</v>
      </c>
      <c r="G282" s="146"/>
      <c r="I282" s="147"/>
      <c r="J282" s="59"/>
      <c r="K282" s="57"/>
      <c r="L282" s="59"/>
      <c r="M282" s="59"/>
    </row>
    <row r="283" spans="1:14" s="132" customFormat="1" ht="15.75" customHeight="1" x14ac:dyDescent="0.25">
      <c r="A283" s="200" t="s">
        <v>364</v>
      </c>
      <c r="B283" s="200"/>
      <c r="C283" s="200"/>
      <c r="D283" s="200"/>
      <c r="E283" s="200"/>
      <c r="F283" s="200"/>
      <c r="G283" s="42">
        <v>1</v>
      </c>
      <c r="H283" s="42"/>
      <c r="I283" s="131"/>
      <c r="J283" s="131"/>
      <c r="K283" s="59"/>
      <c r="L283" s="131"/>
      <c r="M283" s="131"/>
    </row>
    <row r="284" spans="1:14" s="132" customFormat="1" ht="15.75" customHeight="1" x14ac:dyDescent="0.25">
      <c r="A284" s="124">
        <v>1</v>
      </c>
      <c r="B284" s="124" t="s">
        <v>350</v>
      </c>
      <c r="C284" s="124">
        <f>(89.85)*10.764</f>
        <v>967.14539999999988</v>
      </c>
      <c r="D284" s="125">
        <f>C284*1.2</f>
        <v>1160.5744799999998</v>
      </c>
      <c r="E284" s="124">
        <v>0</v>
      </c>
      <c r="F284" s="124">
        <f>C284*(($F$239)+1)+(IF(E284&lt;101,E284,IF(E284&lt;201,E284/2,IF(E284&lt;=301,E284/3,E284/4))))</f>
        <v>1450.7180999999998</v>
      </c>
      <c r="G284" s="149"/>
      <c r="H284" s="145"/>
      <c r="I284" s="145"/>
      <c r="J284" s="145"/>
      <c r="K284" s="59"/>
      <c r="L284" s="204"/>
      <c r="M284" s="204"/>
      <c r="N284" s="39"/>
    </row>
    <row r="285" spans="1:14" x14ac:dyDescent="0.25">
      <c r="A285" s="124">
        <f>A284+1</f>
        <v>2</v>
      </c>
      <c r="B285" s="124" t="s">
        <v>352</v>
      </c>
      <c r="C285" s="124">
        <f>(79.22)*10.764</f>
        <v>852.72407999999996</v>
      </c>
      <c r="D285" s="125">
        <f t="shared" ref="D285:D287" si="32">C285*1.2</f>
        <v>1023.2688959999999</v>
      </c>
      <c r="E285" s="124">
        <v>0</v>
      </c>
      <c r="F285" s="124">
        <f t="shared" ref="F285:F287" si="33">C285*(($F$239)+1)+(IF(E285&lt;101,E285,IF(E285&lt;201,E285/2,IF(E285&lt;=301,E285/3,E285/4))))</f>
        <v>1279.0861199999999</v>
      </c>
      <c r="G285" s="146"/>
      <c r="I285" s="59"/>
      <c r="J285" s="59"/>
      <c r="K285" s="59"/>
      <c r="L285" s="59"/>
      <c r="M285" s="59"/>
    </row>
    <row r="286" spans="1:14" x14ac:dyDescent="0.25">
      <c r="A286" s="124">
        <f t="shared" ref="A286:A287" si="34">A285+1</f>
        <v>3</v>
      </c>
      <c r="B286" s="124" t="s">
        <v>350</v>
      </c>
      <c r="C286" s="124">
        <f>(82.18)*10.764</f>
        <v>884.58551999999997</v>
      </c>
      <c r="D286" s="125">
        <f t="shared" si="32"/>
        <v>1061.502624</v>
      </c>
      <c r="E286" s="124">
        <v>0</v>
      </c>
      <c r="F286" s="124">
        <f t="shared" si="33"/>
        <v>1326.8782799999999</v>
      </c>
      <c r="G286" s="146"/>
      <c r="I286" s="59"/>
      <c r="J286" s="59"/>
      <c r="K286" s="59"/>
      <c r="L286" s="59"/>
      <c r="M286" s="59"/>
    </row>
    <row r="287" spans="1:14" ht="15.75" x14ac:dyDescent="0.25">
      <c r="A287" s="124">
        <f t="shared" si="34"/>
        <v>4</v>
      </c>
      <c r="B287" s="124" t="s">
        <v>349</v>
      </c>
      <c r="C287" s="124">
        <f>(62.97)*10.764</f>
        <v>677.80907999999999</v>
      </c>
      <c r="D287" s="125">
        <f t="shared" si="32"/>
        <v>813.37089600000002</v>
      </c>
      <c r="E287" s="124">
        <v>0</v>
      </c>
      <c r="F287" s="124">
        <f t="shared" si="33"/>
        <v>1016.71362</v>
      </c>
      <c r="G287" s="146"/>
      <c r="I287" s="147"/>
      <c r="J287" s="59"/>
      <c r="K287" s="57"/>
      <c r="L287" s="59"/>
      <c r="M287" s="59"/>
    </row>
    <row r="288" spans="1:14" s="132" customFormat="1" ht="15.75" customHeight="1" x14ac:dyDescent="0.25">
      <c r="A288" s="200" t="s">
        <v>362</v>
      </c>
      <c r="B288" s="200"/>
      <c r="C288" s="200"/>
      <c r="D288" s="200"/>
      <c r="E288" s="200"/>
      <c r="F288" s="200"/>
      <c r="G288" s="42">
        <v>1</v>
      </c>
      <c r="H288" s="42"/>
      <c r="I288" s="131"/>
      <c r="J288" s="131"/>
      <c r="K288" s="59"/>
      <c r="L288" s="131"/>
      <c r="M288" s="131"/>
    </row>
    <row r="289" spans="1:14" s="132" customFormat="1" ht="15.75" customHeight="1" x14ac:dyDescent="0.25">
      <c r="A289" s="124">
        <v>1</v>
      </c>
      <c r="B289" s="189" t="s">
        <v>348</v>
      </c>
      <c r="C289" s="190"/>
      <c r="D289" s="190"/>
      <c r="E289" s="190"/>
      <c r="F289" s="191"/>
      <c r="G289" s="149"/>
      <c r="H289" s="145"/>
      <c r="I289" s="145"/>
      <c r="J289" s="145"/>
      <c r="K289" s="59"/>
      <c r="L289" s="204"/>
      <c r="M289" s="204"/>
      <c r="N289" s="39"/>
    </row>
    <row r="290" spans="1:14" x14ac:dyDescent="0.25">
      <c r="A290" s="124">
        <f>A289+1</f>
        <v>2</v>
      </c>
      <c r="B290" s="124" t="s">
        <v>352</v>
      </c>
      <c r="C290" s="124">
        <f>(79.22)*10.764</f>
        <v>852.72407999999996</v>
      </c>
      <c r="D290" s="125">
        <f t="shared" ref="D290:D292" si="35">C290*1.2</f>
        <v>1023.2688959999999</v>
      </c>
      <c r="E290" s="124">
        <v>0</v>
      </c>
      <c r="F290" s="124">
        <f t="shared" ref="F290:F292" si="36">C290*(($F$239)+1)+(IF(E290&lt;101,E290,IF(E290&lt;201,E290/2,IF(E290&lt;=301,E290/3,E290/4))))</f>
        <v>1279.0861199999999</v>
      </c>
      <c r="G290" s="146"/>
      <c r="I290" s="59"/>
      <c r="J290" s="59"/>
      <c r="K290" s="59"/>
      <c r="L290" s="59"/>
      <c r="M290" s="59"/>
    </row>
    <row r="291" spans="1:14" x14ac:dyDescent="0.25">
      <c r="A291" s="124">
        <f t="shared" ref="A291:A292" si="37">A290+1</f>
        <v>3</v>
      </c>
      <c r="B291" s="124" t="s">
        <v>350</v>
      </c>
      <c r="C291" s="124">
        <f>(82.18)*10.764</f>
        <v>884.58551999999997</v>
      </c>
      <c r="D291" s="125">
        <f t="shared" si="35"/>
        <v>1061.502624</v>
      </c>
      <c r="E291" s="124">
        <v>0</v>
      </c>
      <c r="F291" s="124">
        <f t="shared" si="36"/>
        <v>1326.8782799999999</v>
      </c>
      <c r="G291" s="146"/>
      <c r="I291" s="59"/>
      <c r="J291" s="59"/>
      <c r="K291" s="59"/>
      <c r="L291" s="59"/>
      <c r="M291" s="59"/>
    </row>
    <row r="292" spans="1:14" ht="15.75" x14ac:dyDescent="0.25">
      <c r="A292" s="124">
        <f t="shared" si="37"/>
        <v>4</v>
      </c>
      <c r="B292" s="124" t="s">
        <v>349</v>
      </c>
      <c r="C292" s="124">
        <f>(62.97)*10.764</f>
        <v>677.80907999999999</v>
      </c>
      <c r="D292" s="125">
        <f t="shared" si="35"/>
        <v>813.37089600000002</v>
      </c>
      <c r="E292" s="124">
        <v>0</v>
      </c>
      <c r="F292" s="124">
        <f t="shared" si="36"/>
        <v>1016.71362</v>
      </c>
      <c r="G292" s="146"/>
      <c r="I292" s="147"/>
      <c r="J292" s="59"/>
      <c r="K292" s="57"/>
      <c r="L292" s="59"/>
      <c r="M292" s="59"/>
    </row>
    <row r="293" spans="1:14" s="132" customFormat="1" ht="15.75" customHeight="1" x14ac:dyDescent="0.25">
      <c r="A293" s="200" t="s">
        <v>363</v>
      </c>
      <c r="B293" s="200"/>
      <c r="C293" s="200"/>
      <c r="D293" s="200"/>
      <c r="E293" s="200"/>
      <c r="F293" s="200"/>
      <c r="G293" s="42"/>
      <c r="H293" s="42"/>
      <c r="I293" s="131"/>
      <c r="J293" s="131"/>
      <c r="K293" s="59"/>
      <c r="L293" s="131"/>
      <c r="M293" s="131"/>
    </row>
    <row r="294" spans="1:14" s="132" customFormat="1" ht="15.75" customHeight="1" x14ac:dyDescent="0.25">
      <c r="A294" s="200" t="s">
        <v>365</v>
      </c>
      <c r="B294" s="200"/>
      <c r="C294" s="200"/>
      <c r="D294" s="200"/>
      <c r="E294" s="200"/>
      <c r="F294" s="200"/>
      <c r="G294" s="42">
        <v>1</v>
      </c>
      <c r="H294" s="42"/>
      <c r="I294" s="131"/>
      <c r="J294" s="131"/>
      <c r="K294" s="59"/>
      <c r="L294" s="131"/>
      <c r="M294" s="131"/>
    </row>
    <row r="295" spans="1:14" s="132" customFormat="1" ht="15.75" customHeight="1" x14ac:dyDescent="0.25">
      <c r="A295" s="124">
        <v>1</v>
      </c>
      <c r="B295" s="189" t="s">
        <v>348</v>
      </c>
      <c r="C295" s="190"/>
      <c r="D295" s="190"/>
      <c r="E295" s="190"/>
      <c r="F295" s="191"/>
      <c r="G295" s="149"/>
      <c r="H295" s="145"/>
      <c r="I295" s="145"/>
      <c r="J295" s="145"/>
      <c r="K295" s="59"/>
      <c r="L295" s="204"/>
      <c r="M295" s="204"/>
      <c r="N295" s="39"/>
    </row>
    <row r="296" spans="1:14" x14ac:dyDescent="0.25">
      <c r="A296" s="124">
        <f>A295+1</f>
        <v>2</v>
      </c>
      <c r="B296" s="124" t="s">
        <v>352</v>
      </c>
      <c r="C296" s="124">
        <f>(79.22)*10.764</f>
        <v>852.72407999999996</v>
      </c>
      <c r="D296" s="125">
        <f t="shared" ref="D296:D298" si="38">C296*1.2</f>
        <v>1023.2688959999999</v>
      </c>
      <c r="E296" s="124">
        <v>0</v>
      </c>
      <c r="F296" s="124">
        <f t="shared" ref="F296:F298" si="39">C296*(($F$239)+1)+(IF(E296&lt;101,E296,IF(E296&lt;201,E296/2,IF(E296&lt;=301,E296/3,E296/4))))</f>
        <v>1279.0861199999999</v>
      </c>
      <c r="G296" s="146"/>
      <c r="I296" s="59"/>
      <c r="J296" s="59"/>
      <c r="K296" s="59"/>
      <c r="L296" s="59"/>
      <c r="M296" s="59"/>
    </row>
    <row r="297" spans="1:14" x14ac:dyDescent="0.25">
      <c r="A297" s="124">
        <f t="shared" ref="A297:A298" si="40">A296+1</f>
        <v>3</v>
      </c>
      <c r="B297" s="124" t="s">
        <v>350</v>
      </c>
      <c r="C297" s="124">
        <f>(82.18)*10.764</f>
        <v>884.58551999999997</v>
      </c>
      <c r="D297" s="125">
        <f t="shared" si="38"/>
        <v>1061.502624</v>
      </c>
      <c r="E297" s="124">
        <v>0</v>
      </c>
      <c r="F297" s="124">
        <f t="shared" si="39"/>
        <v>1326.8782799999999</v>
      </c>
      <c r="G297" s="146"/>
      <c r="I297" s="59"/>
      <c r="J297" s="59"/>
      <c r="K297" s="59"/>
      <c r="L297" s="59"/>
      <c r="M297" s="59"/>
    </row>
    <row r="298" spans="1:14" ht="15.75" x14ac:dyDescent="0.25">
      <c r="A298" s="124">
        <f t="shared" si="40"/>
        <v>4</v>
      </c>
      <c r="B298" s="124" t="s">
        <v>349</v>
      </c>
      <c r="C298" s="124">
        <f>(62.97)*10.764</f>
        <v>677.80907999999999</v>
      </c>
      <c r="D298" s="125">
        <f t="shared" si="38"/>
        <v>813.37089600000002</v>
      </c>
      <c r="E298" s="124">
        <v>0</v>
      </c>
      <c r="F298" s="124">
        <f t="shared" si="39"/>
        <v>1016.71362</v>
      </c>
      <c r="G298" s="146"/>
      <c r="I298" s="147"/>
      <c r="J298" s="59"/>
      <c r="K298" s="57"/>
      <c r="L298" s="59"/>
      <c r="M298" s="59"/>
    </row>
    <row r="299" spans="1:14" s="132" customFormat="1" ht="15.75" customHeight="1" x14ac:dyDescent="0.25">
      <c r="A299" s="200" t="s">
        <v>366</v>
      </c>
      <c r="B299" s="200"/>
      <c r="C299" s="200"/>
      <c r="D299" s="200"/>
      <c r="E299" s="200"/>
      <c r="F299" s="200"/>
      <c r="G299" s="42">
        <v>5</v>
      </c>
      <c r="H299" s="42"/>
      <c r="I299" s="131"/>
      <c r="J299" s="131"/>
      <c r="K299" s="59"/>
      <c r="L299" s="131"/>
      <c r="M299" s="131"/>
    </row>
    <row r="300" spans="1:14" s="132" customFormat="1" ht="15.75" customHeight="1" x14ac:dyDescent="0.25">
      <c r="A300" s="124">
        <v>1</v>
      </c>
      <c r="B300" s="124" t="s">
        <v>350</v>
      </c>
      <c r="C300" s="124">
        <f>(89.85)*10.764</f>
        <v>967.14539999999988</v>
      </c>
      <c r="D300" s="125">
        <f>C300*1.2</f>
        <v>1160.5744799999998</v>
      </c>
      <c r="E300" s="124">
        <v>0</v>
      </c>
      <c r="F300" s="124">
        <f>C300*(($F$239)+1)+(IF(E300&lt;101,E300,IF(E300&lt;201,E300/2,IF(E300&lt;=301,E300/3,E300/4))))</f>
        <v>1450.7180999999998</v>
      </c>
      <c r="G300" s="149"/>
      <c r="H300" s="145"/>
      <c r="I300" s="145"/>
      <c r="J300" s="145"/>
      <c r="K300" s="59"/>
      <c r="L300" s="204"/>
      <c r="M300" s="204"/>
      <c r="N300" s="39"/>
    </row>
    <row r="301" spans="1:14" x14ac:dyDescent="0.25">
      <c r="A301" s="124">
        <f>A300+1</f>
        <v>2</v>
      </c>
      <c r="B301" s="124" t="s">
        <v>352</v>
      </c>
      <c r="C301" s="124">
        <f>(79.22)*10.764</f>
        <v>852.72407999999996</v>
      </c>
      <c r="D301" s="125">
        <f t="shared" ref="D301:D303" si="41">C301*1.2</f>
        <v>1023.2688959999999</v>
      </c>
      <c r="E301" s="124">
        <v>0</v>
      </c>
      <c r="F301" s="124">
        <f t="shared" ref="F301:F303" si="42">C301*(($F$239)+1)+(IF(E301&lt;101,E301,IF(E301&lt;201,E301/2,IF(E301&lt;=301,E301/3,E301/4))))</f>
        <v>1279.0861199999999</v>
      </c>
      <c r="G301" s="146"/>
      <c r="I301" s="59"/>
      <c r="J301" s="59"/>
      <c r="K301" s="59"/>
      <c r="L301" s="59"/>
      <c r="M301" s="59"/>
    </row>
    <row r="302" spans="1:14" x14ac:dyDescent="0.25">
      <c r="A302" s="124">
        <f t="shared" ref="A302:A303" si="43">A301+1</f>
        <v>3</v>
      </c>
      <c r="B302" s="124" t="s">
        <v>350</v>
      </c>
      <c r="C302" s="124">
        <f>(82.18)*10.764</f>
        <v>884.58551999999997</v>
      </c>
      <c r="D302" s="125">
        <f t="shared" si="41"/>
        <v>1061.502624</v>
      </c>
      <c r="E302" s="124">
        <v>0</v>
      </c>
      <c r="F302" s="124">
        <f t="shared" si="42"/>
        <v>1326.8782799999999</v>
      </c>
      <c r="G302" s="146"/>
      <c r="I302" s="59"/>
      <c r="J302" s="59"/>
      <c r="K302" s="59"/>
      <c r="L302" s="59"/>
      <c r="M302" s="59"/>
    </row>
    <row r="303" spans="1:14" ht="15.75" x14ac:dyDescent="0.25">
      <c r="A303" s="124">
        <f t="shared" si="43"/>
        <v>4</v>
      </c>
      <c r="B303" s="124" t="s">
        <v>349</v>
      </c>
      <c r="C303" s="124">
        <f>(62.97)*10.764</f>
        <v>677.80907999999999</v>
      </c>
      <c r="D303" s="125">
        <f t="shared" si="41"/>
        <v>813.37089600000002</v>
      </c>
      <c r="E303" s="124">
        <v>0</v>
      </c>
      <c r="F303" s="124">
        <f t="shared" si="42"/>
        <v>1016.71362</v>
      </c>
      <c r="G303" s="146"/>
      <c r="I303" s="147"/>
      <c r="J303" s="59"/>
      <c r="K303" s="57"/>
      <c r="L303" s="59"/>
      <c r="M303" s="59"/>
    </row>
    <row r="304" spans="1:14" s="132" customFormat="1" ht="15.75" customHeight="1" x14ac:dyDescent="0.25">
      <c r="A304" s="200" t="s">
        <v>420</v>
      </c>
      <c r="B304" s="200"/>
      <c r="C304" s="200"/>
      <c r="D304" s="200"/>
      <c r="E304" s="200"/>
      <c r="F304" s="200"/>
      <c r="G304" s="42">
        <f>1+3+2</f>
        <v>6</v>
      </c>
      <c r="H304" s="42"/>
      <c r="I304" s="131"/>
      <c r="J304" s="131"/>
      <c r="K304" s="59"/>
      <c r="L304" s="131"/>
      <c r="M304" s="131"/>
    </row>
    <row r="305" spans="1:14" s="132" customFormat="1" ht="15.75" customHeight="1" x14ac:dyDescent="0.25">
      <c r="A305" s="124">
        <v>1</v>
      </c>
      <c r="B305" s="124" t="s">
        <v>350</v>
      </c>
      <c r="C305" s="124">
        <f>(89.85)*10.764</f>
        <v>967.14539999999988</v>
      </c>
      <c r="D305" s="125">
        <f>C305*1.2</f>
        <v>1160.5744799999998</v>
      </c>
      <c r="E305" s="124">
        <v>0</v>
      </c>
      <c r="F305" s="124">
        <f>C305*(($F$239)+1)+(IF(E305&lt;101,E305,IF(E305&lt;201,E305/2,IF(E305&lt;=301,E305/3,E305/4))))</f>
        <v>1450.7180999999998</v>
      </c>
      <c r="G305" s="149"/>
      <c r="H305" s="145"/>
      <c r="I305" s="145"/>
      <c r="J305" s="145"/>
      <c r="K305" s="59"/>
      <c r="L305" s="204"/>
      <c r="M305" s="204"/>
      <c r="N305" s="39"/>
    </row>
    <row r="306" spans="1:14" x14ac:dyDescent="0.25">
      <c r="A306" s="124">
        <f>A305+1</f>
        <v>2</v>
      </c>
      <c r="B306" s="124" t="s">
        <v>352</v>
      </c>
      <c r="C306" s="124">
        <f>(79.22)*10.764</f>
        <v>852.72407999999996</v>
      </c>
      <c r="D306" s="125">
        <f t="shared" ref="D306:D308" si="44">C306*1.2</f>
        <v>1023.2688959999999</v>
      </c>
      <c r="E306" s="124">
        <v>0</v>
      </c>
      <c r="F306" s="124">
        <f t="shared" ref="F306:F308" si="45">C306*(($F$239)+1)+(IF(E306&lt;101,E306,IF(E306&lt;201,E306/2,IF(E306&lt;=301,E306/3,E306/4))))</f>
        <v>1279.0861199999999</v>
      </c>
      <c r="G306" s="146"/>
      <c r="I306" s="59"/>
      <c r="J306" s="59"/>
      <c r="K306" s="59"/>
      <c r="L306" s="59"/>
      <c r="M306" s="59"/>
    </row>
    <row r="307" spans="1:14" x14ac:dyDescent="0.25">
      <c r="A307" s="124">
        <f t="shared" ref="A307:A308" si="46">A306+1</f>
        <v>3</v>
      </c>
      <c r="B307" s="124" t="s">
        <v>350</v>
      </c>
      <c r="C307" s="124">
        <f>(82.18)*10.764</f>
        <v>884.58551999999997</v>
      </c>
      <c r="D307" s="125">
        <f t="shared" si="44"/>
        <v>1061.502624</v>
      </c>
      <c r="E307" s="124">
        <v>0</v>
      </c>
      <c r="F307" s="124">
        <f t="shared" si="45"/>
        <v>1326.8782799999999</v>
      </c>
      <c r="G307" s="146"/>
      <c r="I307" s="59"/>
      <c r="J307" s="59"/>
      <c r="K307" s="59"/>
      <c r="L307" s="59"/>
      <c r="M307" s="59"/>
    </row>
    <row r="308" spans="1:14" ht="15.75" x14ac:dyDescent="0.25">
      <c r="A308" s="124">
        <f t="shared" si="46"/>
        <v>4</v>
      </c>
      <c r="B308" s="124" t="s">
        <v>349</v>
      </c>
      <c r="C308" s="124">
        <f>(66.81)*10.764</f>
        <v>719.14283999999998</v>
      </c>
      <c r="D308" s="125">
        <f t="shared" si="44"/>
        <v>862.971408</v>
      </c>
      <c r="E308" s="124">
        <v>0</v>
      </c>
      <c r="F308" s="124">
        <f t="shared" si="45"/>
        <v>1078.71426</v>
      </c>
      <c r="G308" s="146"/>
      <c r="I308" s="147"/>
      <c r="J308" s="59"/>
      <c r="K308" s="57"/>
      <c r="L308" s="59"/>
      <c r="M308" s="59"/>
    </row>
    <row r="309" spans="1:14" s="132" customFormat="1" ht="15.75" customHeight="1" x14ac:dyDescent="0.25">
      <c r="A309" s="200" t="s">
        <v>367</v>
      </c>
      <c r="B309" s="200"/>
      <c r="C309" s="200"/>
      <c r="D309" s="200"/>
      <c r="E309" s="200"/>
      <c r="F309" s="200"/>
      <c r="G309" s="42">
        <v>2</v>
      </c>
      <c r="H309" s="42"/>
      <c r="I309" s="131"/>
      <c r="J309" s="131"/>
      <c r="K309" s="59"/>
      <c r="L309" s="131"/>
      <c r="M309" s="131"/>
    </row>
    <row r="310" spans="1:14" s="132" customFormat="1" ht="15.75" customHeight="1" x14ac:dyDescent="0.25">
      <c r="A310" s="124">
        <v>1</v>
      </c>
      <c r="B310" s="189" t="s">
        <v>348</v>
      </c>
      <c r="C310" s="190"/>
      <c r="D310" s="190"/>
      <c r="E310" s="190"/>
      <c r="F310" s="191"/>
      <c r="G310" s="149"/>
      <c r="H310" s="145"/>
      <c r="I310" s="145"/>
      <c r="J310" s="145"/>
      <c r="K310" s="59"/>
      <c r="L310" s="204"/>
      <c r="M310" s="204"/>
      <c r="N310" s="39"/>
    </row>
    <row r="311" spans="1:14" x14ac:dyDescent="0.25">
      <c r="A311" s="124">
        <f>A310+1</f>
        <v>2</v>
      </c>
      <c r="B311" s="124" t="s">
        <v>352</v>
      </c>
      <c r="C311" s="124">
        <f>(79.22)*10.764</f>
        <v>852.72407999999996</v>
      </c>
      <c r="D311" s="125">
        <f t="shared" ref="D311:D313" si="47">C311*1.2</f>
        <v>1023.2688959999999</v>
      </c>
      <c r="E311" s="124">
        <v>0</v>
      </c>
      <c r="F311" s="124">
        <f t="shared" ref="F311:F313" si="48">C311*(($F$239)+1)+(IF(E311&lt;101,E311,IF(E311&lt;201,E311/2,IF(E311&lt;=301,E311/3,E311/4))))</f>
        <v>1279.0861199999999</v>
      </c>
      <c r="G311" s="146"/>
      <c r="I311" s="59"/>
      <c r="J311" s="59"/>
      <c r="K311" s="59"/>
      <c r="L311" s="59"/>
      <c r="M311" s="59"/>
    </row>
    <row r="312" spans="1:14" x14ac:dyDescent="0.25">
      <c r="A312" s="124">
        <f t="shared" ref="A312:A313" si="49">A311+1</f>
        <v>3</v>
      </c>
      <c r="B312" s="124" t="s">
        <v>350</v>
      </c>
      <c r="C312" s="124">
        <f>(82.18)*10.764</f>
        <v>884.58551999999997</v>
      </c>
      <c r="D312" s="125">
        <f t="shared" si="47"/>
        <v>1061.502624</v>
      </c>
      <c r="E312" s="124">
        <v>0</v>
      </c>
      <c r="F312" s="124">
        <f t="shared" si="48"/>
        <v>1326.8782799999999</v>
      </c>
      <c r="G312" s="146"/>
      <c r="I312" s="59"/>
      <c r="J312" s="59"/>
      <c r="K312" s="59"/>
      <c r="L312" s="59"/>
      <c r="M312" s="59"/>
    </row>
    <row r="313" spans="1:14" ht="15.75" x14ac:dyDescent="0.25">
      <c r="A313" s="124">
        <f t="shared" si="49"/>
        <v>4</v>
      </c>
      <c r="B313" s="124" t="s">
        <v>349</v>
      </c>
      <c r="C313" s="124">
        <f>(66.81)*10.764</f>
        <v>719.14283999999998</v>
      </c>
      <c r="D313" s="125">
        <f t="shared" si="47"/>
        <v>862.971408</v>
      </c>
      <c r="E313" s="124">
        <v>0</v>
      </c>
      <c r="F313" s="124">
        <f t="shared" si="48"/>
        <v>1078.71426</v>
      </c>
      <c r="G313" s="146"/>
      <c r="I313" s="147"/>
      <c r="J313" s="59"/>
      <c r="K313" s="57"/>
      <c r="L313" s="59"/>
      <c r="M313" s="59"/>
    </row>
    <row r="314" spans="1:14" s="132" customFormat="1" ht="15.75" customHeight="1" x14ac:dyDescent="0.25">
      <c r="A314" s="200" t="s">
        <v>368</v>
      </c>
      <c r="B314" s="200"/>
      <c r="C314" s="200"/>
      <c r="D314" s="200"/>
      <c r="E314" s="200"/>
      <c r="F314" s="200"/>
      <c r="G314" s="42">
        <v>3</v>
      </c>
      <c r="H314" s="42"/>
      <c r="I314" s="131"/>
      <c r="J314" s="131"/>
      <c r="K314" s="59"/>
      <c r="L314" s="131"/>
      <c r="M314" s="131"/>
    </row>
    <row r="315" spans="1:14" s="132" customFormat="1" ht="15.75" customHeight="1" x14ac:dyDescent="0.25">
      <c r="A315" s="124">
        <v>1</v>
      </c>
      <c r="B315" s="124" t="s">
        <v>350</v>
      </c>
      <c r="C315" s="124">
        <f>(89.85)*10.764</f>
        <v>967.14539999999988</v>
      </c>
      <c r="D315" s="125">
        <f>C315*1.2</f>
        <v>1160.5744799999998</v>
      </c>
      <c r="E315" s="124">
        <v>0</v>
      </c>
      <c r="F315" s="124">
        <f>C315*(($F$239)+1)+(IF(E315&lt;101,E315,IF(E315&lt;201,E315/2,IF(E315&lt;=301,E315/3,E315/4))))</f>
        <v>1450.7180999999998</v>
      </c>
      <c r="G315" s="149"/>
      <c r="H315" s="145"/>
      <c r="I315" s="145">
        <f>26200000/F315</f>
        <v>18060.021447309442</v>
      </c>
      <c r="J315" s="145"/>
      <c r="K315" s="59"/>
      <c r="L315" s="204"/>
      <c r="M315" s="204"/>
      <c r="N315" s="39"/>
    </row>
    <row r="316" spans="1:14" ht="15.75" x14ac:dyDescent="0.25">
      <c r="A316" s="124">
        <f>A315+1</f>
        <v>2</v>
      </c>
      <c r="B316" s="124" t="s">
        <v>352</v>
      </c>
      <c r="C316" s="124">
        <f>(79.22)*10.764</f>
        <v>852.72407999999996</v>
      </c>
      <c r="D316" s="125">
        <f t="shared" ref="D316:D318" si="50">C316*1.2</f>
        <v>1023.2688959999999</v>
      </c>
      <c r="E316" s="124">
        <v>0</v>
      </c>
      <c r="F316" s="124">
        <f t="shared" ref="F316:F318" si="51">C316*(($F$239)+1)+(IF(E316&lt;101,E316,IF(E316&lt;201,E316/2,IF(E316&lt;=301,E316/3,E316/4))))</f>
        <v>1279.0861199999999</v>
      </c>
      <c r="G316" s="146"/>
      <c r="I316" s="145">
        <f>25938000/F315</f>
        <v>17879.421232836346</v>
      </c>
      <c r="J316" s="59"/>
      <c r="K316" s="59"/>
      <c r="L316" s="59"/>
      <c r="M316" s="59"/>
    </row>
    <row r="317" spans="1:14" x14ac:dyDescent="0.25">
      <c r="A317" s="124">
        <f t="shared" ref="A317:A318" si="52">A316+1</f>
        <v>3</v>
      </c>
      <c r="B317" s="124" t="s">
        <v>350</v>
      </c>
      <c r="C317" s="124">
        <f>(82.18)*10.764</f>
        <v>884.58551999999997</v>
      </c>
      <c r="D317" s="125">
        <f t="shared" si="50"/>
        <v>1061.502624</v>
      </c>
      <c r="E317" s="124">
        <v>0</v>
      </c>
      <c r="F317" s="124">
        <f t="shared" si="51"/>
        <v>1326.8782799999999</v>
      </c>
      <c r="G317" s="146"/>
      <c r="I317" s="59"/>
      <c r="J317" s="59"/>
      <c r="K317" s="59"/>
      <c r="L317" s="59"/>
      <c r="M317" s="59"/>
    </row>
    <row r="318" spans="1:14" ht="15.75" x14ac:dyDescent="0.25">
      <c r="A318" s="124">
        <f t="shared" si="52"/>
        <v>4</v>
      </c>
      <c r="B318" s="124" t="s">
        <v>349</v>
      </c>
      <c r="C318" s="124">
        <f>(66.81)*10.764</f>
        <v>719.14283999999998</v>
      </c>
      <c r="D318" s="125">
        <f t="shared" si="50"/>
        <v>862.971408</v>
      </c>
      <c r="E318" s="124">
        <v>0</v>
      </c>
      <c r="F318" s="124">
        <f t="shared" si="51"/>
        <v>1078.71426</v>
      </c>
      <c r="G318" s="146"/>
      <c r="I318" s="147"/>
      <c r="J318" s="59"/>
      <c r="K318" s="57"/>
      <c r="L318" s="59"/>
      <c r="M318" s="59"/>
    </row>
    <row r="319" spans="1:14" s="132" customFormat="1" ht="15.75" customHeight="1" x14ac:dyDescent="0.25">
      <c r="A319" s="200" t="s">
        <v>369</v>
      </c>
      <c r="B319" s="200"/>
      <c r="C319" s="200"/>
      <c r="D319" s="200"/>
      <c r="E319" s="200"/>
      <c r="F319" s="200"/>
      <c r="G319" s="42">
        <v>1</v>
      </c>
      <c r="H319" s="42"/>
      <c r="I319" s="131"/>
      <c r="J319" s="131"/>
      <c r="K319" s="59"/>
      <c r="L319" s="131"/>
      <c r="M319" s="131"/>
    </row>
    <row r="320" spans="1:14" s="132" customFormat="1" ht="15.75" customHeight="1" x14ac:dyDescent="0.25">
      <c r="A320" s="124">
        <v>1</v>
      </c>
      <c r="B320" s="124" t="s">
        <v>350</v>
      </c>
      <c r="C320" s="124">
        <f>(89.85)*10.764</f>
        <v>967.14539999999988</v>
      </c>
      <c r="D320" s="125">
        <f>C320*1.2</f>
        <v>1160.5744799999998</v>
      </c>
      <c r="E320" s="124">
        <v>0</v>
      </c>
      <c r="F320" s="124">
        <f>C320*(($F$239)+1)+(IF(E320&lt;101,E320,IF(E320&lt;201,E320/2,IF(E320&lt;=301,E320/3,E320/4))))</f>
        <v>1450.7180999999998</v>
      </c>
      <c r="G320" s="149"/>
      <c r="H320" s="145"/>
      <c r="I320" s="145">
        <f>25200000/F320</f>
        <v>17370.707651610606</v>
      </c>
      <c r="J320" s="145"/>
      <c r="K320" s="59"/>
      <c r="L320" s="204"/>
      <c r="M320" s="204"/>
      <c r="N320" s="39"/>
    </row>
    <row r="321" spans="1:15" x14ac:dyDescent="0.25">
      <c r="A321" s="124">
        <f>A320+1</f>
        <v>2</v>
      </c>
      <c r="B321" s="124" t="s">
        <v>352</v>
      </c>
      <c r="C321" s="124">
        <f>(79.22)*10.764</f>
        <v>852.72407999999996</v>
      </c>
      <c r="D321" s="125">
        <f t="shared" ref="D321:D323" si="53">C321*1.2</f>
        <v>1023.2688959999999</v>
      </c>
      <c r="E321" s="124">
        <v>0</v>
      </c>
      <c r="F321" s="124">
        <f t="shared" ref="F321:F323" si="54">C321*(($F$239)+1)+(IF(E321&lt;101,E321,IF(E321&lt;201,E321/2,IF(E321&lt;=301,E321/3,E321/4))))</f>
        <v>1279.0861199999999</v>
      </c>
      <c r="G321" s="146"/>
      <c r="I321" s="59"/>
      <c r="J321" s="59"/>
      <c r="K321" s="59"/>
      <c r="L321" s="59"/>
      <c r="M321" s="59"/>
    </row>
    <row r="322" spans="1:15" x14ac:dyDescent="0.25">
      <c r="A322" s="124">
        <f t="shared" ref="A322:A323" si="55">A321+1</f>
        <v>3</v>
      </c>
      <c r="B322" s="124" t="s">
        <v>350</v>
      </c>
      <c r="C322" s="124">
        <f>(82.18)*10.764</f>
        <v>884.58551999999997</v>
      </c>
      <c r="D322" s="125">
        <f t="shared" si="53"/>
        <v>1061.502624</v>
      </c>
      <c r="E322" s="124">
        <v>0</v>
      </c>
      <c r="F322" s="124">
        <f t="shared" si="54"/>
        <v>1326.8782799999999</v>
      </c>
      <c r="G322" s="146"/>
      <c r="I322" s="59"/>
      <c r="J322" s="59"/>
      <c r="K322" s="59"/>
      <c r="L322" s="59"/>
      <c r="M322" s="59"/>
    </row>
    <row r="323" spans="1:15" ht="15.75" x14ac:dyDescent="0.25">
      <c r="A323" s="124">
        <f t="shared" si="55"/>
        <v>4</v>
      </c>
      <c r="B323" s="124" t="s">
        <v>349</v>
      </c>
      <c r="C323" s="124">
        <f>(66.81)*10.764</f>
        <v>719.14283999999998</v>
      </c>
      <c r="D323" s="125">
        <f t="shared" si="53"/>
        <v>862.971408</v>
      </c>
      <c r="E323" s="124">
        <v>0</v>
      </c>
      <c r="F323" s="124">
        <f t="shared" si="54"/>
        <v>1078.71426</v>
      </c>
      <c r="G323" s="146"/>
      <c r="I323" s="147"/>
      <c r="J323" s="59"/>
      <c r="K323" s="57"/>
      <c r="L323" s="59"/>
      <c r="M323" s="59"/>
    </row>
    <row r="324" spans="1:15" s="132" customFormat="1" ht="15.75" hidden="1" customHeight="1" x14ac:dyDescent="0.25">
      <c r="A324" s="200" t="s">
        <v>370</v>
      </c>
      <c r="B324" s="200"/>
      <c r="C324" s="200"/>
      <c r="D324" s="200"/>
      <c r="E324" s="200"/>
      <c r="F324" s="200"/>
      <c r="G324" s="42">
        <v>1</v>
      </c>
      <c r="H324" s="42"/>
      <c r="I324" s="131"/>
      <c r="J324" s="131"/>
      <c r="K324" s="59"/>
      <c r="L324" s="131"/>
      <c r="M324" s="131"/>
    </row>
    <row r="325" spans="1:15" s="36" customFormat="1" ht="15.75" x14ac:dyDescent="0.25">
      <c r="A325" s="287" t="s">
        <v>373</v>
      </c>
      <c r="B325" s="287"/>
      <c r="C325" s="287"/>
      <c r="D325" s="287"/>
      <c r="E325" s="287"/>
      <c r="F325" s="288"/>
      <c r="G325" s="196"/>
      <c r="H325" s="196"/>
      <c r="I325" s="196"/>
      <c r="J325" s="196"/>
      <c r="K325" s="196"/>
    </row>
    <row r="326" spans="1:15" s="132" customFormat="1" ht="15.75" customHeight="1" x14ac:dyDescent="0.25">
      <c r="A326" s="200" t="s">
        <v>347</v>
      </c>
      <c r="B326" s="200"/>
      <c r="C326" s="200"/>
      <c r="D326" s="200"/>
      <c r="E326" s="200"/>
      <c r="F326" s="200"/>
      <c r="G326" s="42">
        <v>1</v>
      </c>
      <c r="H326" s="42"/>
      <c r="I326" s="131"/>
      <c r="J326" s="131"/>
      <c r="K326" s="59"/>
      <c r="L326" s="131"/>
      <c r="M326" s="131"/>
    </row>
    <row r="327" spans="1:15" s="132" customFormat="1" ht="15.75" x14ac:dyDescent="0.25">
      <c r="A327" s="124">
        <v>1</v>
      </c>
      <c r="B327" s="124" t="s">
        <v>349</v>
      </c>
      <c r="C327" s="124">
        <f>(61.47)*10.764</f>
        <v>661.66307999999992</v>
      </c>
      <c r="D327" s="125">
        <f t="shared" ref="D327" si="56">C327*1.2</f>
        <v>793.99569599999984</v>
      </c>
      <c r="E327" s="124">
        <v>0</v>
      </c>
      <c r="F327" s="124">
        <f t="shared" ref="F327" si="57">C327*(($F$239)+1)+(IF(E327&lt;101,E327,IF(E327&lt;201,E327/2,IF(E327&lt;=301,E327/3,E327/4))))</f>
        <v>992.49461999999994</v>
      </c>
      <c r="G327" s="145"/>
      <c r="H327" s="145"/>
      <c r="I327" s="157">
        <v>1</v>
      </c>
      <c r="J327" s="160" t="s">
        <v>377</v>
      </c>
      <c r="K327" s="151" t="s">
        <v>378</v>
      </c>
      <c r="L327" s="160" t="s">
        <v>379</v>
      </c>
      <c r="M327" s="156" t="s">
        <v>380</v>
      </c>
      <c r="N327" s="154"/>
      <c r="O327" s="131"/>
    </row>
    <row r="328" spans="1:15" x14ac:dyDescent="0.25">
      <c r="A328" s="124">
        <f>A327+1</f>
        <v>2</v>
      </c>
      <c r="B328" s="124" t="s">
        <v>349</v>
      </c>
      <c r="C328" s="124">
        <f>(65.58)*10.764</f>
        <v>705.90311999999994</v>
      </c>
      <c r="D328" s="125">
        <f t="shared" ref="D328:D330" si="58">C328*1.2</f>
        <v>847.08374399999991</v>
      </c>
      <c r="E328" s="124">
        <v>0</v>
      </c>
      <c r="F328" s="124">
        <f t="shared" ref="F328:F330" si="59">C328*(($F$239)+1)+(IF(E328&lt;101,E328,IF(E328&lt;201,E328/2,IF(E328&lt;=301,E328/3,E328/4))))</f>
        <v>1058.8546799999999</v>
      </c>
      <c r="I328" s="158">
        <v>2</v>
      </c>
      <c r="J328" s="161" t="s">
        <v>377</v>
      </c>
      <c r="K328" s="155" t="s">
        <v>381</v>
      </c>
      <c r="L328" s="161" t="s">
        <v>379</v>
      </c>
      <c r="M328" s="155" t="s">
        <v>389</v>
      </c>
      <c r="N328" s="155"/>
      <c r="O328" s="153"/>
    </row>
    <row r="329" spans="1:15" x14ac:dyDescent="0.25">
      <c r="A329" s="124">
        <f t="shared" ref="A329:A332" si="60">A328+1</f>
        <v>3</v>
      </c>
      <c r="B329" s="124" t="s">
        <v>392</v>
      </c>
      <c r="C329" s="124">
        <f>(42.87)*10.764</f>
        <v>461.45267999999993</v>
      </c>
      <c r="D329" s="125">
        <f t="shared" si="58"/>
        <v>553.74321599999985</v>
      </c>
      <c r="E329" s="124">
        <v>0</v>
      </c>
      <c r="F329" s="124">
        <f t="shared" si="59"/>
        <v>692.17901999999992</v>
      </c>
      <c r="I329" s="158">
        <v>3</v>
      </c>
      <c r="J329" s="161" t="s">
        <v>355</v>
      </c>
      <c r="K329" s="155" t="s">
        <v>385</v>
      </c>
      <c r="L329" s="161"/>
      <c r="M329" s="155"/>
      <c r="N329" s="155"/>
      <c r="O329" s="153"/>
    </row>
    <row r="330" spans="1:15" ht="15.75" customHeight="1" x14ac:dyDescent="0.25">
      <c r="A330" s="124">
        <f t="shared" si="60"/>
        <v>4</v>
      </c>
      <c r="B330" s="124" t="s">
        <v>392</v>
      </c>
      <c r="C330" s="124">
        <f>(42.58)*10.764</f>
        <v>458.33111999999994</v>
      </c>
      <c r="D330" s="125">
        <f t="shared" si="58"/>
        <v>549.99734399999988</v>
      </c>
      <c r="E330" s="124">
        <v>0</v>
      </c>
      <c r="F330" s="124">
        <f t="shared" si="59"/>
        <v>687.49667999999997</v>
      </c>
      <c r="I330" s="158">
        <v>4</v>
      </c>
      <c r="J330" s="161" t="s">
        <v>355</v>
      </c>
      <c r="K330" s="155" t="s">
        <v>386</v>
      </c>
      <c r="L330" s="161"/>
      <c r="M330" s="155"/>
      <c r="N330" s="155"/>
      <c r="O330" s="153"/>
    </row>
    <row r="331" spans="1:15" ht="15.75" customHeight="1" x14ac:dyDescent="0.25">
      <c r="A331" s="124">
        <f t="shared" si="60"/>
        <v>5</v>
      </c>
      <c r="B331" s="189" t="s">
        <v>348</v>
      </c>
      <c r="C331" s="190"/>
      <c r="D331" s="190"/>
      <c r="E331" s="190"/>
      <c r="F331" s="191"/>
      <c r="I331" s="159">
        <v>5</v>
      </c>
      <c r="J331" s="161" t="s">
        <v>382</v>
      </c>
      <c r="K331" s="155" t="s">
        <v>383</v>
      </c>
      <c r="L331" s="161" t="s">
        <v>387</v>
      </c>
      <c r="M331" s="155" t="s">
        <v>388</v>
      </c>
      <c r="N331" s="155"/>
      <c r="O331" s="153"/>
    </row>
    <row r="332" spans="1:15" ht="15.75" customHeight="1" x14ac:dyDescent="0.25">
      <c r="A332" s="124">
        <f t="shared" si="60"/>
        <v>6</v>
      </c>
      <c r="B332" s="189" t="s">
        <v>390</v>
      </c>
      <c r="C332" s="190"/>
      <c r="D332" s="190"/>
      <c r="E332" s="190"/>
      <c r="F332" s="191"/>
      <c r="I332" s="335">
        <v>6</v>
      </c>
      <c r="J332" s="334" t="s">
        <v>384</v>
      </c>
      <c r="K332" s="336">
        <v>64.19</v>
      </c>
      <c r="L332" s="161"/>
      <c r="M332" s="155"/>
      <c r="N332" s="155"/>
      <c r="O332" s="153"/>
    </row>
    <row r="333" spans="1:15" s="132" customFormat="1" ht="15.75" customHeight="1" x14ac:dyDescent="0.25">
      <c r="A333" s="200" t="s">
        <v>351</v>
      </c>
      <c r="B333" s="200"/>
      <c r="C333" s="200"/>
      <c r="D333" s="200"/>
      <c r="E333" s="200"/>
      <c r="F333" s="200"/>
      <c r="G333" s="42">
        <v>3</v>
      </c>
      <c r="H333" s="42"/>
      <c r="I333" s="335"/>
      <c r="J333" s="334"/>
      <c r="K333" s="336"/>
      <c r="L333" s="153"/>
      <c r="M333" s="153"/>
      <c r="N333" s="153"/>
      <c r="O333" s="153"/>
    </row>
    <row r="334" spans="1:15" s="132" customFormat="1" ht="15.75" customHeight="1" x14ac:dyDescent="0.25">
      <c r="A334" s="124">
        <v>1</v>
      </c>
      <c r="B334" s="124" t="s">
        <v>349</v>
      </c>
      <c r="C334" s="124">
        <f>(61.47)*10.764</f>
        <v>661.66307999999992</v>
      </c>
      <c r="D334" s="125">
        <f>C334*1.2</f>
        <v>793.99569599999984</v>
      </c>
      <c r="E334" s="124">
        <v>0</v>
      </c>
      <c r="F334" s="124">
        <f>C334*(($F$239)+1)+(IF(E334&lt;101,E334,IF(E334&lt;201,E334/2,IF(E334&lt;=301,E334/3,E334/4))))</f>
        <v>992.49461999999994</v>
      </c>
      <c r="I334" s="153"/>
      <c r="J334" s="153"/>
      <c r="K334" s="153"/>
      <c r="L334" s="153"/>
      <c r="M334" s="153"/>
      <c r="N334" s="153"/>
      <c r="O334" s="153"/>
    </row>
    <row r="335" spans="1:15" x14ac:dyDescent="0.25">
      <c r="A335" s="124">
        <f>A334+1</f>
        <v>2</v>
      </c>
      <c r="B335" s="124" t="s">
        <v>349</v>
      </c>
      <c r="C335" s="124">
        <f>(65.58)*10.764</f>
        <v>705.90311999999994</v>
      </c>
      <c r="D335" s="125">
        <f t="shared" ref="D335:D337" si="61">C335*1.2</f>
        <v>847.08374399999991</v>
      </c>
      <c r="E335" s="124">
        <v>0</v>
      </c>
      <c r="F335" s="124">
        <f t="shared" ref="F335:F337" si="62">C335*(($F$239)+1)+(IF(E335&lt;101,E335,IF(E335&lt;201,E335/2,IF(E335&lt;=301,E335/3,E335/4))))</f>
        <v>1058.8546799999999</v>
      </c>
      <c r="I335" s="153"/>
      <c r="J335" s="153"/>
      <c r="K335" s="153"/>
      <c r="L335" s="153"/>
      <c r="M335" s="153"/>
      <c r="N335" s="153"/>
      <c r="O335" s="153"/>
    </row>
    <row r="336" spans="1:15" x14ac:dyDescent="0.25">
      <c r="A336" s="124">
        <f t="shared" ref="A336:A339" si="63">A335+1</f>
        <v>3</v>
      </c>
      <c r="B336" s="124" t="s">
        <v>392</v>
      </c>
      <c r="C336" s="124">
        <f>(42.87)*10.764</f>
        <v>461.45267999999993</v>
      </c>
      <c r="D336" s="125">
        <f t="shared" si="61"/>
        <v>553.74321599999985</v>
      </c>
      <c r="E336" s="124">
        <v>0</v>
      </c>
      <c r="F336" s="124">
        <f t="shared" si="62"/>
        <v>692.17901999999992</v>
      </c>
      <c r="I336" s="151"/>
      <c r="J336" s="59"/>
      <c r="K336" s="59"/>
      <c r="L336" s="59"/>
      <c r="M336" s="59"/>
      <c r="N336" s="59"/>
      <c r="O336" s="59"/>
    </row>
    <row r="337" spans="1:15" x14ac:dyDescent="0.25">
      <c r="A337" s="124">
        <f t="shared" si="63"/>
        <v>4</v>
      </c>
      <c r="B337" s="124" t="s">
        <v>392</v>
      </c>
      <c r="C337" s="124">
        <f>(42.58)*10.764</f>
        <v>458.33111999999994</v>
      </c>
      <c r="D337" s="125">
        <f t="shared" si="61"/>
        <v>549.99734399999988</v>
      </c>
      <c r="E337" s="124">
        <v>0</v>
      </c>
      <c r="F337" s="124">
        <f t="shared" si="62"/>
        <v>687.49667999999997</v>
      </c>
      <c r="I337" s="151"/>
      <c r="J337" s="59"/>
      <c r="K337" s="147"/>
      <c r="L337" s="59"/>
      <c r="M337" s="59"/>
      <c r="N337" s="59"/>
      <c r="O337" s="59"/>
    </row>
    <row r="338" spans="1:15" x14ac:dyDescent="0.25">
      <c r="A338" s="124">
        <f t="shared" si="63"/>
        <v>5</v>
      </c>
      <c r="B338" s="189" t="s">
        <v>393</v>
      </c>
      <c r="C338" s="190"/>
      <c r="D338" s="190"/>
      <c r="E338" s="190"/>
      <c r="F338" s="191"/>
      <c r="I338" s="146"/>
      <c r="K338" s="147"/>
      <c r="L338" s="59"/>
      <c r="M338" s="59"/>
    </row>
    <row r="339" spans="1:15" ht="15" customHeight="1" x14ac:dyDescent="0.25">
      <c r="A339" s="124">
        <f t="shared" si="63"/>
        <v>6</v>
      </c>
      <c r="B339" s="189" t="s">
        <v>390</v>
      </c>
      <c r="C339" s="190"/>
      <c r="D339" s="190"/>
      <c r="E339" s="190"/>
      <c r="F339" s="191"/>
      <c r="I339" s="146"/>
      <c r="K339" s="147"/>
      <c r="L339" s="59"/>
      <c r="M339" s="59"/>
    </row>
    <row r="340" spans="1:15" s="132" customFormat="1" ht="15.75" customHeight="1" x14ac:dyDescent="0.25">
      <c r="A340" s="200" t="s">
        <v>358</v>
      </c>
      <c r="B340" s="200"/>
      <c r="C340" s="200"/>
      <c r="D340" s="200"/>
      <c r="E340" s="200"/>
      <c r="F340" s="200"/>
      <c r="G340" s="42">
        <v>4</v>
      </c>
      <c r="H340" s="42"/>
      <c r="I340" s="131"/>
      <c r="J340" s="131"/>
      <c r="K340" s="59"/>
      <c r="L340" s="131"/>
      <c r="M340" s="131"/>
    </row>
    <row r="341" spans="1:15" s="132" customFormat="1" ht="15.75" customHeight="1" x14ac:dyDescent="0.25">
      <c r="A341" s="124">
        <v>1</v>
      </c>
      <c r="B341" s="124" t="s">
        <v>349</v>
      </c>
      <c r="C341" s="124">
        <f>(61.47)*10.764</f>
        <v>661.66307999999992</v>
      </c>
      <c r="D341" s="125">
        <f>C341*1.2</f>
        <v>793.99569599999984</v>
      </c>
      <c r="E341" s="124">
        <v>0</v>
      </c>
      <c r="F341" s="124">
        <f>C341*(($F$239)+1)+(IF(E341&lt;101,E341,IF(E341&lt;201,E341/2,IF(E341&lt;=301,E341/3,E341/4))))</f>
        <v>992.49461999999994</v>
      </c>
      <c r="G341" s="149"/>
      <c r="H341" s="145"/>
      <c r="I341" s="145"/>
      <c r="J341" s="145"/>
      <c r="K341" s="59"/>
      <c r="L341" s="204"/>
      <c r="M341" s="204"/>
      <c r="N341" s="39"/>
    </row>
    <row r="342" spans="1:15" x14ac:dyDescent="0.25">
      <c r="A342" s="124">
        <f>A341+1</f>
        <v>2</v>
      </c>
      <c r="B342" s="124" t="s">
        <v>349</v>
      </c>
      <c r="C342" s="124">
        <f>(65.58)*10.764</f>
        <v>705.90311999999994</v>
      </c>
      <c r="D342" s="125">
        <f t="shared" ref="D342:D344" si="64">C342*1.2</f>
        <v>847.08374399999991</v>
      </c>
      <c r="E342" s="124">
        <v>0</v>
      </c>
      <c r="F342" s="124">
        <f t="shared" ref="F342:F344" si="65">C342*(($F$239)+1)+(IF(E342&lt;101,E342,IF(E342&lt;201,E342/2,IF(E342&lt;=301,E342/3,E342/4))))</f>
        <v>1058.8546799999999</v>
      </c>
      <c r="G342" s="146"/>
      <c r="I342" s="59"/>
      <c r="J342" s="59"/>
      <c r="K342" s="59"/>
      <c r="L342" s="59"/>
      <c r="M342" s="59"/>
    </row>
    <row r="343" spans="1:15" x14ac:dyDescent="0.25">
      <c r="A343" s="124">
        <f t="shared" ref="A343:A346" si="66">A342+1</f>
        <v>3</v>
      </c>
      <c r="B343" s="124" t="s">
        <v>392</v>
      </c>
      <c r="C343" s="124">
        <f>(42.87)*10.764</f>
        <v>461.45267999999993</v>
      </c>
      <c r="D343" s="125">
        <f t="shared" si="64"/>
        <v>553.74321599999985</v>
      </c>
      <c r="E343" s="124">
        <v>0</v>
      </c>
      <c r="F343" s="124">
        <f t="shared" si="65"/>
        <v>692.17901999999992</v>
      </c>
      <c r="G343" s="146"/>
      <c r="I343" s="59"/>
      <c r="J343" s="59"/>
      <c r="K343" s="59"/>
      <c r="L343" s="59"/>
      <c r="M343" s="59"/>
    </row>
    <row r="344" spans="1:15" ht="15.75" x14ac:dyDescent="0.25">
      <c r="A344" s="124">
        <f t="shared" si="66"/>
        <v>4</v>
      </c>
      <c r="B344" s="124" t="s">
        <v>392</v>
      </c>
      <c r="C344" s="124">
        <f>(42.58)*10.764</f>
        <v>458.33111999999994</v>
      </c>
      <c r="D344" s="125">
        <f t="shared" si="64"/>
        <v>549.99734399999988</v>
      </c>
      <c r="E344" s="124">
        <v>0</v>
      </c>
      <c r="F344" s="124">
        <f t="shared" si="65"/>
        <v>687.49667999999997</v>
      </c>
      <c r="G344" s="146"/>
      <c r="I344" s="147"/>
      <c r="J344" s="59"/>
      <c r="K344" s="57"/>
      <c r="L344" s="59"/>
      <c r="M344" s="59"/>
    </row>
    <row r="345" spans="1:15" ht="15.75" x14ac:dyDescent="0.25">
      <c r="A345" s="124">
        <f t="shared" si="66"/>
        <v>5</v>
      </c>
      <c r="B345" s="124" t="s">
        <v>349</v>
      </c>
      <c r="C345" s="124">
        <f>(56.8)*10.764</f>
        <v>611.39519999999993</v>
      </c>
      <c r="D345" s="125">
        <f t="shared" ref="D345" si="67">C345*1.2</f>
        <v>733.67423999999994</v>
      </c>
      <c r="E345" s="124">
        <v>0</v>
      </c>
      <c r="F345" s="124">
        <f t="shared" ref="F345" si="68">C345*(($F$239)+1)+(IF(E345&lt;101,E345,IF(E345&lt;201,E345/2,IF(E345&lt;=301,E345/3,E345/4))))</f>
        <v>917.0927999999999</v>
      </c>
      <c r="G345" s="146"/>
      <c r="I345" s="147"/>
      <c r="J345" s="59"/>
      <c r="K345" s="57"/>
      <c r="L345" s="59"/>
      <c r="M345" s="59"/>
    </row>
    <row r="346" spans="1:15" ht="15.75" x14ac:dyDescent="0.25">
      <c r="A346" s="124">
        <f t="shared" si="66"/>
        <v>6</v>
      </c>
      <c r="B346" s="189" t="s">
        <v>390</v>
      </c>
      <c r="C346" s="190"/>
      <c r="D346" s="190"/>
      <c r="E346" s="190"/>
      <c r="F346" s="191"/>
      <c r="G346" s="146"/>
      <c r="I346" s="147"/>
      <c r="J346" s="59"/>
      <c r="K346" s="57"/>
      <c r="L346" s="59"/>
      <c r="M346" s="59"/>
    </row>
    <row r="347" spans="1:15" s="132" customFormat="1" ht="15.75" customHeight="1" x14ac:dyDescent="0.25">
      <c r="A347" s="200" t="s">
        <v>359</v>
      </c>
      <c r="B347" s="200"/>
      <c r="C347" s="200"/>
      <c r="D347" s="200"/>
      <c r="E347" s="200"/>
      <c r="F347" s="200"/>
      <c r="G347" s="42">
        <v>3</v>
      </c>
      <c r="H347" s="42"/>
      <c r="I347" s="131"/>
      <c r="J347" s="131"/>
      <c r="K347" s="59"/>
      <c r="L347" s="131"/>
      <c r="M347" s="131"/>
    </row>
    <row r="348" spans="1:15" s="132" customFormat="1" ht="15.75" customHeight="1" x14ac:dyDescent="0.25">
      <c r="A348" s="124">
        <v>1</v>
      </c>
      <c r="B348" s="124" t="s">
        <v>349</v>
      </c>
      <c r="C348" s="124">
        <f>(61.47)*10.764</f>
        <v>661.66307999999992</v>
      </c>
      <c r="D348" s="125">
        <f>C348*1.2</f>
        <v>793.99569599999984</v>
      </c>
      <c r="E348" s="124">
        <v>0</v>
      </c>
      <c r="F348" s="124">
        <f>C348*(($F$239)+1)+(IF(E348&lt;101,E348,IF(E348&lt;201,E348/2,IF(E348&lt;=301,E348/3,E348/4))))</f>
        <v>992.49461999999994</v>
      </c>
      <c r="G348" s="149"/>
      <c r="H348" s="145"/>
      <c r="I348" s="145"/>
      <c r="J348" s="145"/>
      <c r="K348" s="59"/>
      <c r="L348" s="204"/>
      <c r="M348" s="204"/>
      <c r="N348" s="39"/>
    </row>
    <row r="349" spans="1:15" x14ac:dyDescent="0.25">
      <c r="A349" s="124">
        <f>A348+1</f>
        <v>2</v>
      </c>
      <c r="B349" s="124" t="s">
        <v>349</v>
      </c>
      <c r="C349" s="124">
        <f>(65.58)*10.764</f>
        <v>705.90311999999994</v>
      </c>
      <c r="D349" s="125">
        <f t="shared" ref="D349:D351" si="69">C349*1.2</f>
        <v>847.08374399999991</v>
      </c>
      <c r="E349" s="124">
        <v>0</v>
      </c>
      <c r="F349" s="124">
        <f t="shared" ref="F349:F351" si="70">C349*(($F$239)+1)+(IF(E349&lt;101,E349,IF(E349&lt;201,E349/2,IF(E349&lt;=301,E349/3,E349/4))))</f>
        <v>1058.8546799999999</v>
      </c>
      <c r="G349" s="146"/>
      <c r="I349" s="59"/>
      <c r="J349" s="59"/>
      <c r="K349" s="59"/>
      <c r="L349" s="59"/>
      <c r="M349" s="59"/>
    </row>
    <row r="350" spans="1:15" x14ac:dyDescent="0.25">
      <c r="A350" s="124">
        <f t="shared" ref="A350:A353" si="71">A349+1</f>
        <v>3</v>
      </c>
      <c r="B350" s="124" t="s">
        <v>392</v>
      </c>
      <c r="C350" s="124">
        <f>(42.87)*10.764</f>
        <v>461.45267999999993</v>
      </c>
      <c r="D350" s="125">
        <f t="shared" si="69"/>
        <v>553.74321599999985</v>
      </c>
      <c r="E350" s="124">
        <v>0</v>
      </c>
      <c r="F350" s="124">
        <f t="shared" si="70"/>
        <v>692.17901999999992</v>
      </c>
      <c r="G350" s="146"/>
      <c r="I350" s="59"/>
      <c r="J350" s="59"/>
      <c r="K350" s="59"/>
      <c r="L350" s="59"/>
      <c r="M350" s="59"/>
    </row>
    <row r="351" spans="1:15" ht="15.75" x14ac:dyDescent="0.25">
      <c r="A351" s="124">
        <f t="shared" si="71"/>
        <v>4</v>
      </c>
      <c r="B351" s="124" t="s">
        <v>392</v>
      </c>
      <c r="C351" s="124">
        <f>(42.58)*10.764</f>
        <v>458.33111999999994</v>
      </c>
      <c r="D351" s="125">
        <f t="shared" si="69"/>
        <v>549.99734399999988</v>
      </c>
      <c r="E351" s="124">
        <v>0</v>
      </c>
      <c r="F351" s="124">
        <f t="shared" si="70"/>
        <v>687.49667999999997</v>
      </c>
      <c r="G351" s="146"/>
      <c r="I351" s="147"/>
      <c r="J351" s="59"/>
      <c r="K351" s="57"/>
      <c r="L351" s="59"/>
      <c r="M351" s="59"/>
    </row>
    <row r="352" spans="1:15" ht="15.75" x14ac:dyDescent="0.25">
      <c r="A352" s="124">
        <f t="shared" si="71"/>
        <v>5</v>
      </c>
      <c r="B352" s="124" t="s">
        <v>349</v>
      </c>
      <c r="C352" s="124">
        <f>(56.8)*10.764</f>
        <v>611.39519999999993</v>
      </c>
      <c r="D352" s="125">
        <f t="shared" ref="D352:D353" si="72">C352*1.2</f>
        <v>733.67423999999994</v>
      </c>
      <c r="E352" s="124">
        <v>0</v>
      </c>
      <c r="F352" s="124">
        <f t="shared" ref="F352:F353" si="73">C352*(($F$239)+1)+(IF(E352&lt;101,E352,IF(E352&lt;201,E352/2,IF(E352&lt;=301,E352/3,E352/4))))</f>
        <v>917.0927999999999</v>
      </c>
      <c r="G352" s="146"/>
      <c r="I352" s="147"/>
      <c r="J352" s="59"/>
      <c r="K352" s="57"/>
      <c r="L352" s="59"/>
      <c r="M352" s="59"/>
    </row>
    <row r="353" spans="1:14" ht="15.75" x14ac:dyDescent="0.25">
      <c r="A353" s="124">
        <f t="shared" si="71"/>
        <v>6</v>
      </c>
      <c r="B353" s="124" t="s">
        <v>349</v>
      </c>
      <c r="C353" s="124">
        <f>(64.19)*10.764</f>
        <v>690.94115999999997</v>
      </c>
      <c r="D353" s="125">
        <f t="shared" si="72"/>
        <v>829.12939199999994</v>
      </c>
      <c r="E353" s="124">
        <v>0</v>
      </c>
      <c r="F353" s="124">
        <f t="shared" si="73"/>
        <v>1036.41174</v>
      </c>
      <c r="G353" s="146"/>
      <c r="I353" s="147"/>
      <c r="J353" s="59"/>
      <c r="K353" s="57"/>
      <c r="L353" s="59"/>
      <c r="M353" s="59"/>
    </row>
    <row r="354" spans="1:14" s="132" customFormat="1" ht="15.75" customHeight="1" x14ac:dyDescent="0.25">
      <c r="A354" s="200" t="s">
        <v>361</v>
      </c>
      <c r="B354" s="200"/>
      <c r="C354" s="200"/>
      <c r="D354" s="200"/>
      <c r="E354" s="200"/>
      <c r="F354" s="200"/>
      <c r="G354" s="42">
        <v>1</v>
      </c>
      <c r="H354" s="42"/>
      <c r="I354" s="131"/>
      <c r="J354" s="131"/>
      <c r="K354" s="59"/>
      <c r="L354" s="131"/>
      <c r="M354" s="131"/>
    </row>
    <row r="355" spans="1:14" s="132" customFormat="1" ht="15.75" customHeight="1" x14ac:dyDescent="0.25">
      <c r="A355" s="124">
        <v>1</v>
      </c>
      <c r="B355" s="124" t="s">
        <v>349</v>
      </c>
      <c r="C355" s="124">
        <f>(61.47)*10.764</f>
        <v>661.66307999999992</v>
      </c>
      <c r="D355" s="125">
        <f t="shared" ref="D355" si="74">C355*1.2</f>
        <v>793.99569599999984</v>
      </c>
      <c r="E355" s="124">
        <v>0</v>
      </c>
      <c r="F355" s="124">
        <f t="shared" ref="F355" si="75">C355*(($F$239)+1)+(IF(E355&lt;101,E355,IF(E355&lt;201,E355/2,IF(E355&lt;=301,E355/3,E355/4))))</f>
        <v>992.49461999999994</v>
      </c>
      <c r="G355" s="149"/>
      <c r="H355" s="145"/>
      <c r="I355" s="145"/>
      <c r="J355" s="145"/>
      <c r="K355" s="59"/>
      <c r="L355" s="204"/>
      <c r="M355" s="204"/>
      <c r="N355" s="39"/>
    </row>
    <row r="356" spans="1:14" x14ac:dyDescent="0.25">
      <c r="A356" s="124">
        <f>A355+1</f>
        <v>2</v>
      </c>
      <c r="B356" s="124" t="s">
        <v>349</v>
      </c>
      <c r="C356" s="124">
        <f>(65.58)*10.764</f>
        <v>705.90311999999994</v>
      </c>
      <c r="D356" s="125">
        <f t="shared" ref="D356:D358" si="76">C356*1.2</f>
        <v>847.08374399999991</v>
      </c>
      <c r="E356" s="124">
        <v>0</v>
      </c>
      <c r="F356" s="124">
        <f t="shared" ref="F356:F358" si="77">C356*(($F$239)+1)+(IF(E356&lt;101,E356,IF(E356&lt;201,E356/2,IF(E356&lt;=301,E356/3,E356/4))))</f>
        <v>1058.8546799999999</v>
      </c>
      <c r="G356" s="146"/>
      <c r="I356" s="59"/>
      <c r="J356" s="59"/>
      <c r="K356" s="59"/>
      <c r="L356" s="59"/>
      <c r="M356" s="59"/>
    </row>
    <row r="357" spans="1:14" x14ac:dyDescent="0.25">
      <c r="A357" s="124">
        <f t="shared" ref="A357:A360" si="78">A356+1</f>
        <v>3</v>
      </c>
      <c r="B357" s="124" t="s">
        <v>392</v>
      </c>
      <c r="C357" s="124">
        <f>(42.87)*10.764</f>
        <v>461.45267999999993</v>
      </c>
      <c r="D357" s="125">
        <f t="shared" si="76"/>
        <v>553.74321599999985</v>
      </c>
      <c r="E357" s="124">
        <v>0</v>
      </c>
      <c r="F357" s="124">
        <f t="shared" si="77"/>
        <v>692.17901999999992</v>
      </c>
      <c r="G357" s="146"/>
      <c r="I357" s="59"/>
      <c r="J357" s="59"/>
      <c r="K357" s="59"/>
      <c r="L357" s="59"/>
      <c r="M357" s="59"/>
    </row>
    <row r="358" spans="1:14" ht="15.75" x14ac:dyDescent="0.25">
      <c r="A358" s="124">
        <f t="shared" si="78"/>
        <v>4</v>
      </c>
      <c r="B358" s="124" t="s">
        <v>392</v>
      </c>
      <c r="C358" s="124">
        <f>(42.58)*10.764</f>
        <v>458.33111999999994</v>
      </c>
      <c r="D358" s="125">
        <f t="shared" si="76"/>
        <v>549.99734399999988</v>
      </c>
      <c r="E358" s="124">
        <v>0</v>
      </c>
      <c r="F358" s="124">
        <f t="shared" si="77"/>
        <v>687.49667999999997</v>
      </c>
      <c r="G358" s="146"/>
      <c r="I358" s="147"/>
      <c r="J358" s="59"/>
      <c r="K358" s="57"/>
      <c r="L358" s="59"/>
      <c r="M358" s="59"/>
    </row>
    <row r="359" spans="1:14" ht="15.75" x14ac:dyDescent="0.25">
      <c r="A359" s="124">
        <f t="shared" si="78"/>
        <v>5</v>
      </c>
      <c r="B359" s="189" t="s">
        <v>348</v>
      </c>
      <c r="C359" s="190"/>
      <c r="D359" s="190"/>
      <c r="E359" s="190"/>
      <c r="F359" s="191"/>
      <c r="G359" s="146"/>
      <c r="I359" s="147"/>
      <c r="J359" s="59"/>
      <c r="K359" s="57"/>
      <c r="L359" s="59"/>
      <c r="M359" s="59"/>
    </row>
    <row r="360" spans="1:14" ht="15.75" x14ac:dyDescent="0.25">
      <c r="A360" s="124">
        <f t="shared" si="78"/>
        <v>6</v>
      </c>
      <c r="B360" s="124" t="s">
        <v>349</v>
      </c>
      <c r="C360" s="124">
        <f>(64.19)*10.764</f>
        <v>690.94115999999997</v>
      </c>
      <c r="D360" s="125">
        <f t="shared" ref="D360" si="79">C360*1.2</f>
        <v>829.12939199999994</v>
      </c>
      <c r="E360" s="124">
        <v>0</v>
      </c>
      <c r="F360" s="124">
        <f t="shared" ref="F360" si="80">C360*(($F$239)+1)+(IF(E360&lt;101,E360,IF(E360&lt;201,E360/2,IF(E360&lt;=301,E360/3,E360/4))))</f>
        <v>1036.41174</v>
      </c>
      <c r="G360" s="146"/>
      <c r="I360" s="157">
        <v>1</v>
      </c>
      <c r="J360" s="160" t="s">
        <v>377</v>
      </c>
      <c r="K360" s="151" t="s">
        <v>378</v>
      </c>
      <c r="L360" s="160" t="s">
        <v>379</v>
      </c>
      <c r="M360" s="156" t="s">
        <v>380</v>
      </c>
    </row>
    <row r="361" spans="1:14" s="132" customFormat="1" ht="15.75" customHeight="1" x14ac:dyDescent="0.25">
      <c r="A361" s="200" t="s">
        <v>360</v>
      </c>
      <c r="B361" s="200"/>
      <c r="C361" s="200"/>
      <c r="D361" s="200"/>
      <c r="E361" s="200"/>
      <c r="F361" s="200"/>
      <c r="G361" s="42">
        <v>1</v>
      </c>
      <c r="H361" s="42"/>
      <c r="I361" s="158">
        <v>2</v>
      </c>
      <c r="J361" s="161" t="s">
        <v>377</v>
      </c>
      <c r="K361" s="155" t="s">
        <v>381</v>
      </c>
      <c r="L361" s="161" t="s">
        <v>379</v>
      </c>
      <c r="M361" s="155" t="s">
        <v>389</v>
      </c>
    </row>
    <row r="362" spans="1:14" s="132" customFormat="1" ht="15.75" customHeight="1" x14ac:dyDescent="0.25">
      <c r="A362" s="124">
        <v>1</v>
      </c>
      <c r="B362" s="124" t="s">
        <v>349</v>
      </c>
      <c r="C362" s="124">
        <f>(61.47)*10.764</f>
        <v>661.66307999999992</v>
      </c>
      <c r="D362" s="125">
        <f>C362*1.2</f>
        <v>793.99569599999984</v>
      </c>
      <c r="E362" s="124">
        <v>0</v>
      </c>
      <c r="F362" s="124">
        <f>C362*(($F$239)+1)+(IF(E362&lt;101,E362,IF(E362&lt;201,E362/2,IF(E362&lt;=301,E362/3,E362/4))))</f>
        <v>992.49461999999994</v>
      </c>
      <c r="G362" s="149"/>
      <c r="H362" s="145"/>
      <c r="I362" s="158">
        <v>3</v>
      </c>
      <c r="J362" s="161" t="s">
        <v>355</v>
      </c>
      <c r="K362" s="155" t="s">
        <v>385</v>
      </c>
      <c r="L362" s="161"/>
      <c r="M362" s="155"/>
      <c r="N362" s="39"/>
    </row>
    <row r="363" spans="1:14" x14ac:dyDescent="0.25">
      <c r="A363" s="124">
        <f>A362+1</f>
        <v>2</v>
      </c>
      <c r="B363" s="124" t="s">
        <v>349</v>
      </c>
      <c r="C363" s="124">
        <f>(65.58)*10.764</f>
        <v>705.90311999999994</v>
      </c>
      <c r="D363" s="125">
        <f t="shared" ref="D363:D365" si="81">C363*1.2</f>
        <v>847.08374399999991</v>
      </c>
      <c r="E363" s="124">
        <v>0</v>
      </c>
      <c r="F363" s="124">
        <f t="shared" ref="F363:F365" si="82">C363*(($F$239)+1)+(IF(E363&lt;101,E363,IF(E363&lt;201,E363/2,IF(E363&lt;=301,E363/3,E363/4))))</f>
        <v>1058.8546799999999</v>
      </c>
      <c r="G363" s="146"/>
      <c r="I363" s="158">
        <v>4</v>
      </c>
      <c r="J363" s="161" t="s">
        <v>355</v>
      </c>
      <c r="K363" s="155" t="s">
        <v>386</v>
      </c>
      <c r="L363" s="161"/>
      <c r="M363" s="155"/>
    </row>
    <row r="364" spans="1:14" x14ac:dyDescent="0.25">
      <c r="A364" s="124">
        <f t="shared" ref="A364:A367" si="83">A363+1</f>
        <v>3</v>
      </c>
      <c r="B364" s="124" t="s">
        <v>392</v>
      </c>
      <c r="C364" s="124">
        <f>(42.87)*10.764</f>
        <v>461.45267999999993</v>
      </c>
      <c r="D364" s="125">
        <f t="shared" si="81"/>
        <v>553.74321599999985</v>
      </c>
      <c r="E364" s="124">
        <v>0</v>
      </c>
      <c r="F364" s="124">
        <f t="shared" si="82"/>
        <v>692.17901999999992</v>
      </c>
      <c r="G364" s="146"/>
      <c r="I364" s="159">
        <v>5</v>
      </c>
      <c r="J364" s="161" t="s">
        <v>382</v>
      </c>
      <c r="K364" s="155" t="s">
        <v>383</v>
      </c>
      <c r="L364" s="161" t="s">
        <v>387</v>
      </c>
      <c r="M364" s="155" t="s">
        <v>388</v>
      </c>
    </row>
    <row r="365" spans="1:14" ht="15" customHeight="1" x14ac:dyDescent="0.25">
      <c r="A365" s="124">
        <f t="shared" si="83"/>
        <v>4</v>
      </c>
      <c r="B365" s="124" t="s">
        <v>392</v>
      </c>
      <c r="C365" s="124">
        <f>(42.58)*10.764</f>
        <v>458.33111999999994</v>
      </c>
      <c r="D365" s="125">
        <f t="shared" si="81"/>
        <v>549.99734399999988</v>
      </c>
      <c r="E365" s="124">
        <v>0</v>
      </c>
      <c r="F365" s="124">
        <f t="shared" si="82"/>
        <v>687.49667999999997</v>
      </c>
      <c r="G365" s="146"/>
      <c r="I365" s="335">
        <v>6</v>
      </c>
      <c r="J365" s="334" t="s">
        <v>384</v>
      </c>
      <c r="K365" s="336">
        <v>64.19</v>
      </c>
      <c r="L365" s="161"/>
      <c r="M365" s="155"/>
    </row>
    <row r="366" spans="1:14" x14ac:dyDescent="0.25">
      <c r="A366" s="124">
        <f t="shared" si="83"/>
        <v>5</v>
      </c>
      <c r="B366" s="124" t="s">
        <v>349</v>
      </c>
      <c r="C366" s="124">
        <f>(56.8)*10.764</f>
        <v>611.39519999999993</v>
      </c>
      <c r="D366" s="125">
        <f t="shared" ref="D366:D367" si="84">C366*1.2</f>
        <v>733.67423999999994</v>
      </c>
      <c r="E366" s="124">
        <v>0</v>
      </c>
      <c r="F366" s="124">
        <f t="shared" ref="F366:F367" si="85">C366*(($F$239)+1)+(IF(E366&lt;101,E366,IF(E366&lt;201,E366/2,IF(E366&lt;=301,E366/3,E366/4))))</f>
        <v>917.0927999999999</v>
      </c>
      <c r="G366" s="146"/>
      <c r="I366" s="335"/>
      <c r="J366" s="334"/>
      <c r="K366" s="336"/>
      <c r="L366" s="153"/>
      <c r="M366" s="153"/>
    </row>
    <row r="367" spans="1:14" ht="15.75" x14ac:dyDescent="0.25">
      <c r="A367" s="124">
        <f t="shared" si="83"/>
        <v>6</v>
      </c>
      <c r="B367" s="124" t="s">
        <v>349</v>
      </c>
      <c r="C367" s="124">
        <f>(64.19)*10.764</f>
        <v>690.94115999999997</v>
      </c>
      <c r="D367" s="125">
        <f t="shared" si="84"/>
        <v>829.12939199999994</v>
      </c>
      <c r="E367" s="124">
        <v>0</v>
      </c>
      <c r="F367" s="124">
        <f t="shared" si="85"/>
        <v>1036.41174</v>
      </c>
      <c r="G367" s="146"/>
      <c r="I367" s="147"/>
      <c r="J367" s="59"/>
      <c r="K367" s="57"/>
      <c r="L367" s="59"/>
      <c r="M367" s="59"/>
    </row>
    <row r="368" spans="1:14" s="132" customFormat="1" ht="15.75" customHeight="1" x14ac:dyDescent="0.25">
      <c r="A368" s="200" t="s">
        <v>372</v>
      </c>
      <c r="B368" s="200"/>
      <c r="C368" s="200"/>
      <c r="D368" s="200"/>
      <c r="E368" s="200"/>
      <c r="F368" s="200"/>
      <c r="G368" s="42">
        <f>3+3</f>
        <v>6</v>
      </c>
      <c r="H368" s="42"/>
      <c r="I368" s="131"/>
      <c r="J368" s="131"/>
      <c r="K368" s="59"/>
      <c r="L368" s="131"/>
      <c r="M368" s="131"/>
    </row>
    <row r="369" spans="1:14" s="132" customFormat="1" ht="15.75" customHeight="1" x14ac:dyDescent="0.25">
      <c r="A369" s="124">
        <v>1</v>
      </c>
      <c r="B369" s="124" t="s">
        <v>349</v>
      </c>
      <c r="C369" s="124">
        <f>(61.47)*10.764</f>
        <v>661.66307999999992</v>
      </c>
      <c r="D369" s="125">
        <f>C369*1.2</f>
        <v>793.99569599999984</v>
      </c>
      <c r="E369" s="124">
        <v>0</v>
      </c>
      <c r="F369" s="124">
        <f>C369*(($F$239)+1)+(IF(E369&lt;101,E369,IF(E369&lt;201,E369/2,IF(E369&lt;=301,E369/3,E369/4))))</f>
        <v>992.49461999999994</v>
      </c>
      <c r="G369" s="149"/>
      <c r="H369" s="145"/>
      <c r="I369" s="145"/>
      <c r="J369" s="145"/>
      <c r="K369" s="59"/>
      <c r="L369" s="204"/>
      <c r="M369" s="204"/>
      <c r="N369" s="39"/>
    </row>
    <row r="370" spans="1:14" x14ac:dyDescent="0.25">
      <c r="A370" s="124">
        <f>A369+1</f>
        <v>2</v>
      </c>
      <c r="B370" s="124" t="s">
        <v>349</v>
      </c>
      <c r="C370" s="124">
        <f>(65.58)*10.764</f>
        <v>705.90311999999994</v>
      </c>
      <c r="D370" s="125">
        <f t="shared" ref="D370:D372" si="86">C370*1.2</f>
        <v>847.08374399999991</v>
      </c>
      <c r="E370" s="124">
        <v>0</v>
      </c>
      <c r="F370" s="124">
        <f t="shared" ref="F370:F372" si="87">C370*(($F$239)+1)+(IF(E370&lt;101,E370,IF(E370&lt;201,E370/2,IF(E370&lt;=301,E370/3,E370/4))))</f>
        <v>1058.8546799999999</v>
      </c>
      <c r="G370" s="146"/>
      <c r="I370" s="59"/>
      <c r="J370" s="59"/>
      <c r="K370" s="59"/>
      <c r="L370" s="59"/>
      <c r="M370" s="59"/>
    </row>
    <row r="371" spans="1:14" x14ac:dyDescent="0.25">
      <c r="A371" s="124">
        <f t="shared" ref="A371:A374" si="88">A370+1</f>
        <v>3</v>
      </c>
      <c r="B371" s="124" t="s">
        <v>392</v>
      </c>
      <c r="C371" s="124">
        <f>(42.87)*10.764</f>
        <v>461.45267999999993</v>
      </c>
      <c r="D371" s="125">
        <f t="shared" si="86"/>
        <v>553.74321599999985</v>
      </c>
      <c r="E371" s="124">
        <v>0</v>
      </c>
      <c r="F371" s="124">
        <f t="shared" si="87"/>
        <v>692.17901999999992</v>
      </c>
      <c r="G371" s="146"/>
      <c r="I371" s="59"/>
      <c r="J371" s="59"/>
      <c r="K371" s="59"/>
      <c r="L371" s="59"/>
      <c r="M371" s="59"/>
    </row>
    <row r="372" spans="1:14" ht="15.75" x14ac:dyDescent="0.25">
      <c r="A372" s="124">
        <f t="shared" si="88"/>
        <v>4</v>
      </c>
      <c r="B372" s="124" t="s">
        <v>392</v>
      </c>
      <c r="C372" s="124">
        <f>(42.58)*10.764</f>
        <v>458.33111999999994</v>
      </c>
      <c r="D372" s="125">
        <f t="shared" si="86"/>
        <v>549.99734399999988</v>
      </c>
      <c r="E372" s="124">
        <v>0</v>
      </c>
      <c r="F372" s="124">
        <f t="shared" si="87"/>
        <v>687.49667999999997</v>
      </c>
      <c r="G372" s="146"/>
      <c r="I372" s="147"/>
      <c r="J372" s="59"/>
      <c r="K372" s="57"/>
      <c r="L372" s="59"/>
      <c r="M372" s="59"/>
    </row>
    <row r="373" spans="1:14" ht="15.75" x14ac:dyDescent="0.25">
      <c r="A373" s="124">
        <f t="shared" si="88"/>
        <v>5</v>
      </c>
      <c r="B373" s="124" t="s">
        <v>349</v>
      </c>
      <c r="C373" s="124">
        <f>(56.8)*10.764</f>
        <v>611.39519999999993</v>
      </c>
      <c r="D373" s="125">
        <f t="shared" ref="D373:D374" si="89">C373*1.2</f>
        <v>733.67423999999994</v>
      </c>
      <c r="E373" s="124">
        <v>0</v>
      </c>
      <c r="F373" s="124">
        <f t="shared" ref="F373:F374" si="90">C373*(($F$239)+1)+(IF(E373&lt;101,E373,IF(E373&lt;201,E373/2,IF(E373&lt;=301,E373/3,E373/4))))</f>
        <v>917.0927999999999</v>
      </c>
      <c r="G373" s="146"/>
      <c r="I373" s="147"/>
      <c r="J373" s="59"/>
      <c r="K373" s="57"/>
      <c r="L373" s="59"/>
      <c r="M373" s="59"/>
    </row>
    <row r="374" spans="1:14" ht="15.75" x14ac:dyDescent="0.25">
      <c r="A374" s="124">
        <f t="shared" si="88"/>
        <v>6</v>
      </c>
      <c r="B374" s="124" t="s">
        <v>349</v>
      </c>
      <c r="C374" s="124">
        <f>(64.19)*10.764</f>
        <v>690.94115999999997</v>
      </c>
      <c r="D374" s="125">
        <f t="shared" si="89"/>
        <v>829.12939199999994</v>
      </c>
      <c r="E374" s="124">
        <v>0</v>
      </c>
      <c r="F374" s="124">
        <f t="shared" si="90"/>
        <v>1036.41174</v>
      </c>
      <c r="G374" s="146"/>
      <c r="I374" s="147"/>
      <c r="J374" s="59"/>
      <c r="K374" s="57"/>
      <c r="L374" s="59"/>
      <c r="M374" s="59"/>
    </row>
    <row r="375" spans="1:14" s="132" customFormat="1" ht="15.75" customHeight="1" x14ac:dyDescent="0.25">
      <c r="A375" s="200" t="s">
        <v>364</v>
      </c>
      <c r="B375" s="200"/>
      <c r="C375" s="200"/>
      <c r="D375" s="200"/>
      <c r="E375" s="200"/>
      <c r="F375" s="200"/>
      <c r="G375" s="42">
        <v>1</v>
      </c>
      <c r="H375" s="42"/>
      <c r="I375" s="131"/>
      <c r="J375" s="131"/>
      <c r="K375" s="59"/>
      <c r="L375" s="131"/>
      <c r="M375" s="131"/>
    </row>
    <row r="376" spans="1:14" s="132" customFormat="1" ht="15.75" customHeight="1" x14ac:dyDescent="0.25">
      <c r="A376" s="124">
        <v>1</v>
      </c>
      <c r="B376" s="124" t="s">
        <v>349</v>
      </c>
      <c r="C376" s="124">
        <f>(61.47)*10.764</f>
        <v>661.66307999999992</v>
      </c>
      <c r="D376" s="125">
        <f>C376*1.2</f>
        <v>793.99569599999984</v>
      </c>
      <c r="E376" s="124">
        <v>0</v>
      </c>
      <c r="F376" s="124">
        <f>C376*(($F$239)+1)+(IF(E376&lt;101,E376,IF(E376&lt;201,E376/2,IF(E376&lt;=301,E376/3,E376/4))))</f>
        <v>992.49461999999994</v>
      </c>
      <c r="G376" s="149"/>
      <c r="H376" s="145"/>
      <c r="I376" s="145"/>
      <c r="J376" s="145"/>
      <c r="K376" s="59"/>
      <c r="L376" s="204"/>
      <c r="M376" s="204"/>
      <c r="N376" s="39"/>
    </row>
    <row r="377" spans="1:14" x14ac:dyDescent="0.25">
      <c r="A377" s="124">
        <f>A376+1</f>
        <v>2</v>
      </c>
      <c r="B377" s="124" t="s">
        <v>349</v>
      </c>
      <c r="C377" s="124">
        <f>(65.58)*10.764</f>
        <v>705.90311999999994</v>
      </c>
      <c r="D377" s="125">
        <f t="shared" ref="D377:D379" si="91">C377*1.2</f>
        <v>847.08374399999991</v>
      </c>
      <c r="E377" s="124">
        <v>0</v>
      </c>
      <c r="F377" s="124">
        <f t="shared" ref="F377:F379" si="92">C377*(($F$239)+1)+(IF(E377&lt;101,E377,IF(E377&lt;201,E377/2,IF(E377&lt;=301,E377/3,E377/4))))</f>
        <v>1058.8546799999999</v>
      </c>
      <c r="G377" s="146"/>
      <c r="I377" s="59"/>
      <c r="J377" s="59"/>
      <c r="K377" s="59"/>
      <c r="L377" s="59"/>
      <c r="M377" s="59"/>
    </row>
    <row r="378" spans="1:14" x14ac:dyDescent="0.25">
      <c r="A378" s="124">
        <f t="shared" ref="A378:A381" si="93">A377+1</f>
        <v>3</v>
      </c>
      <c r="B378" s="124" t="s">
        <v>392</v>
      </c>
      <c r="C378" s="124">
        <f>(42.87)*10.764</f>
        <v>461.45267999999993</v>
      </c>
      <c r="D378" s="125">
        <f t="shared" si="91"/>
        <v>553.74321599999985</v>
      </c>
      <c r="E378" s="124">
        <v>0</v>
      </c>
      <c r="F378" s="124">
        <f t="shared" si="92"/>
        <v>692.17901999999992</v>
      </c>
      <c r="G378" s="146"/>
      <c r="I378" s="59"/>
      <c r="J378" s="59"/>
      <c r="K378" s="59"/>
      <c r="L378" s="59"/>
      <c r="M378" s="59"/>
    </row>
    <row r="379" spans="1:14" ht="15.75" x14ac:dyDescent="0.25">
      <c r="A379" s="124">
        <f t="shared" si="93"/>
        <v>4</v>
      </c>
      <c r="B379" s="124" t="s">
        <v>392</v>
      </c>
      <c r="C379" s="124">
        <f>(42.58)*10.764</f>
        <v>458.33111999999994</v>
      </c>
      <c r="D379" s="125">
        <f t="shared" si="91"/>
        <v>549.99734399999988</v>
      </c>
      <c r="E379" s="124">
        <v>0</v>
      </c>
      <c r="F379" s="124">
        <f t="shared" si="92"/>
        <v>687.49667999999997</v>
      </c>
      <c r="G379" s="146"/>
      <c r="I379" s="147"/>
      <c r="J379" s="59"/>
      <c r="K379" s="57"/>
      <c r="L379" s="59"/>
      <c r="M379" s="59"/>
    </row>
    <row r="380" spans="1:14" ht="15.75" x14ac:dyDescent="0.25">
      <c r="A380" s="124">
        <f t="shared" si="93"/>
        <v>5</v>
      </c>
      <c r="B380" s="124" t="s">
        <v>349</v>
      </c>
      <c r="C380" s="124">
        <f>(56.8)*10.764</f>
        <v>611.39519999999993</v>
      </c>
      <c r="D380" s="125">
        <f t="shared" ref="D380:D381" si="94">C380*1.2</f>
        <v>733.67423999999994</v>
      </c>
      <c r="E380" s="124">
        <v>0</v>
      </c>
      <c r="F380" s="124">
        <f t="shared" ref="F380:F381" si="95">C380*(($F$239)+1)+(IF(E380&lt;101,E380,IF(E380&lt;201,E380/2,IF(E380&lt;=301,E380/3,E380/4))))</f>
        <v>917.0927999999999</v>
      </c>
      <c r="G380" s="146"/>
      <c r="I380" s="147"/>
      <c r="J380" s="59"/>
      <c r="K380" s="57"/>
      <c r="L380" s="59"/>
      <c r="M380" s="59"/>
    </row>
    <row r="381" spans="1:14" ht="15.75" x14ac:dyDescent="0.25">
      <c r="A381" s="124">
        <f t="shared" si="93"/>
        <v>6</v>
      </c>
      <c r="B381" s="124" t="s">
        <v>349</v>
      </c>
      <c r="C381" s="124">
        <f>(64.19)*10.764</f>
        <v>690.94115999999997</v>
      </c>
      <c r="D381" s="125">
        <f t="shared" si="94"/>
        <v>829.12939199999994</v>
      </c>
      <c r="E381" s="124">
        <v>0</v>
      </c>
      <c r="F381" s="124">
        <f t="shared" si="95"/>
        <v>1036.41174</v>
      </c>
      <c r="G381" s="146"/>
      <c r="I381" s="147"/>
      <c r="J381" s="59"/>
      <c r="K381" s="57"/>
      <c r="L381" s="59"/>
      <c r="M381" s="59"/>
    </row>
    <row r="382" spans="1:14" s="132" customFormat="1" ht="15.75" customHeight="1" x14ac:dyDescent="0.25">
      <c r="A382" s="200" t="s">
        <v>408</v>
      </c>
      <c r="B382" s="200"/>
      <c r="C382" s="200"/>
      <c r="D382" s="200"/>
      <c r="E382" s="200"/>
      <c r="F382" s="200"/>
      <c r="G382" s="42">
        <v>1</v>
      </c>
      <c r="H382" s="42"/>
      <c r="I382" s="131"/>
      <c r="J382" s="131"/>
      <c r="K382" s="59"/>
      <c r="L382" s="131"/>
      <c r="M382" s="131"/>
    </row>
    <row r="383" spans="1:14" s="132" customFormat="1" ht="15.75" customHeight="1" x14ac:dyDescent="0.25">
      <c r="A383" s="124">
        <v>1</v>
      </c>
      <c r="B383" s="124" t="s">
        <v>349</v>
      </c>
      <c r="C383" s="124">
        <f>(61.47)*10.764</f>
        <v>661.66307999999992</v>
      </c>
      <c r="D383" s="125">
        <f t="shared" ref="D383" si="96">C383*1.2</f>
        <v>793.99569599999984</v>
      </c>
      <c r="E383" s="124">
        <v>0</v>
      </c>
      <c r="F383" s="124">
        <f t="shared" ref="F383" si="97">C383*(($F$239)+1)+(IF(E383&lt;101,E383,IF(E383&lt;201,E383/2,IF(E383&lt;=301,E383/3,E383/4))))</f>
        <v>992.49461999999994</v>
      </c>
      <c r="G383" s="149"/>
      <c r="H383" s="145"/>
      <c r="I383" s="145"/>
      <c r="J383" s="145"/>
      <c r="K383" s="59"/>
      <c r="L383" s="204"/>
      <c r="M383" s="204"/>
      <c r="N383" s="39"/>
    </row>
    <row r="384" spans="1:14" x14ac:dyDescent="0.25">
      <c r="A384" s="124">
        <f>A383+1</f>
        <v>2</v>
      </c>
      <c r="B384" s="124" t="s">
        <v>349</v>
      </c>
      <c r="C384" s="124">
        <f>(65.58)*10.764</f>
        <v>705.90311999999994</v>
      </c>
      <c r="D384" s="125">
        <f t="shared" ref="D384:D386" si="98">C384*1.2</f>
        <v>847.08374399999991</v>
      </c>
      <c r="E384" s="124">
        <v>0</v>
      </c>
      <c r="F384" s="124">
        <f t="shared" ref="F384:F386" si="99">C384*(($F$239)+1)+(IF(E384&lt;101,E384,IF(E384&lt;201,E384/2,IF(E384&lt;=301,E384/3,E384/4))))</f>
        <v>1058.8546799999999</v>
      </c>
      <c r="G384" s="146"/>
      <c r="I384" s="59"/>
      <c r="J384" s="59"/>
      <c r="K384" s="59"/>
      <c r="L384" s="59"/>
      <c r="M384" s="59"/>
    </row>
    <row r="385" spans="1:14" x14ac:dyDescent="0.25">
      <c r="A385" s="124">
        <f t="shared" ref="A385:A388" si="100">A384+1</f>
        <v>3</v>
      </c>
      <c r="B385" s="124" t="s">
        <v>392</v>
      </c>
      <c r="C385" s="124">
        <f>(42.87)*10.764</f>
        <v>461.45267999999993</v>
      </c>
      <c r="D385" s="125">
        <f t="shared" si="98"/>
        <v>553.74321599999985</v>
      </c>
      <c r="E385" s="124">
        <v>0</v>
      </c>
      <c r="F385" s="124">
        <f t="shared" si="99"/>
        <v>692.17901999999992</v>
      </c>
      <c r="G385" s="146"/>
      <c r="I385" s="59"/>
      <c r="J385" s="59"/>
      <c r="K385" s="59"/>
      <c r="L385" s="59"/>
      <c r="M385" s="59"/>
    </row>
    <row r="386" spans="1:14" ht="15.75" x14ac:dyDescent="0.25">
      <c r="A386" s="124">
        <f t="shared" si="100"/>
        <v>4</v>
      </c>
      <c r="B386" s="124" t="s">
        <v>392</v>
      </c>
      <c r="C386" s="124">
        <f>(42.58)*10.764</f>
        <v>458.33111999999994</v>
      </c>
      <c r="D386" s="125">
        <f t="shared" si="98"/>
        <v>549.99734399999988</v>
      </c>
      <c r="E386" s="124">
        <v>0</v>
      </c>
      <c r="F386" s="124">
        <f t="shared" si="99"/>
        <v>687.49667999999997</v>
      </c>
      <c r="G386" s="146"/>
      <c r="I386" s="147"/>
      <c r="J386" s="59"/>
      <c r="K386" s="57"/>
      <c r="L386" s="59"/>
      <c r="M386" s="59"/>
    </row>
    <row r="387" spans="1:14" ht="15.75" x14ac:dyDescent="0.25">
      <c r="A387" s="124">
        <f t="shared" si="100"/>
        <v>5</v>
      </c>
      <c r="B387" s="189" t="s">
        <v>348</v>
      </c>
      <c r="C387" s="190"/>
      <c r="D387" s="190"/>
      <c r="E387" s="190"/>
      <c r="F387" s="191"/>
      <c r="G387" s="146"/>
      <c r="I387" s="147"/>
      <c r="J387" s="59"/>
      <c r="K387" s="57"/>
      <c r="L387" s="59"/>
      <c r="M387" s="59"/>
    </row>
    <row r="388" spans="1:14" ht="15.75" x14ac:dyDescent="0.25">
      <c r="A388" s="124">
        <f t="shared" si="100"/>
        <v>6</v>
      </c>
      <c r="B388" s="189" t="s">
        <v>391</v>
      </c>
      <c r="C388" s="190"/>
      <c r="D388" s="190"/>
      <c r="E388" s="190"/>
      <c r="F388" s="191"/>
      <c r="G388" s="146"/>
      <c r="I388" s="147"/>
      <c r="J388" s="59"/>
      <c r="K388" s="57"/>
      <c r="L388" s="59"/>
      <c r="M388" s="59"/>
    </row>
    <row r="389" spans="1:14" s="132" customFormat="1" ht="15.75" customHeight="1" x14ac:dyDescent="0.25">
      <c r="A389" s="200" t="s">
        <v>363</v>
      </c>
      <c r="B389" s="200"/>
      <c r="C389" s="200"/>
      <c r="D389" s="200"/>
      <c r="E389" s="200"/>
      <c r="F389" s="200"/>
      <c r="G389" s="42"/>
      <c r="H389" s="42"/>
      <c r="I389" s="131"/>
      <c r="J389" s="131"/>
      <c r="K389" s="59"/>
      <c r="L389" s="131"/>
      <c r="M389" s="131"/>
    </row>
    <row r="390" spans="1:14" s="132" customFormat="1" ht="15.75" customHeight="1" x14ac:dyDescent="0.25">
      <c r="A390" s="331" t="s">
        <v>365</v>
      </c>
      <c r="B390" s="331"/>
      <c r="C390" s="331"/>
      <c r="D390" s="331"/>
      <c r="E390" s="331"/>
      <c r="F390" s="331"/>
      <c r="G390" s="42">
        <v>1</v>
      </c>
      <c r="H390" s="42"/>
      <c r="I390" s="131"/>
      <c r="J390" s="131"/>
      <c r="K390" s="59"/>
      <c r="L390" s="131"/>
      <c r="M390" s="131"/>
    </row>
    <row r="391" spans="1:14" s="132" customFormat="1" ht="15.75" customHeight="1" x14ac:dyDescent="0.25">
      <c r="A391" s="162">
        <v>1</v>
      </c>
      <c r="B391" s="124" t="s">
        <v>349</v>
      </c>
      <c r="C391" s="124">
        <f>(56.79)*10.764</f>
        <v>611.28755999999998</v>
      </c>
      <c r="D391" s="125">
        <f t="shared" ref="D391" si="101">C391*1.2</f>
        <v>733.545072</v>
      </c>
      <c r="E391" s="124">
        <v>0</v>
      </c>
      <c r="F391" s="124">
        <f t="shared" ref="F391" si="102">C391*(($F$239)+1)+(IF(E391&lt;101,E391,IF(E391&lt;201,E391/2,IF(E391&lt;=301,E391/3,E391/4))))</f>
        <v>916.93133999999998</v>
      </c>
      <c r="G391" s="149"/>
      <c r="H391" s="145"/>
      <c r="I391" s="145"/>
      <c r="J391" s="145"/>
      <c r="K391" s="59"/>
      <c r="L391" s="204"/>
      <c r="M391" s="204"/>
      <c r="N391" s="39"/>
    </row>
    <row r="392" spans="1:14" x14ac:dyDescent="0.25">
      <c r="A392" s="162">
        <f>A391+1</f>
        <v>2</v>
      </c>
      <c r="B392" s="124" t="s">
        <v>349</v>
      </c>
      <c r="C392" s="124">
        <f>(61.32)*10.764</f>
        <v>660.04847999999993</v>
      </c>
      <c r="D392" s="125">
        <f t="shared" ref="D392:D394" si="103">C392*1.2</f>
        <v>792.05817599999989</v>
      </c>
      <c r="E392" s="124">
        <v>0</v>
      </c>
      <c r="F392" s="124">
        <f t="shared" ref="F392:F394" si="104">C392*(($F$239)+1)+(IF(E392&lt;101,E392,IF(E392&lt;201,E392/2,IF(E392&lt;=301,E392/3,E392/4))))</f>
        <v>990.07271999999989</v>
      </c>
      <c r="G392" s="146"/>
      <c r="I392" s="59"/>
      <c r="J392" s="59"/>
      <c r="K392" s="59"/>
      <c r="L392" s="59"/>
      <c r="M392" s="59"/>
    </row>
    <row r="393" spans="1:14" x14ac:dyDescent="0.25">
      <c r="A393" s="162">
        <f t="shared" ref="A393:A396" si="105">A392+1</f>
        <v>3</v>
      </c>
      <c r="B393" s="124" t="s">
        <v>392</v>
      </c>
      <c r="C393" s="124">
        <f>(42.87)*10.764</f>
        <v>461.45267999999993</v>
      </c>
      <c r="D393" s="125">
        <f t="shared" si="103"/>
        <v>553.74321599999985</v>
      </c>
      <c r="E393" s="124">
        <v>0</v>
      </c>
      <c r="F393" s="124">
        <f t="shared" si="104"/>
        <v>692.17901999999992</v>
      </c>
      <c r="G393" s="146"/>
      <c r="I393" s="59"/>
      <c r="J393" s="59"/>
      <c r="K393" s="59"/>
      <c r="L393" s="59"/>
      <c r="M393" s="59"/>
    </row>
    <row r="394" spans="1:14" ht="15.75" x14ac:dyDescent="0.25">
      <c r="A394" s="162">
        <f t="shared" si="105"/>
        <v>4</v>
      </c>
      <c r="B394" s="124" t="s">
        <v>392</v>
      </c>
      <c r="C394" s="124">
        <f>(42.58)*10.764</f>
        <v>458.33111999999994</v>
      </c>
      <c r="D394" s="125">
        <f t="shared" si="103"/>
        <v>549.99734399999988</v>
      </c>
      <c r="E394" s="124">
        <v>0</v>
      </c>
      <c r="F394" s="124">
        <f t="shared" si="104"/>
        <v>687.49667999999997</v>
      </c>
      <c r="G394" s="146"/>
      <c r="I394" s="147"/>
      <c r="J394" s="59"/>
      <c r="K394" s="57"/>
      <c r="L394" s="59"/>
      <c r="M394" s="59"/>
    </row>
    <row r="395" spans="1:14" ht="15.75" x14ac:dyDescent="0.25">
      <c r="A395" s="124">
        <f t="shared" si="105"/>
        <v>5</v>
      </c>
      <c r="B395" s="189" t="s">
        <v>348</v>
      </c>
      <c r="C395" s="190"/>
      <c r="D395" s="190"/>
      <c r="E395" s="190"/>
      <c r="F395" s="191"/>
      <c r="G395" s="146"/>
      <c r="I395" s="147"/>
      <c r="J395" s="59"/>
      <c r="K395" s="57"/>
      <c r="L395" s="59"/>
      <c r="M395" s="59"/>
    </row>
    <row r="396" spans="1:14" ht="15.75" x14ac:dyDescent="0.25">
      <c r="A396" s="124">
        <f t="shared" si="105"/>
        <v>6</v>
      </c>
      <c r="B396" s="124" t="s">
        <v>349</v>
      </c>
      <c r="C396" s="124">
        <f>(64.19)*10.764</f>
        <v>690.94115999999997</v>
      </c>
      <c r="D396" s="125">
        <f t="shared" ref="D396" si="106">C396*1.2</f>
        <v>829.12939199999994</v>
      </c>
      <c r="E396" s="124">
        <v>0</v>
      </c>
      <c r="F396" s="124">
        <f t="shared" ref="F396" si="107">C396*(($F$239)+1)+(IF(E396&lt;101,E396,IF(E396&lt;201,E396/2,IF(E396&lt;=301,E396/3,E396/4))))</f>
        <v>1036.41174</v>
      </c>
      <c r="G396" s="146"/>
      <c r="I396" s="147"/>
      <c r="J396" s="59"/>
      <c r="K396" s="57"/>
      <c r="L396" s="59"/>
      <c r="M396" s="59"/>
    </row>
    <row r="397" spans="1:14" s="132" customFormat="1" ht="15.75" customHeight="1" x14ac:dyDescent="0.25">
      <c r="A397" s="200" t="s">
        <v>366</v>
      </c>
      <c r="B397" s="200"/>
      <c r="C397" s="200"/>
      <c r="D397" s="200"/>
      <c r="E397" s="200"/>
      <c r="F397" s="200"/>
      <c r="G397" s="42">
        <v>5</v>
      </c>
      <c r="H397" s="42"/>
      <c r="I397" s="131"/>
      <c r="J397" s="131"/>
      <c r="K397" s="59"/>
      <c r="L397" s="131"/>
      <c r="M397" s="131"/>
    </row>
    <row r="398" spans="1:14" s="132" customFormat="1" ht="15.75" customHeight="1" x14ac:dyDescent="0.25">
      <c r="A398" s="124">
        <v>1</v>
      </c>
      <c r="B398" s="124" t="s">
        <v>349</v>
      </c>
      <c r="C398" s="124">
        <f>(56.79)*10.764</f>
        <v>611.28755999999998</v>
      </c>
      <c r="D398" s="125">
        <f>C398*1.2</f>
        <v>733.545072</v>
      </c>
      <c r="E398" s="124">
        <v>0</v>
      </c>
      <c r="F398" s="124">
        <f>C398*(($F$239)+1)+(IF(E398&lt;101,E398,IF(E398&lt;201,E398/2,IF(E398&lt;=301,E398/3,E398/4))))</f>
        <v>916.93133999999998</v>
      </c>
      <c r="G398" s="149"/>
      <c r="H398" s="145"/>
      <c r="I398" s="145"/>
      <c r="J398" s="145"/>
      <c r="K398" s="59"/>
      <c r="L398" s="204"/>
      <c r="M398" s="204"/>
      <c r="N398" s="39"/>
    </row>
    <row r="399" spans="1:14" x14ac:dyDescent="0.25">
      <c r="A399" s="124">
        <f>A398+1</f>
        <v>2</v>
      </c>
      <c r="B399" s="124" t="s">
        <v>349</v>
      </c>
      <c r="C399" s="124">
        <f>(61.32)*10.764</f>
        <v>660.04847999999993</v>
      </c>
      <c r="D399" s="125">
        <f t="shared" ref="D399:D401" si="108">C399*1.2</f>
        <v>792.05817599999989</v>
      </c>
      <c r="E399" s="124">
        <v>0</v>
      </c>
      <c r="F399" s="124">
        <f t="shared" ref="F399:F401" si="109">C399*(($F$239)+1)+(IF(E399&lt;101,E399,IF(E399&lt;201,E399/2,IF(E399&lt;=301,E399/3,E399/4))))</f>
        <v>990.07271999999989</v>
      </c>
      <c r="G399" s="146"/>
      <c r="I399" s="59"/>
      <c r="J399" s="59"/>
      <c r="K399" s="59"/>
      <c r="L399" s="59"/>
      <c r="M399" s="59"/>
    </row>
    <row r="400" spans="1:14" x14ac:dyDescent="0.25">
      <c r="A400" s="124">
        <f t="shared" ref="A400:A403" si="110">A399+1</f>
        <v>3</v>
      </c>
      <c r="B400" s="124" t="s">
        <v>392</v>
      </c>
      <c r="C400" s="124">
        <f>(42.87)*10.764</f>
        <v>461.45267999999993</v>
      </c>
      <c r="D400" s="125">
        <f t="shared" si="108"/>
        <v>553.74321599999985</v>
      </c>
      <c r="E400" s="124">
        <v>0</v>
      </c>
      <c r="F400" s="124">
        <f t="shared" si="109"/>
        <v>692.17901999999992</v>
      </c>
      <c r="G400" s="146"/>
      <c r="I400" s="59"/>
      <c r="J400" s="59"/>
      <c r="K400" s="59"/>
      <c r="L400" s="59"/>
      <c r="M400" s="59"/>
    </row>
    <row r="401" spans="1:14" ht="15.75" x14ac:dyDescent="0.25">
      <c r="A401" s="124">
        <f t="shared" si="110"/>
        <v>4</v>
      </c>
      <c r="B401" s="124" t="s">
        <v>392</v>
      </c>
      <c r="C401" s="124">
        <f>(42.58)*10.764</f>
        <v>458.33111999999994</v>
      </c>
      <c r="D401" s="125">
        <f t="shared" si="108"/>
        <v>549.99734399999988</v>
      </c>
      <c r="E401" s="124">
        <v>0</v>
      </c>
      <c r="F401" s="124">
        <f t="shared" si="109"/>
        <v>687.49667999999997</v>
      </c>
      <c r="G401" s="146"/>
      <c r="I401" s="147">
        <f>1160000/F401</f>
        <v>1687.2808753054633</v>
      </c>
      <c r="J401" s="59"/>
      <c r="K401" s="57"/>
      <c r="L401" s="59"/>
      <c r="M401" s="59"/>
    </row>
    <row r="402" spans="1:14" ht="15.75" x14ac:dyDescent="0.25">
      <c r="A402" s="124">
        <f t="shared" si="110"/>
        <v>5</v>
      </c>
      <c r="B402" s="124" t="s">
        <v>349</v>
      </c>
      <c r="C402" s="124">
        <f>(56.8)*10.764</f>
        <v>611.39519999999993</v>
      </c>
      <c r="D402" s="125">
        <f t="shared" ref="D402:D403" si="111">C402*1.2</f>
        <v>733.67423999999994</v>
      </c>
      <c r="E402" s="124">
        <v>0</v>
      </c>
      <c r="F402" s="124">
        <f t="shared" ref="F402:F403" si="112">C402*(($F$239)+1)+(IF(E402&lt;101,E402,IF(E402&lt;201,E402/2,IF(E402&lt;=301,E402/3,E402/4))))</f>
        <v>917.0927999999999</v>
      </c>
      <c r="G402" s="146"/>
      <c r="I402" s="147"/>
      <c r="J402" s="59"/>
      <c r="K402" s="57"/>
      <c r="L402" s="59"/>
      <c r="M402" s="59"/>
    </row>
    <row r="403" spans="1:14" ht="15.75" x14ac:dyDescent="0.25">
      <c r="A403" s="124">
        <f t="shared" si="110"/>
        <v>6</v>
      </c>
      <c r="B403" s="124" t="s">
        <v>349</v>
      </c>
      <c r="C403" s="124">
        <f>(64.19)*10.764</f>
        <v>690.94115999999997</v>
      </c>
      <c r="D403" s="125">
        <f t="shared" si="111"/>
        <v>829.12939199999994</v>
      </c>
      <c r="E403" s="124">
        <v>0</v>
      </c>
      <c r="F403" s="124">
        <f t="shared" si="112"/>
        <v>1036.41174</v>
      </c>
      <c r="G403" s="146"/>
      <c r="I403" s="147"/>
      <c r="J403" s="59"/>
      <c r="K403" s="57"/>
      <c r="L403" s="59"/>
      <c r="M403" s="59"/>
    </row>
    <row r="404" spans="1:14" s="132" customFormat="1" ht="15.75" customHeight="1" x14ac:dyDescent="0.25">
      <c r="A404" s="331" t="s">
        <v>420</v>
      </c>
      <c r="B404" s="331"/>
      <c r="C404" s="331"/>
      <c r="D404" s="331"/>
      <c r="E404" s="331"/>
      <c r="F404" s="331"/>
      <c r="G404" s="42">
        <f>1+3+2</f>
        <v>6</v>
      </c>
      <c r="H404" s="42"/>
      <c r="I404" s="131"/>
      <c r="J404" s="131"/>
      <c r="K404" s="59"/>
      <c r="L404" s="131"/>
      <c r="M404" s="131"/>
    </row>
    <row r="405" spans="1:14" s="132" customFormat="1" ht="15.75" customHeight="1" x14ac:dyDescent="0.25">
      <c r="A405" s="124">
        <v>1</v>
      </c>
      <c r="B405" s="124" t="s">
        <v>349</v>
      </c>
      <c r="C405" s="124">
        <f>(56.79)*10.764</f>
        <v>611.28755999999998</v>
      </c>
      <c r="D405" s="125">
        <f>C405*1.2</f>
        <v>733.545072</v>
      </c>
      <c r="E405" s="124">
        <v>0</v>
      </c>
      <c r="F405" s="124">
        <f>C405*(($F$239)+1)+(IF(E405&lt;101,E405,IF(E405&lt;201,E405/2,IF(E405&lt;=301,E405/3,E405/4))))</f>
        <v>916.93133999999998</v>
      </c>
      <c r="G405" s="149"/>
      <c r="H405" s="145"/>
      <c r="I405" s="145"/>
      <c r="J405" s="145"/>
      <c r="K405" s="59"/>
      <c r="L405" s="204"/>
      <c r="M405" s="204"/>
      <c r="N405" s="39"/>
    </row>
    <row r="406" spans="1:14" x14ac:dyDescent="0.25">
      <c r="A406" s="124">
        <f>A405+1</f>
        <v>2</v>
      </c>
      <c r="B406" s="124" t="s">
        <v>349</v>
      </c>
      <c r="C406" s="124">
        <f>(61.32)*10.764</f>
        <v>660.04847999999993</v>
      </c>
      <c r="D406" s="125">
        <f t="shared" ref="D406:D408" si="113">C406*1.2</f>
        <v>792.05817599999989</v>
      </c>
      <c r="E406" s="124">
        <v>0</v>
      </c>
      <c r="F406" s="124">
        <f t="shared" ref="F406:F408" si="114">C406*(($F$239)+1)+(IF(E406&lt;101,E406,IF(E406&lt;201,E406/2,IF(E406&lt;=301,E406/3,E406/4))))</f>
        <v>990.07271999999989</v>
      </c>
      <c r="G406" s="146"/>
      <c r="I406" s="59"/>
      <c r="J406" s="59"/>
      <c r="K406" s="59"/>
      <c r="L406" s="59"/>
      <c r="M406" s="59"/>
    </row>
    <row r="407" spans="1:14" x14ac:dyDescent="0.25">
      <c r="A407" s="124">
        <f t="shared" ref="A407:A410" si="115">A406+1</f>
        <v>3</v>
      </c>
      <c r="B407" s="124" t="s">
        <v>392</v>
      </c>
      <c r="C407" s="124">
        <f>(42.87)*10.764</f>
        <v>461.45267999999993</v>
      </c>
      <c r="D407" s="125">
        <f t="shared" si="113"/>
        <v>553.74321599999985</v>
      </c>
      <c r="E407" s="124">
        <v>0</v>
      </c>
      <c r="F407" s="124">
        <f t="shared" si="114"/>
        <v>692.17901999999992</v>
      </c>
      <c r="G407" s="146"/>
      <c r="I407" s="59"/>
      <c r="J407" s="59"/>
      <c r="K407" s="59"/>
      <c r="L407" s="59"/>
      <c r="M407" s="59"/>
    </row>
    <row r="408" spans="1:14" ht="15.75" x14ac:dyDescent="0.25">
      <c r="A408" s="124">
        <f t="shared" si="115"/>
        <v>4</v>
      </c>
      <c r="B408" s="124" t="s">
        <v>392</v>
      </c>
      <c r="C408" s="124">
        <f>(42.58)*10.764</f>
        <v>458.33111999999994</v>
      </c>
      <c r="D408" s="125">
        <f t="shared" si="113"/>
        <v>549.99734399999988</v>
      </c>
      <c r="E408" s="124">
        <v>0</v>
      </c>
      <c r="F408" s="124">
        <f t="shared" si="114"/>
        <v>687.49667999999997</v>
      </c>
      <c r="G408" s="146"/>
      <c r="I408" s="147"/>
      <c r="J408" s="59"/>
      <c r="K408" s="57"/>
      <c r="L408" s="59"/>
      <c r="M408" s="59"/>
    </row>
    <row r="409" spans="1:14" ht="15.75" x14ac:dyDescent="0.25">
      <c r="A409" s="162">
        <f t="shared" si="115"/>
        <v>5</v>
      </c>
      <c r="B409" s="124" t="s">
        <v>349</v>
      </c>
      <c r="C409" s="124">
        <f>(61.11)*10.764</f>
        <v>657.78803999999991</v>
      </c>
      <c r="D409" s="125">
        <f t="shared" ref="D409:D410" si="116">C409*1.2</f>
        <v>789.34564799999987</v>
      </c>
      <c r="E409" s="124">
        <v>0</v>
      </c>
      <c r="F409" s="124">
        <f t="shared" ref="F409:F410" si="117">C409*(($F$239)+1)+(IF(E409&lt;101,E409,IF(E409&lt;201,E409/2,IF(E409&lt;=301,E409/3,E409/4))))</f>
        <v>986.68205999999986</v>
      </c>
      <c r="G409" s="146"/>
      <c r="I409" s="147"/>
      <c r="J409" s="59"/>
      <c r="K409" s="57"/>
      <c r="L409" s="59"/>
      <c r="M409" s="59"/>
    </row>
    <row r="410" spans="1:14" ht="15.75" x14ac:dyDescent="0.25">
      <c r="A410" s="162">
        <f t="shared" si="115"/>
        <v>6</v>
      </c>
      <c r="B410" s="124" t="s">
        <v>349</v>
      </c>
      <c r="C410" s="124">
        <f>(64.19)*10.764</f>
        <v>690.94115999999997</v>
      </c>
      <c r="D410" s="125">
        <f t="shared" si="116"/>
        <v>829.12939199999994</v>
      </c>
      <c r="E410" s="124">
        <v>0</v>
      </c>
      <c r="F410" s="124">
        <f t="shared" si="117"/>
        <v>1036.41174</v>
      </c>
      <c r="G410" s="146"/>
      <c r="I410" s="147"/>
      <c r="J410" s="59"/>
      <c r="K410" s="57"/>
      <c r="L410" s="59"/>
      <c r="M410" s="59"/>
    </row>
    <row r="411" spans="1:14" s="132" customFormat="1" ht="15.75" customHeight="1" x14ac:dyDescent="0.25">
      <c r="A411" s="200" t="s">
        <v>367</v>
      </c>
      <c r="B411" s="200"/>
      <c r="C411" s="200"/>
      <c r="D411" s="200"/>
      <c r="E411" s="200"/>
      <c r="F411" s="200"/>
      <c r="G411" s="42">
        <v>2</v>
      </c>
      <c r="H411" s="42"/>
      <c r="I411" s="131"/>
      <c r="J411" s="131"/>
      <c r="K411" s="59"/>
      <c r="L411" s="131"/>
      <c r="M411" s="131"/>
    </row>
    <row r="412" spans="1:14" s="132" customFormat="1" ht="15.75" customHeight="1" x14ac:dyDescent="0.25">
      <c r="A412" s="124">
        <v>1</v>
      </c>
      <c r="B412" s="124" t="s">
        <v>349</v>
      </c>
      <c r="C412" s="124">
        <f>(56.79)*10.764</f>
        <v>611.28755999999998</v>
      </c>
      <c r="D412" s="125">
        <f t="shared" ref="D412" si="118">C412*1.2</f>
        <v>733.545072</v>
      </c>
      <c r="E412" s="124">
        <v>0</v>
      </c>
      <c r="F412" s="124">
        <f t="shared" ref="F412" si="119">C412*(($F$239)+1)+(IF(E412&lt;101,E412,IF(E412&lt;201,E412/2,IF(E412&lt;=301,E412/3,E412/4))))</f>
        <v>916.93133999999998</v>
      </c>
      <c r="G412" s="149"/>
      <c r="H412" s="145"/>
      <c r="I412" s="145"/>
      <c r="J412" s="145"/>
      <c r="K412" s="59"/>
      <c r="L412" s="204"/>
      <c r="M412" s="204"/>
      <c r="N412" s="39"/>
    </row>
    <row r="413" spans="1:14" x14ac:dyDescent="0.25">
      <c r="A413" s="124">
        <f>A412+1</f>
        <v>2</v>
      </c>
      <c r="B413" s="124" t="s">
        <v>349</v>
      </c>
      <c r="C413" s="124">
        <f>(61.32)*10.764</f>
        <v>660.04847999999993</v>
      </c>
      <c r="D413" s="125">
        <f t="shared" ref="D413:D415" si="120">C413*1.2</f>
        <v>792.05817599999989</v>
      </c>
      <c r="E413" s="124">
        <v>0</v>
      </c>
      <c r="F413" s="124">
        <f t="shared" ref="F413:F415" si="121">C413*(($F$239)+1)+(IF(E413&lt;101,E413,IF(E413&lt;201,E413/2,IF(E413&lt;=301,E413/3,E413/4))))</f>
        <v>990.07271999999989</v>
      </c>
      <c r="G413" s="146"/>
      <c r="I413" s="59"/>
      <c r="J413" s="59"/>
      <c r="K413" s="59"/>
      <c r="L413" s="59"/>
      <c r="M413" s="59"/>
    </row>
    <row r="414" spans="1:14" x14ac:dyDescent="0.25">
      <c r="A414" s="124">
        <f t="shared" ref="A414:A417" si="122">A413+1</f>
        <v>3</v>
      </c>
      <c r="B414" s="124" t="s">
        <v>392</v>
      </c>
      <c r="C414" s="124">
        <f>(42.87)*10.764</f>
        <v>461.45267999999993</v>
      </c>
      <c r="D414" s="125">
        <f t="shared" si="120"/>
        <v>553.74321599999985</v>
      </c>
      <c r="E414" s="124">
        <v>0</v>
      </c>
      <c r="F414" s="124">
        <f t="shared" si="121"/>
        <v>692.17901999999992</v>
      </c>
      <c r="G414" s="146"/>
      <c r="I414" s="59"/>
      <c r="J414" s="59"/>
      <c r="K414" s="59"/>
      <c r="L414" s="59"/>
      <c r="M414" s="59"/>
    </row>
    <row r="415" spans="1:14" ht="15.75" x14ac:dyDescent="0.25">
      <c r="A415" s="124">
        <f t="shared" si="122"/>
        <v>4</v>
      </c>
      <c r="B415" s="124" t="s">
        <v>392</v>
      </c>
      <c r="C415" s="124">
        <f>(42.58)*10.764</f>
        <v>458.33111999999994</v>
      </c>
      <c r="D415" s="125">
        <f t="shared" si="120"/>
        <v>549.99734399999988</v>
      </c>
      <c r="E415" s="124">
        <v>0</v>
      </c>
      <c r="F415" s="124">
        <f t="shared" si="121"/>
        <v>687.49667999999997</v>
      </c>
      <c r="G415" s="146"/>
      <c r="I415" s="147"/>
      <c r="J415" s="59"/>
      <c r="K415" s="57"/>
      <c r="L415" s="59"/>
      <c r="M415" s="59"/>
    </row>
    <row r="416" spans="1:14" ht="15.75" x14ac:dyDescent="0.25">
      <c r="A416" s="124">
        <f t="shared" si="122"/>
        <v>5</v>
      </c>
      <c r="B416" s="189" t="s">
        <v>348</v>
      </c>
      <c r="C416" s="190"/>
      <c r="D416" s="190"/>
      <c r="E416" s="190"/>
      <c r="F416" s="191"/>
      <c r="G416" s="146"/>
      <c r="I416" s="147"/>
      <c r="J416" s="59"/>
      <c r="K416" s="57"/>
      <c r="L416" s="59"/>
      <c r="M416" s="59"/>
    </row>
    <row r="417" spans="1:14" ht="15.75" x14ac:dyDescent="0.25">
      <c r="A417" s="124">
        <f t="shared" si="122"/>
        <v>6</v>
      </c>
      <c r="B417" s="124" t="s">
        <v>349</v>
      </c>
      <c r="C417" s="124">
        <f>(64.19)*10.764</f>
        <v>690.94115999999997</v>
      </c>
      <c r="D417" s="125">
        <f t="shared" ref="D417" si="123">C417*1.2</f>
        <v>829.12939199999994</v>
      </c>
      <c r="E417" s="124">
        <v>0</v>
      </c>
      <c r="F417" s="124">
        <f t="shared" ref="F417" si="124">C417*(($F$239)+1)+(IF(E417&lt;101,E417,IF(E417&lt;201,E417/2,IF(E417&lt;=301,E417/3,E417/4))))</f>
        <v>1036.41174</v>
      </c>
      <c r="G417" s="146"/>
      <c r="I417" s="147"/>
      <c r="J417" s="59"/>
      <c r="K417" s="57"/>
      <c r="L417" s="59"/>
      <c r="M417" s="59"/>
    </row>
    <row r="418" spans="1:14" s="132" customFormat="1" ht="15.75" customHeight="1" x14ac:dyDescent="0.25">
      <c r="A418" s="200" t="s">
        <v>368</v>
      </c>
      <c r="B418" s="200"/>
      <c r="C418" s="200"/>
      <c r="D418" s="200"/>
      <c r="E418" s="200"/>
      <c r="F418" s="200"/>
      <c r="G418" s="42">
        <v>3</v>
      </c>
      <c r="H418" s="42"/>
      <c r="I418" s="131"/>
      <c r="J418" s="131"/>
      <c r="K418" s="59"/>
      <c r="L418" s="131"/>
      <c r="M418" s="131"/>
    </row>
    <row r="419" spans="1:14" s="132" customFormat="1" ht="15.75" customHeight="1" x14ac:dyDescent="0.25">
      <c r="A419" s="124">
        <v>1</v>
      </c>
      <c r="B419" s="124" t="s">
        <v>349</v>
      </c>
      <c r="C419" s="124">
        <f>(56.79)*10.764</f>
        <v>611.28755999999998</v>
      </c>
      <c r="D419" s="125">
        <f>C419*1.2</f>
        <v>733.545072</v>
      </c>
      <c r="E419" s="124">
        <v>0</v>
      </c>
      <c r="F419" s="124">
        <f>C419*(($F$239)+1)+(IF(E419&lt;101,E419,IF(E419&lt;201,E419/2,IF(E419&lt;=301,E419/3,E419/4))))</f>
        <v>916.93133999999998</v>
      </c>
      <c r="G419" s="149"/>
      <c r="H419" s="145"/>
      <c r="I419" s="145"/>
      <c r="J419" s="145"/>
      <c r="K419" s="59"/>
      <c r="L419" s="204"/>
      <c r="M419" s="204"/>
      <c r="N419" s="39"/>
    </row>
    <row r="420" spans="1:14" x14ac:dyDescent="0.25">
      <c r="A420" s="124">
        <f>A419+1</f>
        <v>2</v>
      </c>
      <c r="B420" s="124" t="s">
        <v>349</v>
      </c>
      <c r="C420" s="124">
        <f>(61.32)*10.764</f>
        <v>660.04847999999993</v>
      </c>
      <c r="D420" s="125">
        <f t="shared" ref="D420:D422" si="125">C420*1.2</f>
        <v>792.05817599999989</v>
      </c>
      <c r="E420" s="124">
        <v>0</v>
      </c>
      <c r="F420" s="124">
        <f t="shared" ref="F420:F422" si="126">C420*(($F$239)+1)+(IF(E420&lt;101,E420,IF(E420&lt;201,E420/2,IF(E420&lt;=301,E420/3,E420/4))))</f>
        <v>990.07271999999989</v>
      </c>
      <c r="G420" s="146"/>
      <c r="I420" s="59"/>
      <c r="J420" s="59"/>
      <c r="K420" s="59"/>
      <c r="L420" s="59"/>
      <c r="M420" s="59"/>
    </row>
    <row r="421" spans="1:14" x14ac:dyDescent="0.25">
      <c r="A421" s="124">
        <f t="shared" ref="A421:A424" si="127">A420+1</f>
        <v>3</v>
      </c>
      <c r="B421" s="124" t="s">
        <v>392</v>
      </c>
      <c r="C421" s="124">
        <f>(42.87)*10.764</f>
        <v>461.45267999999993</v>
      </c>
      <c r="D421" s="125">
        <f t="shared" si="125"/>
        <v>553.74321599999985</v>
      </c>
      <c r="E421" s="124">
        <v>0</v>
      </c>
      <c r="F421" s="124">
        <f t="shared" si="126"/>
        <v>692.17901999999992</v>
      </c>
      <c r="G421" s="146"/>
      <c r="I421" s="59"/>
      <c r="J421" s="59"/>
      <c r="K421" s="59"/>
      <c r="L421" s="59"/>
      <c r="M421" s="59"/>
    </row>
    <row r="422" spans="1:14" ht="15.75" x14ac:dyDescent="0.25">
      <c r="A422" s="124">
        <f t="shared" si="127"/>
        <v>4</v>
      </c>
      <c r="B422" s="124" t="s">
        <v>392</v>
      </c>
      <c r="C422" s="124">
        <f>(42.58)*10.764</f>
        <v>458.33111999999994</v>
      </c>
      <c r="D422" s="125">
        <f t="shared" si="125"/>
        <v>549.99734399999988</v>
      </c>
      <c r="E422" s="124">
        <v>0</v>
      </c>
      <c r="F422" s="124">
        <f t="shared" si="126"/>
        <v>687.49667999999997</v>
      </c>
      <c r="G422" s="146"/>
      <c r="I422" s="147"/>
      <c r="J422" s="59"/>
      <c r="K422" s="57"/>
      <c r="L422" s="59"/>
      <c r="M422" s="59"/>
    </row>
    <row r="423" spans="1:14" ht="15.75" x14ac:dyDescent="0.25">
      <c r="A423" s="124">
        <f t="shared" si="127"/>
        <v>5</v>
      </c>
      <c r="B423" s="189" t="s">
        <v>403</v>
      </c>
      <c r="C423" s="190"/>
      <c r="D423" s="190"/>
      <c r="E423" s="190"/>
      <c r="F423" s="191"/>
      <c r="G423" s="146"/>
      <c r="I423" s="147"/>
      <c r="J423" s="59"/>
      <c r="K423" s="57"/>
      <c r="L423" s="59"/>
      <c r="M423" s="59"/>
    </row>
    <row r="424" spans="1:14" ht="15.75" x14ac:dyDescent="0.25">
      <c r="A424" s="124">
        <f t="shared" si="127"/>
        <v>6</v>
      </c>
      <c r="B424" s="124" t="s">
        <v>349</v>
      </c>
      <c r="C424" s="124">
        <f>(64.19)*10.764</f>
        <v>690.94115999999997</v>
      </c>
      <c r="D424" s="125">
        <f t="shared" ref="D424" si="128">C424*1.2</f>
        <v>829.12939199999994</v>
      </c>
      <c r="E424" s="124">
        <v>0</v>
      </c>
      <c r="F424" s="124">
        <f t="shared" ref="F424" si="129">C424*(($F$239)+1)+(IF(E424&lt;101,E424,IF(E424&lt;201,E424/2,IF(E424&lt;=301,E424/3,E424/4))))</f>
        <v>1036.41174</v>
      </c>
      <c r="G424" s="146"/>
      <c r="I424" s="147"/>
      <c r="J424" s="59"/>
      <c r="K424" s="57"/>
      <c r="L424" s="59"/>
      <c r="M424" s="59"/>
    </row>
    <row r="425" spans="1:14" s="132" customFormat="1" ht="15.75" customHeight="1" x14ac:dyDescent="0.25">
      <c r="A425" s="200" t="s">
        <v>407</v>
      </c>
      <c r="B425" s="200"/>
      <c r="C425" s="200"/>
      <c r="D425" s="200"/>
      <c r="E425" s="200"/>
      <c r="F425" s="200"/>
      <c r="G425" s="42">
        <v>1</v>
      </c>
      <c r="H425" s="42"/>
      <c r="I425" s="131"/>
      <c r="J425" s="131"/>
      <c r="K425" s="59"/>
      <c r="L425" s="131"/>
      <c r="M425" s="131"/>
    </row>
    <row r="426" spans="1:14" s="132" customFormat="1" ht="15.75" customHeight="1" x14ac:dyDescent="0.25">
      <c r="A426" s="124">
        <v>1</v>
      </c>
      <c r="B426" s="124" t="s">
        <v>349</v>
      </c>
      <c r="C426" s="124">
        <f>(56.79)*10.764</f>
        <v>611.28755999999998</v>
      </c>
      <c r="D426" s="125">
        <f>C426*1.2</f>
        <v>733.545072</v>
      </c>
      <c r="E426" s="124">
        <v>0</v>
      </c>
      <c r="F426" s="124">
        <f>C426*(($F$239)+1)+(IF(E426&lt;101,E426,IF(E426&lt;201,E426/2,IF(E426&lt;=301,E426/3,E426/4))))</f>
        <v>916.93133999999998</v>
      </c>
      <c r="G426" s="149"/>
      <c r="H426" s="145"/>
      <c r="I426" s="145"/>
      <c r="J426" s="145"/>
      <c r="K426" s="59"/>
      <c r="L426" s="204"/>
      <c r="M426" s="204"/>
      <c r="N426" s="39"/>
    </row>
    <row r="427" spans="1:14" x14ac:dyDescent="0.25">
      <c r="A427" s="124">
        <f>A426+1</f>
        <v>2</v>
      </c>
      <c r="B427" s="124" t="s">
        <v>349</v>
      </c>
      <c r="C427" s="124">
        <f>(61.32)*10.764</f>
        <v>660.04847999999993</v>
      </c>
      <c r="D427" s="125">
        <f t="shared" ref="D427:D429" si="130">C427*1.2</f>
        <v>792.05817599999989</v>
      </c>
      <c r="E427" s="124">
        <v>0</v>
      </c>
      <c r="F427" s="124">
        <f t="shared" ref="F427:F429" si="131">C427*(($F$239)+1)+(IF(E427&lt;101,E427,IF(E427&lt;201,E427/2,IF(E427&lt;=301,E427/3,E427/4))))</f>
        <v>990.07271999999989</v>
      </c>
      <c r="G427" s="146"/>
      <c r="I427" s="59"/>
      <c r="J427" s="59"/>
      <c r="K427" s="59"/>
      <c r="L427" s="59"/>
      <c r="M427" s="59"/>
    </row>
    <row r="428" spans="1:14" x14ac:dyDescent="0.25">
      <c r="A428" s="124">
        <f t="shared" ref="A428:A431" si="132">A427+1</f>
        <v>3</v>
      </c>
      <c r="B428" s="124" t="s">
        <v>392</v>
      </c>
      <c r="C428" s="124">
        <f>(42.87)*10.764</f>
        <v>461.45267999999993</v>
      </c>
      <c r="D428" s="125">
        <f t="shared" si="130"/>
        <v>553.74321599999985</v>
      </c>
      <c r="E428" s="124">
        <v>0</v>
      </c>
      <c r="F428" s="124">
        <f t="shared" si="131"/>
        <v>692.17901999999992</v>
      </c>
      <c r="G428" s="146"/>
      <c r="I428" s="59"/>
      <c r="J428" s="59"/>
      <c r="K428" s="59"/>
      <c r="L428" s="59"/>
      <c r="M428" s="59"/>
    </row>
    <row r="429" spans="1:14" ht="15.75" x14ac:dyDescent="0.25">
      <c r="A429" s="124">
        <f t="shared" si="132"/>
        <v>4</v>
      </c>
      <c r="B429" s="124" t="s">
        <v>392</v>
      </c>
      <c r="C429" s="124">
        <f>(42.58)*10.764</f>
        <v>458.33111999999994</v>
      </c>
      <c r="D429" s="125">
        <f t="shared" si="130"/>
        <v>549.99734399999988</v>
      </c>
      <c r="E429" s="124">
        <v>0</v>
      </c>
      <c r="F429" s="124">
        <f t="shared" si="131"/>
        <v>687.49667999999997</v>
      </c>
      <c r="G429" s="146"/>
      <c r="I429" s="147"/>
      <c r="J429" s="59"/>
      <c r="K429" s="57"/>
      <c r="L429" s="59"/>
      <c r="M429" s="59"/>
    </row>
    <row r="430" spans="1:14" ht="15.75" x14ac:dyDescent="0.25">
      <c r="A430" s="124">
        <f t="shared" si="132"/>
        <v>5</v>
      </c>
      <c r="B430" s="124" t="s">
        <v>349</v>
      </c>
      <c r="C430" s="124">
        <f>(61.11)*10.764</f>
        <v>657.78803999999991</v>
      </c>
      <c r="D430" s="125">
        <f t="shared" ref="D430" si="133">C430*1.2</f>
        <v>789.34564799999987</v>
      </c>
      <c r="E430" s="124">
        <v>0</v>
      </c>
      <c r="F430" s="124">
        <f t="shared" ref="F430" si="134">C430*(($F$239)+1)+(IF(E430&lt;101,E430,IF(E430&lt;201,E430/2,IF(E430&lt;=301,E430/3,E430/4))))</f>
        <v>986.68205999999986</v>
      </c>
      <c r="G430" s="146"/>
      <c r="I430" s="147"/>
      <c r="J430" s="59"/>
      <c r="K430" s="57"/>
      <c r="L430" s="59"/>
      <c r="M430" s="59"/>
    </row>
    <row r="431" spans="1:14" ht="15.75" x14ac:dyDescent="0.25">
      <c r="A431" s="124">
        <f t="shared" si="132"/>
        <v>6</v>
      </c>
      <c r="B431" s="189" t="s">
        <v>391</v>
      </c>
      <c r="C431" s="190"/>
      <c r="D431" s="190"/>
      <c r="E431" s="190"/>
      <c r="F431" s="191"/>
      <c r="G431" s="146"/>
      <c r="I431" s="147"/>
      <c r="J431" s="59"/>
      <c r="K431" s="57"/>
      <c r="L431" s="59"/>
      <c r="M431" s="59"/>
    </row>
    <row r="432" spans="1:14" s="132" customFormat="1" ht="15.75" hidden="1" customHeight="1" x14ac:dyDescent="0.25">
      <c r="A432" s="200" t="s">
        <v>370</v>
      </c>
      <c r="B432" s="200"/>
      <c r="C432" s="200"/>
      <c r="D432" s="200"/>
      <c r="E432" s="200"/>
      <c r="F432" s="200"/>
      <c r="G432" s="42">
        <v>1</v>
      </c>
      <c r="H432" s="42"/>
      <c r="I432" s="131"/>
      <c r="J432" s="131"/>
      <c r="K432" s="59"/>
      <c r="L432" s="131"/>
      <c r="M432" s="131"/>
    </row>
    <row r="433" spans="1:14" s="36" customFormat="1" ht="15.75" x14ac:dyDescent="0.25">
      <c r="A433" s="287" t="s">
        <v>374</v>
      </c>
      <c r="B433" s="287"/>
      <c r="C433" s="287"/>
      <c r="D433" s="287"/>
      <c r="E433" s="287"/>
      <c r="F433" s="288"/>
      <c r="G433" s="124">
        <v>10.763999999999999</v>
      </c>
      <c r="H433" s="148"/>
      <c r="I433" s="148"/>
      <c r="J433" s="148"/>
      <c r="K433" s="148"/>
    </row>
    <row r="434" spans="1:14" s="132" customFormat="1" ht="15.75" customHeight="1" x14ac:dyDescent="0.25">
      <c r="A434" s="332" t="s">
        <v>347</v>
      </c>
      <c r="B434" s="332"/>
      <c r="C434" s="332"/>
      <c r="D434" s="332"/>
      <c r="E434" s="332"/>
      <c r="F434" s="332"/>
      <c r="G434" s="42">
        <v>1</v>
      </c>
      <c r="H434" s="42"/>
      <c r="I434" s="131"/>
      <c r="J434" s="131"/>
      <c r="K434" s="59"/>
      <c r="L434" s="131"/>
      <c r="M434" s="131"/>
    </row>
    <row r="435" spans="1:14" s="132" customFormat="1" ht="15.75" x14ac:dyDescent="0.25">
      <c r="A435" s="124">
        <v>1</v>
      </c>
      <c r="B435" s="189" t="s">
        <v>348</v>
      </c>
      <c r="C435" s="190"/>
      <c r="D435" s="190"/>
      <c r="E435" s="190"/>
      <c r="F435" s="191"/>
      <c r="G435" s="145"/>
      <c r="H435" s="145"/>
      <c r="I435" s="157">
        <v>1</v>
      </c>
      <c r="J435" s="58" t="s">
        <v>382</v>
      </c>
      <c r="K435" s="59">
        <v>57.44</v>
      </c>
      <c r="L435" s="204" t="s">
        <v>395</v>
      </c>
      <c r="M435" s="204"/>
      <c r="N435" s="39">
        <v>61.75</v>
      </c>
    </row>
    <row r="436" spans="1:14" x14ac:dyDescent="0.25">
      <c r="A436" s="124">
        <f>A435+1</f>
        <v>2</v>
      </c>
      <c r="B436" s="124" t="s">
        <v>392</v>
      </c>
      <c r="C436" s="124">
        <f>(42.49)*10.764</f>
        <v>457.36235999999997</v>
      </c>
      <c r="D436" s="125">
        <f t="shared" ref="D436:D437" si="135">C436*1.2</f>
        <v>548.83483199999989</v>
      </c>
      <c r="E436" s="124">
        <v>0</v>
      </c>
      <c r="F436" s="124">
        <f t="shared" ref="F436:F437" si="136">C436*(($F$239)+1)+(IF(E436&lt;101,E436,IF(E436&lt;201,E436/2,IF(E436&lt;=301,E436/3,E436/4))))</f>
        <v>686.04353999999989</v>
      </c>
      <c r="I436" s="158">
        <v>2</v>
      </c>
      <c r="J436" s="152" t="s">
        <v>355</v>
      </c>
      <c r="K436" s="59">
        <v>42.49</v>
      </c>
      <c r="L436" s="59"/>
      <c r="M436" s="59"/>
    </row>
    <row r="437" spans="1:14" x14ac:dyDescent="0.25">
      <c r="A437" s="124">
        <f t="shared" ref="A437:A438" si="137">A436+1</f>
        <v>3</v>
      </c>
      <c r="B437" s="124" t="s">
        <v>392</v>
      </c>
      <c r="C437" s="124">
        <f>(43.01)*10.764</f>
        <v>462.95963999999992</v>
      </c>
      <c r="D437" s="125">
        <f t="shared" si="135"/>
        <v>555.55156799999986</v>
      </c>
      <c r="E437" s="124">
        <v>0</v>
      </c>
      <c r="F437" s="124">
        <f t="shared" si="136"/>
        <v>694.43945999999983</v>
      </c>
      <c r="I437" s="158">
        <v>3</v>
      </c>
      <c r="J437" s="152" t="s">
        <v>355</v>
      </c>
      <c r="K437" s="59">
        <v>43.01</v>
      </c>
      <c r="L437" s="59"/>
      <c r="M437" s="59"/>
    </row>
    <row r="438" spans="1:14" ht="15.75" customHeight="1" x14ac:dyDescent="0.25">
      <c r="A438" s="124">
        <f t="shared" si="137"/>
        <v>4</v>
      </c>
      <c r="B438" s="189" t="s">
        <v>390</v>
      </c>
      <c r="C438" s="190"/>
      <c r="D438" s="190"/>
      <c r="E438" s="190"/>
      <c r="F438" s="191"/>
      <c r="I438" s="158">
        <v>4</v>
      </c>
      <c r="J438" s="291" t="s">
        <v>384</v>
      </c>
      <c r="K438" s="333">
        <v>66.150000000000006</v>
      </c>
      <c r="L438" s="59"/>
      <c r="M438" s="59"/>
    </row>
    <row r="439" spans="1:14" s="132" customFormat="1" ht="15.75" customHeight="1" x14ac:dyDescent="0.25">
      <c r="A439" s="200" t="s">
        <v>351</v>
      </c>
      <c r="B439" s="200"/>
      <c r="C439" s="200"/>
      <c r="D439" s="200"/>
      <c r="E439" s="200"/>
      <c r="F439" s="200"/>
      <c r="G439" s="42">
        <v>3</v>
      </c>
      <c r="H439" s="42"/>
      <c r="I439" s="131"/>
      <c r="J439" s="291"/>
      <c r="K439" s="333"/>
      <c r="L439" s="131"/>
      <c r="M439" s="131"/>
    </row>
    <row r="440" spans="1:14" s="132" customFormat="1" ht="15.75" customHeight="1" x14ac:dyDescent="0.25">
      <c r="A440" s="124">
        <v>1</v>
      </c>
      <c r="B440" s="189" t="s">
        <v>404</v>
      </c>
      <c r="C440" s="190"/>
      <c r="D440" s="190"/>
      <c r="E440" s="190"/>
      <c r="F440" s="191"/>
      <c r="H440" s="131"/>
      <c r="I440" s="150"/>
      <c r="J440" s="145"/>
      <c r="K440" s="145"/>
      <c r="L440" s="204"/>
      <c r="M440" s="204"/>
      <c r="N440" s="39"/>
    </row>
    <row r="441" spans="1:14" x14ac:dyDescent="0.25">
      <c r="A441" s="124">
        <f>A440+1</f>
        <v>2</v>
      </c>
      <c r="B441" s="124" t="s">
        <v>392</v>
      </c>
      <c r="C441" s="124">
        <f>(42.49)*10.764</f>
        <v>457.36235999999997</v>
      </c>
      <c r="D441" s="125">
        <f t="shared" ref="D441:D442" si="138">C441*1.2</f>
        <v>548.83483199999989</v>
      </c>
      <c r="E441" s="124">
        <v>0</v>
      </c>
      <c r="F441" s="124">
        <f t="shared" ref="F441:F442" si="139">C441*(($F$239)+1)+(IF(E441&lt;101,E441,IF(E441&lt;201,E441/2,IF(E441&lt;=301,E441/3,E441/4))))</f>
        <v>686.04353999999989</v>
      </c>
      <c r="I441" s="146"/>
      <c r="K441" s="59"/>
      <c r="L441" s="59"/>
      <c r="M441" s="59"/>
    </row>
    <row r="442" spans="1:14" x14ac:dyDescent="0.25">
      <c r="A442" s="124">
        <f t="shared" ref="A442:A443" si="140">A441+1</f>
        <v>3</v>
      </c>
      <c r="B442" s="124" t="s">
        <v>392</v>
      </c>
      <c r="C442" s="124">
        <f>(43.01)*10.764</f>
        <v>462.95963999999992</v>
      </c>
      <c r="D442" s="125">
        <f t="shared" si="138"/>
        <v>555.55156799999986</v>
      </c>
      <c r="E442" s="124">
        <v>0</v>
      </c>
      <c r="F442" s="124">
        <f t="shared" si="139"/>
        <v>694.43945999999983</v>
      </c>
      <c r="I442" s="146"/>
      <c r="K442" s="59"/>
      <c r="L442" s="59"/>
      <c r="M442" s="59"/>
    </row>
    <row r="443" spans="1:14" x14ac:dyDescent="0.25">
      <c r="A443" s="124">
        <f t="shared" si="140"/>
        <v>4</v>
      </c>
      <c r="B443" s="189" t="s">
        <v>390</v>
      </c>
      <c r="C443" s="190"/>
      <c r="D443" s="190"/>
      <c r="E443" s="190"/>
      <c r="F443" s="191"/>
      <c r="I443" s="146"/>
      <c r="K443" s="147"/>
      <c r="L443" s="59"/>
      <c r="M443" s="59"/>
    </row>
    <row r="444" spans="1:14" s="132" customFormat="1" ht="15.75" customHeight="1" x14ac:dyDescent="0.25">
      <c r="A444" s="200" t="s">
        <v>358</v>
      </c>
      <c r="B444" s="200"/>
      <c r="C444" s="200"/>
      <c r="D444" s="200"/>
      <c r="E444" s="200"/>
      <c r="F444" s="200"/>
      <c r="G444" s="42">
        <v>4</v>
      </c>
      <c r="H444" s="42"/>
      <c r="I444" s="131"/>
      <c r="J444" s="131"/>
      <c r="K444" s="59"/>
      <c r="L444" s="131"/>
      <c r="M444" s="131"/>
    </row>
    <row r="445" spans="1:14" s="132" customFormat="1" ht="15.75" customHeight="1" x14ac:dyDescent="0.25">
      <c r="A445" s="124">
        <v>1</v>
      </c>
      <c r="B445" s="124" t="s">
        <v>349</v>
      </c>
      <c r="C445" s="124">
        <f>(57.44)*10.764</f>
        <v>618.28415999999993</v>
      </c>
      <c r="D445" s="125">
        <f>C445*1.2</f>
        <v>741.94099199999994</v>
      </c>
      <c r="E445" s="124">
        <v>0</v>
      </c>
      <c r="F445" s="124">
        <f>C445*(($F$239)+1)+(IF(E445&lt;101,E445,IF(E445&lt;201,E445/2,IF(E445&lt;=301,E445/3,E445/4))))</f>
        <v>927.42623999999989</v>
      </c>
      <c r="G445" s="149"/>
      <c r="H445" s="145"/>
      <c r="I445" s="145"/>
      <c r="J445" s="145"/>
      <c r="K445" s="59"/>
      <c r="L445" s="204"/>
      <c r="M445" s="204"/>
      <c r="N445" s="39"/>
    </row>
    <row r="446" spans="1:14" x14ac:dyDescent="0.25">
      <c r="A446" s="124">
        <f>A445+1</f>
        <v>2</v>
      </c>
      <c r="B446" s="124" t="s">
        <v>392</v>
      </c>
      <c r="C446" s="124">
        <f>(42.49)*10.764</f>
        <v>457.36235999999997</v>
      </c>
      <c r="D446" s="125">
        <f t="shared" ref="D446:D447" si="141">C446*1.2</f>
        <v>548.83483199999989</v>
      </c>
      <c r="E446" s="124">
        <v>0</v>
      </c>
      <c r="F446" s="124">
        <f t="shared" ref="F446:F447" si="142">C446*(($F$239)+1)+(IF(E446&lt;101,E446,IF(E446&lt;201,E446/2,IF(E446&lt;=301,E446/3,E446/4))))</f>
        <v>686.04353999999989</v>
      </c>
      <c r="G446" s="146"/>
      <c r="I446" s="59"/>
      <c r="J446" s="59"/>
      <c r="K446" s="59"/>
      <c r="L446" s="59"/>
      <c r="M446" s="59"/>
    </row>
    <row r="447" spans="1:14" x14ac:dyDescent="0.25">
      <c r="A447" s="124">
        <f t="shared" ref="A447:A448" si="143">A446+1</f>
        <v>3</v>
      </c>
      <c r="B447" s="124" t="s">
        <v>392</v>
      </c>
      <c r="C447" s="124">
        <f>(43.01)*10.764</f>
        <v>462.95963999999992</v>
      </c>
      <c r="D447" s="125">
        <f t="shared" si="141"/>
        <v>555.55156799999986</v>
      </c>
      <c r="E447" s="124">
        <v>0</v>
      </c>
      <c r="F447" s="124">
        <f t="shared" si="142"/>
        <v>694.43945999999983</v>
      </c>
      <c r="G447" s="146"/>
      <c r="I447" s="59"/>
      <c r="J447" s="59"/>
      <c r="K447" s="59"/>
      <c r="L447" s="59"/>
      <c r="M447" s="59"/>
    </row>
    <row r="448" spans="1:14" ht="15.75" x14ac:dyDescent="0.25">
      <c r="A448" s="124">
        <f t="shared" si="143"/>
        <v>4</v>
      </c>
      <c r="B448" s="189" t="s">
        <v>390</v>
      </c>
      <c r="C448" s="190"/>
      <c r="D448" s="190"/>
      <c r="E448" s="190"/>
      <c r="F448" s="191"/>
      <c r="G448" s="146"/>
      <c r="I448" s="147"/>
      <c r="J448" s="59"/>
      <c r="K448" s="57"/>
      <c r="L448" s="59"/>
      <c r="M448" s="59"/>
    </row>
    <row r="449" spans="1:14" s="132" customFormat="1" ht="15.75" customHeight="1" x14ac:dyDescent="0.25">
      <c r="A449" s="200" t="s">
        <v>359</v>
      </c>
      <c r="B449" s="200"/>
      <c r="C449" s="200"/>
      <c r="D449" s="200"/>
      <c r="E449" s="200"/>
      <c r="F449" s="200"/>
      <c r="G449" s="42">
        <v>3</v>
      </c>
      <c r="H449" s="42"/>
      <c r="I449" s="131"/>
      <c r="J449" s="131"/>
      <c r="K449" s="59"/>
      <c r="L449" s="131"/>
      <c r="M449" s="131"/>
    </row>
    <row r="450" spans="1:14" s="132" customFormat="1" ht="15.75" customHeight="1" x14ac:dyDescent="0.25">
      <c r="A450" s="124">
        <v>1</v>
      </c>
      <c r="B450" s="124" t="s">
        <v>349</v>
      </c>
      <c r="C450" s="124">
        <f>(57.44)*10.764</f>
        <v>618.28415999999993</v>
      </c>
      <c r="D450" s="125">
        <f>C450*1.2</f>
        <v>741.94099199999994</v>
      </c>
      <c r="E450" s="124">
        <v>0</v>
      </c>
      <c r="F450" s="124">
        <f>C450*(($F$239)+1)+(IF(E450&lt;101,E450,IF(E450&lt;201,E450/2,IF(E450&lt;=301,E450/3,E450/4))))</f>
        <v>927.42623999999989</v>
      </c>
      <c r="G450" s="149"/>
      <c r="H450" s="145"/>
      <c r="I450" s="145"/>
      <c r="J450" s="145"/>
      <c r="K450" s="59"/>
      <c r="L450" s="204"/>
      <c r="M450" s="204"/>
      <c r="N450" s="39"/>
    </row>
    <row r="451" spans="1:14" x14ac:dyDescent="0.25">
      <c r="A451" s="124">
        <f>A450+1</f>
        <v>2</v>
      </c>
      <c r="B451" s="124" t="s">
        <v>392</v>
      </c>
      <c r="C451" s="124">
        <f>(42.49)*10.764</f>
        <v>457.36235999999997</v>
      </c>
      <c r="D451" s="125">
        <f t="shared" ref="D451:D453" si="144">C451*1.2</f>
        <v>548.83483199999989</v>
      </c>
      <c r="E451" s="124">
        <v>0</v>
      </c>
      <c r="F451" s="124">
        <f t="shared" ref="F451:F453" si="145">C451*(($F$239)+1)+(IF(E451&lt;101,E451,IF(E451&lt;201,E451/2,IF(E451&lt;=301,E451/3,E451/4))))</f>
        <v>686.04353999999989</v>
      </c>
      <c r="G451" s="146"/>
      <c r="I451" s="59"/>
      <c r="J451" s="59"/>
      <c r="K451" s="59"/>
      <c r="L451" s="59"/>
      <c r="M451" s="59"/>
    </row>
    <row r="452" spans="1:14" x14ac:dyDescent="0.25">
      <c r="A452" s="124">
        <f t="shared" ref="A452:A453" si="146">A451+1</f>
        <v>3</v>
      </c>
      <c r="B452" s="124" t="s">
        <v>392</v>
      </c>
      <c r="C452" s="124">
        <f>(43.01)*10.764</f>
        <v>462.95963999999992</v>
      </c>
      <c r="D452" s="125">
        <f t="shared" si="144"/>
        <v>555.55156799999986</v>
      </c>
      <c r="E452" s="124">
        <v>0</v>
      </c>
      <c r="F452" s="124">
        <f t="shared" si="145"/>
        <v>694.43945999999983</v>
      </c>
      <c r="G452" s="146"/>
      <c r="I452" s="59"/>
      <c r="J452" s="59"/>
      <c r="K452" s="59"/>
      <c r="L452" s="59"/>
      <c r="M452" s="59"/>
    </row>
    <row r="453" spans="1:14" ht="15.75" x14ac:dyDescent="0.25">
      <c r="A453" s="124">
        <f t="shared" si="146"/>
        <v>4</v>
      </c>
      <c r="B453" s="124" t="s">
        <v>349</v>
      </c>
      <c r="C453" s="124">
        <f>(66.15)*10.764</f>
        <v>712.03859999999997</v>
      </c>
      <c r="D453" s="125">
        <f t="shared" si="144"/>
        <v>854.4463199999999</v>
      </c>
      <c r="E453" s="124">
        <v>0</v>
      </c>
      <c r="F453" s="124">
        <f t="shared" si="145"/>
        <v>1068.0579</v>
      </c>
      <c r="G453" s="146"/>
      <c r="I453" s="147"/>
      <c r="J453" s="59"/>
      <c r="K453" s="57"/>
      <c r="L453" s="59"/>
      <c r="M453" s="59"/>
    </row>
    <row r="454" spans="1:14" s="132" customFormat="1" ht="15.75" customHeight="1" x14ac:dyDescent="0.25">
      <c r="A454" s="200" t="s">
        <v>361</v>
      </c>
      <c r="B454" s="200"/>
      <c r="C454" s="200"/>
      <c r="D454" s="200"/>
      <c r="E454" s="200"/>
      <c r="F454" s="200"/>
      <c r="G454" s="42">
        <v>1</v>
      </c>
      <c r="H454" s="42"/>
      <c r="I454" s="131"/>
      <c r="J454" s="131"/>
      <c r="K454" s="59"/>
      <c r="L454" s="131"/>
      <c r="M454" s="131"/>
    </row>
    <row r="455" spans="1:14" s="132" customFormat="1" ht="15.75" customHeight="1" x14ac:dyDescent="0.25">
      <c r="A455" s="124">
        <v>1</v>
      </c>
      <c r="B455" s="189" t="s">
        <v>348</v>
      </c>
      <c r="C455" s="190"/>
      <c r="D455" s="190"/>
      <c r="E455" s="190"/>
      <c r="F455" s="191"/>
      <c r="G455" s="149"/>
      <c r="H455" s="145"/>
      <c r="I455" s="145"/>
      <c r="J455" s="145"/>
      <c r="K455" s="59"/>
      <c r="L455" s="204"/>
      <c r="M455" s="204"/>
      <c r="N455" s="39"/>
    </row>
    <row r="456" spans="1:14" x14ac:dyDescent="0.25">
      <c r="A456" s="124">
        <f>A455+1</f>
        <v>2</v>
      </c>
      <c r="B456" s="124" t="s">
        <v>392</v>
      </c>
      <c r="C456" s="124">
        <f>(42.49)*10.764</f>
        <v>457.36235999999997</v>
      </c>
      <c r="D456" s="125">
        <f t="shared" ref="D456:D458" si="147">C456*1.2</f>
        <v>548.83483199999989</v>
      </c>
      <c r="E456" s="124">
        <v>0</v>
      </c>
      <c r="F456" s="124">
        <f t="shared" ref="F456:F458" si="148">C456*(($F$239)+1)+(IF(E456&lt;101,E456,IF(E456&lt;201,E456/2,IF(E456&lt;=301,E456/3,E456/4))))</f>
        <v>686.04353999999989</v>
      </c>
      <c r="G456" s="146"/>
      <c r="I456" s="59"/>
      <c r="J456" s="59"/>
      <c r="K456" s="59"/>
      <c r="L456" s="59"/>
      <c r="M456" s="59"/>
    </row>
    <row r="457" spans="1:14" x14ac:dyDescent="0.25">
      <c r="A457" s="124">
        <f t="shared" ref="A457:A458" si="149">A456+1</f>
        <v>3</v>
      </c>
      <c r="B457" s="124" t="s">
        <v>392</v>
      </c>
      <c r="C457" s="124">
        <f>(43.01)*10.764</f>
        <v>462.95963999999992</v>
      </c>
      <c r="D457" s="125">
        <f t="shared" si="147"/>
        <v>555.55156799999986</v>
      </c>
      <c r="E457" s="124">
        <v>0</v>
      </c>
      <c r="F457" s="124">
        <f t="shared" si="148"/>
        <v>694.43945999999983</v>
      </c>
      <c r="G457" s="146"/>
      <c r="I457" s="59"/>
      <c r="J457" s="59"/>
      <c r="K457" s="59"/>
      <c r="L457" s="59"/>
      <c r="M457" s="59"/>
    </row>
    <row r="458" spans="1:14" ht="15.75" x14ac:dyDescent="0.25">
      <c r="A458" s="124">
        <f t="shared" si="149"/>
        <v>4</v>
      </c>
      <c r="B458" s="124" t="s">
        <v>349</v>
      </c>
      <c r="C458" s="124">
        <f>(66.15)*10.764</f>
        <v>712.03859999999997</v>
      </c>
      <c r="D458" s="125">
        <f t="shared" si="147"/>
        <v>854.4463199999999</v>
      </c>
      <c r="E458" s="124">
        <v>0</v>
      </c>
      <c r="F458" s="124">
        <f t="shared" si="148"/>
        <v>1068.0579</v>
      </c>
      <c r="G458" s="146"/>
      <c r="I458" s="147"/>
      <c r="J458" s="59"/>
      <c r="K458" s="57"/>
      <c r="L458" s="59"/>
      <c r="M458" s="59"/>
    </row>
    <row r="459" spans="1:14" s="132" customFormat="1" ht="15.75" customHeight="1" x14ac:dyDescent="0.25">
      <c r="A459" s="200" t="s">
        <v>360</v>
      </c>
      <c r="B459" s="200"/>
      <c r="C459" s="200"/>
      <c r="D459" s="200"/>
      <c r="E459" s="200"/>
      <c r="F459" s="200"/>
      <c r="G459" s="42">
        <v>1</v>
      </c>
      <c r="H459" s="42"/>
      <c r="I459" s="131"/>
      <c r="J459" s="131"/>
      <c r="K459" s="59"/>
      <c r="L459" s="131"/>
      <c r="M459" s="131"/>
    </row>
    <row r="460" spans="1:14" s="132" customFormat="1" ht="15.75" customHeight="1" x14ac:dyDescent="0.25">
      <c r="A460" s="124">
        <v>1</v>
      </c>
      <c r="B460" s="124" t="s">
        <v>349</v>
      </c>
      <c r="C460" s="124">
        <f>(57.44)*10.764</f>
        <v>618.28415999999993</v>
      </c>
      <c r="D460" s="125">
        <f>C460*1.2</f>
        <v>741.94099199999994</v>
      </c>
      <c r="E460" s="124">
        <v>0</v>
      </c>
      <c r="F460" s="124">
        <f>C460*(($F$239)+1)+(IF(E460&lt;101,E460,IF(E460&lt;201,E460/2,IF(E460&lt;=301,E460/3,E460/4))))</f>
        <v>927.42623999999989</v>
      </c>
      <c r="G460" s="149"/>
      <c r="H460" s="145"/>
      <c r="I460" s="145"/>
      <c r="J460" s="145"/>
      <c r="K460" s="59"/>
      <c r="L460" s="204"/>
      <c r="M460" s="204"/>
      <c r="N460" s="39"/>
    </row>
    <row r="461" spans="1:14" x14ac:dyDescent="0.25">
      <c r="A461" s="124">
        <f>A460+1</f>
        <v>2</v>
      </c>
      <c r="B461" s="124" t="s">
        <v>392</v>
      </c>
      <c r="C461" s="124">
        <f>(42.49)*10.764</f>
        <v>457.36235999999997</v>
      </c>
      <c r="D461" s="125">
        <f t="shared" ref="D461:D463" si="150">C461*1.2</f>
        <v>548.83483199999989</v>
      </c>
      <c r="E461" s="124">
        <v>0</v>
      </c>
      <c r="F461" s="124">
        <f t="shared" ref="F461:F463" si="151">C461*(($F$239)+1)+(IF(E461&lt;101,E461,IF(E461&lt;201,E461/2,IF(E461&lt;=301,E461/3,E461/4))))</f>
        <v>686.04353999999989</v>
      </c>
      <c r="G461" s="146"/>
      <c r="I461" s="59"/>
      <c r="J461" s="59"/>
      <c r="K461" s="59"/>
      <c r="L461" s="59"/>
      <c r="M461" s="59"/>
    </row>
    <row r="462" spans="1:14" x14ac:dyDescent="0.25">
      <c r="A462" s="124">
        <f t="shared" ref="A462:A463" si="152">A461+1</f>
        <v>3</v>
      </c>
      <c r="B462" s="124" t="s">
        <v>392</v>
      </c>
      <c r="C462" s="124">
        <f>(43.01)*10.764</f>
        <v>462.95963999999992</v>
      </c>
      <c r="D462" s="125">
        <f t="shared" si="150"/>
        <v>555.55156799999986</v>
      </c>
      <c r="E462" s="124">
        <v>0</v>
      </c>
      <c r="F462" s="124">
        <f t="shared" si="151"/>
        <v>694.43945999999983</v>
      </c>
      <c r="G462" s="146"/>
      <c r="I462" s="59"/>
      <c r="J462" s="59"/>
      <c r="K462" s="59"/>
      <c r="L462" s="59"/>
      <c r="M462" s="59"/>
    </row>
    <row r="463" spans="1:14" ht="15.75" x14ac:dyDescent="0.25">
      <c r="A463" s="124">
        <f t="shared" si="152"/>
        <v>4</v>
      </c>
      <c r="B463" s="124" t="s">
        <v>349</v>
      </c>
      <c r="C463" s="124">
        <f>(66.15)*10.764</f>
        <v>712.03859999999997</v>
      </c>
      <c r="D463" s="125">
        <f t="shared" si="150"/>
        <v>854.4463199999999</v>
      </c>
      <c r="E463" s="124">
        <v>0</v>
      </c>
      <c r="F463" s="124">
        <f t="shared" si="151"/>
        <v>1068.0579</v>
      </c>
      <c r="G463" s="146"/>
      <c r="I463" s="147"/>
      <c r="J463" s="59"/>
      <c r="K463" s="57"/>
      <c r="L463" s="59"/>
      <c r="M463" s="59"/>
    </row>
    <row r="464" spans="1:14" s="132" customFormat="1" ht="15.75" customHeight="1" x14ac:dyDescent="0.25">
      <c r="A464" s="200" t="s">
        <v>372</v>
      </c>
      <c r="B464" s="200"/>
      <c r="C464" s="200"/>
      <c r="D464" s="200"/>
      <c r="E464" s="200"/>
      <c r="F464" s="200"/>
      <c r="G464" s="42">
        <f>3+3</f>
        <v>6</v>
      </c>
      <c r="H464" s="42"/>
      <c r="I464" s="131"/>
      <c r="J464" s="131"/>
      <c r="K464" s="59"/>
      <c r="L464" s="131"/>
      <c r="M464" s="131"/>
    </row>
    <row r="465" spans="1:14" s="132" customFormat="1" ht="15.75" customHeight="1" x14ac:dyDescent="0.25">
      <c r="A465" s="124">
        <v>1</v>
      </c>
      <c r="B465" s="124" t="s">
        <v>349</v>
      </c>
      <c r="C465" s="124">
        <f>(57.44)*10.764</f>
        <v>618.28415999999993</v>
      </c>
      <c r="D465" s="125">
        <f>C465*1.2</f>
        <v>741.94099199999994</v>
      </c>
      <c r="E465" s="124">
        <v>0</v>
      </c>
      <c r="F465" s="124">
        <f>C465*(($F$239)+1)+(IF(E465&lt;101,E465,IF(E465&lt;201,E465/2,IF(E465&lt;=301,E465/3,E465/4))))</f>
        <v>927.42623999999989</v>
      </c>
      <c r="G465" s="149"/>
      <c r="H465" s="145"/>
      <c r="I465" s="145"/>
      <c r="J465" s="145"/>
      <c r="K465" s="59"/>
      <c r="L465" s="204"/>
      <c r="M465" s="204"/>
      <c r="N465" s="39"/>
    </row>
    <row r="466" spans="1:14" x14ac:dyDescent="0.25">
      <c r="A466" s="124">
        <f>A465+1</f>
        <v>2</v>
      </c>
      <c r="B466" s="124" t="s">
        <v>392</v>
      </c>
      <c r="C466" s="124">
        <f>(42.49)*10.764</f>
        <v>457.36235999999997</v>
      </c>
      <c r="D466" s="125">
        <f t="shared" ref="D466:D468" si="153">C466*1.2</f>
        <v>548.83483199999989</v>
      </c>
      <c r="E466" s="124">
        <v>0</v>
      </c>
      <c r="F466" s="124">
        <f t="shared" ref="F466:F468" si="154">C466*(($F$239)+1)+(IF(E466&lt;101,E466,IF(E466&lt;201,E466/2,IF(E466&lt;=301,E466/3,E466/4))))</f>
        <v>686.04353999999989</v>
      </c>
      <c r="G466" s="146"/>
      <c r="I466" s="59"/>
      <c r="J466" s="59"/>
      <c r="K466" s="59"/>
      <c r="L466" s="59"/>
      <c r="M466" s="59"/>
    </row>
    <row r="467" spans="1:14" x14ac:dyDescent="0.25">
      <c r="A467" s="124">
        <f t="shared" ref="A467:A468" si="155">A466+1</f>
        <v>3</v>
      </c>
      <c r="B467" s="124" t="s">
        <v>392</v>
      </c>
      <c r="C467" s="124">
        <f>(43.01)*10.764</f>
        <v>462.95963999999992</v>
      </c>
      <c r="D467" s="125">
        <f t="shared" si="153"/>
        <v>555.55156799999986</v>
      </c>
      <c r="E467" s="124">
        <v>0</v>
      </c>
      <c r="F467" s="124">
        <f t="shared" si="154"/>
        <v>694.43945999999983</v>
      </c>
      <c r="G467" s="146"/>
      <c r="I467" s="59"/>
      <c r="J467" s="59"/>
      <c r="K467" s="59"/>
      <c r="L467" s="59"/>
      <c r="M467" s="59"/>
    </row>
    <row r="468" spans="1:14" ht="15.75" x14ac:dyDescent="0.25">
      <c r="A468" s="124">
        <f t="shared" si="155"/>
        <v>4</v>
      </c>
      <c r="B468" s="124" t="s">
        <v>349</v>
      </c>
      <c r="C468" s="124">
        <f>(66.15)*10.764</f>
        <v>712.03859999999997</v>
      </c>
      <c r="D468" s="125">
        <f t="shared" si="153"/>
        <v>854.4463199999999</v>
      </c>
      <c r="E468" s="124">
        <v>0</v>
      </c>
      <c r="F468" s="124">
        <f t="shared" si="154"/>
        <v>1068.0579</v>
      </c>
      <c r="G468" s="146"/>
      <c r="I468" s="147"/>
      <c r="J468" s="59"/>
      <c r="K468" s="57"/>
      <c r="L468" s="59"/>
      <c r="M468" s="59"/>
    </row>
    <row r="469" spans="1:14" s="132" customFormat="1" ht="15.75" customHeight="1" x14ac:dyDescent="0.25">
      <c r="A469" s="200" t="s">
        <v>364</v>
      </c>
      <c r="B469" s="200"/>
      <c r="C469" s="200"/>
      <c r="D469" s="200"/>
      <c r="E469" s="200"/>
      <c r="F469" s="200"/>
      <c r="G469" s="42">
        <v>1</v>
      </c>
      <c r="H469" s="42"/>
      <c r="I469" s="131"/>
      <c r="J469" s="131"/>
      <c r="K469" s="59"/>
      <c r="L469" s="131"/>
      <c r="M469" s="131"/>
    </row>
    <row r="470" spans="1:14" s="132" customFormat="1" ht="15.75" customHeight="1" x14ac:dyDescent="0.25">
      <c r="A470" s="124">
        <v>1</v>
      </c>
      <c r="B470" s="124" t="s">
        <v>349</v>
      </c>
      <c r="C470" s="124">
        <f>(57.44)*10.764</f>
        <v>618.28415999999993</v>
      </c>
      <c r="D470" s="125">
        <f>C470*1.2</f>
        <v>741.94099199999994</v>
      </c>
      <c r="E470" s="124">
        <v>0</v>
      </c>
      <c r="F470" s="124">
        <f>C470*(($F$239)+1)+(IF(E470&lt;101,E470,IF(E470&lt;201,E470/2,IF(E470&lt;=301,E470/3,E470/4))))</f>
        <v>927.42623999999989</v>
      </c>
      <c r="G470" s="149"/>
      <c r="H470" s="145"/>
      <c r="I470" s="145"/>
      <c r="J470" s="145"/>
      <c r="K470" s="59"/>
      <c r="L470" s="204"/>
      <c r="M470" s="204"/>
      <c r="N470" s="39"/>
    </row>
    <row r="471" spans="1:14" x14ac:dyDescent="0.25">
      <c r="A471" s="124">
        <f>A470+1</f>
        <v>2</v>
      </c>
      <c r="B471" s="124" t="s">
        <v>392</v>
      </c>
      <c r="C471" s="124">
        <f>(42.49)*10.764</f>
        <v>457.36235999999997</v>
      </c>
      <c r="D471" s="125">
        <f t="shared" ref="D471:D473" si="156">C471*1.2</f>
        <v>548.83483199999989</v>
      </c>
      <c r="E471" s="124">
        <v>0</v>
      </c>
      <c r="F471" s="124">
        <f t="shared" ref="F471:F473" si="157">C471*(($F$239)+1)+(IF(E471&lt;101,E471,IF(E471&lt;201,E471/2,IF(E471&lt;=301,E471/3,E471/4))))</f>
        <v>686.04353999999989</v>
      </c>
      <c r="G471" s="146"/>
      <c r="I471" s="59"/>
      <c r="J471" s="59"/>
      <c r="K471" s="59"/>
      <c r="L471" s="59"/>
      <c r="M471" s="59"/>
    </row>
    <row r="472" spans="1:14" x14ac:dyDescent="0.25">
      <c r="A472" s="124">
        <f t="shared" ref="A472:A473" si="158">A471+1</f>
        <v>3</v>
      </c>
      <c r="B472" s="124" t="s">
        <v>392</v>
      </c>
      <c r="C472" s="124">
        <f>(43.01)*10.764</f>
        <v>462.95963999999992</v>
      </c>
      <c r="D472" s="125">
        <f t="shared" si="156"/>
        <v>555.55156799999986</v>
      </c>
      <c r="E472" s="124">
        <v>0</v>
      </c>
      <c r="F472" s="124">
        <f t="shared" si="157"/>
        <v>694.43945999999983</v>
      </c>
      <c r="G472" s="146"/>
      <c r="I472" s="59"/>
      <c r="J472" s="59"/>
      <c r="K472" s="59"/>
      <c r="L472" s="59"/>
      <c r="M472" s="59"/>
    </row>
    <row r="473" spans="1:14" ht="15.75" x14ac:dyDescent="0.25">
      <c r="A473" s="124">
        <f t="shared" si="158"/>
        <v>4</v>
      </c>
      <c r="B473" s="124" t="s">
        <v>349</v>
      </c>
      <c r="C473" s="124">
        <f>(66.15)*10.764</f>
        <v>712.03859999999997</v>
      </c>
      <c r="D473" s="125">
        <f t="shared" si="156"/>
        <v>854.4463199999999</v>
      </c>
      <c r="E473" s="124">
        <v>0</v>
      </c>
      <c r="F473" s="124">
        <f t="shared" si="157"/>
        <v>1068.0579</v>
      </c>
      <c r="G473" s="146"/>
      <c r="I473" s="147"/>
      <c r="J473" s="59"/>
      <c r="K473" s="57"/>
      <c r="L473" s="59"/>
      <c r="M473" s="59"/>
    </row>
    <row r="474" spans="1:14" s="132" customFormat="1" ht="15.75" customHeight="1" x14ac:dyDescent="0.25">
      <c r="A474" s="200" t="s">
        <v>362</v>
      </c>
      <c r="B474" s="200"/>
      <c r="C474" s="200"/>
      <c r="D474" s="200"/>
      <c r="E474" s="200"/>
      <c r="F474" s="200"/>
      <c r="G474" s="42">
        <v>1</v>
      </c>
      <c r="H474" s="42"/>
      <c r="I474" s="131"/>
      <c r="J474" s="131"/>
      <c r="K474" s="59"/>
      <c r="L474" s="131"/>
      <c r="M474" s="131"/>
    </row>
    <row r="475" spans="1:14" s="132" customFormat="1" ht="15.75" customHeight="1" x14ac:dyDescent="0.25">
      <c r="A475" s="124">
        <v>1</v>
      </c>
      <c r="B475" s="201" t="s">
        <v>348</v>
      </c>
      <c r="C475" s="202"/>
      <c r="D475" s="202"/>
      <c r="E475" s="202"/>
      <c r="F475" s="203"/>
      <c r="G475" s="149"/>
      <c r="H475" s="145"/>
      <c r="I475" s="145"/>
      <c r="J475" s="145"/>
      <c r="K475" s="59"/>
      <c r="L475" s="204"/>
      <c r="M475" s="204"/>
      <c r="N475" s="39"/>
    </row>
    <row r="476" spans="1:14" x14ac:dyDescent="0.25">
      <c r="A476" s="124">
        <f>A475+1</f>
        <v>2</v>
      </c>
      <c r="B476" s="124" t="s">
        <v>392</v>
      </c>
      <c r="C476" s="124">
        <f>(42.49)*10.764</f>
        <v>457.36235999999997</v>
      </c>
      <c r="D476" s="125">
        <f t="shared" ref="D476:D477" si="159">C476*1.2</f>
        <v>548.83483199999989</v>
      </c>
      <c r="E476" s="124">
        <v>0</v>
      </c>
      <c r="F476" s="124">
        <f t="shared" ref="F476:F477" si="160">C476*(($F$239)+1)+(IF(E476&lt;101,E476,IF(E476&lt;201,E476/2,IF(E476&lt;=301,E476/3,E476/4))))</f>
        <v>686.04353999999989</v>
      </c>
      <c r="G476" s="146"/>
      <c r="I476" s="59"/>
      <c r="J476" s="59"/>
      <c r="K476" s="59"/>
      <c r="L476" s="59"/>
      <c r="M476" s="59"/>
    </row>
    <row r="477" spans="1:14" x14ac:dyDescent="0.25">
      <c r="A477" s="124">
        <f t="shared" ref="A477:A478" si="161">A476+1</f>
        <v>3</v>
      </c>
      <c r="B477" s="124" t="s">
        <v>392</v>
      </c>
      <c r="C477" s="124">
        <f>(43.01)*10.764</f>
        <v>462.95963999999992</v>
      </c>
      <c r="D477" s="125">
        <f t="shared" si="159"/>
        <v>555.55156799999986</v>
      </c>
      <c r="E477" s="124">
        <v>0</v>
      </c>
      <c r="F477" s="124">
        <f t="shared" si="160"/>
        <v>694.43945999999983</v>
      </c>
      <c r="G477" s="146"/>
      <c r="I477" s="59"/>
      <c r="J477" s="59"/>
      <c r="K477" s="59"/>
      <c r="L477" s="59"/>
      <c r="M477" s="59"/>
    </row>
    <row r="478" spans="1:14" ht="15.75" x14ac:dyDescent="0.25">
      <c r="A478" s="124">
        <f t="shared" si="161"/>
        <v>4</v>
      </c>
      <c r="B478" s="201" t="s">
        <v>391</v>
      </c>
      <c r="C478" s="202"/>
      <c r="D478" s="202"/>
      <c r="E478" s="202"/>
      <c r="F478" s="203"/>
      <c r="G478" s="146"/>
      <c r="I478" s="147"/>
      <c r="J478" s="59"/>
      <c r="K478" s="57"/>
      <c r="L478" s="59"/>
      <c r="M478" s="59"/>
    </row>
    <row r="479" spans="1:14" s="132" customFormat="1" ht="15.75" customHeight="1" x14ac:dyDescent="0.25">
      <c r="A479" s="200" t="s">
        <v>363</v>
      </c>
      <c r="B479" s="200"/>
      <c r="C479" s="200"/>
      <c r="D479" s="200"/>
      <c r="E479" s="200"/>
      <c r="F479" s="200"/>
      <c r="G479" s="42"/>
      <c r="H479" s="42"/>
      <c r="I479" s="131"/>
      <c r="J479" s="131"/>
      <c r="K479" s="59"/>
      <c r="L479" s="131"/>
      <c r="M479" s="131"/>
    </row>
    <row r="480" spans="1:14" s="132" customFormat="1" ht="15.75" customHeight="1" x14ac:dyDescent="0.25">
      <c r="A480" s="200" t="s">
        <v>365</v>
      </c>
      <c r="B480" s="200"/>
      <c r="C480" s="200"/>
      <c r="D480" s="200"/>
      <c r="E480" s="200"/>
      <c r="F480" s="200"/>
      <c r="G480" s="42">
        <v>1</v>
      </c>
      <c r="H480" s="42"/>
      <c r="I480" s="131"/>
      <c r="J480" s="131"/>
      <c r="K480" s="59"/>
      <c r="L480" s="131"/>
      <c r="M480" s="131"/>
    </row>
    <row r="481" spans="1:14" s="132" customFormat="1" ht="15.75" customHeight="1" x14ac:dyDescent="0.25">
      <c r="A481" s="124">
        <v>1</v>
      </c>
      <c r="B481" s="189" t="s">
        <v>348</v>
      </c>
      <c r="C481" s="190"/>
      <c r="D481" s="190"/>
      <c r="E481" s="190"/>
      <c r="F481" s="191"/>
      <c r="G481" s="149"/>
      <c r="H481" s="145"/>
      <c r="I481" s="145"/>
      <c r="J481" s="145"/>
      <c r="K481" s="59"/>
      <c r="L481" s="204"/>
      <c r="M481" s="204"/>
      <c r="N481" s="39"/>
    </row>
    <row r="482" spans="1:14" x14ac:dyDescent="0.25">
      <c r="A482" s="124">
        <f>A481+1</f>
        <v>2</v>
      </c>
      <c r="B482" s="124" t="s">
        <v>392</v>
      </c>
      <c r="C482" s="124">
        <f>(42.49)*10.764</f>
        <v>457.36235999999997</v>
      </c>
      <c r="D482" s="125">
        <f t="shared" ref="D482:D484" si="162">C482*1.2</f>
        <v>548.83483199999989</v>
      </c>
      <c r="E482" s="124">
        <v>0</v>
      </c>
      <c r="F482" s="124">
        <f t="shared" ref="F482:F484" si="163">C482*(($F$239)+1)+(IF(E482&lt;101,E482,IF(E482&lt;201,E482/2,IF(E482&lt;=301,E482/3,E482/4))))</f>
        <v>686.04353999999989</v>
      </c>
      <c r="G482" s="146"/>
      <c r="I482" s="59"/>
      <c r="J482" s="59"/>
      <c r="K482" s="59"/>
      <c r="L482" s="59"/>
      <c r="M482" s="59"/>
    </row>
    <row r="483" spans="1:14" x14ac:dyDescent="0.25">
      <c r="A483" s="124">
        <f t="shared" ref="A483:A484" si="164">A482+1</f>
        <v>3</v>
      </c>
      <c r="B483" s="124" t="s">
        <v>392</v>
      </c>
      <c r="C483" s="124">
        <f>(43.01)*10.764</f>
        <v>462.95963999999992</v>
      </c>
      <c r="D483" s="125">
        <f t="shared" si="162"/>
        <v>555.55156799999986</v>
      </c>
      <c r="E483" s="124">
        <v>0</v>
      </c>
      <c r="F483" s="124">
        <f t="shared" si="163"/>
        <v>694.43945999999983</v>
      </c>
      <c r="G483" s="146"/>
      <c r="I483" s="59"/>
      <c r="J483" s="59"/>
      <c r="K483" s="59"/>
      <c r="L483" s="59"/>
      <c r="M483" s="59"/>
    </row>
    <row r="484" spans="1:14" ht="15.75" x14ac:dyDescent="0.25">
      <c r="A484" s="124">
        <f t="shared" si="164"/>
        <v>4</v>
      </c>
      <c r="B484" s="124" t="s">
        <v>349</v>
      </c>
      <c r="C484" s="124">
        <f>(66.15)*10.764</f>
        <v>712.03859999999997</v>
      </c>
      <c r="D484" s="125">
        <f t="shared" si="162"/>
        <v>854.4463199999999</v>
      </c>
      <c r="E484" s="124">
        <v>0</v>
      </c>
      <c r="F484" s="124">
        <f t="shared" si="163"/>
        <v>1068.0579</v>
      </c>
      <c r="G484" s="146"/>
      <c r="I484" s="147"/>
      <c r="J484" s="59"/>
      <c r="K484" s="57"/>
      <c r="L484" s="59"/>
      <c r="M484" s="59"/>
    </row>
    <row r="485" spans="1:14" s="132" customFormat="1" ht="15.75" customHeight="1" x14ac:dyDescent="0.25">
      <c r="A485" s="200" t="s">
        <v>366</v>
      </c>
      <c r="B485" s="200"/>
      <c r="C485" s="200"/>
      <c r="D485" s="200"/>
      <c r="E485" s="200"/>
      <c r="F485" s="200"/>
      <c r="G485" s="42">
        <v>5</v>
      </c>
      <c r="H485" s="42"/>
      <c r="I485" s="131"/>
      <c r="J485" s="131"/>
      <c r="K485" s="59"/>
      <c r="L485" s="131"/>
      <c r="M485" s="131"/>
    </row>
    <row r="486" spans="1:14" s="132" customFormat="1" ht="15.75" customHeight="1" x14ac:dyDescent="0.25">
      <c r="A486" s="124">
        <v>1</v>
      </c>
      <c r="B486" s="124" t="s">
        <v>349</v>
      </c>
      <c r="C486" s="124">
        <f>(57.44)*10.764</f>
        <v>618.28415999999993</v>
      </c>
      <c r="D486" s="125">
        <f>C486*1.2</f>
        <v>741.94099199999994</v>
      </c>
      <c r="E486" s="124">
        <v>0</v>
      </c>
      <c r="F486" s="124">
        <f>C486*(($F$239)+1)+(IF(E486&lt;101,E486,IF(E486&lt;201,E486/2,IF(E486&lt;=301,E486/3,E486/4))))</f>
        <v>927.42623999999989</v>
      </c>
      <c r="G486" s="149"/>
      <c r="H486" s="145"/>
      <c r="I486" s="145"/>
      <c r="J486" s="145"/>
      <c r="K486" s="59"/>
      <c r="L486" s="204"/>
      <c r="M486" s="204"/>
      <c r="N486" s="39"/>
    </row>
    <row r="487" spans="1:14" x14ac:dyDescent="0.25">
      <c r="A487" s="124">
        <f>A486+1</f>
        <v>2</v>
      </c>
      <c r="B487" s="124" t="s">
        <v>392</v>
      </c>
      <c r="C487" s="124">
        <f>(42.49)*10.764</f>
        <v>457.36235999999997</v>
      </c>
      <c r="D487" s="125">
        <f t="shared" ref="D487:D489" si="165">C487*1.2</f>
        <v>548.83483199999989</v>
      </c>
      <c r="E487" s="124">
        <v>0</v>
      </c>
      <c r="F487" s="124">
        <f t="shared" ref="F487:F489" si="166">C487*(($F$239)+1)+(IF(E487&lt;101,E487,IF(E487&lt;201,E487/2,IF(E487&lt;=301,E487/3,E487/4))))</f>
        <v>686.04353999999989</v>
      </c>
      <c r="G487" s="146"/>
      <c r="I487" s="59"/>
      <c r="J487" s="59"/>
      <c r="K487" s="59"/>
      <c r="L487" s="59"/>
      <c r="M487" s="59"/>
    </row>
    <row r="488" spans="1:14" x14ac:dyDescent="0.25">
      <c r="A488" s="124">
        <f t="shared" ref="A488:A489" si="167">A487+1</f>
        <v>3</v>
      </c>
      <c r="B488" s="124" t="s">
        <v>392</v>
      </c>
      <c r="C488" s="124">
        <f>(43.01)*10.764</f>
        <v>462.95963999999992</v>
      </c>
      <c r="D488" s="125">
        <f t="shared" si="165"/>
        <v>555.55156799999986</v>
      </c>
      <c r="E488" s="124">
        <v>0</v>
      </c>
      <c r="F488" s="124">
        <f t="shared" si="166"/>
        <v>694.43945999999983</v>
      </c>
      <c r="G488" s="146"/>
      <c r="I488" s="59"/>
      <c r="J488" s="59"/>
      <c r="K488" s="59"/>
      <c r="L488" s="59"/>
      <c r="M488" s="59"/>
    </row>
    <row r="489" spans="1:14" ht="15.75" x14ac:dyDescent="0.25">
      <c r="A489" s="124">
        <f t="shared" si="167"/>
        <v>4</v>
      </c>
      <c r="B489" s="124" t="s">
        <v>349</v>
      </c>
      <c r="C489" s="124">
        <f>(66.15)*10.764</f>
        <v>712.03859999999997</v>
      </c>
      <c r="D489" s="125">
        <f t="shared" si="165"/>
        <v>854.4463199999999</v>
      </c>
      <c r="E489" s="124">
        <v>0</v>
      </c>
      <c r="F489" s="124">
        <f t="shared" si="166"/>
        <v>1068.0579</v>
      </c>
      <c r="G489" s="146"/>
      <c r="I489" s="147"/>
      <c r="J489" s="59"/>
      <c r="K489" s="57"/>
      <c r="L489" s="59"/>
      <c r="M489" s="59"/>
    </row>
    <row r="490" spans="1:14" s="132" customFormat="1" ht="15.75" customHeight="1" x14ac:dyDescent="0.25">
      <c r="A490" s="200" t="s">
        <v>420</v>
      </c>
      <c r="B490" s="200"/>
      <c r="C490" s="200"/>
      <c r="D490" s="200"/>
      <c r="E490" s="200"/>
      <c r="F490" s="200"/>
      <c r="G490" s="42">
        <f>1+3+2</f>
        <v>6</v>
      </c>
      <c r="H490" s="42"/>
      <c r="I490" s="131"/>
      <c r="J490" s="131"/>
      <c r="K490" s="59"/>
      <c r="L490" s="131"/>
      <c r="M490" s="131"/>
    </row>
    <row r="491" spans="1:14" s="132" customFormat="1" ht="15.75" customHeight="1" x14ac:dyDescent="0.25">
      <c r="A491" s="124">
        <v>1</v>
      </c>
      <c r="B491" s="124" t="s">
        <v>349</v>
      </c>
      <c r="C491" s="124">
        <f>(61.75)*10.764</f>
        <v>664.67699999999991</v>
      </c>
      <c r="D491" s="125">
        <f>C491*1.2</f>
        <v>797.61239999999987</v>
      </c>
      <c r="E491" s="124">
        <v>0</v>
      </c>
      <c r="F491" s="124">
        <f>C491*(($F$239)+1)+(IF(E491&lt;101,E491,IF(E491&lt;201,E491/2,IF(E491&lt;=301,E491/3,E491/4))))</f>
        <v>997.01549999999986</v>
      </c>
      <c r="G491" s="149"/>
      <c r="H491" s="145"/>
      <c r="I491" s="145"/>
      <c r="J491" s="145"/>
      <c r="K491" s="59"/>
      <c r="L491" s="204"/>
      <c r="M491" s="204"/>
      <c r="N491" s="39"/>
    </row>
    <row r="492" spans="1:14" x14ac:dyDescent="0.25">
      <c r="A492" s="124">
        <f>A491+1</f>
        <v>2</v>
      </c>
      <c r="B492" s="124" t="s">
        <v>392</v>
      </c>
      <c r="C492" s="124">
        <f>(42.49)*10.764</f>
        <v>457.36235999999997</v>
      </c>
      <c r="D492" s="125">
        <f t="shared" ref="D492:D494" si="168">C492*1.2</f>
        <v>548.83483199999989</v>
      </c>
      <c r="E492" s="124">
        <v>0</v>
      </c>
      <c r="F492" s="124">
        <f t="shared" ref="F492:F494" si="169">C492*(($F$239)+1)+(IF(E492&lt;101,E492,IF(E492&lt;201,E492/2,IF(E492&lt;=301,E492/3,E492/4))))</f>
        <v>686.04353999999989</v>
      </c>
      <c r="G492" s="146"/>
      <c r="I492" s="59"/>
      <c r="J492" s="59"/>
      <c r="K492" s="59"/>
      <c r="L492" s="59"/>
      <c r="M492" s="59"/>
    </row>
    <row r="493" spans="1:14" x14ac:dyDescent="0.25">
      <c r="A493" s="124">
        <f t="shared" ref="A493:A494" si="170">A492+1</f>
        <v>3</v>
      </c>
      <c r="B493" s="124" t="s">
        <v>392</v>
      </c>
      <c r="C493" s="124">
        <f>(43.01)*10.764</f>
        <v>462.95963999999992</v>
      </c>
      <c r="D493" s="125">
        <f t="shared" si="168"/>
        <v>555.55156799999986</v>
      </c>
      <c r="E493" s="124">
        <v>0</v>
      </c>
      <c r="F493" s="124">
        <f t="shared" si="169"/>
        <v>694.43945999999983</v>
      </c>
      <c r="G493" s="146"/>
      <c r="I493" s="59"/>
      <c r="J493" s="59"/>
      <c r="K493" s="59"/>
      <c r="L493" s="59"/>
      <c r="M493" s="59"/>
    </row>
    <row r="494" spans="1:14" ht="15.75" x14ac:dyDescent="0.25">
      <c r="A494" s="124">
        <f t="shared" si="170"/>
        <v>4</v>
      </c>
      <c r="B494" s="124" t="s">
        <v>349</v>
      </c>
      <c r="C494" s="124">
        <f>(66.15)*10.764</f>
        <v>712.03859999999997</v>
      </c>
      <c r="D494" s="125">
        <f t="shared" si="168"/>
        <v>854.4463199999999</v>
      </c>
      <c r="E494" s="124">
        <v>0</v>
      </c>
      <c r="F494" s="124">
        <f t="shared" si="169"/>
        <v>1068.0579</v>
      </c>
      <c r="G494" s="146"/>
      <c r="I494" s="147"/>
      <c r="J494" s="59"/>
      <c r="K494" s="57"/>
      <c r="L494" s="59"/>
      <c r="M494" s="59"/>
    </row>
    <row r="495" spans="1:14" s="132" customFormat="1" ht="15.75" customHeight="1" x14ac:dyDescent="0.25">
      <c r="A495" s="200" t="s">
        <v>367</v>
      </c>
      <c r="B495" s="200"/>
      <c r="C495" s="200"/>
      <c r="D495" s="200"/>
      <c r="E495" s="200"/>
      <c r="F495" s="200"/>
      <c r="G495" s="42">
        <v>2</v>
      </c>
      <c r="H495" s="42"/>
      <c r="I495" s="131"/>
      <c r="J495" s="131"/>
      <c r="K495" s="59"/>
      <c r="L495" s="131"/>
      <c r="M495" s="131"/>
    </row>
    <row r="496" spans="1:14" s="132" customFormat="1" ht="15.75" customHeight="1" x14ac:dyDescent="0.25">
      <c r="A496" s="124">
        <v>1</v>
      </c>
      <c r="B496" s="189" t="s">
        <v>348</v>
      </c>
      <c r="C496" s="190"/>
      <c r="D496" s="190"/>
      <c r="E496" s="190"/>
      <c r="F496" s="191"/>
      <c r="G496" s="149"/>
      <c r="H496" s="145"/>
      <c r="I496" s="145"/>
      <c r="J496" s="145"/>
      <c r="K496" s="59"/>
      <c r="L496" s="204"/>
      <c r="M496" s="204"/>
      <c r="N496" s="39"/>
    </row>
    <row r="497" spans="1:14" x14ac:dyDescent="0.25">
      <c r="A497" s="124">
        <f>A496+1</f>
        <v>2</v>
      </c>
      <c r="B497" s="124" t="s">
        <v>392</v>
      </c>
      <c r="C497" s="124">
        <f>(42.49)*10.764</f>
        <v>457.36235999999997</v>
      </c>
      <c r="D497" s="125">
        <f t="shared" ref="D497:D499" si="171">C497*1.2</f>
        <v>548.83483199999989</v>
      </c>
      <c r="E497" s="124">
        <v>0</v>
      </c>
      <c r="F497" s="124">
        <f t="shared" ref="F497:F499" si="172">C497*(($F$239)+1)+(IF(E497&lt;101,E497,IF(E497&lt;201,E497/2,IF(E497&lt;=301,E497/3,E497/4))))</f>
        <v>686.04353999999989</v>
      </c>
      <c r="G497" s="146"/>
      <c r="I497" s="59"/>
      <c r="J497" s="59"/>
      <c r="K497" s="59"/>
      <c r="L497" s="59"/>
      <c r="M497" s="59"/>
    </row>
    <row r="498" spans="1:14" x14ac:dyDescent="0.25">
      <c r="A498" s="124">
        <f t="shared" ref="A498:A499" si="173">A497+1</f>
        <v>3</v>
      </c>
      <c r="B498" s="124" t="s">
        <v>392</v>
      </c>
      <c r="C498" s="124">
        <f>(43.01)*10.764</f>
        <v>462.95963999999992</v>
      </c>
      <c r="D498" s="125">
        <f t="shared" si="171"/>
        <v>555.55156799999986</v>
      </c>
      <c r="E498" s="124">
        <v>0</v>
      </c>
      <c r="F498" s="124">
        <f t="shared" si="172"/>
        <v>694.43945999999983</v>
      </c>
      <c r="G498" s="146"/>
      <c r="I498" s="59"/>
      <c r="J498" s="59"/>
      <c r="K498" s="59"/>
      <c r="L498" s="59"/>
      <c r="M498" s="59"/>
    </row>
    <row r="499" spans="1:14" ht="15.75" x14ac:dyDescent="0.25">
      <c r="A499" s="124">
        <f t="shared" si="173"/>
        <v>4</v>
      </c>
      <c r="B499" s="124" t="s">
        <v>349</v>
      </c>
      <c r="C499" s="124">
        <f>(66.15)*10.764</f>
        <v>712.03859999999997</v>
      </c>
      <c r="D499" s="125">
        <f t="shared" si="171"/>
        <v>854.4463199999999</v>
      </c>
      <c r="E499" s="124">
        <v>0</v>
      </c>
      <c r="F499" s="124">
        <f t="shared" si="172"/>
        <v>1068.0579</v>
      </c>
      <c r="G499" s="146"/>
      <c r="I499" s="147"/>
      <c r="J499" s="59"/>
      <c r="K499" s="57"/>
      <c r="L499" s="59"/>
      <c r="M499" s="59"/>
    </row>
    <row r="500" spans="1:14" s="132" customFormat="1" ht="15.75" customHeight="1" x14ac:dyDescent="0.25">
      <c r="A500" s="200" t="s">
        <v>368</v>
      </c>
      <c r="B500" s="200"/>
      <c r="C500" s="200"/>
      <c r="D500" s="200"/>
      <c r="E500" s="200"/>
      <c r="F500" s="200"/>
      <c r="G500" s="42">
        <v>3</v>
      </c>
      <c r="H500" s="42"/>
      <c r="I500" s="131"/>
      <c r="J500" s="131"/>
      <c r="K500" s="59"/>
      <c r="L500" s="131"/>
      <c r="M500" s="131"/>
    </row>
    <row r="501" spans="1:14" s="132" customFormat="1" ht="15.75" customHeight="1" x14ac:dyDescent="0.25">
      <c r="A501" s="124">
        <v>1</v>
      </c>
      <c r="B501" s="189" t="s">
        <v>403</v>
      </c>
      <c r="C501" s="190"/>
      <c r="D501" s="190"/>
      <c r="E501" s="190"/>
      <c r="F501" s="191"/>
      <c r="G501" s="149"/>
      <c r="H501" s="145"/>
      <c r="I501" s="145"/>
      <c r="J501" s="145"/>
      <c r="K501" s="59"/>
      <c r="L501" s="204"/>
      <c r="M501" s="204"/>
      <c r="N501" s="39"/>
    </row>
    <row r="502" spans="1:14" x14ac:dyDescent="0.25">
      <c r="A502" s="124">
        <f>A501+1</f>
        <v>2</v>
      </c>
      <c r="B502" s="124" t="s">
        <v>392</v>
      </c>
      <c r="C502" s="124">
        <f>(42.49)*10.764</f>
        <v>457.36235999999997</v>
      </c>
      <c r="D502" s="125">
        <f t="shared" ref="D502:D504" si="174">C502*1.2</f>
        <v>548.83483199999989</v>
      </c>
      <c r="E502" s="124">
        <v>0</v>
      </c>
      <c r="F502" s="124">
        <f t="shared" ref="F502:F504" si="175">C502*(($F$239)+1)+(IF(E502&lt;101,E502,IF(E502&lt;201,E502/2,IF(E502&lt;=301,E502/3,E502/4))))</f>
        <v>686.04353999999989</v>
      </c>
      <c r="G502" s="146"/>
      <c r="I502" s="59"/>
      <c r="J502" s="59"/>
      <c r="K502" s="59"/>
      <c r="L502" s="59"/>
      <c r="M502" s="59"/>
    </row>
    <row r="503" spans="1:14" x14ac:dyDescent="0.25">
      <c r="A503" s="124">
        <f t="shared" ref="A503:A504" si="176">A502+1</f>
        <v>3</v>
      </c>
      <c r="B503" s="124" t="s">
        <v>392</v>
      </c>
      <c r="C503" s="124">
        <f>(43.01)*10.764</f>
        <v>462.95963999999992</v>
      </c>
      <c r="D503" s="125">
        <f t="shared" si="174"/>
        <v>555.55156799999986</v>
      </c>
      <c r="E503" s="124">
        <v>0</v>
      </c>
      <c r="F503" s="124">
        <f t="shared" si="175"/>
        <v>694.43945999999983</v>
      </c>
      <c r="G503" s="146"/>
      <c r="I503" s="59"/>
      <c r="J503" s="59"/>
      <c r="K503" s="59"/>
      <c r="L503" s="59"/>
      <c r="M503" s="59"/>
    </row>
    <row r="504" spans="1:14" ht="15.75" x14ac:dyDescent="0.25">
      <c r="A504" s="124">
        <f t="shared" si="176"/>
        <v>4</v>
      </c>
      <c r="B504" s="124" t="s">
        <v>349</v>
      </c>
      <c r="C504" s="124">
        <f>(66.15)*10.764</f>
        <v>712.03859999999997</v>
      </c>
      <c r="D504" s="125">
        <f t="shared" si="174"/>
        <v>854.4463199999999</v>
      </c>
      <c r="E504" s="124">
        <v>0</v>
      </c>
      <c r="F504" s="124">
        <f t="shared" si="175"/>
        <v>1068.0579</v>
      </c>
      <c r="G504" s="146"/>
      <c r="I504" s="147"/>
      <c r="J504" s="59"/>
      <c r="K504" s="57"/>
      <c r="L504" s="59"/>
      <c r="M504" s="59"/>
    </row>
    <row r="505" spans="1:14" s="132" customFormat="1" ht="15.75" customHeight="1" x14ac:dyDescent="0.25">
      <c r="A505" s="200" t="s">
        <v>369</v>
      </c>
      <c r="B505" s="200"/>
      <c r="C505" s="200"/>
      <c r="D505" s="200"/>
      <c r="E505" s="200"/>
      <c r="F505" s="200"/>
      <c r="G505" s="42">
        <v>1</v>
      </c>
      <c r="H505" s="42"/>
      <c r="I505" s="131"/>
      <c r="J505" s="131"/>
      <c r="K505" s="59"/>
      <c r="L505" s="131"/>
      <c r="M505" s="131"/>
    </row>
    <row r="506" spans="1:14" s="132" customFormat="1" ht="15.75" customHeight="1" x14ac:dyDescent="0.25">
      <c r="A506" s="124">
        <v>1</v>
      </c>
      <c r="B506" s="124" t="s">
        <v>349</v>
      </c>
      <c r="C506" s="124">
        <f>(61.75)*10.764</f>
        <v>664.67699999999991</v>
      </c>
      <c r="D506" s="125">
        <f>C506*1.2</f>
        <v>797.61239999999987</v>
      </c>
      <c r="E506" s="124">
        <v>0</v>
      </c>
      <c r="F506" s="124">
        <f>C506*(($F$239)+1)+(IF(E506&lt;101,E506,IF(E506&lt;201,E506/2,IF(E506&lt;=301,E506/3,E506/4))))</f>
        <v>997.01549999999986</v>
      </c>
      <c r="G506" s="149"/>
      <c r="H506" s="145"/>
      <c r="I506" s="145"/>
      <c r="J506" s="145"/>
      <c r="K506" s="59"/>
      <c r="L506" s="204"/>
      <c r="M506" s="204"/>
      <c r="N506" s="39"/>
    </row>
    <row r="507" spans="1:14" x14ac:dyDescent="0.25">
      <c r="A507" s="124">
        <f>A506+1</f>
        <v>2</v>
      </c>
      <c r="B507" s="124" t="s">
        <v>392</v>
      </c>
      <c r="C507" s="124">
        <f>(42.49)*10.764</f>
        <v>457.36235999999997</v>
      </c>
      <c r="D507" s="125">
        <f t="shared" ref="D507:D508" si="177">C507*1.2</f>
        <v>548.83483199999989</v>
      </c>
      <c r="E507" s="124">
        <v>0</v>
      </c>
      <c r="F507" s="124">
        <f t="shared" ref="F507:F508" si="178">C507*(($F$239)+1)+(IF(E507&lt;101,E507,IF(E507&lt;201,E507/2,IF(E507&lt;=301,E507/3,E507/4))))</f>
        <v>686.04353999999989</v>
      </c>
      <c r="G507" s="146"/>
      <c r="I507" s="59"/>
      <c r="J507" s="59"/>
      <c r="K507" s="59"/>
      <c r="L507" s="59"/>
      <c r="M507" s="59"/>
    </row>
    <row r="508" spans="1:14" x14ac:dyDescent="0.25">
      <c r="A508" s="124">
        <f t="shared" ref="A508:A509" si="179">A507+1</f>
        <v>3</v>
      </c>
      <c r="B508" s="124" t="s">
        <v>392</v>
      </c>
      <c r="C508" s="124">
        <f>(43.01)*10.764</f>
        <v>462.95963999999992</v>
      </c>
      <c r="D508" s="125">
        <f t="shared" si="177"/>
        <v>555.55156799999986</v>
      </c>
      <c r="E508" s="124">
        <v>0</v>
      </c>
      <c r="F508" s="124">
        <f t="shared" si="178"/>
        <v>694.43945999999983</v>
      </c>
      <c r="G508" s="146"/>
      <c r="I508" s="59"/>
      <c r="J508" s="59"/>
      <c r="K508" s="59"/>
      <c r="L508" s="59"/>
      <c r="M508" s="59"/>
    </row>
    <row r="509" spans="1:14" ht="15.75" x14ac:dyDescent="0.25">
      <c r="A509" s="124">
        <f t="shared" si="179"/>
        <v>4</v>
      </c>
      <c r="B509" s="189" t="s">
        <v>391</v>
      </c>
      <c r="C509" s="190"/>
      <c r="D509" s="190"/>
      <c r="E509" s="190"/>
      <c r="F509" s="191"/>
      <c r="G509" s="146"/>
      <c r="I509" s="147"/>
      <c r="J509" s="59"/>
      <c r="K509" s="57"/>
      <c r="L509" s="59"/>
      <c r="M509" s="59"/>
    </row>
    <row r="510" spans="1:14" s="132" customFormat="1" ht="15.75" hidden="1" customHeight="1" x14ac:dyDescent="0.25">
      <c r="A510" s="200" t="s">
        <v>370</v>
      </c>
      <c r="B510" s="200"/>
      <c r="C510" s="200"/>
      <c r="D510" s="200"/>
      <c r="E510" s="200"/>
      <c r="F510" s="200"/>
      <c r="G510" s="42">
        <v>1</v>
      </c>
      <c r="H510" s="42"/>
      <c r="I510" s="131"/>
      <c r="J510" s="131"/>
      <c r="K510" s="59"/>
      <c r="L510" s="131"/>
      <c r="M510" s="131"/>
    </row>
    <row r="511" spans="1:14" s="36" customFormat="1" ht="15.75" x14ac:dyDescent="0.25">
      <c r="A511" s="287" t="s">
        <v>375</v>
      </c>
      <c r="B511" s="287"/>
      <c r="C511" s="287"/>
      <c r="D511" s="287"/>
      <c r="E511" s="287"/>
      <c r="F511" s="288"/>
      <c r="G511" s="196"/>
      <c r="H511" s="196"/>
      <c r="I511" s="196"/>
      <c r="J511" s="196"/>
      <c r="K511" s="196"/>
    </row>
    <row r="512" spans="1:14" s="132" customFormat="1" ht="15.75" customHeight="1" x14ac:dyDescent="0.25">
      <c r="A512" s="200" t="s">
        <v>347</v>
      </c>
      <c r="B512" s="200"/>
      <c r="C512" s="200"/>
      <c r="D512" s="200"/>
      <c r="E512" s="200"/>
      <c r="F512" s="200"/>
      <c r="G512" s="42">
        <v>1</v>
      </c>
      <c r="H512" s="42"/>
      <c r="I512" s="131"/>
      <c r="J512" s="131"/>
      <c r="K512" s="59"/>
      <c r="L512" s="131"/>
      <c r="M512" s="131"/>
    </row>
    <row r="513" spans="1:14" s="132" customFormat="1" ht="15.75" x14ac:dyDescent="0.25">
      <c r="A513" s="124">
        <v>1</v>
      </c>
      <c r="B513" s="189" t="s">
        <v>390</v>
      </c>
      <c r="C513" s="190"/>
      <c r="D513" s="190"/>
      <c r="E513" s="190"/>
      <c r="F513" s="191"/>
      <c r="G513" s="145"/>
      <c r="H513" s="145"/>
      <c r="I513" s="157">
        <v>1</v>
      </c>
      <c r="J513" s="58" t="s">
        <v>384</v>
      </c>
      <c r="K513" s="59">
        <v>66.31</v>
      </c>
      <c r="L513" s="204"/>
      <c r="M513" s="204"/>
      <c r="N513" s="39"/>
    </row>
    <row r="514" spans="1:14" x14ac:dyDescent="0.25">
      <c r="A514" s="124">
        <f>A513+1</f>
        <v>2</v>
      </c>
      <c r="B514" s="124" t="s">
        <v>350</v>
      </c>
      <c r="C514" s="124">
        <f>(93.98)*10.764</f>
        <v>1011.60072</v>
      </c>
      <c r="D514" s="125">
        <f t="shared" ref="D514:D515" si="180">C514*1.2</f>
        <v>1213.9208639999999</v>
      </c>
      <c r="E514" s="124">
        <v>0</v>
      </c>
      <c r="F514" s="124">
        <f t="shared" ref="F514:F515" si="181">C514*(($F$239)+1)+(IF(E514&lt;101,E514,IF(E514&lt;201,E514/2,IF(E514&lt;=301,E514/3,E514/4))))</f>
        <v>1517.4010800000001</v>
      </c>
      <c r="I514" s="158">
        <v>2</v>
      </c>
      <c r="J514" s="151" t="s">
        <v>354</v>
      </c>
      <c r="K514" s="59">
        <v>93.98</v>
      </c>
      <c r="L514" s="59"/>
      <c r="M514" s="59"/>
    </row>
    <row r="515" spans="1:14" x14ac:dyDescent="0.25">
      <c r="A515" s="124">
        <f t="shared" ref="A515:A516" si="182">A514+1</f>
        <v>3</v>
      </c>
      <c r="B515" s="124" t="s">
        <v>392</v>
      </c>
      <c r="C515" s="124">
        <f>(46.65)*10.764</f>
        <v>502.14059999999995</v>
      </c>
      <c r="D515" s="125">
        <f t="shared" si="180"/>
        <v>602.56871999999987</v>
      </c>
      <c r="E515" s="124">
        <v>0</v>
      </c>
      <c r="F515" s="124">
        <f t="shared" si="181"/>
        <v>753.21089999999992</v>
      </c>
      <c r="I515" s="158">
        <v>3</v>
      </c>
      <c r="J515" s="151" t="s">
        <v>354</v>
      </c>
      <c r="K515" s="59">
        <v>46.65</v>
      </c>
      <c r="L515" s="59"/>
      <c r="M515" s="59"/>
    </row>
    <row r="516" spans="1:14" ht="15.75" x14ac:dyDescent="0.25">
      <c r="A516" s="124">
        <f t="shared" si="182"/>
        <v>4</v>
      </c>
      <c r="B516" s="189" t="s">
        <v>348</v>
      </c>
      <c r="C516" s="190"/>
      <c r="D516" s="190"/>
      <c r="E516" s="190"/>
      <c r="F516" s="191"/>
      <c r="I516" s="158">
        <v>4</v>
      </c>
      <c r="J516" s="59" t="s">
        <v>396</v>
      </c>
      <c r="K516" s="57">
        <v>81.3</v>
      </c>
      <c r="L516" s="59" t="s">
        <v>397</v>
      </c>
      <c r="M516" s="59">
        <v>85.61</v>
      </c>
    </row>
    <row r="517" spans="1:14" s="132" customFormat="1" ht="15.75" customHeight="1" x14ac:dyDescent="0.25">
      <c r="A517" s="200" t="s">
        <v>351</v>
      </c>
      <c r="B517" s="200"/>
      <c r="C517" s="200"/>
      <c r="D517" s="200"/>
      <c r="E517" s="200"/>
      <c r="F517" s="200"/>
      <c r="G517" s="42">
        <v>3</v>
      </c>
      <c r="H517" s="42"/>
      <c r="I517" s="131"/>
      <c r="J517" s="131"/>
      <c r="K517" s="59"/>
      <c r="L517" s="131"/>
      <c r="M517" s="131"/>
    </row>
    <row r="518" spans="1:14" s="132" customFormat="1" ht="15.75" customHeight="1" x14ac:dyDescent="0.25">
      <c r="A518" s="124">
        <v>1</v>
      </c>
      <c r="B518" s="189" t="s">
        <v>390</v>
      </c>
      <c r="C518" s="190"/>
      <c r="D518" s="190"/>
      <c r="E518" s="190"/>
      <c r="F518" s="191"/>
      <c r="H518" s="143"/>
      <c r="I518" s="150"/>
      <c r="J518" s="145"/>
      <c r="K518" s="145"/>
      <c r="L518" s="204"/>
      <c r="M518" s="204"/>
      <c r="N518" s="39"/>
    </row>
    <row r="519" spans="1:14" x14ac:dyDescent="0.25">
      <c r="A519" s="124">
        <f>A518+1</f>
        <v>2</v>
      </c>
      <c r="B519" s="124" t="s">
        <v>350</v>
      </c>
      <c r="C519" s="124">
        <f>(93.98)*10.764</f>
        <v>1011.60072</v>
      </c>
      <c r="D519" s="125">
        <f t="shared" ref="D519:D520" si="183">C519*1.2</f>
        <v>1213.9208639999999</v>
      </c>
      <c r="E519" s="124">
        <v>0</v>
      </c>
      <c r="F519" s="124">
        <f t="shared" ref="F519:F520" si="184">C519*(($F$239)+1)+(IF(E519&lt;101,E519,IF(E519&lt;201,E519/2,IF(E519&lt;=301,E519/3,E519/4))))</f>
        <v>1517.4010800000001</v>
      </c>
      <c r="I519" s="146"/>
      <c r="K519" s="59"/>
      <c r="L519" s="59"/>
      <c r="M519" s="59"/>
    </row>
    <row r="520" spans="1:14" x14ac:dyDescent="0.25">
      <c r="A520" s="124">
        <f t="shared" ref="A520:A521" si="185">A519+1</f>
        <v>3</v>
      </c>
      <c r="B520" s="124" t="s">
        <v>392</v>
      </c>
      <c r="C520" s="124">
        <f>(46.65)*10.764</f>
        <v>502.14059999999995</v>
      </c>
      <c r="D520" s="125">
        <f t="shared" si="183"/>
        <v>602.56871999999987</v>
      </c>
      <c r="E520" s="124">
        <v>0</v>
      </c>
      <c r="F520" s="124">
        <f t="shared" si="184"/>
        <v>753.21089999999992</v>
      </c>
      <c r="I520" s="170"/>
      <c r="J520" s="170">
        <f>12800000-K520</f>
        <v>12686194.919</v>
      </c>
      <c r="K520" s="59">
        <f>75*F519</f>
        <v>113805.08100000001</v>
      </c>
      <c r="L520" s="59"/>
      <c r="M520" s="59"/>
    </row>
    <row r="521" spans="1:14" x14ac:dyDescent="0.25">
      <c r="A521" s="124">
        <f t="shared" si="185"/>
        <v>4</v>
      </c>
      <c r="B521" s="189" t="s">
        <v>404</v>
      </c>
      <c r="C521" s="190"/>
      <c r="D521" s="190"/>
      <c r="E521" s="190"/>
      <c r="F521" s="191"/>
      <c r="I521" s="146"/>
      <c r="J521">
        <f>12672000/F520</f>
        <v>16823.973205910857</v>
      </c>
      <c r="K521" s="147"/>
      <c r="L521" s="59"/>
      <c r="M521" s="59"/>
    </row>
    <row r="522" spans="1:14" s="132" customFormat="1" ht="15.75" customHeight="1" x14ac:dyDescent="0.25">
      <c r="A522" s="200" t="s">
        <v>358</v>
      </c>
      <c r="B522" s="200"/>
      <c r="C522" s="200"/>
      <c r="D522" s="200"/>
      <c r="E522" s="200"/>
      <c r="F522" s="200"/>
      <c r="G522" s="42">
        <v>4</v>
      </c>
      <c r="H522" s="42"/>
      <c r="I522" s="131"/>
      <c r="J522" s="131"/>
      <c r="K522" s="59"/>
      <c r="L522" s="131"/>
      <c r="M522" s="131"/>
    </row>
    <row r="523" spans="1:14" s="132" customFormat="1" ht="15.75" customHeight="1" x14ac:dyDescent="0.25">
      <c r="A523" s="124">
        <v>1</v>
      </c>
      <c r="B523" s="189" t="s">
        <v>390</v>
      </c>
      <c r="C523" s="190"/>
      <c r="D523" s="190"/>
      <c r="E523" s="190"/>
      <c r="F523" s="191"/>
      <c r="G523" s="149"/>
      <c r="H523" s="145"/>
      <c r="I523" s="145"/>
      <c r="J523" s="145"/>
      <c r="K523" s="59"/>
      <c r="L523" s="204"/>
      <c r="M523" s="204"/>
      <c r="N523" s="39"/>
    </row>
    <row r="524" spans="1:14" x14ac:dyDescent="0.25">
      <c r="A524" s="124">
        <f>A523+1</f>
        <v>2</v>
      </c>
      <c r="B524" s="124" t="s">
        <v>350</v>
      </c>
      <c r="C524" s="124">
        <f>(93.98)*10.764</f>
        <v>1011.60072</v>
      </c>
      <c r="D524" s="125">
        <f t="shared" ref="D524:D526" si="186">C524*1.2</f>
        <v>1213.9208639999999</v>
      </c>
      <c r="E524" s="124">
        <v>0</v>
      </c>
      <c r="F524" s="124">
        <f t="shared" ref="F524:F526" si="187">C524*(($F$239)+1)+(IF(E524&lt;101,E524,IF(E524&lt;201,E524/2,IF(E524&lt;=301,E524/3,E524/4))))</f>
        <v>1517.4010800000001</v>
      </c>
      <c r="G524" s="146"/>
      <c r="I524" s="59"/>
      <c r="J524" s="59"/>
      <c r="K524" s="59"/>
      <c r="L524" s="59"/>
      <c r="M524" s="59"/>
    </row>
    <row r="525" spans="1:14" x14ac:dyDescent="0.25">
      <c r="A525" s="124">
        <f t="shared" ref="A525:A526" si="188">A524+1</f>
        <v>3</v>
      </c>
      <c r="B525" s="124" t="s">
        <v>392</v>
      </c>
      <c r="C525" s="124">
        <f>(46.65)*10.764</f>
        <v>502.14059999999995</v>
      </c>
      <c r="D525" s="125">
        <f t="shared" si="186"/>
        <v>602.56871999999987</v>
      </c>
      <c r="E525" s="124">
        <v>0</v>
      </c>
      <c r="F525" s="124">
        <f t="shared" si="187"/>
        <v>753.21089999999992</v>
      </c>
      <c r="G525" s="146"/>
      <c r="I525" s="59"/>
      <c r="J525" s="59"/>
      <c r="K525" s="59"/>
      <c r="L525" s="59"/>
      <c r="M525" s="59"/>
    </row>
    <row r="526" spans="1:14" ht="15.75" x14ac:dyDescent="0.25">
      <c r="A526" s="124">
        <f t="shared" si="188"/>
        <v>4</v>
      </c>
      <c r="B526" s="124" t="s">
        <v>350</v>
      </c>
      <c r="C526" s="124">
        <f>(81.3)*10.764</f>
        <v>875.11319999999989</v>
      </c>
      <c r="D526" s="125">
        <f t="shared" si="186"/>
        <v>1050.1358399999999</v>
      </c>
      <c r="E526" s="124">
        <v>0</v>
      </c>
      <c r="F526" s="124">
        <f t="shared" si="187"/>
        <v>1312.6697999999999</v>
      </c>
      <c r="G526" s="146"/>
      <c r="I526" s="147"/>
      <c r="J526" s="59"/>
      <c r="K526" s="57"/>
      <c r="L526" s="59"/>
      <c r="M526" s="59"/>
    </row>
    <row r="527" spans="1:14" s="132" customFormat="1" ht="15.75" customHeight="1" x14ac:dyDescent="0.25">
      <c r="A527" s="200" t="s">
        <v>359</v>
      </c>
      <c r="B527" s="200"/>
      <c r="C527" s="200"/>
      <c r="D527" s="200"/>
      <c r="E527" s="200"/>
      <c r="F527" s="200"/>
      <c r="G527" s="42">
        <v>3</v>
      </c>
      <c r="H527" s="42"/>
      <c r="I527" s="131"/>
      <c r="J527" s="131"/>
      <c r="K527" s="59"/>
      <c r="L527" s="131"/>
      <c r="M527" s="131"/>
    </row>
    <row r="528" spans="1:14" s="132" customFormat="1" ht="15.75" customHeight="1" x14ac:dyDescent="0.25">
      <c r="A528" s="124">
        <v>1</v>
      </c>
      <c r="B528" s="124" t="s">
        <v>349</v>
      </c>
      <c r="C528" s="124">
        <v>713.76084000000003</v>
      </c>
      <c r="D528" s="125">
        <f>C528*1.2</f>
        <v>856.51300800000001</v>
      </c>
      <c r="E528" s="124">
        <v>0</v>
      </c>
      <c r="F528" s="124">
        <f>C528*(($F$239)+1)+(IF(E528&lt;101,E528,IF(E528&lt;201,E528/2,IF(E528&lt;=301,E528/3,E528/4))))</f>
        <v>1070.6412600000001</v>
      </c>
      <c r="G528" s="149"/>
      <c r="H528" s="145"/>
      <c r="I528" s="145"/>
      <c r="J528" s="145"/>
      <c r="K528" s="59"/>
      <c r="L528" s="204"/>
      <c r="M528" s="204"/>
      <c r="N528" s="39"/>
    </row>
    <row r="529" spans="1:14" x14ac:dyDescent="0.25">
      <c r="A529" s="124">
        <f>A528+1</f>
        <v>2</v>
      </c>
      <c r="B529" s="124" t="s">
        <v>350</v>
      </c>
      <c r="C529" s="124">
        <f>(93.98)*10.764</f>
        <v>1011.60072</v>
      </c>
      <c r="D529" s="125">
        <f t="shared" ref="D529:D531" si="189">C529*1.2</f>
        <v>1213.9208639999999</v>
      </c>
      <c r="E529" s="124">
        <v>0</v>
      </c>
      <c r="F529" s="124">
        <f t="shared" ref="F529:F531" si="190">C529*(($F$239)+1)+(IF(E529&lt;101,E529,IF(E529&lt;201,E529/2,IF(E529&lt;=301,E529/3,E529/4))))</f>
        <v>1517.4010800000001</v>
      </c>
      <c r="G529" s="146"/>
      <c r="I529" s="59"/>
      <c r="J529" s="59"/>
      <c r="K529" s="59"/>
      <c r="L529" s="59"/>
      <c r="M529" s="59"/>
    </row>
    <row r="530" spans="1:14" x14ac:dyDescent="0.25">
      <c r="A530" s="124">
        <f t="shared" ref="A530:A531" si="191">A529+1</f>
        <v>3</v>
      </c>
      <c r="B530" s="124" t="s">
        <v>392</v>
      </c>
      <c r="C530" s="124">
        <f>(46.65)*10.764</f>
        <v>502.14059999999995</v>
      </c>
      <c r="D530" s="125">
        <f t="shared" si="189"/>
        <v>602.56871999999987</v>
      </c>
      <c r="E530" s="124">
        <v>0</v>
      </c>
      <c r="F530" s="124">
        <f t="shared" si="190"/>
        <v>753.21089999999992</v>
      </c>
      <c r="G530" s="146"/>
      <c r="I530" s="59"/>
      <c r="J530" s="59"/>
      <c r="K530" s="59"/>
      <c r="L530" s="59"/>
      <c r="M530" s="59"/>
    </row>
    <row r="531" spans="1:14" ht="15.75" x14ac:dyDescent="0.25">
      <c r="A531" s="124">
        <f t="shared" si="191"/>
        <v>4</v>
      </c>
      <c r="B531" s="124" t="s">
        <v>350</v>
      </c>
      <c r="C531" s="124">
        <f>(81.3)*10.764</f>
        <v>875.11319999999989</v>
      </c>
      <c r="D531" s="125">
        <f t="shared" si="189"/>
        <v>1050.1358399999999</v>
      </c>
      <c r="E531" s="124">
        <v>0</v>
      </c>
      <c r="F531" s="124">
        <f t="shared" si="190"/>
        <v>1312.6697999999999</v>
      </c>
      <c r="G531" s="146"/>
      <c r="I531" s="147"/>
      <c r="J531" s="59"/>
      <c r="K531" s="57"/>
      <c r="L531" s="59"/>
      <c r="M531" s="59"/>
    </row>
    <row r="532" spans="1:14" s="132" customFormat="1" ht="15.75" customHeight="1" x14ac:dyDescent="0.25">
      <c r="A532" s="200" t="s">
        <v>361</v>
      </c>
      <c r="B532" s="200"/>
      <c r="C532" s="200"/>
      <c r="D532" s="200"/>
      <c r="E532" s="200"/>
      <c r="F532" s="200"/>
      <c r="G532" s="42">
        <v>1</v>
      </c>
      <c r="H532" s="42"/>
      <c r="I532" s="131"/>
      <c r="J532" s="131"/>
      <c r="K532" s="59"/>
      <c r="L532" s="131"/>
      <c r="M532" s="131"/>
    </row>
    <row r="533" spans="1:14" s="132" customFormat="1" ht="15.75" customHeight="1" x14ac:dyDescent="0.25">
      <c r="A533" s="124">
        <v>1</v>
      </c>
      <c r="B533" s="124" t="s">
        <v>349</v>
      </c>
      <c r="C533" s="124">
        <v>713.76084000000003</v>
      </c>
      <c r="D533" s="125">
        <f t="shared" ref="D533:D535" si="192">C533*1.2</f>
        <v>856.51300800000001</v>
      </c>
      <c r="E533" s="124">
        <v>0</v>
      </c>
      <c r="F533" s="124">
        <f t="shared" ref="F533:F535" si="193">C533*(($F$239)+1)+(IF(E533&lt;101,E533,IF(E533&lt;201,E533/2,IF(E533&lt;=301,E533/3,E533/4))))</f>
        <v>1070.6412600000001</v>
      </c>
      <c r="G533" s="149"/>
      <c r="H533" s="145"/>
      <c r="I533" s="145"/>
      <c r="J533" s="145"/>
      <c r="K533" s="59"/>
      <c r="L533" s="204"/>
      <c r="M533" s="204"/>
      <c r="N533" s="39"/>
    </row>
    <row r="534" spans="1:14" x14ac:dyDescent="0.25">
      <c r="A534" s="124">
        <f>A533+1</f>
        <v>2</v>
      </c>
      <c r="B534" s="124" t="s">
        <v>350</v>
      </c>
      <c r="C534" s="124">
        <f>(93.98)*10.764</f>
        <v>1011.60072</v>
      </c>
      <c r="D534" s="125">
        <f t="shared" si="192"/>
        <v>1213.9208639999999</v>
      </c>
      <c r="E534" s="124">
        <v>0</v>
      </c>
      <c r="F534" s="124">
        <f t="shared" si="193"/>
        <v>1517.4010800000001</v>
      </c>
      <c r="G534" s="146"/>
      <c r="I534" s="59"/>
      <c r="J534" s="59"/>
      <c r="K534" s="59"/>
      <c r="L534" s="59"/>
      <c r="M534" s="59"/>
    </row>
    <row r="535" spans="1:14" x14ac:dyDescent="0.25">
      <c r="A535" s="124">
        <f t="shared" ref="A535:A536" si="194">A534+1</f>
        <v>3</v>
      </c>
      <c r="B535" s="124" t="s">
        <v>392</v>
      </c>
      <c r="C535" s="124">
        <f>(46.65)*10.764</f>
        <v>502.14059999999995</v>
      </c>
      <c r="D535" s="125">
        <f t="shared" si="192"/>
        <v>602.56871999999987</v>
      </c>
      <c r="E535" s="124">
        <v>0</v>
      </c>
      <c r="F535" s="124">
        <f t="shared" si="193"/>
        <v>753.21089999999992</v>
      </c>
      <c r="G535" s="146"/>
      <c r="I535" s="59"/>
      <c r="J535" s="59"/>
      <c r="K535" s="59"/>
      <c r="L535" s="59"/>
      <c r="M535" s="59"/>
    </row>
    <row r="536" spans="1:14" ht="15.75" x14ac:dyDescent="0.25">
      <c r="A536" s="124">
        <f t="shared" si="194"/>
        <v>4</v>
      </c>
      <c r="B536" s="189" t="s">
        <v>348</v>
      </c>
      <c r="C536" s="190"/>
      <c r="D536" s="190"/>
      <c r="E536" s="190"/>
      <c r="F536" s="191"/>
      <c r="G536" s="146"/>
      <c r="I536" s="147"/>
      <c r="J536" s="59"/>
      <c r="K536" s="57"/>
      <c r="L536" s="59"/>
      <c r="M536" s="59"/>
    </row>
    <row r="537" spans="1:14" s="132" customFormat="1" ht="15.75" customHeight="1" x14ac:dyDescent="0.25">
      <c r="A537" s="200" t="s">
        <v>360</v>
      </c>
      <c r="B537" s="200"/>
      <c r="C537" s="200"/>
      <c r="D537" s="200"/>
      <c r="E537" s="200"/>
      <c r="F537" s="200"/>
      <c r="G537" s="42">
        <v>1</v>
      </c>
      <c r="H537" s="42"/>
      <c r="I537" s="131"/>
      <c r="J537" s="131"/>
      <c r="K537" s="59"/>
      <c r="L537" s="131"/>
      <c r="M537" s="131"/>
    </row>
    <row r="538" spans="1:14" s="132" customFormat="1" ht="15.75" customHeight="1" x14ac:dyDescent="0.25">
      <c r="A538" s="124">
        <v>1</v>
      </c>
      <c r="B538" s="124" t="s">
        <v>349</v>
      </c>
      <c r="C538" s="124">
        <v>713.76084000000003</v>
      </c>
      <c r="D538" s="125">
        <f>C538*1.2</f>
        <v>856.51300800000001</v>
      </c>
      <c r="E538" s="124">
        <v>0</v>
      </c>
      <c r="F538" s="124">
        <f>C538*(($F$239)+1)+(IF(E538&lt;101,E538,IF(E538&lt;201,E538/2,IF(E538&lt;=301,E538/3,E538/4))))</f>
        <v>1070.6412600000001</v>
      </c>
      <c r="G538" s="149"/>
      <c r="H538" s="145"/>
      <c r="I538" s="145"/>
      <c r="J538" s="145"/>
      <c r="K538" s="59"/>
      <c r="L538" s="204"/>
      <c r="M538" s="204"/>
      <c r="N538" s="39"/>
    </row>
    <row r="539" spans="1:14" x14ac:dyDescent="0.25">
      <c r="A539" s="124">
        <f>A538+1</f>
        <v>2</v>
      </c>
      <c r="B539" s="124" t="s">
        <v>350</v>
      </c>
      <c r="C539" s="124">
        <f>(93.98)*10.764</f>
        <v>1011.60072</v>
      </c>
      <c r="D539" s="125">
        <f t="shared" ref="D539:D541" si="195">C539*1.2</f>
        <v>1213.9208639999999</v>
      </c>
      <c r="E539" s="124">
        <v>0</v>
      </c>
      <c r="F539" s="124">
        <f t="shared" ref="F539:F541" si="196">C539*(($F$239)+1)+(IF(E539&lt;101,E539,IF(E539&lt;201,E539/2,IF(E539&lt;=301,E539/3,E539/4))))</f>
        <v>1517.4010800000001</v>
      </c>
      <c r="G539" s="146"/>
      <c r="I539" s="59"/>
      <c r="J539" s="59"/>
      <c r="K539" s="59"/>
      <c r="L539" s="59"/>
      <c r="M539" s="59"/>
    </row>
    <row r="540" spans="1:14" x14ac:dyDescent="0.25">
      <c r="A540" s="124">
        <f t="shared" ref="A540:A541" si="197">A539+1</f>
        <v>3</v>
      </c>
      <c r="B540" s="124" t="s">
        <v>392</v>
      </c>
      <c r="C540" s="124">
        <f>(46.65)*10.764</f>
        <v>502.14059999999995</v>
      </c>
      <c r="D540" s="125">
        <f t="shared" si="195"/>
        <v>602.56871999999987</v>
      </c>
      <c r="E540" s="124">
        <v>0</v>
      </c>
      <c r="F540" s="124">
        <f t="shared" si="196"/>
        <v>753.21089999999992</v>
      </c>
      <c r="G540" s="146"/>
      <c r="I540" s="59"/>
      <c r="J540" s="59"/>
      <c r="K540" s="59"/>
      <c r="L540" s="59"/>
      <c r="M540" s="59"/>
    </row>
    <row r="541" spans="1:14" ht="15.75" x14ac:dyDescent="0.25">
      <c r="A541" s="124">
        <f t="shared" si="197"/>
        <v>4</v>
      </c>
      <c r="B541" s="124" t="s">
        <v>350</v>
      </c>
      <c r="C541" s="124">
        <f>(81.3)*10.764</f>
        <v>875.11319999999989</v>
      </c>
      <c r="D541" s="125">
        <f t="shared" si="195"/>
        <v>1050.1358399999999</v>
      </c>
      <c r="E541" s="124">
        <v>0</v>
      </c>
      <c r="F541" s="124">
        <f t="shared" si="196"/>
        <v>1312.6697999999999</v>
      </c>
      <c r="G541" s="146"/>
      <c r="I541" s="147"/>
      <c r="J541" s="59"/>
      <c r="K541" s="57"/>
      <c r="L541" s="59"/>
      <c r="M541" s="59"/>
    </row>
    <row r="542" spans="1:14" s="132" customFormat="1" ht="15.75" customHeight="1" x14ac:dyDescent="0.25">
      <c r="A542" s="200" t="s">
        <v>372</v>
      </c>
      <c r="B542" s="200"/>
      <c r="C542" s="200"/>
      <c r="D542" s="200"/>
      <c r="E542" s="200"/>
      <c r="F542" s="200"/>
      <c r="G542" s="42">
        <f>3+3</f>
        <v>6</v>
      </c>
      <c r="H542" s="42"/>
      <c r="I542" s="131"/>
      <c r="J542" s="131"/>
      <c r="K542" s="59"/>
      <c r="L542" s="131"/>
      <c r="M542" s="131"/>
    </row>
    <row r="543" spans="1:14" s="132" customFormat="1" ht="15.75" customHeight="1" x14ac:dyDescent="0.25">
      <c r="A543" s="124">
        <v>1</v>
      </c>
      <c r="B543" s="124" t="s">
        <v>349</v>
      </c>
      <c r="C543" s="124">
        <v>713.76084000000003</v>
      </c>
      <c r="D543" s="125">
        <f>C543*1.2</f>
        <v>856.51300800000001</v>
      </c>
      <c r="E543" s="124">
        <v>0</v>
      </c>
      <c r="F543" s="124">
        <f>C543*(($F$239)+1)+(IF(E543&lt;101,E543,IF(E543&lt;201,E543/2,IF(E543&lt;=301,E543/3,E543/4))))</f>
        <v>1070.6412600000001</v>
      </c>
      <c r="G543" s="149"/>
      <c r="H543" s="145"/>
      <c r="I543" s="145"/>
      <c r="J543" s="145"/>
      <c r="K543" s="59"/>
      <c r="L543" s="204"/>
      <c r="M543" s="204"/>
      <c r="N543" s="39"/>
    </row>
    <row r="544" spans="1:14" x14ac:dyDescent="0.25">
      <c r="A544" s="124">
        <f>A543+1</f>
        <v>2</v>
      </c>
      <c r="B544" s="124" t="s">
        <v>350</v>
      </c>
      <c r="C544" s="124">
        <f>(93.98)*10.764</f>
        <v>1011.60072</v>
      </c>
      <c r="D544" s="125">
        <f t="shared" ref="D544:D546" si="198">C544*1.2</f>
        <v>1213.9208639999999</v>
      </c>
      <c r="E544" s="124">
        <v>0</v>
      </c>
      <c r="F544" s="124">
        <f t="shared" ref="F544:F546" si="199">C544*(($F$239)+1)+(IF(E544&lt;101,E544,IF(E544&lt;201,E544/2,IF(E544&lt;=301,E544/3,E544/4))))</f>
        <v>1517.4010800000001</v>
      </c>
      <c r="G544" s="146"/>
      <c r="I544" s="59"/>
      <c r="J544" s="59"/>
      <c r="K544" s="59"/>
      <c r="L544" s="59"/>
      <c r="M544" s="59"/>
    </row>
    <row r="545" spans="1:14" x14ac:dyDescent="0.25">
      <c r="A545" s="124">
        <f t="shared" ref="A545:A546" si="200">A544+1</f>
        <v>3</v>
      </c>
      <c r="B545" s="124" t="s">
        <v>392</v>
      </c>
      <c r="C545" s="124">
        <f>(46.65)*10.764</f>
        <v>502.14059999999995</v>
      </c>
      <c r="D545" s="125">
        <f t="shared" si="198"/>
        <v>602.56871999999987</v>
      </c>
      <c r="E545" s="124">
        <v>0</v>
      </c>
      <c r="F545" s="124">
        <f t="shared" si="199"/>
        <v>753.21089999999992</v>
      </c>
      <c r="G545" s="146"/>
      <c r="I545" s="59"/>
      <c r="J545" s="59"/>
      <c r="K545" s="59"/>
      <c r="L545" s="59"/>
      <c r="M545" s="59"/>
    </row>
    <row r="546" spans="1:14" ht="15.75" x14ac:dyDescent="0.25">
      <c r="A546" s="124">
        <f t="shared" si="200"/>
        <v>4</v>
      </c>
      <c r="B546" s="124" t="s">
        <v>350</v>
      </c>
      <c r="C546" s="124">
        <f>(81.3)*10.764</f>
        <v>875.11319999999989</v>
      </c>
      <c r="D546" s="125">
        <f t="shared" si="198"/>
        <v>1050.1358399999999</v>
      </c>
      <c r="E546" s="124">
        <v>0</v>
      </c>
      <c r="F546" s="124">
        <f t="shared" si="199"/>
        <v>1312.6697999999999</v>
      </c>
      <c r="G546" s="146"/>
      <c r="I546" s="147"/>
      <c r="J546" s="59"/>
      <c r="K546" s="57"/>
      <c r="L546" s="59"/>
      <c r="M546" s="59"/>
    </row>
    <row r="547" spans="1:14" s="132" customFormat="1" ht="15.75" customHeight="1" x14ac:dyDescent="0.25">
      <c r="A547" s="200" t="s">
        <v>364</v>
      </c>
      <c r="B547" s="200"/>
      <c r="C547" s="200"/>
      <c r="D547" s="200"/>
      <c r="E547" s="200"/>
      <c r="F547" s="200"/>
      <c r="G547" s="42">
        <v>1</v>
      </c>
      <c r="H547" s="42"/>
      <c r="I547" s="131"/>
      <c r="J547" s="131"/>
      <c r="K547" s="59"/>
      <c r="L547" s="131"/>
      <c r="M547" s="131"/>
    </row>
    <row r="548" spans="1:14" s="132" customFormat="1" ht="15.75" customHeight="1" x14ac:dyDescent="0.25">
      <c r="A548" s="124">
        <v>1</v>
      </c>
      <c r="B548" s="124" t="s">
        <v>349</v>
      </c>
      <c r="C548" s="124">
        <v>713.76084000000003</v>
      </c>
      <c r="D548" s="125">
        <f>C548*1.2</f>
        <v>856.51300800000001</v>
      </c>
      <c r="E548" s="124">
        <v>0</v>
      </c>
      <c r="F548" s="124">
        <f>C548*(($F$239)+1)+(IF(E548&lt;101,E548,IF(E548&lt;201,E548/2,IF(E548&lt;=301,E548/3,E548/4))))</f>
        <v>1070.6412600000001</v>
      </c>
      <c r="G548" s="149"/>
      <c r="H548" s="145"/>
      <c r="I548" s="145"/>
      <c r="J548" s="145"/>
      <c r="K548" s="59"/>
      <c r="L548" s="204"/>
      <c r="M548" s="204"/>
      <c r="N548" s="39"/>
    </row>
    <row r="549" spans="1:14" x14ac:dyDescent="0.25">
      <c r="A549" s="124">
        <f>A548+1</f>
        <v>2</v>
      </c>
      <c r="B549" s="124" t="s">
        <v>350</v>
      </c>
      <c r="C549" s="124">
        <f>(93.98)*10.764</f>
        <v>1011.60072</v>
      </c>
      <c r="D549" s="125">
        <f t="shared" ref="D549:D551" si="201">C549*1.2</f>
        <v>1213.9208639999999</v>
      </c>
      <c r="E549" s="124">
        <v>0</v>
      </c>
      <c r="F549" s="124">
        <f t="shared" ref="F549:F551" si="202">C549*(($F$239)+1)+(IF(E549&lt;101,E549,IF(E549&lt;201,E549/2,IF(E549&lt;=301,E549/3,E549/4))))</f>
        <v>1517.4010800000001</v>
      </c>
      <c r="G549" s="146"/>
      <c r="I549" s="59"/>
      <c r="J549" s="59"/>
      <c r="K549" s="59"/>
      <c r="L549" s="59"/>
      <c r="M549" s="59"/>
    </row>
    <row r="550" spans="1:14" x14ac:dyDescent="0.25">
      <c r="A550" s="124">
        <f t="shared" ref="A550:A551" si="203">A549+1</f>
        <v>3</v>
      </c>
      <c r="B550" s="124" t="s">
        <v>392</v>
      </c>
      <c r="C550" s="124">
        <f>(46.65)*10.764</f>
        <v>502.14059999999995</v>
      </c>
      <c r="D550" s="125">
        <f t="shared" si="201"/>
        <v>602.56871999999987</v>
      </c>
      <c r="E550" s="124">
        <v>0</v>
      </c>
      <c r="F550" s="124">
        <f t="shared" si="202"/>
        <v>753.21089999999992</v>
      </c>
      <c r="G550" s="146"/>
      <c r="I550" s="59"/>
      <c r="J550" s="59"/>
      <c r="K550" s="59"/>
      <c r="L550" s="59"/>
      <c r="M550" s="59"/>
    </row>
    <row r="551" spans="1:14" ht="15.75" x14ac:dyDescent="0.25">
      <c r="A551" s="124">
        <f t="shared" si="203"/>
        <v>4</v>
      </c>
      <c r="B551" s="124" t="s">
        <v>350</v>
      </c>
      <c r="C551" s="124">
        <f>(81.3)*10.764</f>
        <v>875.11319999999989</v>
      </c>
      <c r="D551" s="125">
        <f t="shared" si="201"/>
        <v>1050.1358399999999</v>
      </c>
      <c r="E551" s="124">
        <v>0</v>
      </c>
      <c r="F551" s="124">
        <f t="shared" si="202"/>
        <v>1312.6697999999999</v>
      </c>
      <c r="G551" s="146"/>
      <c r="I551" s="147"/>
      <c r="J551" s="59"/>
      <c r="K551" s="57"/>
      <c r="L551" s="59"/>
      <c r="M551" s="59"/>
    </row>
    <row r="552" spans="1:14" s="132" customFormat="1" ht="15.75" customHeight="1" x14ac:dyDescent="0.25">
      <c r="A552" s="200" t="s">
        <v>408</v>
      </c>
      <c r="B552" s="200"/>
      <c r="C552" s="200"/>
      <c r="D552" s="200"/>
      <c r="E552" s="200"/>
      <c r="F552" s="200"/>
      <c r="G552" s="42">
        <v>1</v>
      </c>
      <c r="H552" s="42"/>
      <c r="I552" s="131"/>
      <c r="J552" s="131"/>
      <c r="K552" s="59"/>
      <c r="L552" s="131"/>
      <c r="M552" s="131"/>
    </row>
    <row r="553" spans="1:14" s="132" customFormat="1" ht="15.75" customHeight="1" x14ac:dyDescent="0.25">
      <c r="A553" s="124">
        <v>1</v>
      </c>
      <c r="B553" s="189" t="s">
        <v>391</v>
      </c>
      <c r="C553" s="190"/>
      <c r="D553" s="190"/>
      <c r="E553" s="190"/>
      <c r="F553" s="191"/>
      <c r="G553" s="149"/>
      <c r="H553" s="145"/>
      <c r="I553" s="145"/>
      <c r="J553" s="145"/>
      <c r="K553" s="59"/>
      <c r="L553" s="204"/>
      <c r="M553" s="204"/>
      <c r="N553" s="39"/>
    </row>
    <row r="554" spans="1:14" x14ac:dyDescent="0.25">
      <c r="A554" s="124">
        <f>A553+1</f>
        <v>2</v>
      </c>
      <c r="B554" s="124" t="s">
        <v>350</v>
      </c>
      <c r="C554" s="124">
        <f>(93.98)*10.764</f>
        <v>1011.60072</v>
      </c>
      <c r="D554" s="125">
        <f t="shared" ref="D554:D555" si="204">C554*1.2</f>
        <v>1213.9208639999999</v>
      </c>
      <c r="E554" s="124">
        <v>0</v>
      </c>
      <c r="F554" s="124">
        <f t="shared" ref="F554:F555" si="205">C554*(($F$239)+1)+(IF(E554&lt;101,E554,IF(E554&lt;201,E554/2,IF(E554&lt;=301,E554/3,E554/4))))</f>
        <v>1517.4010800000001</v>
      </c>
      <c r="G554" s="146"/>
      <c r="I554" s="59"/>
      <c r="J554" s="59"/>
      <c r="K554" s="59"/>
      <c r="L554" s="59"/>
      <c r="M554" s="59"/>
    </row>
    <row r="555" spans="1:14" x14ac:dyDescent="0.25">
      <c r="A555" s="124">
        <f t="shared" ref="A555:A556" si="206">A554+1</f>
        <v>3</v>
      </c>
      <c r="B555" s="124" t="s">
        <v>392</v>
      </c>
      <c r="C555" s="124">
        <f>(46.65)*10.764</f>
        <v>502.14059999999995</v>
      </c>
      <c r="D555" s="125">
        <f t="shared" si="204"/>
        <v>602.56871999999987</v>
      </c>
      <c r="E555" s="124">
        <v>0</v>
      </c>
      <c r="F555" s="124">
        <f t="shared" si="205"/>
        <v>753.21089999999992</v>
      </c>
      <c r="G555" s="146"/>
      <c r="I555" s="59"/>
      <c r="J555" s="59"/>
      <c r="K555" s="59"/>
      <c r="L555" s="59"/>
      <c r="M555" s="59"/>
    </row>
    <row r="556" spans="1:14" ht="15.75" x14ac:dyDescent="0.25">
      <c r="A556" s="124">
        <f t="shared" si="206"/>
        <v>4</v>
      </c>
      <c r="B556" s="189" t="s">
        <v>348</v>
      </c>
      <c r="C556" s="190"/>
      <c r="D556" s="190"/>
      <c r="E556" s="190"/>
      <c r="F556" s="191"/>
      <c r="G556" s="146"/>
      <c r="I556" s="147"/>
      <c r="J556" s="59"/>
      <c r="K556" s="57"/>
      <c r="L556" s="59"/>
      <c r="M556" s="59"/>
    </row>
    <row r="557" spans="1:14" s="132" customFormat="1" ht="15.75" customHeight="1" x14ac:dyDescent="0.25">
      <c r="A557" s="200" t="s">
        <v>363</v>
      </c>
      <c r="B557" s="200"/>
      <c r="C557" s="200"/>
      <c r="D557" s="200"/>
      <c r="E557" s="200"/>
      <c r="F557" s="200"/>
      <c r="G557" s="42"/>
      <c r="H557" s="42"/>
      <c r="I557" s="131"/>
      <c r="J557" s="131"/>
      <c r="K557" s="59"/>
      <c r="L557" s="131"/>
      <c r="M557" s="131"/>
    </row>
    <row r="558" spans="1:14" s="132" customFormat="1" ht="15.75" customHeight="1" x14ac:dyDescent="0.25">
      <c r="A558" s="200" t="s">
        <v>365</v>
      </c>
      <c r="B558" s="200"/>
      <c r="C558" s="200"/>
      <c r="D558" s="200"/>
      <c r="E558" s="200"/>
      <c r="F558" s="200"/>
      <c r="G558" s="42">
        <v>1</v>
      </c>
      <c r="H558" s="42"/>
      <c r="I558" s="131"/>
      <c r="J558" s="131"/>
      <c r="K558" s="59"/>
      <c r="L558" s="131"/>
      <c r="M558" s="131"/>
    </row>
    <row r="559" spans="1:14" s="132" customFormat="1" ht="15.75" customHeight="1" x14ac:dyDescent="0.25">
      <c r="A559" s="124">
        <v>1</v>
      </c>
      <c r="B559" s="124" t="s">
        <v>349</v>
      </c>
      <c r="C559" s="124">
        <v>713.76084000000003</v>
      </c>
      <c r="D559" s="125">
        <f t="shared" ref="D559:D561" si="207">C559*1.2</f>
        <v>856.51300800000001</v>
      </c>
      <c r="E559" s="124">
        <v>0</v>
      </c>
      <c r="F559" s="124">
        <f t="shared" ref="F559:F561" si="208">C559*(($F$239)+1)+(IF(E559&lt;101,E559,IF(E559&lt;201,E559/2,IF(E559&lt;=301,E559/3,E559/4))))</f>
        <v>1070.6412600000001</v>
      </c>
      <c r="G559" s="149"/>
      <c r="H559" s="145"/>
      <c r="I559" s="145"/>
      <c r="J559" s="145"/>
      <c r="K559" s="59"/>
      <c r="L559" s="204"/>
      <c r="M559" s="204"/>
      <c r="N559" s="39"/>
    </row>
    <row r="560" spans="1:14" x14ac:dyDescent="0.25">
      <c r="A560" s="124">
        <f>A559+1</f>
        <v>2</v>
      </c>
      <c r="B560" s="124" t="s">
        <v>350</v>
      </c>
      <c r="C560" s="124">
        <f>(93.98)*10.764</f>
        <v>1011.60072</v>
      </c>
      <c r="D560" s="125">
        <f t="shared" si="207"/>
        <v>1213.9208639999999</v>
      </c>
      <c r="E560" s="124">
        <v>0</v>
      </c>
      <c r="F560" s="124">
        <f t="shared" si="208"/>
        <v>1517.4010800000001</v>
      </c>
      <c r="G560" s="146"/>
      <c r="I560" s="59"/>
      <c r="J560" s="59"/>
      <c r="K560" s="59"/>
      <c r="L560" s="59"/>
      <c r="M560" s="59"/>
    </row>
    <row r="561" spans="1:14" x14ac:dyDescent="0.25">
      <c r="A561" s="124">
        <f t="shared" ref="A561:A562" si="209">A560+1</f>
        <v>3</v>
      </c>
      <c r="B561" s="124" t="s">
        <v>392</v>
      </c>
      <c r="C561" s="124">
        <f>(46.65)*10.764</f>
        <v>502.14059999999995</v>
      </c>
      <c r="D561" s="125">
        <f t="shared" si="207"/>
        <v>602.56871999999987</v>
      </c>
      <c r="E561" s="124">
        <v>0</v>
      </c>
      <c r="F561" s="124">
        <f t="shared" si="208"/>
        <v>753.21089999999992</v>
      </c>
      <c r="G561" s="146"/>
      <c r="I561" s="59"/>
      <c r="J561" s="59"/>
      <c r="K561" s="59"/>
      <c r="L561" s="59"/>
      <c r="M561" s="59"/>
    </row>
    <row r="562" spans="1:14" ht="15.75" x14ac:dyDescent="0.25">
      <c r="A562" s="124">
        <f t="shared" si="209"/>
        <v>4</v>
      </c>
      <c r="B562" s="189" t="s">
        <v>348</v>
      </c>
      <c r="C562" s="190"/>
      <c r="D562" s="190"/>
      <c r="E562" s="190"/>
      <c r="F562" s="191"/>
      <c r="G562" s="146"/>
      <c r="I562" s="147"/>
      <c r="J562" s="59"/>
      <c r="K562" s="57"/>
      <c r="L562" s="59"/>
      <c r="M562" s="59"/>
    </row>
    <row r="563" spans="1:14" s="132" customFormat="1" ht="15.75" customHeight="1" x14ac:dyDescent="0.25">
      <c r="A563" s="200" t="s">
        <v>366</v>
      </c>
      <c r="B563" s="200"/>
      <c r="C563" s="200"/>
      <c r="D563" s="200"/>
      <c r="E563" s="200"/>
      <c r="F563" s="200"/>
      <c r="G563" s="42">
        <v>5</v>
      </c>
      <c r="H563" s="42"/>
      <c r="I563" s="131"/>
      <c r="J563" s="131"/>
      <c r="K563" s="59"/>
      <c r="L563" s="131"/>
      <c r="M563" s="131"/>
    </row>
    <row r="564" spans="1:14" s="132" customFormat="1" ht="15.75" customHeight="1" x14ac:dyDescent="0.25">
      <c r="A564" s="124">
        <v>1</v>
      </c>
      <c r="B564" s="124" t="s">
        <v>349</v>
      </c>
      <c r="C564" s="124">
        <v>713.76084000000003</v>
      </c>
      <c r="D564" s="125">
        <f>C564*1.2</f>
        <v>856.51300800000001</v>
      </c>
      <c r="E564" s="124">
        <v>0</v>
      </c>
      <c r="F564" s="124">
        <f>C564*(($F$239)+1)+(IF(E564&lt;101,E564,IF(E564&lt;201,E564/2,IF(E564&lt;=301,E564/3,E564/4))))</f>
        <v>1070.6412600000001</v>
      </c>
      <c r="G564" s="149"/>
      <c r="H564" s="145"/>
      <c r="I564" s="145"/>
      <c r="J564" s="145"/>
      <c r="K564" s="59"/>
      <c r="L564" s="204"/>
      <c r="M564" s="204"/>
      <c r="N564" s="39"/>
    </row>
    <row r="565" spans="1:14" x14ac:dyDescent="0.25">
      <c r="A565" s="124">
        <f>A564+1</f>
        <v>2</v>
      </c>
      <c r="B565" s="124" t="s">
        <v>350</v>
      </c>
      <c r="C565" s="124">
        <f>(93.98)*10.764</f>
        <v>1011.60072</v>
      </c>
      <c r="D565" s="125">
        <f t="shared" ref="D565:D567" si="210">C565*1.2</f>
        <v>1213.9208639999999</v>
      </c>
      <c r="E565" s="124">
        <v>0</v>
      </c>
      <c r="F565" s="124">
        <f t="shared" ref="F565:F567" si="211">C565*(($F$239)+1)+(IF(E565&lt;101,E565,IF(E565&lt;201,E565/2,IF(E565&lt;=301,E565/3,E565/4))))</f>
        <v>1517.4010800000001</v>
      </c>
      <c r="G565" s="146"/>
      <c r="I565" s="59"/>
      <c r="J565" s="59"/>
      <c r="K565" s="59"/>
      <c r="L565" s="59"/>
      <c r="M565" s="59"/>
    </row>
    <row r="566" spans="1:14" x14ac:dyDescent="0.25">
      <c r="A566" s="124">
        <f t="shared" ref="A566:A567" si="212">A565+1</f>
        <v>3</v>
      </c>
      <c r="B566" s="124" t="s">
        <v>392</v>
      </c>
      <c r="C566" s="124">
        <f>(46.65)*10.764</f>
        <v>502.14059999999995</v>
      </c>
      <c r="D566" s="125">
        <f t="shared" si="210"/>
        <v>602.56871999999987</v>
      </c>
      <c r="E566" s="124">
        <v>0</v>
      </c>
      <c r="F566" s="124">
        <f t="shared" si="211"/>
        <v>753.21089999999992</v>
      </c>
      <c r="G566" s="146"/>
      <c r="I566" s="59"/>
      <c r="J566" s="59"/>
      <c r="K566" s="59"/>
      <c r="L566" s="59"/>
      <c r="M566" s="59"/>
    </row>
    <row r="567" spans="1:14" ht="15.75" x14ac:dyDescent="0.25">
      <c r="A567" s="124">
        <f t="shared" si="212"/>
        <v>4</v>
      </c>
      <c r="B567" s="124" t="s">
        <v>350</v>
      </c>
      <c r="C567" s="124">
        <f>(81.3)*10.764</f>
        <v>875.11319999999989</v>
      </c>
      <c r="D567" s="125">
        <f t="shared" si="210"/>
        <v>1050.1358399999999</v>
      </c>
      <c r="E567" s="124">
        <v>0</v>
      </c>
      <c r="F567" s="124">
        <f t="shared" si="211"/>
        <v>1312.6697999999999</v>
      </c>
      <c r="G567" s="146"/>
      <c r="I567" s="147"/>
      <c r="J567" s="59"/>
      <c r="K567" s="57"/>
      <c r="L567" s="59"/>
      <c r="M567" s="59"/>
    </row>
    <row r="568" spans="1:14" s="132" customFormat="1" ht="15.75" customHeight="1" x14ac:dyDescent="0.25">
      <c r="A568" s="200" t="s">
        <v>420</v>
      </c>
      <c r="B568" s="200"/>
      <c r="C568" s="200"/>
      <c r="D568" s="200"/>
      <c r="E568" s="200"/>
      <c r="F568" s="200"/>
      <c r="G568" s="42">
        <f>1+3+2</f>
        <v>6</v>
      </c>
      <c r="H568" s="42"/>
      <c r="I568" s="131"/>
      <c r="J568" s="131"/>
      <c r="K568" s="59"/>
      <c r="L568" s="131"/>
      <c r="M568" s="131"/>
    </row>
    <row r="569" spans="1:14" s="132" customFormat="1" ht="15.75" customHeight="1" x14ac:dyDescent="0.25">
      <c r="A569" s="124">
        <v>1</v>
      </c>
      <c r="B569" s="124" t="s">
        <v>349</v>
      </c>
      <c r="C569" s="124">
        <v>713.76084000000003</v>
      </c>
      <c r="D569" s="125">
        <f>C569*1.2</f>
        <v>856.51300800000001</v>
      </c>
      <c r="E569" s="124">
        <v>0</v>
      </c>
      <c r="F569" s="124">
        <f>C569*(($F$239)+1)+(IF(E569&lt;101,E569,IF(E569&lt;201,E569/2,IF(E569&lt;=301,E569/3,E569/4))))</f>
        <v>1070.6412600000001</v>
      </c>
      <c r="G569" s="149"/>
      <c r="H569" s="145"/>
      <c r="I569" s="145"/>
      <c r="J569" s="145"/>
      <c r="K569" s="59"/>
      <c r="L569" s="204"/>
      <c r="M569" s="204"/>
      <c r="N569" s="39"/>
    </row>
    <row r="570" spans="1:14" x14ac:dyDescent="0.25">
      <c r="A570" s="124">
        <f>A569+1</f>
        <v>2</v>
      </c>
      <c r="B570" s="124" t="s">
        <v>350</v>
      </c>
      <c r="C570" s="124">
        <f>(93.98)*10.764</f>
        <v>1011.60072</v>
      </c>
      <c r="D570" s="125">
        <f t="shared" ref="D570:D572" si="213">C570*1.2</f>
        <v>1213.9208639999999</v>
      </c>
      <c r="E570" s="124">
        <v>0</v>
      </c>
      <c r="F570" s="124">
        <f t="shared" ref="F570:F572" si="214">C570*(($F$239)+1)+(IF(E570&lt;101,E570,IF(E570&lt;201,E570/2,IF(E570&lt;=301,E570/3,E570/4))))</f>
        <v>1517.4010800000001</v>
      </c>
      <c r="G570" s="146"/>
      <c r="I570" s="59"/>
      <c r="J570" s="59"/>
      <c r="K570" s="59"/>
      <c r="L570" s="59"/>
      <c r="M570" s="59"/>
    </row>
    <row r="571" spans="1:14" x14ac:dyDescent="0.25">
      <c r="A571" s="124">
        <f t="shared" ref="A571:A572" si="215">A570+1</f>
        <v>3</v>
      </c>
      <c r="B571" s="124" t="s">
        <v>392</v>
      </c>
      <c r="C571" s="124">
        <f>(46.65)*10.764</f>
        <v>502.14059999999995</v>
      </c>
      <c r="D571" s="125">
        <f t="shared" si="213"/>
        <v>602.56871999999987</v>
      </c>
      <c r="E571" s="124">
        <v>0</v>
      </c>
      <c r="F571" s="124">
        <f t="shared" si="214"/>
        <v>753.21089999999992</v>
      </c>
      <c r="G571" s="146"/>
      <c r="I571" s="59"/>
      <c r="J571" s="59"/>
      <c r="K571" s="59"/>
      <c r="L571" s="59"/>
      <c r="M571" s="59"/>
    </row>
    <row r="572" spans="1:14" ht="15.75" x14ac:dyDescent="0.25">
      <c r="A572" s="124">
        <f t="shared" si="215"/>
        <v>4</v>
      </c>
      <c r="B572" s="124" t="s">
        <v>350</v>
      </c>
      <c r="C572" s="124">
        <f>(85.61)*10.764</f>
        <v>921.50603999999998</v>
      </c>
      <c r="D572" s="125">
        <f t="shared" si="213"/>
        <v>1105.8072479999998</v>
      </c>
      <c r="E572" s="124">
        <v>0</v>
      </c>
      <c r="F572" s="124">
        <f t="shared" si="214"/>
        <v>1382.2590599999999</v>
      </c>
      <c r="G572" s="146"/>
      <c r="I572" s="147"/>
      <c r="J572" s="59"/>
      <c r="K572" s="57"/>
      <c r="L572" s="59"/>
      <c r="M572" s="59"/>
    </row>
    <row r="573" spans="1:14" s="132" customFormat="1" ht="15.75" customHeight="1" x14ac:dyDescent="0.25">
      <c r="A573" s="200" t="s">
        <v>367</v>
      </c>
      <c r="B573" s="200"/>
      <c r="C573" s="200"/>
      <c r="D573" s="200"/>
      <c r="E573" s="200"/>
      <c r="F573" s="200"/>
      <c r="G573" s="42">
        <v>2</v>
      </c>
      <c r="H573" s="42"/>
      <c r="I573" s="131"/>
      <c r="J573" s="131"/>
      <c r="K573" s="59"/>
      <c r="L573" s="131"/>
      <c r="M573" s="131"/>
    </row>
    <row r="574" spans="1:14" s="132" customFormat="1" ht="15.75" customHeight="1" x14ac:dyDescent="0.25">
      <c r="A574" s="124">
        <v>1</v>
      </c>
      <c r="B574" s="124" t="s">
        <v>349</v>
      </c>
      <c r="C574" s="124">
        <v>713.76084000000003</v>
      </c>
      <c r="D574" s="125">
        <f t="shared" ref="D574:D576" si="216">C574*1.2</f>
        <v>856.51300800000001</v>
      </c>
      <c r="E574" s="124">
        <v>0</v>
      </c>
      <c r="F574" s="124">
        <f t="shared" ref="F574:F576" si="217">C574*(($F$239)+1)+(IF(E574&lt;101,E574,IF(E574&lt;201,E574/2,IF(E574&lt;=301,E574/3,E574/4))))</f>
        <v>1070.6412600000001</v>
      </c>
      <c r="G574" s="149"/>
      <c r="H574" s="145"/>
      <c r="I574" s="145"/>
      <c r="J574" s="145"/>
      <c r="K574" s="59"/>
      <c r="L574" s="204"/>
      <c r="M574" s="204"/>
      <c r="N574" s="39"/>
    </row>
    <row r="575" spans="1:14" x14ac:dyDescent="0.25">
      <c r="A575" s="124">
        <f>A574+1</f>
        <v>2</v>
      </c>
      <c r="B575" s="124" t="s">
        <v>350</v>
      </c>
      <c r="C575" s="124">
        <f>(93.98)*10.764</f>
        <v>1011.60072</v>
      </c>
      <c r="D575" s="125">
        <f t="shared" si="216"/>
        <v>1213.9208639999999</v>
      </c>
      <c r="E575" s="124">
        <v>0</v>
      </c>
      <c r="F575" s="124">
        <f t="shared" si="217"/>
        <v>1517.4010800000001</v>
      </c>
      <c r="G575" s="146"/>
      <c r="I575" s="59"/>
      <c r="J575" s="59"/>
      <c r="K575" s="59"/>
      <c r="L575" s="59"/>
      <c r="M575" s="59"/>
    </row>
    <row r="576" spans="1:14" x14ac:dyDescent="0.25">
      <c r="A576" s="124">
        <f t="shared" ref="A576:A577" si="218">A575+1</f>
        <v>3</v>
      </c>
      <c r="B576" s="124" t="s">
        <v>392</v>
      </c>
      <c r="C576" s="124">
        <f>(46.65)*10.764</f>
        <v>502.14059999999995</v>
      </c>
      <c r="D576" s="125">
        <f t="shared" si="216"/>
        <v>602.56871999999987</v>
      </c>
      <c r="E576" s="124">
        <v>0</v>
      </c>
      <c r="F576" s="124">
        <f t="shared" si="217"/>
        <v>753.21089999999992</v>
      </c>
      <c r="G576" s="146"/>
      <c r="I576" s="59"/>
      <c r="J576" s="59"/>
      <c r="K576" s="59"/>
      <c r="L576" s="59"/>
      <c r="M576" s="59"/>
    </row>
    <row r="577" spans="1:14" ht="15.75" x14ac:dyDescent="0.25">
      <c r="A577" s="124">
        <f t="shared" si="218"/>
        <v>4</v>
      </c>
      <c r="B577" s="189" t="s">
        <v>348</v>
      </c>
      <c r="C577" s="190"/>
      <c r="D577" s="190"/>
      <c r="E577" s="190"/>
      <c r="F577" s="191"/>
      <c r="G577" s="146"/>
      <c r="I577" s="147"/>
      <c r="J577" s="59"/>
      <c r="K577" s="57"/>
      <c r="L577" s="59"/>
      <c r="M577" s="59"/>
    </row>
    <row r="578" spans="1:14" s="132" customFormat="1" ht="15.75" customHeight="1" x14ac:dyDescent="0.25">
      <c r="A578" s="200" t="s">
        <v>368</v>
      </c>
      <c r="B578" s="200"/>
      <c r="C578" s="200"/>
      <c r="D578" s="200"/>
      <c r="E578" s="200"/>
      <c r="F578" s="200"/>
      <c r="G578" s="42">
        <v>3</v>
      </c>
      <c r="H578" s="42"/>
      <c r="I578" s="131"/>
      <c r="J578" s="131"/>
      <c r="K578" s="59"/>
      <c r="L578" s="131"/>
      <c r="M578" s="131"/>
    </row>
    <row r="579" spans="1:14" s="132" customFormat="1" ht="15.75" customHeight="1" x14ac:dyDescent="0.25">
      <c r="A579" s="124">
        <v>1</v>
      </c>
      <c r="B579" s="124" t="s">
        <v>349</v>
      </c>
      <c r="C579" s="124">
        <v>713.76084000000003</v>
      </c>
      <c r="D579" s="125">
        <f>C579*1.2</f>
        <v>856.51300800000001</v>
      </c>
      <c r="E579" s="124">
        <v>0</v>
      </c>
      <c r="F579" s="124">
        <f>C579*(($F$239)+1)+(IF(E579&lt;101,E579,IF(E579&lt;201,E579/2,IF(E579&lt;=301,E579/3,E579/4))))</f>
        <v>1070.6412600000001</v>
      </c>
      <c r="G579" s="149"/>
      <c r="H579" s="145"/>
      <c r="I579" s="145"/>
      <c r="J579" s="145"/>
      <c r="K579" s="59"/>
      <c r="L579" s="204"/>
      <c r="M579" s="204"/>
      <c r="N579" s="39"/>
    </row>
    <row r="580" spans="1:14" x14ac:dyDescent="0.25">
      <c r="A580" s="124">
        <f>A579+1</f>
        <v>2</v>
      </c>
      <c r="B580" s="124" t="s">
        <v>350</v>
      </c>
      <c r="C580" s="124">
        <f>(93.98)*10.764</f>
        <v>1011.60072</v>
      </c>
      <c r="D580" s="125">
        <f t="shared" ref="D580:D581" si="219">C580*1.2</f>
        <v>1213.9208639999999</v>
      </c>
      <c r="E580" s="124">
        <v>0</v>
      </c>
      <c r="F580" s="124">
        <f t="shared" ref="F580:F581" si="220">C580*(($F$239)+1)+(IF(E580&lt;101,E580,IF(E580&lt;201,E580/2,IF(E580&lt;=301,E580/3,E580/4))))</f>
        <v>1517.4010800000001</v>
      </c>
      <c r="G580" s="146"/>
      <c r="I580" s="59"/>
      <c r="J580" s="59"/>
      <c r="K580" s="59"/>
      <c r="L580" s="59"/>
      <c r="M580" s="59"/>
    </row>
    <row r="581" spans="1:14" x14ac:dyDescent="0.25">
      <c r="A581" s="124">
        <f t="shared" ref="A581:A582" si="221">A580+1</f>
        <v>3</v>
      </c>
      <c r="B581" s="124" t="s">
        <v>392</v>
      </c>
      <c r="C581" s="124">
        <f>(46.65)*10.764</f>
        <v>502.14059999999995</v>
      </c>
      <c r="D581" s="125">
        <f t="shared" si="219"/>
        <v>602.56871999999987</v>
      </c>
      <c r="E581" s="124">
        <v>0</v>
      </c>
      <c r="F581" s="124">
        <f t="shared" si="220"/>
        <v>753.21089999999992</v>
      </c>
      <c r="G581" s="146"/>
      <c r="I581" s="59"/>
      <c r="J581" s="59"/>
      <c r="K581" s="59"/>
      <c r="L581" s="59"/>
      <c r="M581" s="59"/>
    </row>
    <row r="582" spans="1:14" ht="15.75" x14ac:dyDescent="0.25">
      <c r="A582" s="124">
        <f t="shared" si="221"/>
        <v>4</v>
      </c>
      <c r="B582" s="189" t="s">
        <v>403</v>
      </c>
      <c r="C582" s="190"/>
      <c r="D582" s="190"/>
      <c r="E582" s="190"/>
      <c r="F582" s="191"/>
      <c r="G582" s="146"/>
      <c r="I582" s="147"/>
      <c r="J582" s="59"/>
      <c r="K582" s="57"/>
      <c r="L582" s="59"/>
      <c r="M582" s="59"/>
    </row>
    <row r="583" spans="1:14" s="132" customFormat="1" ht="15.75" customHeight="1" x14ac:dyDescent="0.25">
      <c r="A583" s="200" t="s">
        <v>407</v>
      </c>
      <c r="B583" s="200"/>
      <c r="C583" s="200"/>
      <c r="D583" s="200"/>
      <c r="E583" s="200"/>
      <c r="F583" s="200"/>
      <c r="G583" s="42">
        <v>1</v>
      </c>
      <c r="H583" s="42"/>
      <c r="I583" s="131"/>
      <c r="J583" s="131"/>
      <c r="K583" s="59"/>
      <c r="L583" s="131"/>
      <c r="M583" s="131"/>
    </row>
    <row r="584" spans="1:14" s="132" customFormat="1" ht="15.75" customHeight="1" x14ac:dyDescent="0.25">
      <c r="A584" s="124">
        <v>1</v>
      </c>
      <c r="B584" s="197" t="s">
        <v>391</v>
      </c>
      <c r="C584" s="198"/>
      <c r="D584" s="198"/>
      <c r="E584" s="198"/>
      <c r="F584" s="199"/>
      <c r="G584" s="149"/>
      <c r="H584" s="145"/>
      <c r="I584" s="145"/>
      <c r="J584" s="145"/>
      <c r="K584" s="59"/>
      <c r="L584" s="204"/>
      <c r="M584" s="204"/>
      <c r="N584" s="39"/>
    </row>
    <row r="585" spans="1:14" x14ac:dyDescent="0.25">
      <c r="A585" s="124">
        <f>A584+1</f>
        <v>2</v>
      </c>
      <c r="B585" s="124" t="s">
        <v>350</v>
      </c>
      <c r="C585" s="124">
        <f>(93.98)*10.764</f>
        <v>1011.60072</v>
      </c>
      <c r="D585" s="125">
        <f t="shared" ref="D585:D587" si="222">C585*1.2</f>
        <v>1213.9208639999999</v>
      </c>
      <c r="E585" s="124">
        <v>0</v>
      </c>
      <c r="F585" s="124">
        <f t="shared" ref="F585:F587" si="223">C585*(($F$239)+1)+(IF(E585&lt;101,E585,IF(E585&lt;201,E585/2,IF(E585&lt;=301,E585/3,E585/4))))</f>
        <v>1517.4010800000001</v>
      </c>
      <c r="G585" s="146"/>
      <c r="I585" s="59"/>
      <c r="J585" s="59"/>
      <c r="K585" s="59"/>
      <c r="L585" s="59"/>
      <c r="M585" s="59"/>
    </row>
    <row r="586" spans="1:14" x14ac:dyDescent="0.25">
      <c r="A586" s="124">
        <f t="shared" ref="A586:A587" si="224">A585+1</f>
        <v>3</v>
      </c>
      <c r="B586" s="124" t="s">
        <v>392</v>
      </c>
      <c r="C586" s="124">
        <f>(46.65)*10.764</f>
        <v>502.14059999999995</v>
      </c>
      <c r="D586" s="125">
        <f t="shared" si="222"/>
        <v>602.56871999999987</v>
      </c>
      <c r="E586" s="124">
        <v>0</v>
      </c>
      <c r="F586" s="124">
        <f t="shared" si="223"/>
        <v>753.21089999999992</v>
      </c>
      <c r="G586" s="146"/>
      <c r="I586" s="59"/>
      <c r="J586" s="59"/>
      <c r="K586" s="59"/>
      <c r="L586" s="59"/>
      <c r="M586" s="59"/>
    </row>
    <row r="587" spans="1:14" ht="15.75" x14ac:dyDescent="0.25">
      <c r="A587" s="124">
        <f t="shared" si="224"/>
        <v>4</v>
      </c>
      <c r="B587" s="124" t="s">
        <v>350</v>
      </c>
      <c r="C587" s="124">
        <f>(85.61)*10.764</f>
        <v>921.50603999999998</v>
      </c>
      <c r="D587" s="125">
        <f t="shared" si="222"/>
        <v>1105.8072479999998</v>
      </c>
      <c r="E587" s="124">
        <v>0</v>
      </c>
      <c r="F587" s="124">
        <f t="shared" si="223"/>
        <v>1382.2590599999999</v>
      </c>
      <c r="G587" s="146"/>
      <c r="I587" s="147"/>
      <c r="J587" s="59"/>
      <c r="K587" s="57"/>
      <c r="L587" s="59"/>
      <c r="M587" s="59"/>
    </row>
    <row r="588" spans="1:14" s="132" customFormat="1" ht="15.75" customHeight="1" x14ac:dyDescent="0.25">
      <c r="A588" s="331" t="s">
        <v>406</v>
      </c>
      <c r="B588" s="331"/>
      <c r="C588" s="331"/>
      <c r="D588" s="331"/>
      <c r="E588" s="331"/>
      <c r="F588" s="331"/>
      <c r="G588" s="42">
        <v>1</v>
      </c>
      <c r="H588" s="42"/>
      <c r="I588" s="131"/>
      <c r="J588" s="131"/>
      <c r="K588" s="59"/>
      <c r="L588" s="131"/>
      <c r="M588" s="131"/>
    </row>
    <row r="589" spans="1:14" s="132" customFormat="1" ht="15.75" customHeight="1" x14ac:dyDescent="0.25">
      <c r="A589" s="162">
        <v>1</v>
      </c>
      <c r="B589" s="197" t="s">
        <v>405</v>
      </c>
      <c r="C589" s="198"/>
      <c r="D589" s="198"/>
      <c r="E589" s="198"/>
      <c r="F589" s="199"/>
      <c r="G589" s="149"/>
      <c r="H589" s="145"/>
      <c r="I589" s="145"/>
      <c r="J589" s="145"/>
      <c r="K589" s="59"/>
      <c r="L589" s="204"/>
      <c r="M589" s="204"/>
      <c r="N589" s="39"/>
    </row>
    <row r="590" spans="1:14" x14ac:dyDescent="0.25">
      <c r="A590" s="162">
        <f>A589+1</f>
        <v>2</v>
      </c>
      <c r="B590" s="162" t="s">
        <v>350</v>
      </c>
      <c r="C590" s="124">
        <f>(93.98)*10.764</f>
        <v>1011.60072</v>
      </c>
      <c r="D590" s="166">
        <f t="shared" ref="D590:D592" si="225">C590*1.2</f>
        <v>1213.9208639999999</v>
      </c>
      <c r="E590" s="162">
        <v>0</v>
      </c>
      <c r="F590" s="162">
        <f t="shared" ref="F590:F592" si="226">C590*(($F$239)+1)+(IF(E590&lt;101,E590,IF(E590&lt;201,E590/2,IF(E590&lt;=301,E590/3,E590/4))))</f>
        <v>1517.4010800000001</v>
      </c>
      <c r="G590" s="146"/>
      <c r="I590" s="59"/>
      <c r="J590" s="59"/>
      <c r="K590" s="59"/>
      <c r="L590" s="59"/>
      <c r="M590" s="59"/>
    </row>
    <row r="591" spans="1:14" x14ac:dyDescent="0.25">
      <c r="A591" s="162">
        <f t="shared" ref="A591:A592" si="227">A590+1</f>
        <v>3</v>
      </c>
      <c r="B591" s="162" t="s">
        <v>392</v>
      </c>
      <c r="C591" s="124">
        <f>(46.65)*10.764</f>
        <v>502.14059999999995</v>
      </c>
      <c r="D591" s="166">
        <f t="shared" si="225"/>
        <v>602.56871999999987</v>
      </c>
      <c r="E591" s="162">
        <v>0</v>
      </c>
      <c r="F591" s="162">
        <f t="shared" si="226"/>
        <v>753.21089999999992</v>
      </c>
      <c r="G591" s="146"/>
      <c r="I591" s="59"/>
      <c r="J591" s="59"/>
      <c r="K591" s="59"/>
      <c r="L591" s="59"/>
      <c r="M591" s="59"/>
    </row>
    <row r="592" spans="1:14" ht="15.75" x14ac:dyDescent="0.25">
      <c r="A592" s="162">
        <f t="shared" si="227"/>
        <v>4</v>
      </c>
      <c r="B592" s="162" t="s">
        <v>350</v>
      </c>
      <c r="C592" s="124">
        <f>(85.61)*10.764</f>
        <v>921.50603999999998</v>
      </c>
      <c r="D592" s="166">
        <f t="shared" si="225"/>
        <v>1105.8072479999998</v>
      </c>
      <c r="E592" s="162">
        <v>0</v>
      </c>
      <c r="F592" s="162">
        <f t="shared" si="226"/>
        <v>1382.2590599999999</v>
      </c>
      <c r="G592" s="146"/>
      <c r="I592" s="147"/>
      <c r="J592" s="59"/>
      <c r="K592" s="57"/>
      <c r="L592" s="59"/>
      <c r="M592" s="59"/>
    </row>
    <row r="593" spans="1:14" s="36" customFormat="1" ht="15.75" x14ac:dyDescent="0.25">
      <c r="A593" s="287" t="s">
        <v>376</v>
      </c>
      <c r="B593" s="287"/>
      <c r="C593" s="287"/>
      <c r="D593" s="287"/>
      <c r="E593" s="287"/>
      <c r="F593" s="288"/>
      <c r="G593" s="196"/>
      <c r="H593" s="196"/>
      <c r="I593" s="196"/>
      <c r="J593" s="196"/>
      <c r="K593" s="196"/>
    </row>
    <row r="594" spans="1:14" s="132" customFormat="1" ht="15.75" customHeight="1" x14ac:dyDescent="0.25">
      <c r="A594" s="200" t="s">
        <v>347</v>
      </c>
      <c r="B594" s="200"/>
      <c r="C594" s="200"/>
      <c r="D594" s="200"/>
      <c r="E594" s="200"/>
      <c r="F594" s="200"/>
      <c r="G594" s="42">
        <v>1</v>
      </c>
      <c r="H594" s="42"/>
      <c r="I594" s="131"/>
      <c r="J594" s="131"/>
      <c r="K594" s="59"/>
      <c r="L594" s="131"/>
      <c r="M594" s="131"/>
    </row>
    <row r="595" spans="1:14" s="132" customFormat="1" ht="15.75" x14ac:dyDescent="0.25">
      <c r="A595" s="124">
        <v>1</v>
      </c>
      <c r="B595" s="189" t="s">
        <v>390</v>
      </c>
      <c r="C595" s="190"/>
      <c r="D595" s="190"/>
      <c r="E595" s="190"/>
      <c r="F595" s="191"/>
      <c r="G595" s="145"/>
      <c r="H595" s="145"/>
      <c r="I595" s="157">
        <v>1</v>
      </c>
      <c r="J595" s="58" t="s">
        <v>398</v>
      </c>
      <c r="K595" s="59">
        <v>63.79</v>
      </c>
      <c r="L595" s="204"/>
      <c r="M595" s="204"/>
      <c r="N595" s="39"/>
    </row>
    <row r="596" spans="1:14" x14ac:dyDescent="0.25">
      <c r="A596" s="124">
        <f>A595+1</f>
        <v>2</v>
      </c>
      <c r="B596" s="189" t="s">
        <v>348</v>
      </c>
      <c r="C596" s="190"/>
      <c r="D596" s="190"/>
      <c r="E596" s="190"/>
      <c r="F596" s="191"/>
      <c r="I596" s="158">
        <v>2</v>
      </c>
      <c r="J596" s="59" t="s">
        <v>396</v>
      </c>
      <c r="K596" s="59">
        <v>63.08</v>
      </c>
      <c r="L596" s="59" t="s">
        <v>400</v>
      </c>
      <c r="M596" s="59">
        <v>67.39</v>
      </c>
    </row>
    <row r="597" spans="1:14" x14ac:dyDescent="0.25">
      <c r="A597" s="124">
        <f t="shared" ref="A597:A599" si="228">A596+1</f>
        <v>3</v>
      </c>
      <c r="B597" s="124" t="s">
        <v>392</v>
      </c>
      <c r="C597" s="124">
        <f>(42.53)*10.764</f>
        <v>457.79291999999998</v>
      </c>
      <c r="D597" s="125">
        <f t="shared" ref="D597:D599" si="229">C597*1.2</f>
        <v>549.35150399999998</v>
      </c>
      <c r="E597" s="124">
        <v>0</v>
      </c>
      <c r="F597" s="124">
        <f t="shared" ref="F597:F599" si="230">C597*(($F$239)+1)+(IF(E597&lt;101,E597,IF(E597&lt;201,E597/2,IF(E597&lt;=301,E597/3,E597/4))))</f>
        <v>686.68938000000003</v>
      </c>
      <c r="I597" s="158">
        <v>3</v>
      </c>
      <c r="J597" s="59" t="s">
        <v>399</v>
      </c>
      <c r="K597" s="59">
        <v>42.53</v>
      </c>
      <c r="L597" s="59"/>
      <c r="M597" s="59"/>
    </row>
    <row r="598" spans="1:14" ht="15.75" x14ac:dyDescent="0.25">
      <c r="A598" s="124">
        <f t="shared" si="228"/>
        <v>4</v>
      </c>
      <c r="B598" s="124" t="s">
        <v>392</v>
      </c>
      <c r="C598" s="124">
        <f>(42.93)*10.764</f>
        <v>462.09851999999995</v>
      </c>
      <c r="D598" s="125">
        <f t="shared" si="229"/>
        <v>554.51822399999992</v>
      </c>
      <c r="E598" s="124">
        <v>0</v>
      </c>
      <c r="F598" s="124">
        <f t="shared" si="230"/>
        <v>693.1477799999999</v>
      </c>
      <c r="I598" s="158">
        <v>4</v>
      </c>
      <c r="J598" s="59" t="s">
        <v>399</v>
      </c>
      <c r="K598" s="57">
        <v>42.93</v>
      </c>
      <c r="L598" s="59"/>
      <c r="M598" s="59"/>
    </row>
    <row r="599" spans="1:14" ht="15.75" x14ac:dyDescent="0.25">
      <c r="A599" s="124">
        <f t="shared" si="228"/>
        <v>5</v>
      </c>
      <c r="B599" s="124" t="s">
        <v>350</v>
      </c>
      <c r="C599" s="124">
        <f>(77.59)*10.764</f>
        <v>835.17876000000001</v>
      </c>
      <c r="D599" s="125">
        <f t="shared" si="229"/>
        <v>1002.214512</v>
      </c>
      <c r="E599" s="124">
        <v>0</v>
      </c>
      <c r="F599" s="124">
        <f t="shared" si="230"/>
        <v>1252.7681400000001</v>
      </c>
      <c r="I599" s="159">
        <v>5</v>
      </c>
      <c r="J599" s="151" t="s">
        <v>399</v>
      </c>
      <c r="K599" s="57">
        <v>77.59</v>
      </c>
      <c r="L599" s="59"/>
      <c r="M599" s="59"/>
    </row>
    <row r="600" spans="1:14" s="132" customFormat="1" ht="15.75" customHeight="1" x14ac:dyDescent="0.25">
      <c r="A600" s="200" t="s">
        <v>351</v>
      </c>
      <c r="B600" s="200"/>
      <c r="C600" s="200"/>
      <c r="D600" s="200"/>
      <c r="E600" s="200"/>
      <c r="F600" s="200"/>
      <c r="G600" s="42">
        <v>3</v>
      </c>
      <c r="H600" s="42"/>
      <c r="I600" s="131"/>
      <c r="J600" s="131"/>
      <c r="K600" s="59"/>
      <c r="L600" s="131"/>
      <c r="M600" s="131"/>
    </row>
    <row r="601" spans="1:14" s="132" customFormat="1" ht="15.75" customHeight="1" x14ac:dyDescent="0.25">
      <c r="A601" s="124">
        <v>1</v>
      </c>
      <c r="B601" s="189" t="s">
        <v>390</v>
      </c>
      <c r="C601" s="190"/>
      <c r="D601" s="190"/>
      <c r="E601" s="190"/>
      <c r="F601" s="191"/>
      <c r="I601" s="150"/>
      <c r="J601" s="145"/>
      <c r="K601" s="145"/>
      <c r="L601" s="204"/>
      <c r="M601" s="204"/>
      <c r="N601" s="39"/>
    </row>
    <row r="602" spans="1:14" x14ac:dyDescent="0.25">
      <c r="A602" s="124">
        <f>A601+1</f>
        <v>2</v>
      </c>
      <c r="B602" s="189" t="s">
        <v>404</v>
      </c>
      <c r="C602" s="190"/>
      <c r="D602" s="190"/>
      <c r="E602" s="190"/>
      <c r="F602" s="191"/>
      <c r="I602" s="146"/>
      <c r="K602" s="59"/>
      <c r="L602" s="59"/>
      <c r="M602" s="59"/>
    </row>
    <row r="603" spans="1:14" x14ac:dyDescent="0.25">
      <c r="A603" s="124">
        <f t="shared" ref="A603:A605" si="231">A602+1</f>
        <v>3</v>
      </c>
      <c r="B603" s="124" t="s">
        <v>392</v>
      </c>
      <c r="C603" s="124">
        <f>(42.53)*10.764</f>
        <v>457.79291999999998</v>
      </c>
      <c r="D603" s="125">
        <f t="shared" ref="D603:D605" si="232">C603*1.2</f>
        <v>549.35150399999998</v>
      </c>
      <c r="E603" s="124">
        <v>0</v>
      </c>
      <c r="F603" s="124">
        <f t="shared" ref="F603:F605" si="233">C603*(($F$239)+1)+(IF(E603&lt;101,E603,IF(E603&lt;201,E603/2,IF(E603&lt;=301,E603/3,E603/4))))</f>
        <v>686.68938000000003</v>
      </c>
      <c r="I603" s="146"/>
      <c r="K603" s="59"/>
      <c r="L603" s="59"/>
      <c r="M603" s="59"/>
    </row>
    <row r="604" spans="1:14" x14ac:dyDescent="0.25">
      <c r="A604" s="124">
        <f t="shared" si="231"/>
        <v>4</v>
      </c>
      <c r="B604" s="124" t="s">
        <v>392</v>
      </c>
      <c r="C604" s="124">
        <f>(42.93)*10.764</f>
        <v>462.09851999999995</v>
      </c>
      <c r="D604" s="125">
        <f t="shared" si="232"/>
        <v>554.51822399999992</v>
      </c>
      <c r="E604" s="124">
        <v>0</v>
      </c>
      <c r="F604" s="124">
        <f t="shared" si="233"/>
        <v>693.1477799999999</v>
      </c>
      <c r="I604" s="146"/>
      <c r="K604" s="147"/>
      <c r="L604" s="59"/>
      <c r="M604" s="59"/>
    </row>
    <row r="605" spans="1:14" x14ac:dyDescent="0.25">
      <c r="A605" s="124">
        <f t="shared" si="231"/>
        <v>5</v>
      </c>
      <c r="B605" s="124" t="s">
        <v>350</v>
      </c>
      <c r="C605" s="124">
        <f>(77.59)*10.764</f>
        <v>835.17876000000001</v>
      </c>
      <c r="D605" s="125">
        <f t="shared" si="232"/>
        <v>1002.214512</v>
      </c>
      <c r="E605" s="124">
        <v>0</v>
      </c>
      <c r="F605" s="124">
        <f t="shared" si="233"/>
        <v>1252.7681400000001</v>
      </c>
      <c r="I605" s="146"/>
      <c r="K605" s="147"/>
      <c r="L605" s="59"/>
      <c r="M605" s="59"/>
    </row>
    <row r="606" spans="1:14" s="132" customFormat="1" ht="15.75" customHeight="1" x14ac:dyDescent="0.25">
      <c r="A606" s="200" t="s">
        <v>358</v>
      </c>
      <c r="B606" s="200"/>
      <c r="C606" s="200"/>
      <c r="D606" s="200"/>
      <c r="E606" s="200"/>
      <c r="F606" s="200"/>
      <c r="G606" s="42">
        <v>4</v>
      </c>
      <c r="H606" s="42"/>
      <c r="I606" s="131"/>
      <c r="J606" s="131"/>
      <c r="K606" s="59"/>
      <c r="L606" s="131"/>
      <c r="M606" s="131"/>
    </row>
    <row r="607" spans="1:14" s="132" customFormat="1" ht="15.75" customHeight="1" x14ac:dyDescent="0.25">
      <c r="A607" s="124">
        <v>1</v>
      </c>
      <c r="B607" s="189" t="s">
        <v>390</v>
      </c>
      <c r="C607" s="190"/>
      <c r="D607" s="190"/>
      <c r="E607" s="190"/>
      <c r="F607" s="191"/>
      <c r="G607" s="149"/>
      <c r="H607" s="145"/>
      <c r="I607" s="145"/>
      <c r="J607" s="145"/>
      <c r="K607" s="59"/>
      <c r="L607" s="204"/>
      <c r="M607" s="204"/>
      <c r="N607" s="39"/>
    </row>
    <row r="608" spans="1:14" x14ac:dyDescent="0.25">
      <c r="A608" s="124">
        <f>A607+1</f>
        <v>2</v>
      </c>
      <c r="B608" s="124" t="s">
        <v>349</v>
      </c>
      <c r="C608" s="124">
        <f>(63.08)*10.764</f>
        <v>678.99311999999998</v>
      </c>
      <c r="D608" s="125">
        <f t="shared" ref="D608:D611" si="234">C608*1.2</f>
        <v>814.79174399999999</v>
      </c>
      <c r="E608" s="124">
        <v>0</v>
      </c>
      <c r="F608" s="124">
        <f t="shared" ref="F608:F611" si="235">C608*(($F$239)+1)+(IF(E608&lt;101,E608,IF(E608&lt;201,E608/2,IF(E608&lt;=301,E608/3,E608/4))))</f>
        <v>1018.4896799999999</v>
      </c>
      <c r="G608" s="146"/>
      <c r="I608" s="59"/>
      <c r="J608" s="59"/>
      <c r="K608" s="59"/>
      <c r="L608" s="59"/>
      <c r="M608" s="59"/>
    </row>
    <row r="609" spans="1:14" x14ac:dyDescent="0.25">
      <c r="A609" s="124">
        <f t="shared" ref="A609:A611" si="236">A608+1</f>
        <v>3</v>
      </c>
      <c r="B609" s="124" t="s">
        <v>392</v>
      </c>
      <c r="C609" s="124">
        <f>(42.53)*10.764</f>
        <v>457.79291999999998</v>
      </c>
      <c r="D609" s="125">
        <f t="shared" si="234"/>
        <v>549.35150399999998</v>
      </c>
      <c r="E609" s="124">
        <v>0</v>
      </c>
      <c r="F609" s="124">
        <f t="shared" si="235"/>
        <v>686.68938000000003</v>
      </c>
      <c r="G609" s="146"/>
      <c r="I609" s="59"/>
      <c r="J609" s="59"/>
      <c r="K609" s="59"/>
      <c r="L609" s="59"/>
      <c r="M609" s="59"/>
    </row>
    <row r="610" spans="1:14" ht="15.75" x14ac:dyDescent="0.25">
      <c r="A610" s="124">
        <f t="shared" si="236"/>
        <v>4</v>
      </c>
      <c r="B610" s="124" t="s">
        <v>392</v>
      </c>
      <c r="C610" s="124">
        <f>(42.93)*10.764</f>
        <v>462.09851999999995</v>
      </c>
      <c r="D610" s="125">
        <f t="shared" si="234"/>
        <v>554.51822399999992</v>
      </c>
      <c r="E610" s="124">
        <v>0</v>
      </c>
      <c r="F610" s="124">
        <f t="shared" si="235"/>
        <v>693.1477799999999</v>
      </c>
      <c r="G610" s="146"/>
      <c r="I610" s="147"/>
      <c r="J610" s="59"/>
      <c r="K610" s="57"/>
      <c r="L610" s="59"/>
      <c r="M610" s="59"/>
    </row>
    <row r="611" spans="1:14" ht="15.75" x14ac:dyDescent="0.25">
      <c r="A611" s="124">
        <f t="shared" si="236"/>
        <v>5</v>
      </c>
      <c r="B611" s="124" t="s">
        <v>350</v>
      </c>
      <c r="C611" s="124">
        <f>(77.59)*10.764</f>
        <v>835.17876000000001</v>
      </c>
      <c r="D611" s="125">
        <f t="shared" si="234"/>
        <v>1002.214512</v>
      </c>
      <c r="E611" s="124">
        <v>0</v>
      </c>
      <c r="F611" s="124">
        <f t="shared" si="235"/>
        <v>1252.7681400000001</v>
      </c>
      <c r="G611" s="146"/>
      <c r="I611" s="147"/>
      <c r="J611" s="59"/>
      <c r="K611" s="57"/>
      <c r="L611" s="59"/>
      <c r="M611" s="59"/>
    </row>
    <row r="612" spans="1:14" s="132" customFormat="1" ht="15.75" customHeight="1" x14ac:dyDescent="0.25">
      <c r="A612" s="200" t="s">
        <v>359</v>
      </c>
      <c r="B612" s="200"/>
      <c r="C612" s="200"/>
      <c r="D612" s="200"/>
      <c r="E612" s="200"/>
      <c r="F612" s="200"/>
      <c r="G612" s="42">
        <v>3</v>
      </c>
      <c r="H612" s="42"/>
      <c r="I612" s="131"/>
      <c r="J612" s="131"/>
      <c r="K612" s="59"/>
      <c r="L612" s="131"/>
      <c r="M612" s="131"/>
    </row>
    <row r="613" spans="1:14" s="132" customFormat="1" ht="15.75" customHeight="1" x14ac:dyDescent="0.25">
      <c r="A613" s="124">
        <v>1</v>
      </c>
      <c r="B613" s="124" t="s">
        <v>349</v>
      </c>
      <c r="C613" s="124">
        <f>(63.79)*10.764</f>
        <v>686.63555999999994</v>
      </c>
      <c r="D613" s="125">
        <f>C613*1.2</f>
        <v>823.96267199999988</v>
      </c>
      <c r="E613" s="124">
        <v>0</v>
      </c>
      <c r="F613" s="124">
        <f>C613*(($F$239)+1)+(IF(E613&lt;101,E613,IF(E613&lt;201,E613/2,IF(E613&lt;=301,E613/3,E613/4))))</f>
        <v>1029.95334</v>
      </c>
      <c r="G613" s="149"/>
      <c r="H613" s="145"/>
      <c r="I613" s="145"/>
      <c r="J613" s="145"/>
      <c r="K613" s="59"/>
      <c r="L613" s="204"/>
      <c r="M613" s="204"/>
      <c r="N613" s="39"/>
    </row>
    <row r="614" spans="1:14" x14ac:dyDescent="0.25">
      <c r="A614" s="124">
        <f>A613+1</f>
        <v>2</v>
      </c>
      <c r="B614" s="124" t="s">
        <v>349</v>
      </c>
      <c r="C614" s="124">
        <f>(63.08)*10.764</f>
        <v>678.99311999999998</v>
      </c>
      <c r="D614" s="125">
        <f t="shared" ref="D614:D617" si="237">C614*1.2</f>
        <v>814.79174399999999</v>
      </c>
      <c r="E614" s="124">
        <v>0</v>
      </c>
      <c r="F614" s="124">
        <f t="shared" ref="F614:F617" si="238">C614*(($F$239)+1)+(IF(E614&lt;101,E614,IF(E614&lt;201,E614/2,IF(E614&lt;=301,E614/3,E614/4))))</f>
        <v>1018.4896799999999</v>
      </c>
      <c r="G614" s="146"/>
      <c r="I614" s="59"/>
      <c r="J614" s="59"/>
      <c r="K614" s="59"/>
      <c r="L614" s="59"/>
      <c r="M614" s="59"/>
    </row>
    <row r="615" spans="1:14" x14ac:dyDescent="0.25">
      <c r="A615" s="124">
        <f t="shared" ref="A615:A617" si="239">A614+1</f>
        <v>3</v>
      </c>
      <c r="B615" s="124" t="s">
        <v>392</v>
      </c>
      <c r="C615" s="124">
        <f>(42.53)*10.764</f>
        <v>457.79291999999998</v>
      </c>
      <c r="D615" s="125">
        <f t="shared" si="237"/>
        <v>549.35150399999998</v>
      </c>
      <c r="E615" s="124">
        <v>0</v>
      </c>
      <c r="F615" s="124">
        <f t="shared" si="238"/>
        <v>686.68938000000003</v>
      </c>
      <c r="G615" s="146"/>
      <c r="I615" s="59"/>
      <c r="J615" s="59"/>
      <c r="K615" s="59"/>
      <c r="L615" s="59"/>
      <c r="M615" s="59"/>
    </row>
    <row r="616" spans="1:14" ht="15.75" x14ac:dyDescent="0.25">
      <c r="A616" s="124">
        <f t="shared" si="239"/>
        <v>4</v>
      </c>
      <c r="B616" s="124" t="s">
        <v>392</v>
      </c>
      <c r="C616" s="124">
        <f>(42.93)*10.764</f>
        <v>462.09851999999995</v>
      </c>
      <c r="D616" s="125">
        <f t="shared" si="237"/>
        <v>554.51822399999992</v>
      </c>
      <c r="E616" s="124">
        <v>0</v>
      </c>
      <c r="F616" s="124">
        <f t="shared" si="238"/>
        <v>693.1477799999999</v>
      </c>
      <c r="G616" s="146"/>
      <c r="I616" s="147"/>
      <c r="J616" s="59"/>
      <c r="K616" s="57"/>
      <c r="L616" s="59"/>
      <c r="M616" s="59"/>
    </row>
    <row r="617" spans="1:14" ht="15.75" x14ac:dyDescent="0.25">
      <c r="A617" s="124">
        <f t="shared" si="239"/>
        <v>5</v>
      </c>
      <c r="B617" s="124" t="s">
        <v>350</v>
      </c>
      <c r="C617" s="124">
        <f>(77.59)*10.764</f>
        <v>835.17876000000001</v>
      </c>
      <c r="D617" s="125">
        <f t="shared" si="237"/>
        <v>1002.214512</v>
      </c>
      <c r="E617" s="124">
        <v>0</v>
      </c>
      <c r="F617" s="124">
        <f t="shared" si="238"/>
        <v>1252.7681400000001</v>
      </c>
      <c r="G617" s="146"/>
      <c r="I617" s="147"/>
      <c r="J617" s="59"/>
      <c r="K617" s="57"/>
      <c r="L617" s="59"/>
      <c r="M617" s="59"/>
    </row>
    <row r="618" spans="1:14" s="132" customFormat="1" ht="15.75" customHeight="1" x14ac:dyDescent="0.25">
      <c r="A618" s="200" t="s">
        <v>361</v>
      </c>
      <c r="B618" s="200"/>
      <c r="C618" s="200"/>
      <c r="D618" s="200"/>
      <c r="E618" s="200"/>
      <c r="F618" s="200"/>
      <c r="G618" s="42">
        <v>1</v>
      </c>
      <c r="H618" s="42"/>
      <c r="I618" s="131"/>
      <c r="J618" s="131"/>
      <c r="K618" s="59"/>
      <c r="L618" s="131"/>
      <c r="M618" s="131"/>
    </row>
    <row r="619" spans="1:14" s="132" customFormat="1" ht="15.75" customHeight="1" x14ac:dyDescent="0.25">
      <c r="A619" s="124">
        <v>1</v>
      </c>
      <c r="B619" s="124" t="s">
        <v>349</v>
      </c>
      <c r="C619" s="124">
        <f>(63.79)*10.764</f>
        <v>686.63555999999994</v>
      </c>
      <c r="D619" s="125">
        <f t="shared" ref="D619:D623" si="240">C619*1.2</f>
        <v>823.96267199999988</v>
      </c>
      <c r="E619" s="124">
        <v>0</v>
      </c>
      <c r="F619" s="124">
        <f t="shared" ref="F619:F623" si="241">C619*(($F$239)+1)+(IF(E619&lt;101,E619,IF(E619&lt;201,E619/2,IF(E619&lt;=301,E619/3,E619/4))))</f>
        <v>1029.95334</v>
      </c>
      <c r="G619" s="149"/>
      <c r="H619" s="145"/>
      <c r="I619" s="145"/>
      <c r="J619" s="145"/>
      <c r="K619" s="59"/>
      <c r="L619" s="204"/>
      <c r="M619" s="204"/>
      <c r="N619" s="39"/>
    </row>
    <row r="620" spans="1:14" x14ac:dyDescent="0.25">
      <c r="A620" s="124">
        <f>A619+1</f>
        <v>2</v>
      </c>
      <c r="B620" s="189" t="s">
        <v>348</v>
      </c>
      <c r="C620" s="190"/>
      <c r="D620" s="190"/>
      <c r="E620" s="190"/>
      <c r="F620" s="191"/>
      <c r="G620" s="146"/>
      <c r="I620" s="59"/>
      <c r="J620" s="59"/>
      <c r="K620" s="59"/>
      <c r="L620" s="59"/>
      <c r="M620" s="59"/>
    </row>
    <row r="621" spans="1:14" x14ac:dyDescent="0.25">
      <c r="A621" s="124">
        <f t="shared" ref="A621:A623" si="242">A620+1</f>
        <v>3</v>
      </c>
      <c r="B621" s="124" t="s">
        <v>392</v>
      </c>
      <c r="C621" s="124">
        <f>(42.53)*10.764</f>
        <v>457.79291999999998</v>
      </c>
      <c r="D621" s="125">
        <f t="shared" si="240"/>
        <v>549.35150399999998</v>
      </c>
      <c r="E621" s="124">
        <v>0</v>
      </c>
      <c r="F621" s="124">
        <f t="shared" si="241"/>
        <v>686.68938000000003</v>
      </c>
      <c r="G621" s="146"/>
      <c r="I621" s="59"/>
      <c r="J621" s="59"/>
      <c r="K621" s="59"/>
      <c r="L621" s="59"/>
      <c r="M621" s="59"/>
    </row>
    <row r="622" spans="1:14" ht="15.75" x14ac:dyDescent="0.25">
      <c r="A622" s="124">
        <f t="shared" si="242"/>
        <v>4</v>
      </c>
      <c r="B622" s="124" t="s">
        <v>392</v>
      </c>
      <c r="C622" s="124">
        <f>(42.93)*10.764</f>
        <v>462.09851999999995</v>
      </c>
      <c r="D622" s="125">
        <f t="shared" si="240"/>
        <v>554.51822399999992</v>
      </c>
      <c r="E622" s="124">
        <v>0</v>
      </c>
      <c r="F622" s="124">
        <f t="shared" si="241"/>
        <v>693.1477799999999</v>
      </c>
      <c r="G622" s="146"/>
      <c r="I622" s="147"/>
      <c r="J622" s="59"/>
      <c r="K622" s="57"/>
      <c r="L622" s="59"/>
      <c r="M622" s="59"/>
    </row>
    <row r="623" spans="1:14" ht="15.75" x14ac:dyDescent="0.25">
      <c r="A623" s="124">
        <f t="shared" si="242"/>
        <v>5</v>
      </c>
      <c r="B623" s="124" t="s">
        <v>350</v>
      </c>
      <c r="C623" s="124">
        <f>(77.59)*10.764</f>
        <v>835.17876000000001</v>
      </c>
      <c r="D623" s="125">
        <f t="shared" si="240"/>
        <v>1002.214512</v>
      </c>
      <c r="E623" s="124">
        <v>0</v>
      </c>
      <c r="F623" s="124">
        <f t="shared" si="241"/>
        <v>1252.7681400000001</v>
      </c>
      <c r="G623" s="146"/>
      <c r="I623" s="147"/>
      <c r="J623" s="59"/>
      <c r="K623" s="57"/>
      <c r="L623" s="59"/>
      <c r="M623" s="59"/>
    </row>
    <row r="624" spans="1:14" s="132" customFormat="1" ht="15.75" customHeight="1" x14ac:dyDescent="0.25">
      <c r="A624" s="200" t="s">
        <v>360</v>
      </c>
      <c r="B624" s="200"/>
      <c r="C624" s="200"/>
      <c r="D624" s="200"/>
      <c r="E624" s="200"/>
      <c r="F624" s="200"/>
      <c r="G624" s="42">
        <v>1</v>
      </c>
      <c r="H624" s="42"/>
      <c r="I624" s="131"/>
      <c r="J624" s="131"/>
      <c r="K624" s="59"/>
      <c r="L624" s="131"/>
      <c r="M624" s="131"/>
    </row>
    <row r="625" spans="1:14" s="132" customFormat="1" ht="15.75" customHeight="1" x14ac:dyDescent="0.25">
      <c r="A625" s="124">
        <v>1</v>
      </c>
      <c r="B625" s="124" t="s">
        <v>349</v>
      </c>
      <c r="C625" s="124">
        <f>(63.79)*10.764</f>
        <v>686.63555999999994</v>
      </c>
      <c r="D625" s="125">
        <f>C625*1.2</f>
        <v>823.96267199999988</v>
      </c>
      <c r="E625" s="124">
        <v>0</v>
      </c>
      <c r="F625" s="124">
        <f>C625*(($F$239)+1)+(IF(E625&lt;101,E625,IF(E625&lt;201,E625/2,IF(E625&lt;=301,E625/3,E625/4))))</f>
        <v>1029.95334</v>
      </c>
      <c r="G625" s="149"/>
      <c r="H625" s="145"/>
      <c r="I625" s="145"/>
      <c r="J625" s="145"/>
      <c r="K625" s="59"/>
      <c r="L625" s="204"/>
      <c r="M625" s="204"/>
      <c r="N625" s="39"/>
    </row>
    <row r="626" spans="1:14" x14ac:dyDescent="0.25">
      <c r="A626" s="124">
        <f>A625+1</f>
        <v>2</v>
      </c>
      <c r="B626" s="124" t="s">
        <v>349</v>
      </c>
      <c r="C626" s="124">
        <f>(63.08)*10.764</f>
        <v>678.99311999999998</v>
      </c>
      <c r="D626" s="125">
        <f t="shared" ref="D626:D629" si="243">C626*1.2</f>
        <v>814.79174399999999</v>
      </c>
      <c r="E626" s="124">
        <v>0</v>
      </c>
      <c r="F626" s="124">
        <f t="shared" ref="F626:F629" si="244">C626*(($F$239)+1)+(IF(E626&lt;101,E626,IF(E626&lt;201,E626/2,IF(E626&lt;=301,E626/3,E626/4))))</f>
        <v>1018.4896799999999</v>
      </c>
      <c r="G626" s="146"/>
      <c r="I626" s="59"/>
      <c r="J626" s="59"/>
      <c r="K626" s="59"/>
      <c r="L626" s="59"/>
      <c r="M626" s="59"/>
    </row>
    <row r="627" spans="1:14" x14ac:dyDescent="0.25">
      <c r="A627" s="124">
        <f t="shared" ref="A627:A629" si="245">A626+1</f>
        <v>3</v>
      </c>
      <c r="B627" s="124" t="s">
        <v>392</v>
      </c>
      <c r="C627" s="124">
        <f>(42.53)*10.764</f>
        <v>457.79291999999998</v>
      </c>
      <c r="D627" s="125">
        <f t="shared" si="243"/>
        <v>549.35150399999998</v>
      </c>
      <c r="E627" s="124">
        <v>0</v>
      </c>
      <c r="F627" s="124">
        <f t="shared" si="244"/>
        <v>686.68938000000003</v>
      </c>
      <c r="G627" s="146"/>
      <c r="I627" s="59"/>
      <c r="J627" s="59"/>
      <c r="K627" s="59"/>
      <c r="L627" s="59"/>
      <c r="M627" s="59"/>
    </row>
    <row r="628" spans="1:14" ht="15.75" x14ac:dyDescent="0.25">
      <c r="A628" s="124">
        <f t="shared" si="245"/>
        <v>4</v>
      </c>
      <c r="B628" s="124" t="s">
        <v>392</v>
      </c>
      <c r="C628" s="124">
        <f>(42.93)*10.764</f>
        <v>462.09851999999995</v>
      </c>
      <c r="D628" s="125">
        <f t="shared" si="243"/>
        <v>554.51822399999992</v>
      </c>
      <c r="E628" s="124">
        <v>0</v>
      </c>
      <c r="F628" s="124">
        <f t="shared" si="244"/>
        <v>693.1477799999999</v>
      </c>
      <c r="G628" s="146"/>
      <c r="I628" s="147"/>
      <c r="J628" s="59"/>
      <c r="K628" s="57"/>
      <c r="L628" s="59"/>
      <c r="M628" s="59"/>
    </row>
    <row r="629" spans="1:14" ht="15.75" x14ac:dyDescent="0.25">
      <c r="A629" s="124">
        <f t="shared" si="245"/>
        <v>5</v>
      </c>
      <c r="B629" s="124" t="s">
        <v>350</v>
      </c>
      <c r="C629" s="124">
        <f>(77.59)*10.764</f>
        <v>835.17876000000001</v>
      </c>
      <c r="D629" s="125">
        <f t="shared" si="243"/>
        <v>1002.214512</v>
      </c>
      <c r="E629" s="124">
        <v>0</v>
      </c>
      <c r="F629" s="124">
        <f t="shared" si="244"/>
        <v>1252.7681400000001</v>
      </c>
      <c r="G629" s="146"/>
      <c r="I629" s="147"/>
      <c r="J629" s="59"/>
      <c r="K629" s="57"/>
      <c r="L629" s="59"/>
      <c r="M629" s="59"/>
    </row>
    <row r="630" spans="1:14" s="132" customFormat="1" ht="15.75" customHeight="1" x14ac:dyDescent="0.25">
      <c r="A630" s="200" t="s">
        <v>372</v>
      </c>
      <c r="B630" s="200"/>
      <c r="C630" s="200"/>
      <c r="D630" s="200"/>
      <c r="E630" s="200"/>
      <c r="F630" s="200"/>
      <c r="G630" s="42">
        <f>3+3</f>
        <v>6</v>
      </c>
      <c r="H630" s="42"/>
      <c r="I630" s="131"/>
      <c r="J630" s="131"/>
      <c r="K630" s="59"/>
      <c r="L630" s="131"/>
      <c r="M630" s="131"/>
    </row>
    <row r="631" spans="1:14" s="132" customFormat="1" ht="15.75" customHeight="1" x14ac:dyDescent="0.25">
      <c r="A631" s="124">
        <v>1</v>
      </c>
      <c r="B631" s="124" t="s">
        <v>349</v>
      </c>
      <c r="C631" s="124">
        <f>(63.79)*10.764</f>
        <v>686.63555999999994</v>
      </c>
      <c r="D631" s="125">
        <f>C631*1.2</f>
        <v>823.96267199999988</v>
      </c>
      <c r="E631" s="124">
        <v>0</v>
      </c>
      <c r="F631" s="124">
        <f>C631*(($F$239)+1)+(IF(E631&lt;101,E631,IF(E631&lt;201,E631/2,IF(E631&lt;=301,E631/3,E631/4))))</f>
        <v>1029.95334</v>
      </c>
      <c r="G631" s="149"/>
      <c r="H631" s="145"/>
      <c r="I631" s="145"/>
      <c r="J631" s="145"/>
      <c r="K631" s="59"/>
      <c r="L631" s="204"/>
      <c r="M631" s="204"/>
      <c r="N631" s="39"/>
    </row>
    <row r="632" spans="1:14" x14ac:dyDescent="0.25">
      <c r="A632" s="124">
        <f>A631+1</f>
        <v>2</v>
      </c>
      <c r="B632" s="124" t="s">
        <v>349</v>
      </c>
      <c r="C632" s="124">
        <f>(63.08)*10.764</f>
        <v>678.99311999999998</v>
      </c>
      <c r="D632" s="125">
        <f t="shared" ref="D632:D635" si="246">C632*1.2</f>
        <v>814.79174399999999</v>
      </c>
      <c r="E632" s="124">
        <v>0</v>
      </c>
      <c r="F632" s="124">
        <f t="shared" ref="F632:F635" si="247">C632*(($F$239)+1)+(IF(E632&lt;101,E632,IF(E632&lt;201,E632/2,IF(E632&lt;=301,E632/3,E632/4))))</f>
        <v>1018.4896799999999</v>
      </c>
      <c r="G632" s="146"/>
      <c r="I632" s="59"/>
      <c r="J632" s="59"/>
      <c r="K632" s="59"/>
      <c r="L632" s="59"/>
      <c r="M632" s="59"/>
    </row>
    <row r="633" spans="1:14" x14ac:dyDescent="0.25">
      <c r="A633" s="124">
        <f t="shared" ref="A633:A635" si="248">A632+1</f>
        <v>3</v>
      </c>
      <c r="B633" s="124" t="s">
        <v>392</v>
      </c>
      <c r="C633" s="124">
        <f>(42.53)*10.764</f>
        <v>457.79291999999998</v>
      </c>
      <c r="D633" s="125">
        <f t="shared" si="246"/>
        <v>549.35150399999998</v>
      </c>
      <c r="E633" s="124">
        <v>0</v>
      </c>
      <c r="F633" s="124">
        <f t="shared" si="247"/>
        <v>686.68938000000003</v>
      </c>
      <c r="G633" s="146"/>
      <c r="I633" s="59"/>
      <c r="J633" s="59"/>
      <c r="K633" s="59"/>
      <c r="L633" s="59"/>
      <c r="M633" s="59"/>
    </row>
    <row r="634" spans="1:14" ht="15.75" x14ac:dyDescent="0.25">
      <c r="A634" s="124">
        <f t="shared" si="248"/>
        <v>4</v>
      </c>
      <c r="B634" s="124" t="s">
        <v>392</v>
      </c>
      <c r="C634" s="124">
        <f>(42.93)*10.764</f>
        <v>462.09851999999995</v>
      </c>
      <c r="D634" s="125">
        <f t="shared" si="246"/>
        <v>554.51822399999992</v>
      </c>
      <c r="E634" s="124">
        <v>0</v>
      </c>
      <c r="F634" s="124">
        <f t="shared" si="247"/>
        <v>693.1477799999999</v>
      </c>
      <c r="G634" s="146"/>
      <c r="I634" s="147"/>
      <c r="J634" s="59"/>
      <c r="K634" s="57"/>
      <c r="L634" s="59"/>
      <c r="M634" s="59"/>
    </row>
    <row r="635" spans="1:14" ht="15.75" x14ac:dyDescent="0.25">
      <c r="A635" s="124">
        <f t="shared" si="248"/>
        <v>5</v>
      </c>
      <c r="B635" s="124" t="s">
        <v>350</v>
      </c>
      <c r="C635" s="124">
        <f>(77.59)*10.764</f>
        <v>835.17876000000001</v>
      </c>
      <c r="D635" s="125">
        <f t="shared" si="246"/>
        <v>1002.214512</v>
      </c>
      <c r="E635" s="124">
        <v>0</v>
      </c>
      <c r="F635" s="124">
        <f t="shared" si="247"/>
        <v>1252.7681400000001</v>
      </c>
      <c r="G635" s="146"/>
      <c r="I635" s="147"/>
      <c r="J635" s="59"/>
      <c r="K635" s="57"/>
      <c r="L635" s="59"/>
      <c r="M635" s="59"/>
    </row>
    <row r="636" spans="1:14" s="132" customFormat="1" ht="15.75" customHeight="1" x14ac:dyDescent="0.25">
      <c r="A636" s="200" t="s">
        <v>364</v>
      </c>
      <c r="B636" s="200"/>
      <c r="C636" s="200"/>
      <c r="D636" s="200"/>
      <c r="E636" s="200"/>
      <c r="F636" s="200"/>
      <c r="G636" s="42">
        <v>1</v>
      </c>
      <c r="H636" s="42"/>
      <c r="I636" s="131"/>
      <c r="J636" s="131"/>
      <c r="K636" s="59"/>
      <c r="L636" s="131"/>
      <c r="M636" s="131"/>
    </row>
    <row r="637" spans="1:14" s="132" customFormat="1" ht="15.75" customHeight="1" x14ac:dyDescent="0.25">
      <c r="A637" s="124">
        <v>1</v>
      </c>
      <c r="B637" s="124" t="s">
        <v>349</v>
      </c>
      <c r="C637" s="124">
        <f>(63.79)*10.764</f>
        <v>686.63555999999994</v>
      </c>
      <c r="D637" s="125">
        <f>C637*1.2</f>
        <v>823.96267199999988</v>
      </c>
      <c r="E637" s="124">
        <v>0</v>
      </c>
      <c r="F637" s="124">
        <f>C637*(($F$239)+1)+(IF(E637&lt;101,E637,IF(E637&lt;201,E637/2,IF(E637&lt;=301,E637/3,E637/4))))</f>
        <v>1029.95334</v>
      </c>
      <c r="G637" s="149"/>
      <c r="H637" s="145"/>
      <c r="I637" s="145"/>
      <c r="J637" s="145"/>
      <c r="K637" s="59"/>
      <c r="L637" s="204"/>
      <c r="M637" s="204"/>
      <c r="N637" s="39"/>
    </row>
    <row r="638" spans="1:14" x14ac:dyDescent="0.25">
      <c r="A638" s="124">
        <f>A637+1</f>
        <v>2</v>
      </c>
      <c r="B638" s="124" t="s">
        <v>349</v>
      </c>
      <c r="C638" s="124">
        <f>(63.08)*10.764</f>
        <v>678.99311999999998</v>
      </c>
      <c r="D638" s="125">
        <f t="shared" ref="D638:D641" si="249">C638*1.2</f>
        <v>814.79174399999999</v>
      </c>
      <c r="E638" s="124">
        <v>0</v>
      </c>
      <c r="F638" s="124">
        <f t="shared" ref="F638:F641" si="250">C638*(($F$239)+1)+(IF(E638&lt;101,E638,IF(E638&lt;201,E638/2,IF(E638&lt;=301,E638/3,E638/4))))</f>
        <v>1018.4896799999999</v>
      </c>
      <c r="G638" s="146"/>
      <c r="I638" s="59"/>
      <c r="J638" s="59"/>
      <c r="K638" s="59"/>
      <c r="L638" s="59"/>
      <c r="M638" s="59"/>
    </row>
    <row r="639" spans="1:14" x14ac:dyDescent="0.25">
      <c r="A639" s="124">
        <f t="shared" ref="A639:A641" si="251">A638+1</f>
        <v>3</v>
      </c>
      <c r="B639" s="124" t="s">
        <v>392</v>
      </c>
      <c r="C639" s="124">
        <f>(42.53)*10.764</f>
        <v>457.79291999999998</v>
      </c>
      <c r="D639" s="125">
        <f t="shared" si="249"/>
        <v>549.35150399999998</v>
      </c>
      <c r="E639" s="124">
        <v>0</v>
      </c>
      <c r="F639" s="124">
        <f t="shared" si="250"/>
        <v>686.68938000000003</v>
      </c>
      <c r="G639" s="146"/>
      <c r="I639" s="59"/>
      <c r="J639" s="59"/>
      <c r="K639" s="59"/>
      <c r="L639" s="59"/>
      <c r="M639" s="59"/>
    </row>
    <row r="640" spans="1:14" ht="15.75" x14ac:dyDescent="0.25">
      <c r="A640" s="124">
        <f t="shared" si="251"/>
        <v>4</v>
      </c>
      <c r="B640" s="124" t="s">
        <v>392</v>
      </c>
      <c r="C640" s="124">
        <f>(42.93)*10.764</f>
        <v>462.09851999999995</v>
      </c>
      <c r="D640" s="125">
        <f t="shared" si="249"/>
        <v>554.51822399999992</v>
      </c>
      <c r="E640" s="124">
        <v>0</v>
      </c>
      <c r="F640" s="124">
        <f t="shared" si="250"/>
        <v>693.1477799999999</v>
      </c>
      <c r="G640" s="146"/>
      <c r="I640" s="147"/>
      <c r="J640" s="59"/>
      <c r="K640" s="57"/>
      <c r="L640" s="59"/>
      <c r="M640" s="59"/>
    </row>
    <row r="641" spans="1:14" ht="15.75" x14ac:dyDescent="0.25">
      <c r="A641" s="124">
        <f t="shared" si="251"/>
        <v>5</v>
      </c>
      <c r="B641" s="124" t="s">
        <v>350</v>
      </c>
      <c r="C641" s="124">
        <f>(77.59)*10.764</f>
        <v>835.17876000000001</v>
      </c>
      <c r="D641" s="125">
        <f t="shared" si="249"/>
        <v>1002.214512</v>
      </c>
      <c r="E641" s="124">
        <v>0</v>
      </c>
      <c r="F641" s="124">
        <f t="shared" si="250"/>
        <v>1252.7681400000001</v>
      </c>
      <c r="G641" s="146"/>
      <c r="I641" s="147"/>
      <c r="J641" s="59"/>
      <c r="K641" s="57"/>
      <c r="L641" s="59"/>
      <c r="M641" s="59"/>
    </row>
    <row r="642" spans="1:14" s="132" customFormat="1" ht="15.75" customHeight="1" x14ac:dyDescent="0.25">
      <c r="A642" s="200" t="s">
        <v>408</v>
      </c>
      <c r="B642" s="200"/>
      <c r="C642" s="200"/>
      <c r="D642" s="200"/>
      <c r="E642" s="200"/>
      <c r="F642" s="200"/>
      <c r="G642" s="42">
        <v>1</v>
      </c>
      <c r="H642" s="42"/>
      <c r="I642" s="131"/>
      <c r="J642" s="131"/>
      <c r="K642" s="59"/>
      <c r="L642" s="131"/>
      <c r="M642" s="131"/>
    </row>
    <row r="643" spans="1:14" s="132" customFormat="1" ht="15.75" customHeight="1" x14ac:dyDescent="0.25">
      <c r="A643" s="124">
        <v>1</v>
      </c>
      <c r="B643" s="189" t="s">
        <v>391</v>
      </c>
      <c r="C643" s="190"/>
      <c r="D643" s="190"/>
      <c r="E643" s="190"/>
      <c r="F643" s="191"/>
      <c r="G643" s="149"/>
      <c r="H643" s="145"/>
      <c r="I643" s="145"/>
      <c r="J643" s="145"/>
      <c r="K643" s="59"/>
      <c r="L643" s="204"/>
      <c r="M643" s="204"/>
      <c r="N643" s="39"/>
    </row>
    <row r="644" spans="1:14" x14ac:dyDescent="0.25">
      <c r="A644" s="124">
        <f>A643+1</f>
        <v>2</v>
      </c>
      <c r="B644" s="189" t="s">
        <v>348</v>
      </c>
      <c r="C644" s="190"/>
      <c r="D644" s="190"/>
      <c r="E644" s="190"/>
      <c r="F644" s="191"/>
      <c r="G644" s="146"/>
      <c r="I644" s="59"/>
      <c r="J644" s="59"/>
      <c r="K644" s="59"/>
      <c r="L644" s="59"/>
      <c r="M644" s="59"/>
    </row>
    <row r="645" spans="1:14" x14ac:dyDescent="0.25">
      <c r="A645" s="124">
        <f t="shared" ref="A645:A647" si="252">A644+1</f>
        <v>3</v>
      </c>
      <c r="B645" s="124" t="s">
        <v>392</v>
      </c>
      <c r="C645" s="124">
        <f>(42.53)*10.764</f>
        <v>457.79291999999998</v>
      </c>
      <c r="D645" s="125">
        <f t="shared" ref="D645:D647" si="253">C645*1.2</f>
        <v>549.35150399999998</v>
      </c>
      <c r="E645" s="124">
        <v>0</v>
      </c>
      <c r="F645" s="124">
        <f t="shared" ref="F645:F647" si="254">C645*(($F$239)+1)+(IF(E645&lt;101,E645,IF(E645&lt;201,E645/2,IF(E645&lt;=301,E645/3,E645/4))))</f>
        <v>686.68938000000003</v>
      </c>
      <c r="G645" s="146"/>
      <c r="I645" s="59"/>
      <c r="J645" s="59"/>
      <c r="K645" s="59"/>
      <c r="L645" s="59"/>
      <c r="M645" s="59"/>
    </row>
    <row r="646" spans="1:14" ht="15.75" x14ac:dyDescent="0.25">
      <c r="A646" s="124">
        <f t="shared" si="252"/>
        <v>4</v>
      </c>
      <c r="B646" s="124" t="s">
        <v>392</v>
      </c>
      <c r="C646" s="124">
        <f>(42.93)*10.764</f>
        <v>462.09851999999995</v>
      </c>
      <c r="D646" s="125">
        <f t="shared" si="253"/>
        <v>554.51822399999992</v>
      </c>
      <c r="E646" s="124">
        <v>0</v>
      </c>
      <c r="F646" s="124">
        <f t="shared" si="254"/>
        <v>693.1477799999999</v>
      </c>
      <c r="G646" s="146"/>
      <c r="I646" s="147"/>
      <c r="J646" s="59"/>
      <c r="K646" s="57"/>
      <c r="L646" s="59"/>
      <c r="M646" s="59"/>
    </row>
    <row r="647" spans="1:14" ht="15.75" x14ac:dyDescent="0.25">
      <c r="A647" s="124">
        <f t="shared" si="252"/>
        <v>5</v>
      </c>
      <c r="B647" s="124" t="s">
        <v>350</v>
      </c>
      <c r="C647" s="124">
        <f>(77.59)*10.764</f>
        <v>835.17876000000001</v>
      </c>
      <c r="D647" s="125">
        <f t="shared" si="253"/>
        <v>1002.214512</v>
      </c>
      <c r="E647" s="124">
        <v>0</v>
      </c>
      <c r="F647" s="124">
        <f t="shared" si="254"/>
        <v>1252.7681400000001</v>
      </c>
      <c r="G647" s="146"/>
      <c r="I647" s="147"/>
      <c r="J647" s="59"/>
      <c r="K647" s="57"/>
      <c r="L647" s="59"/>
      <c r="M647" s="59"/>
    </row>
    <row r="648" spans="1:14" s="132" customFormat="1" ht="15.75" customHeight="1" x14ac:dyDescent="0.25">
      <c r="A648" s="200" t="s">
        <v>363</v>
      </c>
      <c r="B648" s="200"/>
      <c r="C648" s="200"/>
      <c r="D648" s="200"/>
      <c r="E648" s="200"/>
      <c r="F648" s="200"/>
      <c r="G648" s="42"/>
      <c r="H648" s="42"/>
      <c r="I648" s="131"/>
      <c r="J648" s="131"/>
      <c r="K648" s="59"/>
      <c r="L648" s="131"/>
      <c r="M648" s="131"/>
    </row>
    <row r="649" spans="1:14" s="132" customFormat="1" ht="15.75" customHeight="1" x14ac:dyDescent="0.25">
      <c r="A649" s="200" t="s">
        <v>365</v>
      </c>
      <c r="B649" s="200"/>
      <c r="C649" s="200"/>
      <c r="D649" s="200"/>
      <c r="E649" s="200"/>
      <c r="F649" s="200"/>
      <c r="G649" s="42">
        <v>1</v>
      </c>
      <c r="H649" s="42"/>
      <c r="I649" s="131"/>
      <c r="J649" s="131"/>
      <c r="K649" s="59"/>
      <c r="L649" s="131"/>
      <c r="M649" s="131"/>
    </row>
    <row r="650" spans="1:14" s="132" customFormat="1" ht="15.75" customHeight="1" x14ac:dyDescent="0.25">
      <c r="A650" s="124">
        <v>1</v>
      </c>
      <c r="B650" s="124" t="s">
        <v>349</v>
      </c>
      <c r="C650" s="124">
        <f>(63.79)*10.764</f>
        <v>686.63555999999994</v>
      </c>
      <c r="D650" s="125">
        <f t="shared" ref="D650:D654" si="255">C650*1.2</f>
        <v>823.96267199999988</v>
      </c>
      <c r="E650" s="124">
        <v>0</v>
      </c>
      <c r="F650" s="124">
        <f t="shared" ref="F650:F654" si="256">C650*(($F$239)+1)+(IF(E650&lt;101,E650,IF(E650&lt;201,E650/2,IF(E650&lt;=301,E650/3,E650/4))))</f>
        <v>1029.95334</v>
      </c>
      <c r="G650" s="149"/>
      <c r="H650" s="145"/>
      <c r="I650" s="145"/>
      <c r="J650" s="145"/>
      <c r="K650" s="59"/>
      <c r="L650" s="204"/>
      <c r="M650" s="204"/>
      <c r="N650" s="39"/>
    </row>
    <row r="651" spans="1:14" x14ac:dyDescent="0.25">
      <c r="A651" s="124">
        <f>A650+1</f>
        <v>2</v>
      </c>
      <c r="B651" s="189" t="s">
        <v>348</v>
      </c>
      <c r="C651" s="190"/>
      <c r="D651" s="190"/>
      <c r="E651" s="190"/>
      <c r="F651" s="191"/>
      <c r="G651" s="146"/>
      <c r="I651" s="59"/>
      <c r="J651" s="59"/>
      <c r="K651" s="59"/>
      <c r="L651" s="59"/>
      <c r="M651" s="59"/>
    </row>
    <row r="652" spans="1:14" x14ac:dyDescent="0.25">
      <c r="A652" s="124">
        <f t="shared" ref="A652:A654" si="257">A651+1</f>
        <v>3</v>
      </c>
      <c r="B652" s="124" t="s">
        <v>392</v>
      </c>
      <c r="C652" s="124">
        <f>(42.53)*10.764</f>
        <v>457.79291999999998</v>
      </c>
      <c r="D652" s="125">
        <f t="shared" si="255"/>
        <v>549.35150399999998</v>
      </c>
      <c r="E652" s="124">
        <v>0</v>
      </c>
      <c r="F652" s="124">
        <f t="shared" si="256"/>
        <v>686.68938000000003</v>
      </c>
      <c r="G652" s="146"/>
      <c r="I652" s="59"/>
      <c r="J652" s="59"/>
      <c r="K652" s="59"/>
      <c r="L652" s="59"/>
      <c r="M652" s="59"/>
    </row>
    <row r="653" spans="1:14" ht="15.75" x14ac:dyDescent="0.25">
      <c r="A653" s="124">
        <f t="shared" si="257"/>
        <v>4</v>
      </c>
      <c r="B653" s="124" t="s">
        <v>392</v>
      </c>
      <c r="C653" s="124">
        <f>(42.93)*10.764</f>
        <v>462.09851999999995</v>
      </c>
      <c r="D653" s="125">
        <f t="shared" si="255"/>
        <v>554.51822399999992</v>
      </c>
      <c r="E653" s="124">
        <v>0</v>
      </c>
      <c r="F653" s="124">
        <f t="shared" si="256"/>
        <v>693.1477799999999</v>
      </c>
      <c r="G653" s="146"/>
      <c r="I653" s="147"/>
      <c r="J653" s="59"/>
      <c r="K653" s="57"/>
      <c r="L653" s="59"/>
      <c r="M653" s="59"/>
    </row>
    <row r="654" spans="1:14" ht="15.75" x14ac:dyDescent="0.25">
      <c r="A654" s="124">
        <f t="shared" si="257"/>
        <v>5</v>
      </c>
      <c r="B654" s="124" t="s">
        <v>350</v>
      </c>
      <c r="C654" s="124">
        <f>(77.59)*10.764</f>
        <v>835.17876000000001</v>
      </c>
      <c r="D654" s="125">
        <f t="shared" si="255"/>
        <v>1002.214512</v>
      </c>
      <c r="E654" s="124">
        <v>0</v>
      </c>
      <c r="F654" s="124">
        <f t="shared" si="256"/>
        <v>1252.7681400000001</v>
      </c>
      <c r="G654" s="146"/>
      <c r="I654" s="147"/>
      <c r="J654" s="59"/>
      <c r="K654" s="57"/>
      <c r="L654" s="59"/>
      <c r="M654" s="59"/>
    </row>
    <row r="655" spans="1:14" s="132" customFormat="1" ht="15.75" customHeight="1" x14ac:dyDescent="0.25">
      <c r="A655" s="200" t="s">
        <v>366</v>
      </c>
      <c r="B655" s="200"/>
      <c r="C655" s="200"/>
      <c r="D655" s="200"/>
      <c r="E655" s="200"/>
      <c r="F655" s="200"/>
      <c r="G655" s="42">
        <v>5</v>
      </c>
      <c r="H655" s="42"/>
      <c r="I655" s="131"/>
      <c r="J655" s="131"/>
      <c r="K655" s="59"/>
      <c r="L655" s="131"/>
      <c r="M655" s="131"/>
    </row>
    <row r="656" spans="1:14" s="132" customFormat="1" ht="15.75" customHeight="1" x14ac:dyDescent="0.25">
      <c r="A656" s="124">
        <v>1</v>
      </c>
      <c r="B656" s="124" t="s">
        <v>349</v>
      </c>
      <c r="C656" s="124">
        <f>(63.79)*10.764</f>
        <v>686.63555999999994</v>
      </c>
      <c r="D656" s="125">
        <f>C656*1.2</f>
        <v>823.96267199999988</v>
      </c>
      <c r="E656" s="124">
        <v>0</v>
      </c>
      <c r="F656" s="124">
        <f>C656*(($F$239)+1)+(IF(E656&lt;101,E656,IF(E656&lt;201,E656/2,IF(E656&lt;=301,E656/3,E656/4))))</f>
        <v>1029.95334</v>
      </c>
      <c r="G656" s="149"/>
      <c r="H656" s="145"/>
      <c r="I656" s="145"/>
      <c r="J656" s="145"/>
      <c r="K656" s="59"/>
      <c r="L656" s="204"/>
      <c r="M656" s="204"/>
      <c r="N656" s="39"/>
    </row>
    <row r="657" spans="1:14" x14ac:dyDescent="0.25">
      <c r="A657" s="124">
        <f>A656+1</f>
        <v>2</v>
      </c>
      <c r="B657" s="124" t="s">
        <v>349</v>
      </c>
      <c r="C657" s="124">
        <f>(63.08)*10.764</f>
        <v>678.99311999999998</v>
      </c>
      <c r="D657" s="125">
        <f t="shared" ref="D657:D660" si="258">C657*1.2</f>
        <v>814.79174399999999</v>
      </c>
      <c r="E657" s="124">
        <v>0</v>
      </c>
      <c r="F657" s="124">
        <f t="shared" ref="F657:F660" si="259">C657*(($F$239)+1)+(IF(E657&lt;101,E657,IF(E657&lt;201,E657/2,IF(E657&lt;=301,E657/3,E657/4))))</f>
        <v>1018.4896799999999</v>
      </c>
      <c r="G657" s="146"/>
      <c r="I657" s="59"/>
      <c r="J657" s="59"/>
      <c r="K657" s="59"/>
      <c r="L657" s="59"/>
      <c r="M657" s="59"/>
    </row>
    <row r="658" spans="1:14" x14ac:dyDescent="0.25">
      <c r="A658" s="124">
        <f t="shared" ref="A658:A660" si="260">A657+1</f>
        <v>3</v>
      </c>
      <c r="B658" s="124" t="s">
        <v>392</v>
      </c>
      <c r="C658" s="124">
        <f>(42.53)*10.764</f>
        <v>457.79291999999998</v>
      </c>
      <c r="D658" s="125">
        <f t="shared" si="258"/>
        <v>549.35150399999998</v>
      </c>
      <c r="E658" s="124">
        <v>0</v>
      </c>
      <c r="F658" s="124">
        <f t="shared" si="259"/>
        <v>686.68938000000003</v>
      </c>
      <c r="G658" s="146"/>
      <c r="I658" s="59"/>
      <c r="J658" s="59"/>
      <c r="K658" s="59"/>
      <c r="L658" s="59"/>
      <c r="M658" s="59"/>
    </row>
    <row r="659" spans="1:14" ht="15.75" x14ac:dyDescent="0.25">
      <c r="A659" s="124">
        <f t="shared" si="260"/>
        <v>4</v>
      </c>
      <c r="B659" s="124" t="s">
        <v>392</v>
      </c>
      <c r="C659" s="124">
        <f>(42.93)*10.764</f>
        <v>462.09851999999995</v>
      </c>
      <c r="D659" s="125">
        <f t="shared" si="258"/>
        <v>554.51822399999992</v>
      </c>
      <c r="E659" s="124">
        <v>0</v>
      </c>
      <c r="F659" s="124">
        <f t="shared" si="259"/>
        <v>693.1477799999999</v>
      </c>
      <c r="G659" s="146"/>
      <c r="I659" s="147"/>
      <c r="J659" s="59"/>
      <c r="K659" s="57"/>
      <c r="L659" s="59"/>
      <c r="M659" s="59"/>
    </row>
    <row r="660" spans="1:14" ht="15.75" x14ac:dyDescent="0.25">
      <c r="A660" s="124">
        <f t="shared" si="260"/>
        <v>5</v>
      </c>
      <c r="B660" s="124" t="s">
        <v>350</v>
      </c>
      <c r="C660" s="124">
        <f>(77.59)*10.764</f>
        <v>835.17876000000001</v>
      </c>
      <c r="D660" s="125">
        <f t="shared" si="258"/>
        <v>1002.214512</v>
      </c>
      <c r="E660" s="124">
        <v>0</v>
      </c>
      <c r="F660" s="124">
        <f t="shared" si="259"/>
        <v>1252.7681400000001</v>
      </c>
      <c r="G660" s="146"/>
      <c r="I660" s="147"/>
      <c r="J660" s="59"/>
      <c r="K660" s="57"/>
      <c r="L660" s="59"/>
      <c r="M660" s="59"/>
    </row>
    <row r="661" spans="1:14" s="132" customFormat="1" ht="15.75" customHeight="1" x14ac:dyDescent="0.25">
      <c r="A661" s="200" t="s">
        <v>420</v>
      </c>
      <c r="B661" s="200"/>
      <c r="C661" s="200"/>
      <c r="D661" s="200"/>
      <c r="E661" s="200"/>
      <c r="F661" s="200"/>
      <c r="G661" s="42">
        <f>1+3+2</f>
        <v>6</v>
      </c>
      <c r="H661" s="42"/>
      <c r="I661" s="131"/>
      <c r="J661" s="131"/>
      <c r="K661" s="59"/>
      <c r="L661" s="131"/>
      <c r="M661" s="131"/>
    </row>
    <row r="662" spans="1:14" s="132" customFormat="1" ht="15.75" customHeight="1" x14ac:dyDescent="0.25">
      <c r="A662" s="124">
        <v>1</v>
      </c>
      <c r="B662" s="124" t="s">
        <v>349</v>
      </c>
      <c r="C662" s="124">
        <f>(63.79)*10.764</f>
        <v>686.63555999999994</v>
      </c>
      <c r="D662" s="125">
        <f>C662*1.2</f>
        <v>823.96267199999988</v>
      </c>
      <c r="E662" s="124">
        <v>0</v>
      </c>
      <c r="F662" s="124">
        <f>C662*(($F$239)+1)+(IF(E662&lt;101,E662,IF(E662&lt;201,E662/2,IF(E662&lt;=301,E662/3,E662/4))))</f>
        <v>1029.95334</v>
      </c>
      <c r="G662" s="149"/>
      <c r="H662" s="145"/>
      <c r="I662" s="145"/>
      <c r="J662" s="145"/>
      <c r="K662" s="59"/>
      <c r="L662" s="204"/>
      <c r="M662" s="204"/>
      <c r="N662" s="39"/>
    </row>
    <row r="663" spans="1:14" x14ac:dyDescent="0.25">
      <c r="A663" s="124">
        <f>A662+1</f>
        <v>2</v>
      </c>
      <c r="B663" s="124" t="s">
        <v>349</v>
      </c>
      <c r="C663" s="124">
        <f>(67.39)*10.764</f>
        <v>725.38595999999995</v>
      </c>
      <c r="D663" s="125">
        <f t="shared" ref="D663:D666" si="261">C663*1.2</f>
        <v>870.46315199999992</v>
      </c>
      <c r="E663" s="124">
        <v>0</v>
      </c>
      <c r="F663" s="124">
        <f t="shared" ref="F663:F666" si="262">C663*(($F$239)+1)+(IF(E663&lt;101,E663,IF(E663&lt;201,E663/2,IF(E663&lt;=301,E663/3,E663/4))))</f>
        <v>1088.0789399999999</v>
      </c>
      <c r="G663" s="146"/>
      <c r="I663" s="59"/>
      <c r="J663" s="59"/>
      <c r="K663" s="59"/>
      <c r="L663" s="59"/>
      <c r="M663" s="59"/>
    </row>
    <row r="664" spans="1:14" x14ac:dyDescent="0.25">
      <c r="A664" s="124">
        <f t="shared" ref="A664:A666" si="263">A663+1</f>
        <v>3</v>
      </c>
      <c r="B664" s="124" t="s">
        <v>392</v>
      </c>
      <c r="C664" s="124">
        <f>(42.53)*10.764</f>
        <v>457.79291999999998</v>
      </c>
      <c r="D664" s="125">
        <f t="shared" si="261"/>
        <v>549.35150399999998</v>
      </c>
      <c r="E664" s="124">
        <v>0</v>
      </c>
      <c r="F664" s="124">
        <f t="shared" si="262"/>
        <v>686.68938000000003</v>
      </c>
      <c r="G664" s="146"/>
      <c r="I664" s="59">
        <f>11600000/F664</f>
        <v>16892.645114156272</v>
      </c>
      <c r="J664" s="59"/>
      <c r="K664" s="59"/>
      <c r="L664" s="59"/>
      <c r="M664" s="59"/>
    </row>
    <row r="665" spans="1:14" ht="15.75" x14ac:dyDescent="0.25">
      <c r="A665" s="124">
        <f t="shared" si="263"/>
        <v>4</v>
      </c>
      <c r="B665" s="124" t="s">
        <v>392</v>
      </c>
      <c r="C665" s="124">
        <f>(42.93)*10.764</f>
        <v>462.09851999999995</v>
      </c>
      <c r="D665" s="125">
        <f t="shared" si="261"/>
        <v>554.51822399999992</v>
      </c>
      <c r="E665" s="124">
        <v>0</v>
      </c>
      <c r="F665" s="124">
        <f t="shared" si="262"/>
        <v>693.1477799999999</v>
      </c>
      <c r="G665" s="146"/>
      <c r="I665" s="59">
        <f>11600000/F665</f>
        <v>16735.24800151564</v>
      </c>
      <c r="J665" s="59"/>
      <c r="K665" s="57"/>
      <c r="L665" s="59"/>
      <c r="M665" s="59"/>
    </row>
    <row r="666" spans="1:14" ht="15.75" x14ac:dyDescent="0.25">
      <c r="A666" s="124">
        <f t="shared" si="263"/>
        <v>5</v>
      </c>
      <c r="B666" s="124" t="s">
        <v>350</v>
      </c>
      <c r="C666" s="124">
        <f>(77.59)*10.764</f>
        <v>835.17876000000001</v>
      </c>
      <c r="D666" s="125">
        <f t="shared" si="261"/>
        <v>1002.214512</v>
      </c>
      <c r="E666" s="124">
        <v>0</v>
      </c>
      <c r="F666" s="124">
        <f t="shared" si="262"/>
        <v>1252.7681400000001</v>
      </c>
      <c r="G666" s="146"/>
      <c r="I666" s="147"/>
      <c r="J666" s="59"/>
      <c r="K666" s="57"/>
      <c r="L666" s="59"/>
      <c r="M666" s="59"/>
    </row>
    <row r="667" spans="1:14" s="132" customFormat="1" ht="15.75" customHeight="1" x14ac:dyDescent="0.25">
      <c r="A667" s="200" t="s">
        <v>367</v>
      </c>
      <c r="B667" s="200"/>
      <c r="C667" s="200"/>
      <c r="D667" s="200"/>
      <c r="E667" s="200"/>
      <c r="F667" s="200"/>
      <c r="G667" s="42">
        <v>2</v>
      </c>
      <c r="H667" s="42"/>
      <c r="I667" s="131"/>
      <c r="J667" s="131"/>
      <c r="K667" s="59"/>
      <c r="L667" s="131"/>
      <c r="M667" s="131"/>
    </row>
    <row r="668" spans="1:14" s="132" customFormat="1" ht="15.75" customHeight="1" x14ac:dyDescent="0.25">
      <c r="A668" s="124">
        <v>1</v>
      </c>
      <c r="B668" s="124" t="s">
        <v>349</v>
      </c>
      <c r="C668" s="124">
        <f>(63.79)*10.764</f>
        <v>686.63555999999994</v>
      </c>
      <c r="D668" s="125">
        <f t="shared" ref="D668:D672" si="264">C668*1.2</f>
        <v>823.96267199999988</v>
      </c>
      <c r="E668" s="124">
        <v>0</v>
      </c>
      <c r="F668" s="124">
        <f t="shared" ref="F668:F672" si="265">C668*(($F$239)+1)+(IF(E668&lt;101,E668,IF(E668&lt;201,E668/2,IF(E668&lt;=301,E668/3,E668/4))))</f>
        <v>1029.95334</v>
      </c>
      <c r="G668" s="149"/>
      <c r="H668" s="145"/>
      <c r="I668" s="145"/>
      <c r="J668" s="145"/>
      <c r="K668" s="59"/>
      <c r="L668" s="204"/>
      <c r="M668" s="204"/>
      <c r="N668" s="39"/>
    </row>
    <row r="669" spans="1:14" x14ac:dyDescent="0.25">
      <c r="A669" s="124">
        <f>A668+1</f>
        <v>2</v>
      </c>
      <c r="B669" s="189" t="s">
        <v>348</v>
      </c>
      <c r="C669" s="190"/>
      <c r="D669" s="190"/>
      <c r="E669" s="190"/>
      <c r="F669" s="191"/>
      <c r="G669" s="146"/>
      <c r="I669" s="59"/>
      <c r="J669" s="59"/>
      <c r="K669" s="59"/>
      <c r="L669" s="59"/>
      <c r="M669" s="59"/>
    </row>
    <row r="670" spans="1:14" x14ac:dyDescent="0.25">
      <c r="A670" s="124">
        <f t="shared" ref="A670:A672" si="266">A669+1</f>
        <v>3</v>
      </c>
      <c r="B670" s="124" t="s">
        <v>392</v>
      </c>
      <c r="C670" s="124">
        <f>(42.53)*10.764</f>
        <v>457.79291999999998</v>
      </c>
      <c r="D670" s="125">
        <f t="shared" si="264"/>
        <v>549.35150399999998</v>
      </c>
      <c r="E670" s="124">
        <v>0</v>
      </c>
      <c r="F670" s="124">
        <f t="shared" si="265"/>
        <v>686.68938000000003</v>
      </c>
      <c r="G670" s="146"/>
      <c r="I670" s="59"/>
      <c r="J670" s="59"/>
      <c r="K670" s="59"/>
      <c r="L670" s="59"/>
      <c r="M670" s="59"/>
    </row>
    <row r="671" spans="1:14" ht="15.75" x14ac:dyDescent="0.25">
      <c r="A671" s="124">
        <f t="shared" si="266"/>
        <v>4</v>
      </c>
      <c r="B671" s="124" t="s">
        <v>392</v>
      </c>
      <c r="C671" s="124">
        <f>(42.93)*10.764</f>
        <v>462.09851999999995</v>
      </c>
      <c r="D671" s="125">
        <f t="shared" si="264"/>
        <v>554.51822399999992</v>
      </c>
      <c r="E671" s="124">
        <v>0</v>
      </c>
      <c r="F671" s="124">
        <f t="shared" si="265"/>
        <v>693.1477799999999</v>
      </c>
      <c r="G671" s="146"/>
      <c r="I671" s="147"/>
      <c r="J671" s="59"/>
      <c r="K671" s="57"/>
      <c r="L671" s="59"/>
      <c r="M671" s="59"/>
    </row>
    <row r="672" spans="1:14" ht="15.75" x14ac:dyDescent="0.25">
      <c r="A672" s="124">
        <f t="shared" si="266"/>
        <v>5</v>
      </c>
      <c r="B672" s="124" t="s">
        <v>350</v>
      </c>
      <c r="C672" s="124">
        <f>(77.59)*10.764</f>
        <v>835.17876000000001</v>
      </c>
      <c r="D672" s="125">
        <f t="shared" si="264"/>
        <v>1002.214512</v>
      </c>
      <c r="E672" s="124">
        <v>0</v>
      </c>
      <c r="F672" s="124">
        <f t="shared" si="265"/>
        <v>1252.7681400000001</v>
      </c>
      <c r="G672" s="146"/>
      <c r="I672" s="147"/>
      <c r="J672" s="59"/>
      <c r="K672" s="57"/>
      <c r="L672" s="59"/>
      <c r="M672" s="59"/>
    </row>
    <row r="673" spans="1:14" s="132" customFormat="1" ht="15.75" customHeight="1" x14ac:dyDescent="0.25">
      <c r="A673" s="200" t="s">
        <v>368</v>
      </c>
      <c r="B673" s="200"/>
      <c r="C673" s="200"/>
      <c r="D673" s="200"/>
      <c r="E673" s="200"/>
      <c r="F673" s="200"/>
      <c r="G673" s="42">
        <v>3</v>
      </c>
      <c r="H673" s="42"/>
      <c r="I673" s="131"/>
      <c r="J673" s="131"/>
      <c r="K673" s="59"/>
      <c r="L673" s="131"/>
      <c r="M673" s="131"/>
    </row>
    <row r="674" spans="1:14" s="132" customFormat="1" ht="15.75" customHeight="1" x14ac:dyDescent="0.25">
      <c r="A674" s="124">
        <v>1</v>
      </c>
      <c r="B674" s="124" t="s">
        <v>349</v>
      </c>
      <c r="C674" s="124">
        <f>(63.79)*10.764</f>
        <v>686.63555999999994</v>
      </c>
      <c r="D674" s="125">
        <f>C674*1.2</f>
        <v>823.96267199999988</v>
      </c>
      <c r="E674" s="124">
        <v>0</v>
      </c>
      <c r="F674" s="124">
        <f>C674*(($F$239)+1)+(IF(E674&lt;101,E674,IF(E674&lt;201,E674/2,IF(E674&lt;=301,E674/3,E674/4))))</f>
        <v>1029.95334</v>
      </c>
      <c r="G674" s="149"/>
      <c r="H674" s="145"/>
      <c r="I674" s="145"/>
      <c r="J674" s="145"/>
      <c r="K674" s="59"/>
      <c r="L674" s="204"/>
      <c r="M674" s="204"/>
      <c r="N674" s="39"/>
    </row>
    <row r="675" spans="1:14" x14ac:dyDescent="0.25">
      <c r="A675" s="124">
        <f>A674+1</f>
        <v>2</v>
      </c>
      <c r="B675" s="189" t="s">
        <v>403</v>
      </c>
      <c r="C675" s="190"/>
      <c r="D675" s="190"/>
      <c r="E675" s="190"/>
      <c r="F675" s="191"/>
      <c r="G675" s="146"/>
      <c r="I675" s="59"/>
      <c r="J675" s="59"/>
      <c r="K675" s="59"/>
      <c r="L675" s="59"/>
      <c r="M675" s="59"/>
    </row>
    <row r="676" spans="1:14" x14ac:dyDescent="0.25">
      <c r="A676" s="124">
        <f t="shared" ref="A676:A678" si="267">A675+1</f>
        <v>3</v>
      </c>
      <c r="B676" s="124" t="s">
        <v>392</v>
      </c>
      <c r="C676" s="124">
        <f>(42.53)*10.764</f>
        <v>457.79291999999998</v>
      </c>
      <c r="D676" s="125">
        <f t="shared" ref="D676:D678" si="268">C676*1.2</f>
        <v>549.35150399999998</v>
      </c>
      <c r="E676" s="124">
        <v>0</v>
      </c>
      <c r="F676" s="124">
        <f t="shared" ref="F676:F678" si="269">C676*(($F$239)+1)+(IF(E676&lt;101,E676,IF(E676&lt;201,E676/2,IF(E676&lt;=301,E676/3,E676/4))))</f>
        <v>686.68938000000003</v>
      </c>
      <c r="G676" s="146"/>
      <c r="I676" s="59"/>
      <c r="J676" s="59"/>
      <c r="K676" s="59"/>
      <c r="L676" s="59"/>
      <c r="M676" s="59"/>
    </row>
    <row r="677" spans="1:14" ht="15.75" x14ac:dyDescent="0.25">
      <c r="A677" s="124">
        <f t="shared" si="267"/>
        <v>4</v>
      </c>
      <c r="B677" s="124" t="s">
        <v>392</v>
      </c>
      <c r="C677" s="124">
        <f>(42.93)*10.764</f>
        <v>462.09851999999995</v>
      </c>
      <c r="D677" s="125">
        <f t="shared" si="268"/>
        <v>554.51822399999992</v>
      </c>
      <c r="E677" s="124">
        <v>0</v>
      </c>
      <c r="F677" s="124">
        <f t="shared" si="269"/>
        <v>693.1477799999999</v>
      </c>
      <c r="G677" s="146"/>
      <c r="I677" s="147"/>
      <c r="J677" s="59"/>
      <c r="K677" s="57"/>
      <c r="L677" s="59"/>
      <c r="M677" s="59"/>
    </row>
    <row r="678" spans="1:14" ht="15.75" x14ac:dyDescent="0.25">
      <c r="A678" s="124">
        <f t="shared" si="267"/>
        <v>5</v>
      </c>
      <c r="B678" s="124" t="s">
        <v>350</v>
      </c>
      <c r="C678" s="124">
        <f>(77.59)*10.764</f>
        <v>835.17876000000001</v>
      </c>
      <c r="D678" s="125">
        <f t="shared" si="268"/>
        <v>1002.214512</v>
      </c>
      <c r="E678" s="124">
        <v>0</v>
      </c>
      <c r="F678" s="124">
        <f t="shared" si="269"/>
        <v>1252.7681400000001</v>
      </c>
      <c r="G678" s="146"/>
      <c r="I678" s="147"/>
      <c r="J678" s="59"/>
      <c r="K678" s="57"/>
      <c r="L678" s="59"/>
      <c r="M678" s="59"/>
    </row>
    <row r="679" spans="1:14" s="132" customFormat="1" ht="15.75" customHeight="1" x14ac:dyDescent="0.25">
      <c r="A679" s="200" t="s">
        <v>407</v>
      </c>
      <c r="B679" s="200"/>
      <c r="C679" s="200"/>
      <c r="D679" s="200"/>
      <c r="E679" s="200"/>
      <c r="F679" s="200"/>
      <c r="G679" s="42">
        <v>1</v>
      </c>
      <c r="H679" s="42"/>
      <c r="I679" s="131"/>
      <c r="J679" s="131"/>
      <c r="K679" s="59"/>
      <c r="L679" s="131"/>
      <c r="M679" s="131"/>
    </row>
    <row r="680" spans="1:14" s="132" customFormat="1" ht="15.75" customHeight="1" x14ac:dyDescent="0.25">
      <c r="A680" s="124">
        <v>1</v>
      </c>
      <c r="B680" s="189" t="s">
        <v>391</v>
      </c>
      <c r="C680" s="190"/>
      <c r="D680" s="190"/>
      <c r="E680" s="190"/>
      <c r="F680" s="191"/>
      <c r="G680" s="149"/>
      <c r="H680" s="145"/>
      <c r="I680" s="145"/>
      <c r="J680" s="145"/>
      <c r="K680" s="59"/>
      <c r="L680" s="204"/>
      <c r="M680" s="204"/>
      <c r="N680" s="39"/>
    </row>
    <row r="681" spans="1:14" x14ac:dyDescent="0.25">
      <c r="A681" s="124">
        <f>A680+1</f>
        <v>2</v>
      </c>
      <c r="B681" s="124" t="s">
        <v>349</v>
      </c>
      <c r="C681" s="124">
        <f>(67.39)*10.764</f>
        <v>725.38595999999995</v>
      </c>
      <c r="D681" s="125">
        <f t="shared" ref="D681:D684" si="270">C681*1.2</f>
        <v>870.46315199999992</v>
      </c>
      <c r="E681" s="124">
        <v>0</v>
      </c>
      <c r="F681" s="124">
        <f t="shared" ref="F681:F684" si="271">C681*(($F$239)+1)+(IF(E681&lt;101,E681,IF(E681&lt;201,E681/2,IF(E681&lt;=301,E681/3,E681/4))))</f>
        <v>1088.0789399999999</v>
      </c>
      <c r="G681" s="146"/>
      <c r="I681" s="59">
        <f>75*38*F681</f>
        <v>3101024.9789999998</v>
      </c>
      <c r="J681" s="59">
        <f>F681*15700</f>
        <v>17082839.357999999</v>
      </c>
      <c r="K681" s="59"/>
      <c r="L681" s="59"/>
      <c r="M681" s="59"/>
    </row>
    <row r="682" spans="1:14" x14ac:dyDescent="0.25">
      <c r="A682" s="124">
        <f t="shared" ref="A682:A684" si="272">A681+1</f>
        <v>3</v>
      </c>
      <c r="B682" s="124" t="s">
        <v>392</v>
      </c>
      <c r="C682" s="124">
        <f>(42.53)*10.764</f>
        <v>457.79291999999998</v>
      </c>
      <c r="D682" s="125">
        <f t="shared" si="270"/>
        <v>549.35150399999998</v>
      </c>
      <c r="E682" s="124">
        <v>0</v>
      </c>
      <c r="F682" s="124">
        <f t="shared" si="271"/>
        <v>686.68938000000003</v>
      </c>
      <c r="G682" s="146"/>
      <c r="I682" s="59">
        <f>I681+J681</f>
        <v>20183864.336999997</v>
      </c>
      <c r="J682" s="59"/>
      <c r="K682" s="59"/>
      <c r="L682" s="59"/>
      <c r="M682" s="59"/>
    </row>
    <row r="683" spans="1:14" ht="15.75" x14ac:dyDescent="0.25">
      <c r="A683" s="124">
        <f t="shared" si="272"/>
        <v>4</v>
      </c>
      <c r="B683" s="124" t="s">
        <v>392</v>
      </c>
      <c r="C683" s="124">
        <f>(42.93)*10.764</f>
        <v>462.09851999999995</v>
      </c>
      <c r="D683" s="125">
        <f t="shared" si="270"/>
        <v>554.51822399999992</v>
      </c>
      <c r="E683" s="124">
        <v>0</v>
      </c>
      <c r="F683" s="124">
        <f t="shared" si="271"/>
        <v>693.1477799999999</v>
      </c>
      <c r="G683" s="146"/>
      <c r="I683" s="147"/>
      <c r="J683" s="59"/>
      <c r="K683" s="57"/>
      <c r="L683" s="59"/>
      <c r="M683" s="59"/>
    </row>
    <row r="684" spans="1:14" ht="15.75" x14ac:dyDescent="0.25">
      <c r="A684" s="124">
        <f t="shared" si="272"/>
        <v>5</v>
      </c>
      <c r="B684" s="124" t="s">
        <v>350</v>
      </c>
      <c r="C684" s="124">
        <f>(77.59)*10.764</f>
        <v>835.17876000000001</v>
      </c>
      <c r="D684" s="125">
        <f t="shared" si="270"/>
        <v>1002.214512</v>
      </c>
      <c r="E684" s="124">
        <v>0</v>
      </c>
      <c r="F684" s="124">
        <f t="shared" si="271"/>
        <v>1252.7681400000001</v>
      </c>
      <c r="G684" s="146"/>
      <c r="I684" s="147"/>
      <c r="J684" s="59"/>
      <c r="K684" s="57"/>
      <c r="L684" s="59"/>
      <c r="M684" s="59"/>
    </row>
    <row r="685" spans="1:14" s="132" customFormat="1" ht="15.75" customHeight="1" x14ac:dyDescent="0.25">
      <c r="A685" s="200" t="s">
        <v>406</v>
      </c>
      <c r="B685" s="200"/>
      <c r="C685" s="200"/>
      <c r="D685" s="200"/>
      <c r="E685" s="200"/>
      <c r="F685" s="200"/>
      <c r="G685" s="42">
        <v>1</v>
      </c>
      <c r="H685" s="42"/>
      <c r="I685" s="131"/>
      <c r="J685" s="131"/>
      <c r="K685" s="59"/>
      <c r="L685" s="131"/>
      <c r="M685" s="131"/>
    </row>
    <row r="686" spans="1:14" s="132" customFormat="1" ht="15.75" customHeight="1" x14ac:dyDescent="0.25">
      <c r="A686" s="124">
        <v>1</v>
      </c>
      <c r="B686" s="189" t="s">
        <v>405</v>
      </c>
      <c r="C686" s="190"/>
      <c r="D686" s="190"/>
      <c r="E686" s="190"/>
      <c r="F686" s="191"/>
      <c r="G686" s="149"/>
      <c r="H686" s="145"/>
      <c r="I686" s="145"/>
      <c r="J686" s="145"/>
      <c r="K686" s="59"/>
      <c r="L686" s="204"/>
      <c r="M686" s="204"/>
      <c r="N686" s="39"/>
    </row>
    <row r="687" spans="1:14" x14ac:dyDescent="0.25">
      <c r="A687" s="124">
        <f>A686+1</f>
        <v>2</v>
      </c>
      <c r="B687" s="124" t="s">
        <v>349</v>
      </c>
      <c r="C687" s="124">
        <f>(67.39)*10.764</f>
        <v>725.38595999999995</v>
      </c>
      <c r="D687" s="125">
        <f t="shared" ref="D687:D690" si="273">C687*1.2</f>
        <v>870.46315199999992</v>
      </c>
      <c r="E687" s="124">
        <v>0</v>
      </c>
      <c r="F687" s="124">
        <f t="shared" ref="F687:F690" si="274">C687*(($F$239)+1)+(IF(E687&lt;101,E687,IF(E687&lt;201,E687/2,IF(E687&lt;=301,E687/3,E687/4))))</f>
        <v>1088.0789399999999</v>
      </c>
      <c r="G687" s="146"/>
      <c r="I687" s="59"/>
      <c r="J687" s="59"/>
      <c r="K687" s="59"/>
      <c r="L687" s="59"/>
      <c r="M687" s="59"/>
    </row>
    <row r="688" spans="1:14" x14ac:dyDescent="0.25">
      <c r="A688" s="124">
        <f t="shared" ref="A688:A690" si="275">A687+1</f>
        <v>3</v>
      </c>
      <c r="B688" s="124" t="s">
        <v>392</v>
      </c>
      <c r="C688" s="124">
        <f>(42.53)*10.764</f>
        <v>457.79291999999998</v>
      </c>
      <c r="D688" s="125">
        <f t="shared" si="273"/>
        <v>549.35150399999998</v>
      </c>
      <c r="E688" s="124">
        <v>0</v>
      </c>
      <c r="F688" s="124">
        <f t="shared" si="274"/>
        <v>686.68938000000003</v>
      </c>
      <c r="G688" s="146"/>
      <c r="I688" s="59"/>
      <c r="J688" s="59"/>
      <c r="K688" s="59"/>
      <c r="L688" s="59"/>
      <c r="M688" s="59"/>
    </row>
    <row r="689" spans="1:13" ht="15.75" x14ac:dyDescent="0.25">
      <c r="A689" s="124">
        <f t="shared" si="275"/>
        <v>4</v>
      </c>
      <c r="B689" s="124" t="s">
        <v>392</v>
      </c>
      <c r="C689" s="124">
        <f>(42.93)*10.764</f>
        <v>462.09851999999995</v>
      </c>
      <c r="D689" s="125">
        <f t="shared" si="273"/>
        <v>554.51822399999992</v>
      </c>
      <c r="E689" s="124">
        <v>0</v>
      </c>
      <c r="F689" s="124">
        <f t="shared" si="274"/>
        <v>693.1477799999999</v>
      </c>
      <c r="G689" s="146"/>
      <c r="I689" s="147"/>
      <c r="J689" s="59"/>
      <c r="K689" s="57"/>
      <c r="L689" s="59"/>
      <c r="M689" s="59"/>
    </row>
    <row r="690" spans="1:13" ht="16.5" thickBot="1" x14ac:dyDescent="0.3">
      <c r="A690" s="124">
        <f t="shared" si="275"/>
        <v>5</v>
      </c>
      <c r="B690" s="124" t="s">
        <v>350</v>
      </c>
      <c r="C690" s="124">
        <f>(77.59)*10.764</f>
        <v>835.17876000000001</v>
      </c>
      <c r="D690" s="125">
        <f t="shared" si="273"/>
        <v>1002.214512</v>
      </c>
      <c r="E690" s="124">
        <v>0</v>
      </c>
      <c r="F690" s="124">
        <f t="shared" si="274"/>
        <v>1252.7681400000001</v>
      </c>
      <c r="G690" s="146"/>
      <c r="I690" s="147"/>
      <c r="J690" s="59"/>
      <c r="K690" s="57"/>
      <c r="L690" s="59"/>
      <c r="M690" s="59"/>
    </row>
    <row r="691" spans="1:13" x14ac:dyDescent="0.25">
      <c r="A691" s="283" t="s">
        <v>61</v>
      </c>
      <c r="B691" s="284"/>
      <c r="C691" s="284"/>
      <c r="D691" s="284"/>
      <c r="E691" s="284"/>
      <c r="F691" s="285"/>
      <c r="I691" s="59"/>
      <c r="J691" s="59"/>
      <c r="K691" s="54"/>
    </row>
    <row r="692" spans="1:13" s="1" customFormat="1" ht="32.25" customHeight="1" x14ac:dyDescent="0.2">
      <c r="A692" s="112" t="s">
        <v>211</v>
      </c>
      <c r="B692" s="211" t="s">
        <v>270</v>
      </c>
      <c r="C692" s="211"/>
      <c r="D692" s="47" t="s">
        <v>212</v>
      </c>
      <c r="E692" s="211" t="s">
        <v>271</v>
      </c>
      <c r="F692" s="286"/>
      <c r="G692" s="51"/>
      <c r="H692" s="290"/>
      <c r="I692" s="290"/>
      <c r="J692" s="51"/>
      <c r="L692" s="53"/>
    </row>
    <row r="693" spans="1:13" s="1" customFormat="1" ht="12.75" x14ac:dyDescent="0.2">
      <c r="A693" s="112">
        <v>1</v>
      </c>
      <c r="B693" s="209" t="s">
        <v>342</v>
      </c>
      <c r="C693" s="209"/>
      <c r="D693" s="88">
        <v>16800</v>
      </c>
      <c r="E693" s="209" t="s">
        <v>272</v>
      </c>
      <c r="F693" s="212"/>
    </row>
    <row r="694" spans="1:13" s="1" customFormat="1" ht="12.75" hidden="1" x14ac:dyDescent="0.2">
      <c r="A694" s="112">
        <v>2</v>
      </c>
      <c r="B694" s="209"/>
      <c r="C694" s="209"/>
      <c r="D694" s="88"/>
      <c r="E694" s="209" t="s">
        <v>272</v>
      </c>
      <c r="F694" s="212"/>
      <c r="K694" s="52"/>
    </row>
    <row r="695" spans="1:13" s="1" customFormat="1" ht="12.75" hidden="1" x14ac:dyDescent="0.2">
      <c r="A695" s="112">
        <v>3</v>
      </c>
      <c r="B695" s="209"/>
      <c r="C695" s="209"/>
      <c r="D695" s="88"/>
      <c r="E695" s="209" t="s">
        <v>272</v>
      </c>
      <c r="F695" s="212"/>
    </row>
    <row r="696" spans="1:13" s="1" customFormat="1" ht="12.75" hidden="1" x14ac:dyDescent="0.2">
      <c r="A696" s="112">
        <v>4</v>
      </c>
      <c r="B696" s="209"/>
      <c r="C696" s="209"/>
      <c r="D696" s="88"/>
      <c r="E696" s="209" t="s">
        <v>272</v>
      </c>
      <c r="F696" s="212"/>
    </row>
    <row r="697" spans="1:13" s="1" customFormat="1" ht="12.75" hidden="1" x14ac:dyDescent="0.2">
      <c r="A697" s="112">
        <v>5</v>
      </c>
      <c r="B697" s="209"/>
      <c r="C697" s="209"/>
      <c r="D697" s="88"/>
      <c r="E697" s="209" t="s">
        <v>272</v>
      </c>
      <c r="F697" s="212"/>
      <c r="G697" s="54"/>
      <c r="H697" s="54"/>
      <c r="I697" s="54"/>
      <c r="J697" s="54"/>
      <c r="K697" s="54"/>
      <c r="L697" s="54"/>
    </row>
    <row r="698" spans="1:13" s="1" customFormat="1" ht="12.75" hidden="1" x14ac:dyDescent="0.2">
      <c r="A698" s="112">
        <v>6</v>
      </c>
      <c r="B698" s="209"/>
      <c r="C698" s="209"/>
      <c r="D698" s="88"/>
      <c r="E698" s="209" t="s">
        <v>272</v>
      </c>
      <c r="F698" s="212"/>
      <c r="G698" s="54"/>
      <c r="H698" s="54"/>
      <c r="I698" s="54"/>
      <c r="J698" s="54"/>
      <c r="K698" s="55"/>
      <c r="L698" s="54"/>
    </row>
    <row r="699" spans="1:13" s="1" customFormat="1" ht="61.5" customHeight="1" x14ac:dyDescent="0.2">
      <c r="A699" s="112" t="s">
        <v>213</v>
      </c>
      <c r="B699" s="47" t="s">
        <v>214</v>
      </c>
      <c r="C699" s="47" t="s">
        <v>215</v>
      </c>
      <c r="D699" s="47" t="s">
        <v>216</v>
      </c>
      <c r="E699" s="47" t="s">
        <v>217</v>
      </c>
      <c r="F699" s="109" t="s">
        <v>218</v>
      </c>
      <c r="G699" s="56"/>
      <c r="H699" s="56"/>
      <c r="I699" s="56"/>
      <c r="J699" s="56"/>
      <c r="K699" s="54"/>
      <c r="L699" s="56"/>
    </row>
    <row r="700" spans="1:13" s="1" customFormat="1" ht="12.75" x14ac:dyDescent="0.2">
      <c r="A700" s="112" t="s">
        <v>219</v>
      </c>
      <c r="B700" s="88" t="s">
        <v>250</v>
      </c>
      <c r="C700" s="88" t="s">
        <v>250</v>
      </c>
      <c r="D700" s="88"/>
      <c r="E700" s="88"/>
      <c r="F700" s="120"/>
      <c r="G700" s="54"/>
      <c r="H700" s="54"/>
      <c r="I700" s="54"/>
      <c r="J700" s="54"/>
      <c r="K700" s="54"/>
      <c r="L700" s="54"/>
    </row>
    <row r="701" spans="1:13" s="1" customFormat="1" ht="12.75" hidden="1" x14ac:dyDescent="0.2">
      <c r="A701" s="112" t="s">
        <v>220</v>
      </c>
      <c r="B701" s="88"/>
      <c r="C701" s="88"/>
      <c r="D701" s="88"/>
      <c r="E701" s="88"/>
      <c r="F701" s="120"/>
      <c r="G701" s="54"/>
      <c r="H701" s="54"/>
      <c r="I701" s="54"/>
      <c r="J701" s="54"/>
      <c r="K701" s="54"/>
      <c r="L701" s="54"/>
    </row>
    <row r="702" spans="1:13" s="1" customFormat="1" ht="12.75" hidden="1" x14ac:dyDescent="0.2">
      <c r="A702" s="112" t="s">
        <v>221</v>
      </c>
      <c r="B702" s="88"/>
      <c r="C702" s="88"/>
      <c r="D702" s="88"/>
      <c r="E702" s="88"/>
      <c r="F702" s="120"/>
    </row>
    <row r="703" spans="1:13" s="1" customFormat="1" ht="12.75" hidden="1" x14ac:dyDescent="0.2">
      <c r="A703" s="112" t="s">
        <v>222</v>
      </c>
      <c r="B703" s="88"/>
      <c r="C703" s="88"/>
      <c r="D703" s="88"/>
      <c r="E703" s="88"/>
      <c r="F703" s="120"/>
    </row>
    <row r="704" spans="1:13" s="1" customFormat="1" ht="60.75" customHeight="1" x14ac:dyDescent="0.2">
      <c r="A704" s="112" t="s">
        <v>223</v>
      </c>
      <c r="B704" s="47" t="s">
        <v>214</v>
      </c>
      <c r="C704" s="47" t="s">
        <v>215</v>
      </c>
      <c r="D704" s="211" t="s">
        <v>224</v>
      </c>
      <c r="E704" s="211"/>
      <c r="F704" s="109" t="s">
        <v>225</v>
      </c>
      <c r="G704" s="52"/>
      <c r="H704" s="52"/>
      <c r="I704" s="52"/>
      <c r="J704" s="52"/>
      <c r="L704" s="52"/>
    </row>
    <row r="705" spans="1:12" s="1" customFormat="1" ht="12.75" x14ac:dyDescent="0.2">
      <c r="A705" s="112" t="s">
        <v>226</v>
      </c>
      <c r="B705" s="88" t="s">
        <v>250</v>
      </c>
      <c r="C705" s="88" t="s">
        <v>250</v>
      </c>
      <c r="D705" s="209"/>
      <c r="E705" s="209"/>
      <c r="F705" s="120"/>
    </row>
    <row r="706" spans="1:12" s="1" customFormat="1" ht="12.75" hidden="1" x14ac:dyDescent="0.2">
      <c r="A706" s="112" t="s">
        <v>227</v>
      </c>
      <c r="B706" s="88"/>
      <c r="C706" s="88"/>
      <c r="D706" s="209"/>
      <c r="E706" s="209"/>
      <c r="F706" s="120"/>
    </row>
    <row r="707" spans="1:12" s="1" customFormat="1" ht="12.75" hidden="1" x14ac:dyDescent="0.2">
      <c r="A707" s="112" t="s">
        <v>228</v>
      </c>
      <c r="B707" s="88"/>
      <c r="C707" s="88"/>
      <c r="D707" s="209"/>
      <c r="E707" s="209"/>
      <c r="F707" s="120"/>
    </row>
    <row r="708" spans="1:12" s="1" customFormat="1" ht="60.75" customHeight="1" x14ac:dyDescent="0.25">
      <c r="A708" s="112" t="s">
        <v>229</v>
      </c>
      <c r="B708" s="47" t="s">
        <v>214</v>
      </c>
      <c r="C708" s="47" t="s">
        <v>215</v>
      </c>
      <c r="D708" s="211" t="s">
        <v>230</v>
      </c>
      <c r="E708" s="211"/>
      <c r="F708" s="109" t="s">
        <v>231</v>
      </c>
      <c r="G708" s="51"/>
      <c r="H708" s="51"/>
      <c r="I708" s="51"/>
      <c r="J708" s="53"/>
      <c r="K708" s="43"/>
      <c r="L708" s="51"/>
    </row>
    <row r="709" spans="1:12" s="1" customFormat="1" x14ac:dyDescent="0.25">
      <c r="A709" s="112" t="s">
        <v>149</v>
      </c>
      <c r="B709" s="88" t="s">
        <v>250</v>
      </c>
      <c r="C709" s="88">
        <v>700000</v>
      </c>
      <c r="D709" s="209"/>
      <c r="E709" s="209"/>
      <c r="F709" s="120"/>
      <c r="G709" s="51"/>
      <c r="K709"/>
    </row>
    <row r="710" spans="1:12" s="1" customFormat="1" ht="24" hidden="1" x14ac:dyDescent="0.25">
      <c r="A710" s="112" t="s">
        <v>232</v>
      </c>
      <c r="B710" s="88"/>
      <c r="C710" s="88"/>
      <c r="D710" s="209"/>
      <c r="E710" s="209"/>
      <c r="F710" s="120"/>
      <c r="G710" s="51"/>
      <c r="K710" s="43"/>
    </row>
    <row r="711" spans="1:12" s="1" customFormat="1" ht="24" hidden="1" x14ac:dyDescent="0.25">
      <c r="A711" s="112" t="s">
        <v>233</v>
      </c>
      <c r="B711" s="88"/>
      <c r="C711" s="88"/>
      <c r="D711" s="209"/>
      <c r="E711" s="209"/>
      <c r="F711" s="120"/>
      <c r="G711" s="51"/>
      <c r="K711"/>
    </row>
    <row r="712" spans="1:12" s="1" customFormat="1" hidden="1" x14ac:dyDescent="0.25">
      <c r="A712" s="112" t="s">
        <v>234</v>
      </c>
      <c r="B712" s="88"/>
      <c r="C712" s="88"/>
      <c r="D712" s="209"/>
      <c r="E712" s="209"/>
      <c r="F712" s="120"/>
      <c r="G712" s="51"/>
      <c r="K712"/>
    </row>
    <row r="713" spans="1:12" s="1" customFormat="1" hidden="1" x14ac:dyDescent="0.25">
      <c r="A713" s="112" t="s">
        <v>235</v>
      </c>
      <c r="B713" s="88"/>
      <c r="C713" s="88"/>
      <c r="D713" s="209"/>
      <c r="E713" s="209"/>
      <c r="F713" s="120"/>
      <c r="G713" s="51"/>
      <c r="K713"/>
    </row>
    <row r="714" spans="1:12" s="1" customFormat="1" hidden="1" x14ac:dyDescent="0.25">
      <c r="A714" s="112" t="s">
        <v>236</v>
      </c>
      <c r="B714" s="88"/>
      <c r="C714" s="88"/>
      <c r="D714" s="209"/>
      <c r="E714" s="209"/>
      <c r="F714" s="120"/>
      <c r="G714" s="51"/>
      <c r="K714"/>
    </row>
    <row r="715" spans="1:12" s="1" customFormat="1" ht="30" hidden="1" customHeight="1" x14ac:dyDescent="0.25">
      <c r="A715" s="112" t="s">
        <v>237</v>
      </c>
      <c r="B715" s="88"/>
      <c r="C715" s="88"/>
      <c r="D715" s="209"/>
      <c r="E715" s="209"/>
      <c r="F715" s="120"/>
      <c r="G715" s="51"/>
      <c r="K715"/>
    </row>
    <row r="716" spans="1:12" s="1" customFormat="1" ht="30" hidden="1" customHeight="1" x14ac:dyDescent="0.25">
      <c r="A716" s="112" t="s">
        <v>238</v>
      </c>
      <c r="B716" s="88"/>
      <c r="C716" s="88"/>
      <c r="D716" s="209"/>
      <c r="E716" s="209"/>
      <c r="F716" s="120"/>
      <c r="G716" s="51"/>
      <c r="K716"/>
    </row>
    <row r="717" spans="1:12" s="1" customFormat="1" ht="30" hidden="1" customHeight="1" thickBot="1" x14ac:dyDescent="0.3">
      <c r="A717" s="121" t="s">
        <v>239</v>
      </c>
      <c r="B717" s="122"/>
      <c r="C717" s="122"/>
      <c r="D717" s="210"/>
      <c r="E717" s="210"/>
      <c r="F717" s="123"/>
      <c r="G717" s="51"/>
      <c r="K717"/>
    </row>
    <row r="718" spans="1:12" s="43" customFormat="1" x14ac:dyDescent="0.25">
      <c r="A718" s="294" t="s">
        <v>62</v>
      </c>
      <c r="B718" s="294"/>
      <c r="C718" s="294"/>
      <c r="D718" s="294"/>
      <c r="E718" s="294"/>
      <c r="F718" s="294"/>
      <c r="K718"/>
    </row>
    <row r="719" spans="1:12" s="43" customFormat="1" x14ac:dyDescent="0.25">
      <c r="A719" s="98">
        <v>1</v>
      </c>
      <c r="B719" s="188" t="s">
        <v>273</v>
      </c>
      <c r="C719" s="188"/>
      <c r="D719" s="188"/>
      <c r="E719" s="188"/>
      <c r="F719" s="188"/>
      <c r="K719"/>
    </row>
    <row r="720" spans="1:12" s="43" customFormat="1" x14ac:dyDescent="0.25">
      <c r="A720" s="98">
        <f>A719+1</f>
        <v>2</v>
      </c>
      <c r="B720" s="188" t="s">
        <v>423</v>
      </c>
      <c r="C720" s="188"/>
      <c r="D720" s="188"/>
      <c r="E720" s="188"/>
      <c r="F720" s="188"/>
      <c r="K720"/>
    </row>
    <row r="721" spans="1:11" s="43" customFormat="1" x14ac:dyDescent="0.25">
      <c r="A721" s="98">
        <f t="shared" ref="A721:A730" si="276">A720+1</f>
        <v>3</v>
      </c>
      <c r="B721" s="188" t="s">
        <v>281</v>
      </c>
      <c r="C721" s="188"/>
      <c r="D721" s="188"/>
      <c r="E721" s="188"/>
      <c r="F721" s="188"/>
      <c r="K721"/>
    </row>
    <row r="722" spans="1:11" s="43" customFormat="1" x14ac:dyDescent="0.25">
      <c r="A722" s="98">
        <f t="shared" si="276"/>
        <v>4</v>
      </c>
      <c r="B722" s="295" t="str">
        <f>(IF(F238="Saleable area Loading :","We have considered Saleable area of Flats as per our Calculation.","We considered Saleable area of Flat as per Builder area Sheet."))</f>
        <v>We have considered Saleable area of Flats as per our Calculation.</v>
      </c>
      <c r="C722" s="296"/>
      <c r="D722" s="296"/>
      <c r="E722" s="296"/>
      <c r="F722" s="296"/>
      <c r="K722"/>
    </row>
    <row r="723" spans="1:11" s="43" customFormat="1" x14ac:dyDescent="0.25">
      <c r="A723" s="98">
        <f t="shared" si="276"/>
        <v>5</v>
      </c>
      <c r="B723" s="296" t="s">
        <v>402</v>
      </c>
      <c r="C723" s="296"/>
      <c r="D723" s="296"/>
      <c r="E723" s="296"/>
      <c r="F723" s="296"/>
      <c r="K723"/>
    </row>
    <row r="724" spans="1:11" s="43" customFormat="1" x14ac:dyDescent="0.25">
      <c r="A724" s="98">
        <f t="shared" si="276"/>
        <v>6</v>
      </c>
      <c r="B724" s="188" t="s">
        <v>274</v>
      </c>
      <c r="C724" s="188"/>
      <c r="D724" s="188"/>
      <c r="E724" s="188"/>
      <c r="F724" s="188"/>
      <c r="K724"/>
    </row>
    <row r="725" spans="1:11" s="43" customFormat="1" x14ac:dyDescent="0.25">
      <c r="A725" s="98">
        <f t="shared" si="276"/>
        <v>7</v>
      </c>
      <c r="B725" s="296" t="s">
        <v>417</v>
      </c>
      <c r="C725" s="296"/>
      <c r="D725" s="296"/>
      <c r="E725" s="296"/>
      <c r="F725" s="296"/>
      <c r="K725"/>
    </row>
    <row r="726" spans="1:11" s="43" customFormat="1" x14ac:dyDescent="0.25">
      <c r="A726" s="98">
        <f t="shared" si="276"/>
        <v>8</v>
      </c>
      <c r="B726" s="188" t="s">
        <v>275</v>
      </c>
      <c r="C726" s="188"/>
      <c r="D726" s="188"/>
      <c r="E726" s="188"/>
      <c r="F726" s="188"/>
      <c r="K726"/>
    </row>
    <row r="727" spans="1:11" s="43" customFormat="1" ht="30" customHeight="1" x14ac:dyDescent="0.25">
      <c r="A727" s="98">
        <f t="shared" si="276"/>
        <v>9</v>
      </c>
      <c r="B727" s="176" t="s">
        <v>276</v>
      </c>
      <c r="C727" s="176"/>
      <c r="D727" s="176"/>
      <c r="E727" s="176"/>
      <c r="F727" s="176"/>
      <c r="K727"/>
    </row>
    <row r="728" spans="1:11" s="43" customFormat="1" x14ac:dyDescent="0.25">
      <c r="A728" s="98">
        <f t="shared" si="276"/>
        <v>10</v>
      </c>
      <c r="B728" s="176" t="s">
        <v>430</v>
      </c>
      <c r="C728" s="176"/>
      <c r="D728" s="176"/>
      <c r="E728" s="176"/>
      <c r="F728" s="176"/>
      <c r="K728"/>
    </row>
    <row r="729" spans="1:11" s="43" customFormat="1" x14ac:dyDescent="0.25">
      <c r="A729" s="98">
        <f t="shared" si="276"/>
        <v>11</v>
      </c>
      <c r="B729" s="176" t="s">
        <v>434</v>
      </c>
      <c r="C729" s="176"/>
      <c r="D729" s="176"/>
      <c r="E729" s="176"/>
      <c r="F729" s="176"/>
      <c r="K729"/>
    </row>
    <row r="730" spans="1:11" s="43" customFormat="1" ht="30" hidden="1" customHeight="1" x14ac:dyDescent="0.25">
      <c r="A730" s="98">
        <f t="shared" si="276"/>
        <v>12</v>
      </c>
      <c r="B730" s="176" t="s">
        <v>286</v>
      </c>
      <c r="C730" s="176"/>
      <c r="D730" s="176"/>
      <c r="E730" s="176"/>
      <c r="F730" s="176"/>
      <c r="K730"/>
    </row>
    <row r="731" spans="1:11" x14ac:dyDescent="0.25">
      <c r="A731" s="297" t="s">
        <v>63</v>
      </c>
      <c r="B731" s="297"/>
      <c r="C731" s="298" t="str">
        <f>B2</f>
        <v>Runwal Pinnacle</v>
      </c>
      <c r="D731" s="298"/>
      <c r="E731" s="298"/>
      <c r="F731" s="298"/>
    </row>
    <row r="739" spans="2:2" x14ac:dyDescent="0.25">
      <c r="B739" s="43"/>
    </row>
    <row r="756" spans="7:7" x14ac:dyDescent="0.25">
      <c r="G756" s="43"/>
    </row>
    <row r="775" spans="1:1" x14ac:dyDescent="0.25">
      <c r="A775" s="171"/>
    </row>
    <row r="776" spans="1:1" x14ac:dyDescent="0.25">
      <c r="A776" s="171"/>
    </row>
    <row r="777" spans="1:1" x14ac:dyDescent="0.25">
      <c r="A777" s="48" t="s">
        <v>64</v>
      </c>
    </row>
    <row r="823" spans="1:1" x14ac:dyDescent="0.25">
      <c r="A823" s="48" t="s">
        <v>65</v>
      </c>
    </row>
    <row r="824" spans="1:1" x14ac:dyDescent="0.25">
      <c r="A824" s="48"/>
    </row>
    <row r="865" spans="1:6" ht="57" customHeight="1" x14ac:dyDescent="0.25">
      <c r="A865" s="49" t="s">
        <v>66</v>
      </c>
      <c r="B865" s="168" t="s">
        <v>416</v>
      </c>
      <c r="C865" s="292" t="s">
        <v>67</v>
      </c>
      <c r="D865" s="292"/>
      <c r="E865" s="293"/>
      <c r="F865" s="293"/>
    </row>
  </sheetData>
  <dataConsolidate/>
  <mergeCells count="600">
    <mergeCell ref="L680:M680"/>
    <mergeCell ref="A685:F685"/>
    <mergeCell ref="J332:J333"/>
    <mergeCell ref="I332:I333"/>
    <mergeCell ref="K332:K333"/>
    <mergeCell ref="B332:F332"/>
    <mergeCell ref="B339:F339"/>
    <mergeCell ref="B346:F346"/>
    <mergeCell ref="B388:F388"/>
    <mergeCell ref="B338:F338"/>
    <mergeCell ref="J365:J366"/>
    <mergeCell ref="K365:K366"/>
    <mergeCell ref="I365:I366"/>
    <mergeCell ref="B359:F359"/>
    <mergeCell ref="B387:F387"/>
    <mergeCell ref="B395:F395"/>
    <mergeCell ref="L637:M637"/>
    <mergeCell ref="A642:F642"/>
    <mergeCell ref="L584:M584"/>
    <mergeCell ref="A588:F588"/>
    <mergeCell ref="A593:F593"/>
    <mergeCell ref="G593:K593"/>
    <mergeCell ref="L548:M548"/>
    <mergeCell ref="A552:F552"/>
    <mergeCell ref="L553:M553"/>
    <mergeCell ref="A557:F557"/>
    <mergeCell ref="A558:F558"/>
    <mergeCell ref="B553:F553"/>
    <mergeCell ref="L595:M595"/>
    <mergeCell ref="A600:F600"/>
    <mergeCell ref="L601:M601"/>
    <mergeCell ref="L589:M589"/>
    <mergeCell ref="L559:M559"/>
    <mergeCell ref="A563:F563"/>
    <mergeCell ref="L564:M564"/>
    <mergeCell ref="A568:F568"/>
    <mergeCell ref="L569:M569"/>
    <mergeCell ref="A573:F573"/>
    <mergeCell ref="L574:M574"/>
    <mergeCell ref="A578:F578"/>
    <mergeCell ref="L579:M579"/>
    <mergeCell ref="L528:M528"/>
    <mergeCell ref="A532:F532"/>
    <mergeCell ref="L533:M533"/>
    <mergeCell ref="B521:F521"/>
    <mergeCell ref="B523:F523"/>
    <mergeCell ref="L538:M538"/>
    <mergeCell ref="A542:F542"/>
    <mergeCell ref="L543:M543"/>
    <mergeCell ref="A547:F547"/>
    <mergeCell ref="L501:M501"/>
    <mergeCell ref="A505:F505"/>
    <mergeCell ref="L506:M506"/>
    <mergeCell ref="L513:M513"/>
    <mergeCell ref="A517:F517"/>
    <mergeCell ref="L518:M518"/>
    <mergeCell ref="A522:F522"/>
    <mergeCell ref="L523:M523"/>
    <mergeCell ref="A527:F527"/>
    <mergeCell ref="A480:F480"/>
    <mergeCell ref="L481:M481"/>
    <mergeCell ref="A485:F485"/>
    <mergeCell ref="L486:M486"/>
    <mergeCell ref="A490:F490"/>
    <mergeCell ref="L491:M491"/>
    <mergeCell ref="A495:F495"/>
    <mergeCell ref="L496:M496"/>
    <mergeCell ref="A500:F500"/>
    <mergeCell ref="L455:M455"/>
    <mergeCell ref="A459:F459"/>
    <mergeCell ref="L460:M460"/>
    <mergeCell ref="L465:M465"/>
    <mergeCell ref="A469:F469"/>
    <mergeCell ref="L470:M470"/>
    <mergeCell ref="A474:F474"/>
    <mergeCell ref="L475:M475"/>
    <mergeCell ref="A479:F479"/>
    <mergeCell ref="L435:M435"/>
    <mergeCell ref="A439:F439"/>
    <mergeCell ref="K438:K439"/>
    <mergeCell ref="L440:M440"/>
    <mergeCell ref="A444:F444"/>
    <mergeCell ref="L445:M445"/>
    <mergeCell ref="A449:F449"/>
    <mergeCell ref="L450:M450"/>
    <mergeCell ref="A454:F454"/>
    <mergeCell ref="L412:M412"/>
    <mergeCell ref="A418:F418"/>
    <mergeCell ref="B416:F416"/>
    <mergeCell ref="L419:M419"/>
    <mergeCell ref="A425:F425"/>
    <mergeCell ref="L426:M426"/>
    <mergeCell ref="A432:F432"/>
    <mergeCell ref="A433:F433"/>
    <mergeCell ref="A434:F434"/>
    <mergeCell ref="L274:M274"/>
    <mergeCell ref="A268:F268"/>
    <mergeCell ref="L269:M269"/>
    <mergeCell ref="B269:F269"/>
    <mergeCell ref="L259:M259"/>
    <mergeCell ref="A263:F263"/>
    <mergeCell ref="A368:F368"/>
    <mergeCell ref="L369:M369"/>
    <mergeCell ref="A375:F375"/>
    <mergeCell ref="A333:F333"/>
    <mergeCell ref="A340:F340"/>
    <mergeCell ref="L341:M341"/>
    <mergeCell ref="A347:F347"/>
    <mergeCell ref="L348:M348"/>
    <mergeCell ref="A354:F354"/>
    <mergeCell ref="L355:M355"/>
    <mergeCell ref="L295:M295"/>
    <mergeCell ref="A299:F299"/>
    <mergeCell ref="L300:M300"/>
    <mergeCell ref="A304:F304"/>
    <mergeCell ref="L305:M305"/>
    <mergeCell ref="A309:F309"/>
    <mergeCell ref="L310:M310"/>
    <mergeCell ref="B310:F310"/>
    <mergeCell ref="A510:F510"/>
    <mergeCell ref="A511:F511"/>
    <mergeCell ref="G511:K511"/>
    <mergeCell ref="B509:F509"/>
    <mergeCell ref="B475:F475"/>
    <mergeCell ref="B481:F481"/>
    <mergeCell ref="B496:F496"/>
    <mergeCell ref="B501:F501"/>
    <mergeCell ref="L279:M279"/>
    <mergeCell ref="A288:F288"/>
    <mergeCell ref="L289:M289"/>
    <mergeCell ref="B289:F289"/>
    <mergeCell ref="A293:F293"/>
    <mergeCell ref="A283:F283"/>
    <mergeCell ref="L284:M284"/>
    <mergeCell ref="L376:M376"/>
    <mergeCell ref="A382:F382"/>
    <mergeCell ref="L383:M383"/>
    <mergeCell ref="A389:F389"/>
    <mergeCell ref="L391:M391"/>
    <mergeCell ref="A397:F397"/>
    <mergeCell ref="L398:M398"/>
    <mergeCell ref="A404:F404"/>
    <mergeCell ref="L405:M405"/>
    <mergeCell ref="B295:F295"/>
    <mergeCell ref="A314:F314"/>
    <mergeCell ref="A325:F325"/>
    <mergeCell ref="G325:K325"/>
    <mergeCell ref="A326:F326"/>
    <mergeCell ref="A361:F361"/>
    <mergeCell ref="A390:F390"/>
    <mergeCell ref="B331:F331"/>
    <mergeCell ref="A464:F464"/>
    <mergeCell ref="A411:F411"/>
    <mergeCell ref="L315:M315"/>
    <mergeCell ref="A319:F319"/>
    <mergeCell ref="L320:M320"/>
    <mergeCell ref="G114:H114"/>
    <mergeCell ref="G126:H126"/>
    <mergeCell ref="G127:H127"/>
    <mergeCell ref="G128:H128"/>
    <mergeCell ref="G129:H129"/>
    <mergeCell ref="G212:H212"/>
    <mergeCell ref="C208:D208"/>
    <mergeCell ref="E208:F208"/>
    <mergeCell ref="G208:H208"/>
    <mergeCell ref="A210:F210"/>
    <mergeCell ref="A211:F211"/>
    <mergeCell ref="G209:H209"/>
    <mergeCell ref="C202:D202"/>
    <mergeCell ref="E202:F202"/>
    <mergeCell ref="G202:H202"/>
    <mergeCell ref="C203:D203"/>
    <mergeCell ref="E203:F203"/>
    <mergeCell ref="B172:F172"/>
    <mergeCell ref="E173:F173"/>
    <mergeCell ref="A198:F198"/>
    <mergeCell ref="C114:F114"/>
    <mergeCell ref="E112:F112"/>
    <mergeCell ref="B108:C108"/>
    <mergeCell ref="B107:C107"/>
    <mergeCell ref="E107:F107"/>
    <mergeCell ref="B109:C109"/>
    <mergeCell ref="E109:F109"/>
    <mergeCell ref="B101:F101"/>
    <mergeCell ref="A102:F102"/>
    <mergeCell ref="A106:F106"/>
    <mergeCell ref="B105:C105"/>
    <mergeCell ref="E105:F105"/>
    <mergeCell ref="E108:F108"/>
    <mergeCell ref="B112:C112"/>
    <mergeCell ref="G113:H113"/>
    <mergeCell ref="G65:H65"/>
    <mergeCell ref="G66:H66"/>
    <mergeCell ref="G67:H67"/>
    <mergeCell ref="G68:H68"/>
    <mergeCell ref="D85:F85"/>
    <mergeCell ref="D86:F86"/>
    <mergeCell ref="D87:F87"/>
    <mergeCell ref="D90:F90"/>
    <mergeCell ref="D92:F92"/>
    <mergeCell ref="D93:F93"/>
    <mergeCell ref="A72:F72"/>
    <mergeCell ref="B82:F82"/>
    <mergeCell ref="A66:B66"/>
    <mergeCell ref="A67:B67"/>
    <mergeCell ref="C65:F65"/>
    <mergeCell ref="C66:F66"/>
    <mergeCell ref="C67:F67"/>
    <mergeCell ref="B110:C110"/>
    <mergeCell ref="E110:F110"/>
    <mergeCell ref="E111:F111"/>
    <mergeCell ref="B111:C111"/>
    <mergeCell ref="A113:B113"/>
    <mergeCell ref="C113:F113"/>
    <mergeCell ref="D94:F94"/>
    <mergeCell ref="A65:B65"/>
    <mergeCell ref="C61:F61"/>
    <mergeCell ref="C56:F56"/>
    <mergeCell ref="A54:F54"/>
    <mergeCell ref="A55:B55"/>
    <mergeCell ref="C55:F55"/>
    <mergeCell ref="A56:B56"/>
    <mergeCell ref="B104:C104"/>
    <mergeCell ref="E104:F104"/>
    <mergeCell ref="D95:F95"/>
    <mergeCell ref="D96:F96"/>
    <mergeCell ref="D97:F97"/>
    <mergeCell ref="D98:F98"/>
    <mergeCell ref="D99:F99"/>
    <mergeCell ref="D100:F100"/>
    <mergeCell ref="A61:B61"/>
    <mergeCell ref="A88:A89"/>
    <mergeCell ref="B88:B89"/>
    <mergeCell ref="C88:C89"/>
    <mergeCell ref="D88:F88"/>
    <mergeCell ref="D89:F89"/>
    <mergeCell ref="J85:L85"/>
    <mergeCell ref="A68:F68"/>
    <mergeCell ref="A64:F64"/>
    <mergeCell ref="A62:B62"/>
    <mergeCell ref="C62:F62"/>
    <mergeCell ref="G52:H52"/>
    <mergeCell ref="G54:H54"/>
    <mergeCell ref="G55:H55"/>
    <mergeCell ref="G56:H56"/>
    <mergeCell ref="A118:D118"/>
    <mergeCell ref="E118:F118"/>
    <mergeCell ref="A119:F119"/>
    <mergeCell ref="A122:B122"/>
    <mergeCell ref="C122:F122"/>
    <mergeCell ref="A731:B731"/>
    <mergeCell ref="C731:F731"/>
    <mergeCell ref="B729:F729"/>
    <mergeCell ref="E161:F169"/>
    <mergeCell ref="E187:F195"/>
    <mergeCell ref="B694:C694"/>
    <mergeCell ref="E694:F694"/>
    <mergeCell ref="B695:C695"/>
    <mergeCell ref="E695:F695"/>
    <mergeCell ref="B212:B213"/>
    <mergeCell ref="C212:C213"/>
    <mergeCell ref="D212:D213"/>
    <mergeCell ref="E212:E213"/>
    <mergeCell ref="A214:F214"/>
    <mergeCell ref="A215:F215"/>
    <mergeCell ref="A212:A213"/>
    <mergeCell ref="D715:E715"/>
    <mergeCell ref="B697:C697"/>
    <mergeCell ref="E697:F697"/>
    <mergeCell ref="C865:D865"/>
    <mergeCell ref="E865:F865"/>
    <mergeCell ref="A170:B171"/>
    <mergeCell ref="D713:E713"/>
    <mergeCell ref="D714:E714"/>
    <mergeCell ref="B698:C698"/>
    <mergeCell ref="E698:F698"/>
    <mergeCell ref="A718:F718"/>
    <mergeCell ref="B719:F719"/>
    <mergeCell ref="B721:F721"/>
    <mergeCell ref="B722:F722"/>
    <mergeCell ref="B723:F723"/>
    <mergeCell ref="B724:F724"/>
    <mergeCell ref="D709:E709"/>
    <mergeCell ref="D711:E711"/>
    <mergeCell ref="D712:E712"/>
    <mergeCell ref="B725:F725"/>
    <mergeCell ref="B726:F726"/>
    <mergeCell ref="B730:F730"/>
    <mergeCell ref="B696:C696"/>
    <mergeCell ref="A273:F273"/>
    <mergeCell ref="A324:F324"/>
    <mergeCell ref="A247:F247"/>
    <mergeCell ref="A648:F648"/>
    <mergeCell ref="L249:M249"/>
    <mergeCell ref="A236:F236"/>
    <mergeCell ref="A253:F253"/>
    <mergeCell ref="A691:F691"/>
    <mergeCell ref="B692:C692"/>
    <mergeCell ref="E692:F692"/>
    <mergeCell ref="B693:C693"/>
    <mergeCell ref="E693:F693"/>
    <mergeCell ref="A243:F243"/>
    <mergeCell ref="A242:F242"/>
    <mergeCell ref="A244:F244"/>
    <mergeCell ref="A241:F241"/>
    <mergeCell ref="A248:F248"/>
    <mergeCell ref="G241:K241"/>
    <mergeCell ref="H692:I692"/>
    <mergeCell ref="A246:F246"/>
    <mergeCell ref="B438:F438"/>
    <mergeCell ref="B435:F435"/>
    <mergeCell ref="B440:F440"/>
    <mergeCell ref="B443:F443"/>
    <mergeCell ref="B448:F448"/>
    <mergeCell ref="B455:F455"/>
    <mergeCell ref="J438:J439"/>
    <mergeCell ref="L264:M264"/>
    <mergeCell ref="G203:H203"/>
    <mergeCell ref="C209:D209"/>
    <mergeCell ref="E209:F209"/>
    <mergeCell ref="L216:M216"/>
    <mergeCell ref="A237:F237"/>
    <mergeCell ref="A238:A239"/>
    <mergeCell ref="B238:B239"/>
    <mergeCell ref="C238:C239"/>
    <mergeCell ref="D238:D239"/>
    <mergeCell ref="E238:E239"/>
    <mergeCell ref="A222:F222"/>
    <mergeCell ref="G223:H223"/>
    <mergeCell ref="L223:M223"/>
    <mergeCell ref="A229:F229"/>
    <mergeCell ref="G230:H230"/>
    <mergeCell ref="L230:M230"/>
    <mergeCell ref="G216:H216"/>
    <mergeCell ref="G238:K238"/>
    <mergeCell ref="G213:H213"/>
    <mergeCell ref="C204:D204"/>
    <mergeCell ref="E204:F204"/>
    <mergeCell ref="G204:H204"/>
    <mergeCell ref="C205:D205"/>
    <mergeCell ref="E205:F205"/>
    <mergeCell ref="A1:F1"/>
    <mergeCell ref="B2:D2"/>
    <mergeCell ref="A3:F3"/>
    <mergeCell ref="A10:F10"/>
    <mergeCell ref="A4:B4"/>
    <mergeCell ref="A83:F83"/>
    <mergeCell ref="B84:F84"/>
    <mergeCell ref="A42:F42"/>
    <mergeCell ref="C4:F4"/>
    <mergeCell ref="A5:B5"/>
    <mergeCell ref="A6:B6"/>
    <mergeCell ref="C5:F5"/>
    <mergeCell ref="C6:F6"/>
    <mergeCell ref="A7:B7"/>
    <mergeCell ref="A14:F14"/>
    <mergeCell ref="C12:D12"/>
    <mergeCell ref="E12:F12"/>
    <mergeCell ref="C13:D13"/>
    <mergeCell ref="E13:F13"/>
    <mergeCell ref="A37:B37"/>
    <mergeCell ref="A33:B33"/>
    <mergeCell ref="C33:F33"/>
    <mergeCell ref="A34:B34"/>
    <mergeCell ref="C34:F34"/>
    <mergeCell ref="A8:B8"/>
    <mergeCell ref="B24:C24"/>
    <mergeCell ref="C37:F37"/>
    <mergeCell ref="A36:B36"/>
    <mergeCell ref="C36:F36"/>
    <mergeCell ref="A28:B28"/>
    <mergeCell ref="A29:B29"/>
    <mergeCell ref="A30:B30"/>
    <mergeCell ref="A31:B31"/>
    <mergeCell ref="B18:F18"/>
    <mergeCell ref="C7:F7"/>
    <mergeCell ref="C8:F8"/>
    <mergeCell ref="A9:B9"/>
    <mergeCell ref="C9:F9"/>
    <mergeCell ref="A15:B15"/>
    <mergeCell ref="A44:B44"/>
    <mergeCell ref="C44:F44"/>
    <mergeCell ref="A43:B43"/>
    <mergeCell ref="C43:F43"/>
    <mergeCell ref="C15:F15"/>
    <mergeCell ref="B26:C26"/>
    <mergeCell ref="E26:F26"/>
    <mergeCell ref="B21:C21"/>
    <mergeCell ref="E21:F21"/>
    <mergeCell ref="E20:F20"/>
    <mergeCell ref="B22:C22"/>
    <mergeCell ref="E22:F22"/>
    <mergeCell ref="B23:C23"/>
    <mergeCell ref="E23:F23"/>
    <mergeCell ref="A35:B35"/>
    <mergeCell ref="C35:F35"/>
    <mergeCell ref="A39:B39"/>
    <mergeCell ref="C39:F39"/>
    <mergeCell ref="E24:F24"/>
    <mergeCell ref="A40:B40"/>
    <mergeCell ref="C40:F40"/>
    <mergeCell ref="A41:B41"/>
    <mergeCell ref="C41:F41"/>
    <mergeCell ref="A52:B52"/>
    <mergeCell ref="C52:F52"/>
    <mergeCell ref="A60:B60"/>
    <mergeCell ref="C60:F60"/>
    <mergeCell ref="A57:B57"/>
    <mergeCell ref="C57:F57"/>
    <mergeCell ref="C46:F46"/>
    <mergeCell ref="A47:B47"/>
    <mergeCell ref="C47:F47"/>
    <mergeCell ref="A48:B48"/>
    <mergeCell ref="C48:F48"/>
    <mergeCell ref="A49:B49"/>
    <mergeCell ref="C49:F49"/>
    <mergeCell ref="A59:B59"/>
    <mergeCell ref="C59:F59"/>
    <mergeCell ref="A50:B50"/>
    <mergeCell ref="C50:F50"/>
    <mergeCell ref="A46:B46"/>
    <mergeCell ref="A45:B45"/>
    <mergeCell ref="C45:F45"/>
    <mergeCell ref="I12:J12"/>
    <mergeCell ref="I13:J13"/>
    <mergeCell ref="G29:H29"/>
    <mergeCell ref="G30:H30"/>
    <mergeCell ref="G31:H31"/>
    <mergeCell ref="G32:H32"/>
    <mergeCell ref="G35:H35"/>
    <mergeCell ref="G33:H34"/>
    <mergeCell ref="A201:F201"/>
    <mergeCell ref="A16:F16"/>
    <mergeCell ref="A27:F27"/>
    <mergeCell ref="A32:F32"/>
    <mergeCell ref="B17:F17"/>
    <mergeCell ref="B19:C19"/>
    <mergeCell ref="E19:F19"/>
    <mergeCell ref="B20:C20"/>
    <mergeCell ref="A127:B127"/>
    <mergeCell ref="C127:F127"/>
    <mergeCell ref="A115:F115"/>
    <mergeCell ref="A116:D116"/>
    <mergeCell ref="E116:F116"/>
    <mergeCell ref="A117:D117"/>
    <mergeCell ref="E117:F117"/>
    <mergeCell ref="A114:B114"/>
    <mergeCell ref="G36:H36"/>
    <mergeCell ref="G37:H37"/>
    <mergeCell ref="G38:H38"/>
    <mergeCell ref="G39:H39"/>
    <mergeCell ref="G40:H40"/>
    <mergeCell ref="G41:H41"/>
    <mergeCell ref="G42:H42"/>
    <mergeCell ref="G43:H43"/>
    <mergeCell ref="G44:H44"/>
    <mergeCell ref="A38:B38"/>
    <mergeCell ref="C38:F38"/>
    <mergeCell ref="G122:H122"/>
    <mergeCell ref="C123:F123"/>
    <mergeCell ref="G123:H123"/>
    <mergeCell ref="C124:F124"/>
    <mergeCell ref="G124:H124"/>
    <mergeCell ref="B25:F25"/>
    <mergeCell ref="A81:F81"/>
    <mergeCell ref="D91:F91"/>
    <mergeCell ref="A90:A91"/>
    <mergeCell ref="B90:B91"/>
    <mergeCell ref="C90:C91"/>
    <mergeCell ref="G57:H57"/>
    <mergeCell ref="G59:H59"/>
    <mergeCell ref="G60:H60"/>
    <mergeCell ref="G61:H61"/>
    <mergeCell ref="G62:H62"/>
    <mergeCell ref="A63:B63"/>
    <mergeCell ref="C63:F63"/>
    <mergeCell ref="G63:H63"/>
    <mergeCell ref="G46:H46"/>
    <mergeCell ref="G47:H47"/>
    <mergeCell ref="G48:H48"/>
    <mergeCell ref="G125:H125"/>
    <mergeCell ref="A123:B125"/>
    <mergeCell ref="A196:D197"/>
    <mergeCell ref="E196:F197"/>
    <mergeCell ref="A183:B184"/>
    <mergeCell ref="B185:F185"/>
    <mergeCell ref="E186:F186"/>
    <mergeCell ref="C125:F125"/>
    <mergeCell ref="A130:F130"/>
    <mergeCell ref="E174:F182"/>
    <mergeCell ref="A157:B158"/>
    <mergeCell ref="B159:F159"/>
    <mergeCell ref="E160:F160"/>
    <mergeCell ref="A128:B128"/>
    <mergeCell ref="A129:B129"/>
    <mergeCell ref="C128:F128"/>
    <mergeCell ref="C129:F129"/>
    <mergeCell ref="A126:B126"/>
    <mergeCell ref="C126:F126"/>
    <mergeCell ref="D708:E708"/>
    <mergeCell ref="D705:E705"/>
    <mergeCell ref="D706:E706"/>
    <mergeCell ref="D707:E707"/>
    <mergeCell ref="D710:E710"/>
    <mergeCell ref="E696:F696"/>
    <mergeCell ref="A673:F673"/>
    <mergeCell ref="A636:F636"/>
    <mergeCell ref="B513:F513"/>
    <mergeCell ref="B516:F516"/>
    <mergeCell ref="B536:F536"/>
    <mergeCell ref="B556:F556"/>
    <mergeCell ref="B562:F562"/>
    <mergeCell ref="B577:F577"/>
    <mergeCell ref="B518:F518"/>
    <mergeCell ref="A606:F606"/>
    <mergeCell ref="A679:F679"/>
    <mergeCell ref="G45:H45"/>
    <mergeCell ref="A51:B51"/>
    <mergeCell ref="C51:F51"/>
    <mergeCell ref="G51:H51"/>
    <mergeCell ref="A53:B53"/>
    <mergeCell ref="C53:F53"/>
    <mergeCell ref="G53:H53"/>
    <mergeCell ref="A58:B58"/>
    <mergeCell ref="C58:F58"/>
    <mergeCell ref="G58:H58"/>
    <mergeCell ref="G49:H49"/>
    <mergeCell ref="G50:H50"/>
    <mergeCell ref="L686:M686"/>
    <mergeCell ref="B596:F596"/>
    <mergeCell ref="B620:F620"/>
    <mergeCell ref="B644:F644"/>
    <mergeCell ref="B651:F651"/>
    <mergeCell ref="B669:F669"/>
    <mergeCell ref="B595:F595"/>
    <mergeCell ref="B601:F601"/>
    <mergeCell ref="B607:F607"/>
    <mergeCell ref="L643:M643"/>
    <mergeCell ref="L650:M650"/>
    <mergeCell ref="L656:M656"/>
    <mergeCell ref="L607:M607"/>
    <mergeCell ref="L613:M613"/>
    <mergeCell ref="A618:F618"/>
    <mergeCell ref="L619:M619"/>
    <mergeCell ref="A624:F624"/>
    <mergeCell ref="L625:M625"/>
    <mergeCell ref="A630:F630"/>
    <mergeCell ref="L631:M631"/>
    <mergeCell ref="L662:M662"/>
    <mergeCell ref="A667:F667"/>
    <mergeCell ref="L668:M668"/>
    <mergeCell ref="L674:M674"/>
    <mergeCell ref="G205:H205"/>
    <mergeCell ref="C206:D206"/>
    <mergeCell ref="E206:F206"/>
    <mergeCell ref="G206:H206"/>
    <mergeCell ref="G247:K247"/>
    <mergeCell ref="B582:F582"/>
    <mergeCell ref="B584:F584"/>
    <mergeCell ref="B589:F589"/>
    <mergeCell ref="B602:F602"/>
    <mergeCell ref="G207:H207"/>
    <mergeCell ref="B423:F423"/>
    <mergeCell ref="B431:F431"/>
    <mergeCell ref="B478:F478"/>
    <mergeCell ref="A512:F512"/>
    <mergeCell ref="A537:F537"/>
    <mergeCell ref="A583:F583"/>
    <mergeCell ref="A594:F594"/>
    <mergeCell ref="A240:F240"/>
    <mergeCell ref="G240:K240"/>
    <mergeCell ref="A245:F245"/>
    <mergeCell ref="B249:F249"/>
    <mergeCell ref="A258:F258"/>
    <mergeCell ref="A278:F278"/>
    <mergeCell ref="A294:F294"/>
    <mergeCell ref="B728:F728"/>
    <mergeCell ref="B727:F727"/>
    <mergeCell ref="A144:B145"/>
    <mergeCell ref="B146:F146"/>
    <mergeCell ref="E147:F147"/>
    <mergeCell ref="E148:F156"/>
    <mergeCell ref="A131:B132"/>
    <mergeCell ref="B133:F133"/>
    <mergeCell ref="E134:F134"/>
    <mergeCell ref="E135:F143"/>
    <mergeCell ref="B720:F720"/>
    <mergeCell ref="B643:F643"/>
    <mergeCell ref="B675:F675"/>
    <mergeCell ref="B680:F680"/>
    <mergeCell ref="B686:F686"/>
    <mergeCell ref="C207:D207"/>
    <mergeCell ref="E207:F207"/>
    <mergeCell ref="A649:F649"/>
    <mergeCell ref="A655:F655"/>
    <mergeCell ref="A661:F661"/>
    <mergeCell ref="A612:F612"/>
    <mergeCell ref="D716:E716"/>
    <mergeCell ref="D717:E717"/>
    <mergeCell ref="D704:E704"/>
  </mergeCells>
  <dataValidations disablePrompts="1" count="17">
    <dataValidation type="list" allowBlank="1" showInputMessage="1" showErrorMessage="1" sqref="B40:B41 B37:B38 B34:B35">
      <formula1>$C$735:$C$740</formula1>
    </dataValidation>
    <dataValidation type="list" allowBlank="1" showInputMessage="1" showErrorMessage="1" sqref="F34:F35 F37:F38 F41">
      <formula1>$G$731:$G$733</formula1>
    </dataValidation>
    <dataValidation type="list" allowBlank="1" showInputMessage="1" showErrorMessage="1" sqref="F2">
      <formula1>"Airoli,Goregaon"</formula1>
    </dataValidation>
    <dataValidation type="list" allowBlank="1" showInputMessage="1" showErrorMessage="1" sqref="D11">
      <formula1>"Mr. Abhishek Manjrekar,Mr. Rushabh Kakade,Miss. Bharti,Mr. Ajinkya Oturkar"</formula1>
    </dataValidation>
    <dataValidation type="list" allowBlank="1" showInputMessage="1" showErrorMessage="1" sqref="E13:F13">
      <formula1>"Kunal Kadam,Sachin Sawant,Shruti Fule,Hitakshi Mhatre,Anjali Kamble,Sonali Kumbhar,Pooja Kawale,Shruti Tathare"</formula1>
    </dataValidation>
    <dataValidation type="list" allowBlank="1" showInputMessage="1" showErrorMessage="1" sqref="A19">
      <formula1>"Plot No.,Survey No.,CTS No.,Gut No."</formula1>
    </dataValidation>
    <dataValidation type="list" allowBlank="1" showInputMessage="1" showErrorMessage="1" sqref="D20">
      <formula1>"Ward No.,Existing Builidng Name &amp; No.,City"</formula1>
    </dataValidation>
    <dataValidation type="list" allowBlank="1" showInputMessage="1" showErrorMessage="1" sqref="E22:F22">
      <formula1>"Mumbai,Thane,Palghar,Raigad,Pune"</formula1>
    </dataValidation>
    <dataValidation type="list" allowBlank="1" showInputMessage="1" showErrorMessage="1" sqref="C126:F127 B103 C74:F74 B76:F76 B79:F79 B108:C112 E109:F112 E107:F107 B105:C105 C113:F114">
      <formula1>"Yes,No"</formula1>
    </dataValidation>
    <dataValidation type="list" allowBlank="1" showInputMessage="1" showErrorMessage="1" sqref="B97:B100 B92:B95 B86:B88 B90">
      <formula1>"Applicable and Received,Applicable and Not Received,Not Applicable"</formula1>
    </dataValidation>
    <dataValidation type="list" allowBlank="1" showInputMessage="1" showErrorMessage="1" sqref="D103">
      <formula1>"Registered,Not Registered"</formula1>
    </dataValidation>
    <dataValidation type="list" allowBlank="1" showInputMessage="1" showErrorMessage="1" sqref="B107:C107">
      <formula1>"Zone II,Zone III,Zone IV,Zone V"</formula1>
    </dataValidation>
    <dataValidation type="list" allowBlank="1" showInputMessage="1" showErrorMessage="1" sqref="E108:F108">
      <formula1>"Not Appicable,Zone I,Zone II,Zone III,Zone IV"</formula1>
    </dataValidation>
    <dataValidation type="list" allowBlank="1" showInputMessage="1" showErrorMessage="1" sqref="E693:F698">
      <formula1>"Carpet Area,Buildup Area,Saleable Area"</formula1>
    </dataValidation>
    <dataValidation type="list" allowBlank="1" showInputMessage="1" showErrorMessage="1" sqref="B74">
      <formula1>"Yes &amp; 0.15m, No"</formula1>
    </dataValidation>
    <dataValidation type="list" allowBlank="1" showInputMessage="1" showErrorMessage="1" sqref="B96">
      <formula1>"Applicable and Received,Applicable and Not Received,Not Applicable,To be obtained"</formula1>
    </dataValidation>
    <dataValidation type="list" allowBlank="1" showInputMessage="1" showErrorMessage="1" sqref="F213">
      <formula1>"45%,50%,55%,60%"</formula1>
    </dataValidation>
  </dataValidations>
  <hyperlinks>
    <hyperlink ref="C6" r:id="rId1"/>
    <hyperlink ref="B25" r:id="rId2"/>
  </hyperlinks>
  <pageMargins left="0.39370078740157483" right="0.39370078740157483" top="0.78740157480314965" bottom="0.78740157480314965" header="0.31496062992125984" footer="0.31496062992125984"/>
  <pageSetup fitToHeight="0" orientation="portrait" r:id="rId3"/>
  <headerFooter>
    <oddHeader>&amp;C&amp;G</oddHeader>
    <oddFooter>&amp;L&amp;"-,Bold"Ref No: &amp;F&amp;R&amp;"-,Bold"&amp;P</oddFooter>
  </headerFooter>
  <rowBreaks count="6" manualBreakCount="6">
    <brk id="89" max="5" man="1"/>
    <brk id="129" max="5" man="1"/>
    <brk id="209" max="5" man="1"/>
    <brk id="730" max="16383" man="1"/>
    <brk id="776" max="16383" man="1"/>
    <brk id="822" max="16383" man="1"/>
  </rowBreaks>
  <drawing r:id="rId4"/>
  <legacy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4:K131"/>
  <sheetViews>
    <sheetView topLeftCell="A123" workbookViewId="0">
      <selection activeCell="B133" sqref="B133"/>
    </sheetView>
  </sheetViews>
  <sheetFormatPr defaultRowHeight="15" x14ac:dyDescent="0.25"/>
  <sheetData>
    <row r="104" spans="2:11" ht="15.75" thickBot="1" x14ac:dyDescent="0.3"/>
    <row r="105" spans="2:11" ht="15.75" x14ac:dyDescent="0.25">
      <c r="B105" s="337" t="s">
        <v>4</v>
      </c>
      <c r="C105" s="338"/>
      <c r="D105" s="339" t="s">
        <v>44</v>
      </c>
      <c r="E105" s="340"/>
      <c r="F105" s="340"/>
      <c r="G105" s="340"/>
      <c r="H105" s="340"/>
      <c r="I105" s="341"/>
      <c r="J105" s="13" t="str">
        <f ca="1">(IF(F109&gt;99%,"All work completed. Please provide OC.",IF(F109&gt;89.8%,"Plinth, RCC, Brick, Plaster, Flooring, Painting work Completed. Finishing work is in process.",IF(F109&lt;94%,(IF(D109=0,"Work not yet Started.",IF(E109=25%,"Piling work in process",IF(E109=50%,"Excavation work in process",IF(E109=100%,"Excavation work Completed. ","0")))&amp;(IF(D110=0%,"",IF(D110=K111,"Footing work is process",IF(D110=K112,"Footing work Completed",IF(D110=K113,"1st Basement Completed",IF(D110=K114,"1st &amp; 2nd Basement Completed",IF(D110=K115,"1st to 3rd Basement Completed",IF(D110=K116,"1st to 4th Basement Completed",IF(D110=K117,"Plinth work is process",IF(D110=K118,"Plinth work completed","0")))))))))))&amp;(IF(D111=(D106+E106+F106),", RCC Slab",IF(D111&gt;0,", RCC upto "&amp;D111&amp;" Slab",""))&amp;(IF(D112=F106,", Brickwork",IF(D112&gt;0,", Brickwork upto "&amp;D112&amp;" Floor",""))&amp;(IF(D113=F106,", Internal Plaster",IF(D113&gt;0,", Internal Plaster upto "&amp;D113&amp;" Floor",""))&amp;(IF(D114=F106,", External Plaster",IF(D114&gt;0,", External Plaster upto "&amp;D114&amp;" Floor",""))&amp;(IF(D115=F106,", Flooring",IF(D115&gt;0,", Flooring upto "&amp;D115&amp;" Floor",""))&amp;(IF(D116=F106,", Painting",IF(D116&gt;0,", Painting upto "&amp;D116&amp;" Floor",""))&amp;(IF(D117&gt;0,", Finishing upto "&amp;D117&amp;" Floor","")&amp;(IF(D111&gt;0.5," Completed",""))))))))))))))</f>
        <v>All work completed. Please provide OC.</v>
      </c>
      <c r="K105" s="14"/>
    </row>
    <row r="106" spans="2:11" ht="15.75" x14ac:dyDescent="0.25">
      <c r="B106" s="15" t="s">
        <v>5</v>
      </c>
      <c r="C106" s="16">
        <v>0</v>
      </c>
      <c r="D106" s="32">
        <v>1</v>
      </c>
      <c r="E106" s="33">
        <v>0</v>
      </c>
      <c r="F106" s="33">
        <f ca="1">--TRIM(RIGHT(SUBSTITUTE(LEFT(D105,_xlfn.AGGREGATE(16,6,FIND({0,1,2,3,4,5,6,7,8,9},D105,ROW(INDIRECT("1:"&amp;LEN(D105)))),1))," ",REPT(" ",LEN(D105))),LEN(D105)))</f>
        <v>7</v>
      </c>
      <c r="G106" s="33"/>
      <c r="H106" s="33"/>
      <c r="I106" s="34"/>
      <c r="J106" s="17"/>
      <c r="K106" s="18"/>
    </row>
    <row r="107" spans="2:11" ht="15.75" x14ac:dyDescent="0.25">
      <c r="B107" s="342" t="s">
        <v>9</v>
      </c>
      <c r="C107" s="343"/>
      <c r="D107" s="344" t="str">
        <f>J107</f>
        <v>All work Completed. OC Received.</v>
      </c>
      <c r="E107" s="344"/>
      <c r="F107" s="344"/>
      <c r="G107" s="344"/>
      <c r="H107" s="344"/>
      <c r="I107" s="345"/>
      <c r="J107" s="17" t="s">
        <v>10</v>
      </c>
      <c r="K107" s="18"/>
    </row>
    <row r="108" spans="2:11" ht="31.5" x14ac:dyDescent="0.25">
      <c r="B108" s="346" t="s">
        <v>11</v>
      </c>
      <c r="C108" s="347"/>
      <c r="D108" s="19" t="s">
        <v>13</v>
      </c>
      <c r="E108" s="19" t="s">
        <v>14</v>
      </c>
      <c r="F108" s="347" t="s">
        <v>15</v>
      </c>
      <c r="G108" s="347"/>
      <c r="H108" s="347" t="s">
        <v>41</v>
      </c>
      <c r="I108" s="348"/>
      <c r="J108" s="20" t="s">
        <v>16</v>
      </c>
      <c r="K108" s="21">
        <f ca="1">F106*25%</f>
        <v>1.75</v>
      </c>
    </row>
    <row r="109" spans="2:11" ht="15.75" x14ac:dyDescent="0.25">
      <c r="B109" s="346" t="s">
        <v>17</v>
      </c>
      <c r="C109" s="347"/>
      <c r="D109" s="22">
        <f ca="1">K110</f>
        <v>7</v>
      </c>
      <c r="E109" s="23">
        <f ca="1">((100/F106)*D109)/100</f>
        <v>1</v>
      </c>
      <c r="F109" s="351">
        <f ca="1">(((D110/F106*10)+(40/(D106+E106+F106)*D111)+(7.5/(F106)*D112)+(7.5/(F106)*D113)+(10/F106*D114)+(10/F106*D115)+(5/F106*D116)+(5/F106*D117)+(5/F106*D118))/100)</f>
        <v>1</v>
      </c>
      <c r="G109" s="351"/>
      <c r="H109" s="351">
        <f ca="1">((((D109/F106)*20)+((D110/F106)*25)+(30/(F106+E106+D106)*D111)+(5/F106*D112)+(5/F106*D113)+(5/F106*D114)+(5/F106*D115)+(0/F106*D116)+(0/F106*D117)+(5/F106*D118))/100)</f>
        <v>1</v>
      </c>
      <c r="I109" s="353"/>
      <c r="J109" s="20" t="s">
        <v>18</v>
      </c>
      <c r="K109" s="24">
        <f ca="1">F106*50%</f>
        <v>3.5</v>
      </c>
    </row>
    <row r="110" spans="2:11" ht="15.75" x14ac:dyDescent="0.25">
      <c r="B110" s="346" t="s">
        <v>19</v>
      </c>
      <c r="C110" s="347"/>
      <c r="D110" s="25">
        <f ca="1">K118</f>
        <v>7</v>
      </c>
      <c r="E110" s="23">
        <f ca="1">((100/F106)*D110)/100</f>
        <v>1</v>
      </c>
      <c r="F110" s="351"/>
      <c r="G110" s="351"/>
      <c r="H110" s="351"/>
      <c r="I110" s="353"/>
      <c r="J110" s="20" t="s">
        <v>20</v>
      </c>
      <c r="K110" s="24">
        <f ca="1">F106</f>
        <v>7</v>
      </c>
    </row>
    <row r="111" spans="2:11" ht="15.75" x14ac:dyDescent="0.25">
      <c r="B111" s="355" t="s">
        <v>21</v>
      </c>
      <c r="C111" s="356"/>
      <c r="D111" s="25">
        <v>8</v>
      </c>
      <c r="E111" s="23">
        <f ca="1">((100/(D106+E106+F106))*D111)/100</f>
        <v>1</v>
      </c>
      <c r="F111" s="351"/>
      <c r="G111" s="351"/>
      <c r="H111" s="351"/>
      <c r="I111" s="353"/>
      <c r="J111" s="20" t="s">
        <v>22</v>
      </c>
      <c r="K111" s="26">
        <f ca="1">(IF(C106&gt;1,(F106/(C106+2)),F106/4))</f>
        <v>1.75</v>
      </c>
    </row>
    <row r="112" spans="2:11" ht="15.75" x14ac:dyDescent="0.25">
      <c r="B112" s="346" t="s">
        <v>23</v>
      </c>
      <c r="C112" s="347" t="s">
        <v>42</v>
      </c>
      <c r="D112" s="22">
        <v>7</v>
      </c>
      <c r="E112" s="23">
        <f ca="1">((100/F106)*D112)/100</f>
        <v>1</v>
      </c>
      <c r="F112" s="351"/>
      <c r="G112" s="351"/>
      <c r="H112" s="351"/>
      <c r="I112" s="353"/>
      <c r="J112" s="20" t="s">
        <v>24</v>
      </c>
      <c r="K112" s="26">
        <f ca="1">(IF(C106&gt;1,(F106/(C106+2)+K111),F106/4+K111))</f>
        <v>3.5</v>
      </c>
    </row>
    <row r="113" spans="2:11" ht="15.75" x14ac:dyDescent="0.25">
      <c r="B113" s="346" t="s">
        <v>25</v>
      </c>
      <c r="C113" s="347" t="s">
        <v>42</v>
      </c>
      <c r="D113" s="22">
        <v>7</v>
      </c>
      <c r="E113" s="23">
        <f ca="1">((100/F106)*D113)/100</f>
        <v>1</v>
      </c>
      <c r="F113" s="351"/>
      <c r="G113" s="351"/>
      <c r="H113" s="351"/>
      <c r="I113" s="353"/>
      <c r="J113" s="20" t="s">
        <v>26</v>
      </c>
      <c r="K113" s="26">
        <f>(IF(C106&gt;1,(F106/(C106+2)+K112),0))</f>
        <v>0</v>
      </c>
    </row>
    <row r="114" spans="2:11" ht="15.75" x14ac:dyDescent="0.25">
      <c r="B114" s="346" t="s">
        <v>27</v>
      </c>
      <c r="C114" s="347" t="s">
        <v>43</v>
      </c>
      <c r="D114" s="22">
        <v>7</v>
      </c>
      <c r="E114" s="23">
        <f ca="1">((100/(F106))*D114)/100</f>
        <v>1</v>
      </c>
      <c r="F114" s="351"/>
      <c r="G114" s="351"/>
      <c r="H114" s="351"/>
      <c r="I114" s="353"/>
      <c r="J114" s="20" t="s">
        <v>28</v>
      </c>
      <c r="K114" s="26">
        <f>(IF(C106&gt;2,(F106/(C106+2)+K113),0))</f>
        <v>0</v>
      </c>
    </row>
    <row r="115" spans="2:11" ht="15.75" x14ac:dyDescent="0.25">
      <c r="B115" s="346" t="s">
        <v>29</v>
      </c>
      <c r="C115" s="347" t="s">
        <v>29</v>
      </c>
      <c r="D115" s="22">
        <v>7</v>
      </c>
      <c r="E115" s="23">
        <f ca="1">((100/F106)*D115)/100</f>
        <v>1</v>
      </c>
      <c r="F115" s="351"/>
      <c r="G115" s="351"/>
      <c r="H115" s="351"/>
      <c r="I115" s="353"/>
      <c r="J115" s="20" t="s">
        <v>30</v>
      </c>
      <c r="K115" s="27">
        <f>(IF(C106&gt;3,(F106/(C106+2)+K114),0))</f>
        <v>0</v>
      </c>
    </row>
    <row r="116" spans="2:11" ht="15.75" x14ac:dyDescent="0.25">
      <c r="B116" s="346" t="s">
        <v>31</v>
      </c>
      <c r="C116" s="347"/>
      <c r="D116" s="22">
        <v>7</v>
      </c>
      <c r="E116" s="23">
        <f ca="1">((100/F106)*D116)/100</f>
        <v>1</v>
      </c>
      <c r="F116" s="351"/>
      <c r="G116" s="351"/>
      <c r="H116" s="351"/>
      <c r="I116" s="353"/>
      <c r="J116" s="20" t="s">
        <v>32</v>
      </c>
      <c r="K116" s="26">
        <f>(IF(C106&gt;4,(F106/(C106+2)+K115),0))</f>
        <v>0</v>
      </c>
    </row>
    <row r="117" spans="2:11" ht="15.75" x14ac:dyDescent="0.25">
      <c r="B117" s="346" t="s">
        <v>33</v>
      </c>
      <c r="C117" s="347" t="s">
        <v>33</v>
      </c>
      <c r="D117" s="22">
        <v>7</v>
      </c>
      <c r="E117" s="23">
        <f ca="1">((100/(F106))*D117)/100</f>
        <v>1</v>
      </c>
      <c r="F117" s="351"/>
      <c r="G117" s="351"/>
      <c r="H117" s="351"/>
      <c r="I117" s="353"/>
      <c r="J117" s="20" t="s">
        <v>34</v>
      </c>
      <c r="K117" s="26">
        <f ca="1">(IF(C106=1,(F106/(C106+3)+K112),IF(C106=0,(F106/4+K112),IF(C106&gt;1,0))))</f>
        <v>5.25</v>
      </c>
    </row>
    <row r="118" spans="2:11" ht="16.5" thickBot="1" x14ac:dyDescent="0.3">
      <c r="B118" s="349" t="s">
        <v>35</v>
      </c>
      <c r="C118" s="350"/>
      <c r="D118" s="28">
        <v>7</v>
      </c>
      <c r="E118" s="29">
        <f ca="1">((100/(F106))*D118)/100</f>
        <v>1</v>
      </c>
      <c r="F118" s="352"/>
      <c r="G118" s="352"/>
      <c r="H118" s="352"/>
      <c r="I118" s="354"/>
      <c r="J118" s="30" t="s">
        <v>36</v>
      </c>
      <c r="K118" s="31">
        <f ca="1">(IF(C106&gt;1.5,(F106/(C106+2)+K112+MAX(0,K113-K112)+MAX(0,K114-K113)+MAX(0,K115-K114)+MAX(0,K116-K115)+MAX(0,K117-K116)),IF(C106=1,(F106/(C106+3)+K117),IF(C106=0,F106/4+K117))))</f>
        <v>7</v>
      </c>
    </row>
    <row r="124" spans="2:11" x14ac:dyDescent="0.25">
      <c r="B124" t="str">
        <f>(IF(E125&gt;99%,"All work completed. Please provide OC.",IF(E125&gt;89.8%,"Plinth, RCC, Brick, Plaster, Flooring, Painting work Completed. Finishing work is in process.",IF(E125&lt;94%,(IF(C125=0,"Work not yet Started.",IF(D125=25%,"Piling work in process",IF(D125=50%,"Excavation work in process",IF(D125=100%,"Excavation work Completed. ","0")))&amp;(IF(C126=0%,"",IF(C126=H127,"Footing work is process",IF(C126=H128,"Footing work Completed",IF(C126=H129,"1st Basement Completed",IF(C126=H130,"1st &amp; 2nd Basement Completed",IF(C126=H131,"1st to 3rd Basement Completed",IF(C126=H132,"1st to 4th Basement Completed",IF(C126=H133,"Plinth work is process",IF(C126=H134,"Plinth work completed","0")))))))))))&amp;(IF(C127=(D122+E122+F122),", RCC Slab",IF(C127&gt;0,", RCC upto "&amp;C127&amp;" Slab",""))&amp;(IF(C128=F122,", Brickwork",IF(C128&gt;0,", Brickwork upto "&amp;C128&amp;" Floor",""))&amp;(IF(C129=F122,", Internal Plaster",IF(C129&gt;0,", Internal Plaster upto "&amp;C129&amp;" Floor",""))&amp;(IF(C130=F122,", External Plaster",IF(C130&gt;0,", External Plaster upto "&amp;C130&amp;" Floor",""))&amp;(IF(C131=F122,", Flooring",IF(C131&gt;0,", Flooring upto "&amp;C131&amp;" Floor",""))&amp;(IF(C132=F122,", Painting",IF(C132&gt;0,", Painting upto "&amp;C132&amp;" Floor",""))&amp;(IF(C133&gt;0,", Finishing upto "&amp;C133&amp;" Floor","")&amp;(IF(C127&gt;0.5," Completed",""))))))))))))))</f>
        <v>Work not yet Started., RCC Slab, Brickwork, Internal Plaster, External Plaster, Flooring, Painting</v>
      </c>
    </row>
    <row r="131" spans="2:2" x14ac:dyDescent="0.25">
      <c r="B131" t="str">
        <f>(IF(E128&gt;99%,"All work completed. Please provide OC.",IF(E128&gt;89.8%,"Plinth, RCC, Brick, Plaster, Flooring, Painting work Completed. Finishing work is in process.",IF(E128&lt;94%,(IF(C128=0,"Work not yet Started.",IF(D128=25%,"Piling work in process",IF(D128=50%,"Excavation work in process",IF(D128=100%,"Excavation work Completed. ","0")))&amp;(IF(C129=0%,"",IF(C129=H130,"Footing work is process",IF(C129=H131,"Footing work Completed",IF(C129=H132,"1st Basement Completed",IF(C129=H133,"1st &amp; 2nd Basement Completed",IF(C129=H134,"1st to 3rd Basement Completed",IF(C129=H135,"1st to 4th Basement Completed",IF(C129=H136,"Plinth work is process",IF(C129=H137,"Plinth work completed","0")))))))))))&amp;(IF(C130=(D125+E125+F125),", RCC Slab",IF(C130&gt;0,", RCC upto "&amp;C130&amp;" Slab",""))&amp;(IF(C131=F125,", Brickwork",IF(C131&gt;0,", Brickwork upto "&amp;C131&amp;" Floor",""))&amp;(IF(C132=F125,", Internal Plaster",IF(C132&gt;0,", Internal Plaster upto "&amp;C132&amp;" Floor",""))&amp;(IF(C133=F125,", External Plaster",IF(C133&gt;0,", External Plaster upto "&amp;C133&amp;" Floor",""))&amp;(IF(C134=F125,", Flooring",IF(C134&gt;0,", Flooring upto "&amp;C134&amp;" Floor",""))&amp;(IF(C135=F125,", Painting",IF(C135&gt;0,", Painting upto "&amp;C135&amp;" Floor",""))&amp;(IF(C136&gt;0,", Finishing upto "&amp;C136&amp;" Floor","")&amp;(IF(C130&gt;0.5," Completed",""))))))))))))))</f>
        <v>Work not yet Started., RCC Slab, Brickwork, Internal Plaster, External Plaster, Flooring, Painting</v>
      </c>
    </row>
  </sheetData>
  <mergeCells count="19">
    <mergeCell ref="B117:C117"/>
    <mergeCell ref="B118:C118"/>
    <mergeCell ref="B109:C109"/>
    <mergeCell ref="F109:G118"/>
    <mergeCell ref="H109:I118"/>
    <mergeCell ref="B110:C110"/>
    <mergeCell ref="B111:C111"/>
    <mergeCell ref="B112:C112"/>
    <mergeCell ref="B113:C113"/>
    <mergeCell ref="B114:C114"/>
    <mergeCell ref="B115:C115"/>
    <mergeCell ref="B116:C116"/>
    <mergeCell ref="B105:C105"/>
    <mergeCell ref="D105:I105"/>
    <mergeCell ref="B107:C107"/>
    <mergeCell ref="D107:I107"/>
    <mergeCell ref="B108:C108"/>
    <mergeCell ref="F108:G108"/>
    <mergeCell ref="H108:I10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SACHIN</dc:creator>
  <cp:lastModifiedBy>VSJC</cp:lastModifiedBy>
  <cp:lastPrinted>2025-07-17T11:48:09Z</cp:lastPrinted>
  <dcterms:created xsi:type="dcterms:W3CDTF">2023-05-19T08:34:56Z</dcterms:created>
  <dcterms:modified xsi:type="dcterms:W3CDTF">2025-07-17T11:48:13Z</dcterms:modified>
</cp:coreProperties>
</file>