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ruti\July 25\Old\RBL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Print_Area" localSheetId="0">Sheet1!$A$1:$F$512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1" i="1" l="1"/>
  <c r="D151" i="1"/>
  <c r="H150" i="1"/>
  <c r="D150" i="1"/>
  <c r="H149" i="1"/>
  <c r="D149" i="1"/>
  <c r="H148" i="1"/>
  <c r="D148" i="1"/>
  <c r="H147" i="1"/>
  <c r="D147" i="1"/>
  <c r="H146" i="1"/>
  <c r="H145" i="1"/>
  <c r="H144" i="1"/>
  <c r="D144" i="1"/>
  <c r="C143" i="1"/>
  <c r="D143" i="1" s="1"/>
  <c r="D142" i="1"/>
  <c r="D146" i="1" l="1"/>
  <c r="D145" i="1"/>
  <c r="A152" i="1"/>
  <c r="E142" i="1" l="1"/>
  <c r="C159" i="1"/>
  <c r="C131" i="1"/>
  <c r="G138" i="1" l="1"/>
  <c r="B140" i="1" s="1"/>
  <c r="C157" i="1"/>
  <c r="C46" i="1" l="1"/>
  <c r="C298" i="1" l="1"/>
  <c r="C297" i="1"/>
  <c r="F297" i="1" s="1"/>
  <c r="C296" i="1"/>
  <c r="F296" i="1" s="1"/>
  <c r="C295" i="1"/>
  <c r="F295" i="1" s="1"/>
  <c r="C294" i="1"/>
  <c r="D294" i="1" s="1"/>
  <c r="C293" i="1"/>
  <c r="C292" i="1"/>
  <c r="D292" i="1" s="1"/>
  <c r="C291" i="1"/>
  <c r="F291" i="1" s="1"/>
  <c r="C290" i="1"/>
  <c r="F290" i="1" s="1"/>
  <c r="C289" i="1"/>
  <c r="F289" i="1" s="1"/>
  <c r="C288" i="1"/>
  <c r="F288" i="1" s="1"/>
  <c r="C286" i="1"/>
  <c r="D286" i="1" s="1"/>
  <c r="C285" i="1"/>
  <c r="F285" i="1" s="1"/>
  <c r="C284" i="1"/>
  <c r="F284" i="1" s="1"/>
  <c r="C283" i="1"/>
  <c r="F283" i="1" s="1"/>
  <c r="C282" i="1"/>
  <c r="F282" i="1" s="1"/>
  <c r="C281" i="1"/>
  <c r="D281" i="1" s="1"/>
  <c r="C280" i="1"/>
  <c r="F280" i="1" s="1"/>
  <c r="C279" i="1"/>
  <c r="F279" i="1" s="1"/>
  <c r="C278" i="1"/>
  <c r="F278" i="1" s="1"/>
  <c r="C277" i="1"/>
  <c r="C276" i="1"/>
  <c r="F276" i="1" s="1"/>
  <c r="C274" i="1"/>
  <c r="D274" i="1" s="1"/>
  <c r="C273" i="1"/>
  <c r="D273" i="1" s="1"/>
  <c r="C272" i="1"/>
  <c r="D272" i="1" s="1"/>
  <c r="C271" i="1"/>
  <c r="F271" i="1" s="1"/>
  <c r="C270" i="1"/>
  <c r="F270" i="1" s="1"/>
  <c r="C269" i="1"/>
  <c r="F269" i="1" s="1"/>
  <c r="C268" i="1"/>
  <c r="C267" i="1"/>
  <c r="F267" i="1" s="1"/>
  <c r="C266" i="1"/>
  <c r="F266" i="1" s="1"/>
  <c r="C265" i="1"/>
  <c r="C264" i="1"/>
  <c r="D298" i="1"/>
  <c r="D295" i="1"/>
  <c r="F294" i="1"/>
  <c r="F293" i="1"/>
  <c r="C261" i="1"/>
  <c r="F261" i="1" s="1"/>
  <c r="C260" i="1"/>
  <c r="F260" i="1" s="1"/>
  <c r="C259" i="1"/>
  <c r="D259" i="1" s="1"/>
  <c r="C258" i="1"/>
  <c r="D258" i="1" s="1"/>
  <c r="F257" i="1"/>
  <c r="C256" i="1"/>
  <c r="F256" i="1" s="1"/>
  <c r="C255" i="1"/>
  <c r="D255" i="1" s="1"/>
  <c r="C254" i="1"/>
  <c r="D254" i="1" s="1"/>
  <c r="C253" i="1"/>
  <c r="F253" i="1" s="1"/>
  <c r="C250" i="1"/>
  <c r="D250" i="1" s="1"/>
  <c r="C249" i="1"/>
  <c r="D249" i="1" s="1"/>
  <c r="F248" i="1"/>
  <c r="C246" i="1"/>
  <c r="F246" i="1" s="1"/>
  <c r="C245" i="1"/>
  <c r="F245" i="1" s="1"/>
  <c r="C244" i="1"/>
  <c r="F244" i="1" s="1"/>
  <c r="C243" i="1"/>
  <c r="F243" i="1" s="1"/>
  <c r="C251" i="1"/>
  <c r="F251" i="1" s="1"/>
  <c r="C241" i="1"/>
  <c r="D241" i="1" s="1"/>
  <c r="C240" i="1"/>
  <c r="F240" i="1" s="1"/>
  <c r="C239" i="1"/>
  <c r="F239" i="1" s="1"/>
  <c r="C238" i="1"/>
  <c r="D238" i="1" s="1"/>
  <c r="C237" i="1"/>
  <c r="D237" i="1" s="1"/>
  <c r="C236" i="1"/>
  <c r="F236" i="1" s="1"/>
  <c r="C235" i="1"/>
  <c r="F235" i="1" s="1"/>
  <c r="C234" i="1"/>
  <c r="D234" i="1" s="1"/>
  <c r="C233" i="1"/>
  <c r="B184" i="1" s="1"/>
  <c r="C230" i="1"/>
  <c r="F230" i="1" s="1"/>
  <c r="C229" i="1"/>
  <c r="F229" i="1" s="1"/>
  <c r="C228" i="1"/>
  <c r="F228" i="1" s="1"/>
  <c r="C227" i="1"/>
  <c r="F227" i="1" s="1"/>
  <c r="C226" i="1"/>
  <c r="F226" i="1" s="1"/>
  <c r="C225" i="1"/>
  <c r="F225" i="1" s="1"/>
  <c r="C224" i="1"/>
  <c r="F224" i="1" s="1"/>
  <c r="C223" i="1"/>
  <c r="F223" i="1" s="1"/>
  <c r="C222" i="1"/>
  <c r="F222" i="1" s="1"/>
  <c r="C221" i="1"/>
  <c r="F221" i="1" s="1"/>
  <c r="C220" i="1"/>
  <c r="F220" i="1" s="1"/>
  <c r="C218" i="1"/>
  <c r="F218" i="1" s="1"/>
  <c r="C217" i="1"/>
  <c r="F217" i="1" s="1"/>
  <c r="C216" i="1"/>
  <c r="D216" i="1" s="1"/>
  <c r="C215" i="1"/>
  <c r="F215" i="1" s="1"/>
  <c r="C214" i="1"/>
  <c r="F214" i="1" s="1"/>
  <c r="C213" i="1"/>
  <c r="F213" i="1" s="1"/>
  <c r="C212" i="1"/>
  <c r="D212" i="1" s="1"/>
  <c r="C211" i="1"/>
  <c r="D211" i="1" s="1"/>
  <c r="C210" i="1"/>
  <c r="F210" i="1" s="1"/>
  <c r="C209" i="1"/>
  <c r="F209" i="1" s="1"/>
  <c r="C208" i="1"/>
  <c r="D208" i="1" s="1"/>
  <c r="C197" i="1"/>
  <c r="C198" i="1"/>
  <c r="C199" i="1"/>
  <c r="C200" i="1"/>
  <c r="C201" i="1"/>
  <c r="C202" i="1"/>
  <c r="F202" i="1" s="1"/>
  <c r="C203" i="1"/>
  <c r="F203" i="1" s="1"/>
  <c r="C204" i="1"/>
  <c r="F204" i="1" s="1"/>
  <c r="C205" i="1"/>
  <c r="F205" i="1" s="1"/>
  <c r="C206" i="1"/>
  <c r="F206" i="1" s="1"/>
  <c r="C196" i="1"/>
  <c r="C57" i="1"/>
  <c r="I45" i="1"/>
  <c r="G45" i="1"/>
  <c r="F277" i="1"/>
  <c r="D264" i="1"/>
  <c r="F268" i="1"/>
  <c r="D290" i="1" l="1"/>
  <c r="F237" i="1"/>
  <c r="D266" i="1"/>
  <c r="F233" i="1"/>
  <c r="D240" i="1"/>
  <c r="B183" i="1"/>
  <c r="C183" i="1"/>
  <c r="B185" i="1"/>
  <c r="D214" i="1"/>
  <c r="D230" i="1"/>
  <c r="F273" i="1"/>
  <c r="C185" i="1"/>
  <c r="F265" i="1"/>
  <c r="D215" i="1"/>
  <c r="F286" i="1"/>
  <c r="C184" i="1"/>
  <c r="F211" i="1"/>
  <c r="D223" i="1"/>
  <c r="D251" i="1"/>
  <c r="D218" i="1"/>
  <c r="D203" i="1"/>
  <c r="D210" i="1"/>
  <c r="D220" i="1"/>
  <c r="D222" i="1"/>
  <c r="D224" i="1"/>
  <c r="D226" i="1"/>
  <c r="F254" i="1"/>
  <c r="D228" i="1"/>
  <c r="D239" i="1"/>
  <c r="F208" i="1"/>
  <c r="F212" i="1"/>
  <c r="F216" i="1"/>
  <c r="D227" i="1"/>
  <c r="D253" i="1"/>
  <c r="D288" i="1"/>
  <c r="D291" i="1"/>
  <c r="D204" i="1"/>
  <c r="D284" i="1"/>
  <c r="F292" i="1"/>
  <c r="D296" i="1"/>
  <c r="F272" i="1"/>
  <c r="F250" i="1"/>
  <c r="F241" i="1"/>
  <c r="F258" i="1"/>
  <c r="D289" i="1"/>
  <c r="D293" i="1"/>
  <c r="D297" i="1"/>
  <c r="F298" i="1"/>
  <c r="D285" i="1"/>
  <c r="F255" i="1"/>
  <c r="F259" i="1"/>
  <c r="F274" i="1"/>
  <c r="D261" i="1"/>
  <c r="D256" i="1"/>
  <c r="D260" i="1"/>
  <c r="D221" i="1"/>
  <c r="D225" i="1"/>
  <c r="D229" i="1"/>
  <c r="D209" i="1"/>
  <c r="D213" i="1"/>
  <c r="D217" i="1"/>
  <c r="D244" i="1"/>
  <c r="D236" i="1"/>
  <c r="D243" i="1"/>
  <c r="F249" i="1"/>
  <c r="D206" i="1"/>
  <c r="D205" i="1"/>
  <c r="F234" i="1"/>
  <c r="D235" i="1"/>
  <c r="D278" i="1"/>
  <c r="D269" i="1"/>
  <c r="F281" i="1"/>
  <c r="F238" i="1"/>
  <c r="D276" i="1"/>
  <c r="F264" i="1"/>
  <c r="D267" i="1"/>
  <c r="D279" i="1"/>
  <c r="D270" i="1"/>
  <c r="D282" i="1"/>
  <c r="D265" i="1"/>
  <c r="D277" i="1"/>
  <c r="D268" i="1"/>
  <c r="D280" i="1"/>
  <c r="D271" i="1"/>
  <c r="D283" i="1"/>
  <c r="D202" i="1"/>
  <c r="D245" i="1"/>
  <c r="D246" i="1"/>
  <c r="F247" i="1"/>
  <c r="D233" i="1"/>
  <c r="C186" i="1" l="1"/>
  <c r="E185" i="1"/>
  <c r="E184" i="1"/>
  <c r="B186" i="1"/>
  <c r="B372" i="1"/>
  <c r="H163" i="1"/>
  <c r="H162" i="1"/>
  <c r="H161" i="1"/>
  <c r="H160" i="1"/>
  <c r="D165" i="1" l="1"/>
  <c r="D159" i="1"/>
  <c r="H164" i="1"/>
  <c r="H158" i="1"/>
  <c r="D164" i="1"/>
  <c r="D158" i="1"/>
  <c r="D156" i="1"/>
  <c r="D161" i="1"/>
  <c r="D160" i="1"/>
  <c r="D163" i="1"/>
  <c r="H165" i="1"/>
  <c r="D162" i="1"/>
  <c r="H159" i="1"/>
  <c r="B131" i="2"/>
  <c r="E156" i="1" l="1"/>
  <c r="D157" i="1"/>
  <c r="C35" i="1"/>
  <c r="G152" i="1" l="1"/>
  <c r="B154" i="1" s="1"/>
  <c r="A371" i="1"/>
  <c r="A372" i="1" s="1"/>
  <c r="A373" i="1" s="1"/>
  <c r="A374" i="1" s="1"/>
  <c r="A375" i="1" s="1"/>
  <c r="A376" i="1" s="1"/>
  <c r="A377" i="1" s="1"/>
  <c r="A337" i="1"/>
  <c r="A338" i="1" s="1"/>
  <c r="A339" i="1" s="1"/>
  <c r="A340" i="1" s="1"/>
  <c r="A341" i="1" s="1"/>
  <c r="A330" i="1"/>
  <c r="A331" i="1" s="1"/>
  <c r="A332" i="1" s="1"/>
  <c r="A333" i="1" s="1"/>
  <c r="A334" i="1" s="1"/>
  <c r="A323" i="1"/>
  <c r="A324" i="1" s="1"/>
  <c r="A325" i="1" s="1"/>
  <c r="A326" i="1" s="1"/>
  <c r="A327" i="1" s="1"/>
  <c r="A316" i="1"/>
  <c r="A317" i="1" s="1"/>
  <c r="A318" i="1" s="1"/>
  <c r="A319" i="1" s="1"/>
  <c r="A320" i="1" s="1"/>
  <c r="A309" i="1"/>
  <c r="A310" i="1" s="1"/>
  <c r="A311" i="1" s="1"/>
  <c r="A312" i="1" s="1"/>
  <c r="A313" i="1" s="1"/>
  <c r="F196" i="1" l="1"/>
  <c r="G196" i="1" s="1"/>
  <c r="B180" i="1"/>
  <c r="C180" i="1"/>
  <c r="E180" i="1"/>
  <c r="B175" i="1"/>
  <c r="C175" i="1"/>
  <c r="E175" i="1"/>
  <c r="B187" i="1" l="1"/>
  <c r="C187" i="1"/>
  <c r="B80" i="1" l="1"/>
  <c r="C82" i="1" s="1"/>
  <c r="C83" i="1" s="1"/>
  <c r="C84" i="1" s="1"/>
  <c r="C61" i="1"/>
  <c r="C58" i="1"/>
  <c r="B13" i="1" l="1"/>
  <c r="F341" i="1" l="1"/>
  <c r="D340" i="1"/>
  <c r="F337" i="1"/>
  <c r="D336" i="1"/>
  <c r="D339" i="1"/>
  <c r="F338" i="1"/>
  <c r="F334" i="1"/>
  <c r="D333" i="1"/>
  <c r="F332" i="1"/>
  <c r="D331" i="1"/>
  <c r="F330" i="1"/>
  <c r="D329" i="1"/>
  <c r="F327" i="1"/>
  <c r="D326" i="1"/>
  <c r="F325" i="1"/>
  <c r="F324" i="1"/>
  <c r="F323" i="1"/>
  <c r="D322" i="1"/>
  <c r="F320" i="1"/>
  <c r="F319" i="1"/>
  <c r="D318" i="1"/>
  <c r="F317" i="1"/>
  <c r="F316" i="1"/>
  <c r="F315" i="1"/>
  <c r="F313" i="1"/>
  <c r="F312" i="1"/>
  <c r="F311" i="1"/>
  <c r="D310" i="1"/>
  <c r="D309" i="1"/>
  <c r="D201" i="1"/>
  <c r="D200" i="1"/>
  <c r="D199" i="1"/>
  <c r="D198" i="1"/>
  <c r="D197" i="1"/>
  <c r="F322" i="1" l="1"/>
  <c r="F333" i="1"/>
  <c r="F326" i="1"/>
  <c r="D325" i="1"/>
  <c r="F329" i="1"/>
  <c r="D332" i="1"/>
  <c r="D324" i="1"/>
  <c r="F340" i="1"/>
  <c r="D323" i="1"/>
  <c r="D327" i="1"/>
  <c r="F339" i="1"/>
  <c r="D330" i="1"/>
  <c r="F331" i="1"/>
  <c r="D334" i="1"/>
  <c r="F336" i="1"/>
  <c r="D313" i="1"/>
  <c r="F309" i="1"/>
  <c r="D319" i="1"/>
  <c r="D338" i="1"/>
  <c r="D312" i="1"/>
  <c r="D315" i="1"/>
  <c r="D337" i="1"/>
  <c r="D341" i="1"/>
  <c r="F318" i="1"/>
  <c r="F310" i="1"/>
  <c r="D317" i="1"/>
  <c r="D311" i="1"/>
  <c r="D316" i="1"/>
  <c r="D320" i="1"/>
  <c r="F198" i="1"/>
  <c r="F200" i="1"/>
  <c r="F201" i="1"/>
  <c r="F199" i="1"/>
  <c r="F197" i="1"/>
  <c r="E183" i="1" l="1"/>
  <c r="E186" i="1" s="1"/>
  <c r="E187" i="1" s="1"/>
  <c r="B124" i="2"/>
  <c r="M65" i="1" l="1"/>
  <c r="C378" i="1" l="1"/>
  <c r="F308" i="1" l="1"/>
  <c r="D308" i="1" l="1"/>
  <c r="D196" i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H135" i="1" l="1"/>
  <c r="H134" i="1"/>
  <c r="H133" i="1"/>
  <c r="H132" i="1"/>
  <c r="H137" i="1" l="1"/>
  <c r="C129" i="1" s="1"/>
  <c r="H136" i="1"/>
  <c r="E128" i="1" s="1"/>
  <c r="E166" i="1" s="1"/>
  <c r="H131" i="1"/>
  <c r="H130" i="1"/>
  <c r="D128" i="1"/>
  <c r="D136" i="1"/>
  <c r="D130" i="1"/>
  <c r="D135" i="1"/>
  <c r="D134" i="1"/>
  <c r="D132" i="1"/>
  <c r="D133" i="1"/>
  <c r="D131" i="1"/>
  <c r="D137" i="1"/>
  <c r="D129" i="1" l="1"/>
  <c r="G124" i="1" l="1"/>
  <c r="B126" i="1" s="1"/>
  <c r="C37" i="1"/>
</calcChain>
</file>

<file path=xl/sharedStrings.xml><?xml version="1.0" encoding="utf-8"?>
<sst xmlns="http://schemas.openxmlformats.org/spreadsheetml/2006/main" count="676" uniqueCount="374">
  <si>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</si>
  <si>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</si>
  <si>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</si>
  <si>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</si>
  <si>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</si>
  <si>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</si>
  <si>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</si>
  <si>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</si>
  <si>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</si>
  <si>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</si>
  <si>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</si>
  <si>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</si>
  <si>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</si>
  <si>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</si>
  <si>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</si>
  <si>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</si>
  <si>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</si>
  <si>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</si>
  <si>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</si>
  <si>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</si>
  <si>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</si>
  <si>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</si>
  <si>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</si>
  <si>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</si>
  <si>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</si>
  <si>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</si>
  <si>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</si>
  <si>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</si>
  <si>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</si>
  <si>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</si>
  <si>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</si>
  <si>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</si>
  <si>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</si>
  <si>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</si>
  <si>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</si>
  <si>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</si>
  <si>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</si>
  <si>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</si>
  <si>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</si>
  <si>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</si>
  <si>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</si>
  <si>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</si>
  <si>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</si>
  <si>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</si>
  <si>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</si>
  <si>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</si>
  <si>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</si>
  <si>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</si>
  <si>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</si>
  <si>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</si>
  <si>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Wing 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</si>
  <si>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</si>
  <si>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</si>
  <si>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</si>
  <si>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</si>
  <si>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</si>
  <si>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</si>
  <si>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Builtup Area</t>
  </si>
  <si>
    <t>Saleable area
Loading: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</si>
  <si>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</si>
  <si>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</si>
  <si>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</si>
  <si>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</si>
  <si>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</si>
  <si>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</si>
  <si>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t xml:space="preserve">Authorized Signatory
Name &amp; Seal of the agency
                                               </t>
  </si>
  <si>
    <r>
      <t xml:space="preserve">Shop No.
</t>
    </r>
    <r>
      <rPr>
        <b/>
        <sz val="9"/>
        <color rgb="FF000000"/>
        <rFont val="Garamond"/>
        <family val="1"/>
      </rPr>
      <t>(Approved Plan)</t>
    </r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</si>
  <si>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</si>
  <si>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</si>
  <si>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</si>
  <si>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</si>
  <si>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</si>
  <si>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</si>
  <si>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</si>
  <si>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</si>
  <si>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Apf Technical Report Assignment Details</t>
  </si>
  <si>
    <t>Builder Company/Entity Details - Seller Of The Project</t>
  </si>
  <si>
    <t>Name Of Entity Formed For Current Project</t>
  </si>
  <si>
    <t>Project Address Details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</si>
  <si>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</si>
  <si>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</si>
  <si>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</si>
  <si>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</si>
  <si>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</si>
  <si>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</si>
  <si>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</si>
  <si>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Survey No.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</si>
  <si>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</si>
  <si>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</si>
  <si>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</si>
  <si>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</si>
  <si>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</si>
  <si>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</si>
  <si>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</si>
  <si>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</si>
  <si>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</si>
  <si>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</si>
  <si>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</si>
  <si>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</si>
  <si>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</si>
  <si>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</si>
  <si>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</si>
  <si>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</si>
  <si>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</si>
  <si>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</si>
  <si>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</si>
  <si>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</si>
  <si>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</si>
  <si>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</si>
  <si>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</si>
  <si>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</si>
  <si>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</si>
  <si>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</si>
  <si>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Area Type</t>
  </si>
  <si>
    <t>Total Plot Area</t>
  </si>
  <si>
    <t>Total Built Up Area</t>
  </si>
  <si>
    <t>Total Commercial Built Up Area</t>
  </si>
  <si>
    <t>FSI / FAR Details</t>
  </si>
  <si>
    <t>Plot FSI / FAR</t>
  </si>
  <si>
    <t>Premium FSI / FAR</t>
  </si>
  <si>
    <t>Fungible FSI</t>
  </si>
  <si>
    <t>Addl .FSI Under any Other Regulation(1)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</si>
  <si>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</si>
  <si>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</si>
  <si>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</si>
  <si>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</si>
  <si>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</si>
  <si>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</si>
  <si>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Nearestr Bus Stop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</si>
  <si>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</si>
  <si>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</si>
  <si>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</si>
  <si>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</si>
  <si>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</si>
  <si>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</si>
  <si>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</si>
  <si>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</si>
  <si>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</si>
  <si>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</si>
  <si>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</si>
  <si>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</si>
  <si>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</si>
  <si>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</si>
  <si>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</si>
  <si>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</si>
  <si>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</si>
  <si>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</si>
  <si>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</si>
  <si>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</si>
  <si>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</si>
  <si>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</si>
  <si>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</si>
  <si>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</si>
  <si>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</si>
  <si>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</si>
  <si>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</si>
  <si>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</si>
  <si>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</si>
  <si>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</si>
  <si>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</si>
  <si>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</si>
  <si>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</si>
  <si>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</si>
  <si>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</si>
  <si>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</si>
  <si>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</si>
  <si>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</si>
  <si>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</si>
  <si>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</si>
  <si>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</si>
  <si>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</si>
  <si>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</si>
  <si>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</si>
  <si>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</si>
  <si>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</si>
  <si>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</si>
  <si>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</si>
  <si>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</si>
  <si>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</si>
  <si>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</si>
  <si>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</si>
  <si>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</si>
  <si>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</si>
  <si>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</si>
  <si>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</si>
  <si>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</si>
  <si>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</si>
  <si>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</si>
  <si>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</si>
  <si>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</si>
  <si>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</si>
  <si>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</si>
  <si>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</si>
  <si>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</si>
  <si>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</si>
  <si>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</si>
  <si>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</si>
  <si>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</si>
  <si>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</si>
  <si>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</si>
  <si>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</si>
  <si>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</si>
  <si>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</si>
  <si>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</si>
  <si>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</si>
  <si>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</si>
  <si>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</si>
  <si>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</si>
  <si>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</si>
  <si>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</si>
  <si>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</si>
  <si>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</si>
  <si>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</si>
  <si>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</si>
  <si>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</si>
  <si>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</si>
  <si>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</si>
  <si>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</si>
  <si>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</si>
  <si>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</si>
  <si>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</si>
  <si>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</si>
  <si>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</si>
  <si>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</si>
  <si>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</si>
  <si>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</si>
  <si>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</si>
  <si>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</si>
  <si>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</si>
  <si>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Any Other Amenity 2</t>
  </si>
  <si>
    <t>Any Other Amenity 3</t>
  </si>
  <si>
    <t>Maharashtra</t>
  </si>
  <si>
    <t>India</t>
  </si>
  <si>
    <t>Yes</t>
  </si>
  <si>
    <t>Basement Floor for Club House</t>
  </si>
  <si>
    <t>Stilt Floor (Parking)</t>
  </si>
  <si>
    <t>1st &amp; 2nd Podium floor for Parking</t>
  </si>
  <si>
    <t>3rd floor for Residential</t>
  </si>
  <si>
    <t>4th &amp; 5th, 7th to 10th, 12th to 15th, 17th to 20th, 22nd to 25th, 27th Floor for Residential</t>
  </si>
  <si>
    <t>6th, 11th, 16th, 21st, 26th Floor for Residential (Part Refuge Area)</t>
  </si>
  <si>
    <t>28th to 30th, 32nd to 35th Floor for Residential</t>
  </si>
  <si>
    <t>31st &amp; 36th Floor for Residential (Part Refuge Area)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</si>
  <si>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</si>
  <si>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</si>
  <si>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</si>
  <si>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</si>
  <si>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</si>
  <si>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</si>
  <si>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</si>
  <si>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</si>
  <si>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</si>
  <si>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</si>
  <si>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</si>
  <si>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</si>
  <si>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</si>
  <si>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</si>
  <si>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</si>
  <si>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</si>
  <si>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</si>
  <si>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</si>
  <si>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Not Appicable</t>
  </si>
  <si>
    <t>Approved no of Floors</t>
  </si>
  <si>
    <t>Proposed no of Floors</t>
  </si>
  <si>
    <t>Commercial Area Details : Shops</t>
  </si>
  <si>
    <t>Ground Floor</t>
  </si>
  <si>
    <t>1st Floor</t>
  </si>
  <si>
    <t>Commercial Area Details : Office</t>
  </si>
  <si>
    <t>2nd Floor</t>
  </si>
  <si>
    <t>Building No.1</t>
  </si>
  <si>
    <t>Grand Total</t>
  </si>
  <si>
    <t>Residential Area Details : Flats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</si>
  <si>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</si>
  <si>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</si>
  <si>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</si>
  <si>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</si>
  <si>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Construction Work is in process at the time of visit.</t>
  </si>
  <si>
    <t>We considered Gross carpet area = Net carpet.</t>
  </si>
  <si>
    <t>We have considered rate by verifying it from market inquire.</t>
  </si>
  <si>
    <t>Car parking is subjected to authentic documentation.</t>
  </si>
  <si>
    <t>Documents received on:</t>
  </si>
  <si>
    <t>Yes &amp; 0.15m</t>
  </si>
  <si>
    <t>Excavation in Process</t>
  </si>
  <si>
    <t>Foundation in Process</t>
  </si>
  <si>
    <t xml:space="preserve">Labours &amp; Materials were found on site at the time of visit. </t>
  </si>
  <si>
    <t>Saleable area Loading :</t>
  </si>
  <si>
    <t>Airoli</t>
  </si>
  <si>
    <t>Office No. 1031, Wing J, Akshar Business Park, Plot No. 03 Sector 25, Near APMC Market, Vashi,Navi Mumbai, Maharashtra 400703 TEL: 022-46090378/79/80</t>
  </si>
  <si>
    <t xml:space="preserve"> Macrotech Developers Limited</t>
  </si>
  <si>
    <t>53/1, 53/2, 53/3, 54/3B, 54/3C, 54/4, 54/5, 54/6 &amp; others</t>
  </si>
  <si>
    <t>Kalyan Shilphata Road</t>
  </si>
  <si>
    <t>Dombivli East</t>
  </si>
  <si>
    <t>Antarli</t>
  </si>
  <si>
    <t>Kalyan</t>
  </si>
  <si>
    <t>https://goo.gl/maps/6UYgXR3QWjs76mEz9</t>
  </si>
  <si>
    <t>19.181807, 73.096576</t>
  </si>
  <si>
    <t>Casa Liana, Lodha Codename Premier</t>
  </si>
  <si>
    <t>Thane</t>
  </si>
  <si>
    <t>RBL Bank Ltd, Atma Tara, Ground Floor, Subhash Rd, Vishnu Nagar, Maharashtra 421202</t>
  </si>
  <si>
    <t>6Km</t>
  </si>
  <si>
    <t>Town Planning, Thane</t>
  </si>
  <si>
    <t>Net Plot Area</t>
  </si>
  <si>
    <t>Manpada Gaon</t>
  </si>
  <si>
    <t>950m</t>
  </si>
  <si>
    <t>1.1Km</t>
  </si>
  <si>
    <t>Vidya Niketan School</t>
  </si>
  <si>
    <t>600m</t>
  </si>
  <si>
    <t>Ashirwad Hospital</t>
  </si>
  <si>
    <t>750m</t>
  </si>
  <si>
    <t>LODHA Xperia Mall</t>
  </si>
  <si>
    <t>3.8Km</t>
  </si>
  <si>
    <t>Club House, Temple, Outdoor Sports Court, Gymnasium, Game Zone, Kids Play Area, Sitting Lounge, Landscape Garden.</t>
  </si>
  <si>
    <t>Applicable and Received</t>
  </si>
  <si>
    <t>Applicable and Not Received</t>
  </si>
  <si>
    <t>Not Applicable</t>
  </si>
  <si>
    <t>To Be Obtained</t>
  </si>
  <si>
    <t>Sector O</t>
  </si>
  <si>
    <t>Refuge Area</t>
  </si>
  <si>
    <t>Wing B</t>
  </si>
  <si>
    <t>Wing C</t>
  </si>
  <si>
    <t>-</t>
  </si>
  <si>
    <t>Project Area Details ( As Per Approved Plan ) (Sector - O)</t>
  </si>
  <si>
    <t>Area Under Economic Activities</t>
  </si>
  <si>
    <t>Area Under Playground, Garden &amp; Parks</t>
  </si>
  <si>
    <t>Area Under proposed Road</t>
  </si>
  <si>
    <t>File No. - SIA/MH/MIS/63043/2021
Date : 26/02/2022</t>
  </si>
  <si>
    <t>SEIAA</t>
  </si>
  <si>
    <t>24M Wide Rd</t>
  </si>
  <si>
    <t>30M Wide Rd</t>
  </si>
  <si>
    <t>Building</t>
  </si>
  <si>
    <t>6m W.Paved Area</t>
  </si>
  <si>
    <t>Central Ave &amp; Kalyan Shilphata Rd</t>
  </si>
  <si>
    <t>Ar. Pradeep Kamble</t>
  </si>
  <si>
    <t>Open Plot</t>
  </si>
  <si>
    <t>Central Ave Road</t>
  </si>
  <si>
    <t>Ira Global School</t>
  </si>
  <si>
    <t>Opal (Cluster - 15.06)</t>
  </si>
  <si>
    <t>1st to 7th, 9th to 12th Floor
14th Floor (15th Floor as per Builder) For Residential</t>
  </si>
  <si>
    <t>1BHK</t>
  </si>
  <si>
    <t>8th Floor (Part Refuge Area)</t>
  </si>
  <si>
    <t>13th Floor (14th Floor as per Builder) (Part Refuge Area)</t>
  </si>
  <si>
    <t>Wing A, B &amp; C</t>
  </si>
  <si>
    <t>Flats = 431</t>
  </si>
  <si>
    <t>Crown Dombivli 2 (Opal Sector O Cluster 15.06 )</t>
  </si>
  <si>
    <t xml:space="preserve">Cluster 15.06 Opal (Wing A, B &amp; C) = Gr + 1st to 14th Floor
</t>
  </si>
  <si>
    <t xml:space="preserve">Verified by Adv. K. P. Mahajan (B.A.L.L.B)
Advocate High Court </t>
  </si>
  <si>
    <t>Addl .FSI</t>
  </si>
  <si>
    <t>Lodha Woods, Lodha Miraroad, Violet, World One, World Crest, World View, Etc</t>
  </si>
  <si>
    <t>HDFC Bank</t>
  </si>
  <si>
    <t>Crown Dombivli 2 (Opal )= P51700049154</t>
  </si>
  <si>
    <t>The project Crown Dombivli Is Approved By Town Planning Thane, Surronding Projects are Runwal MyCity, Lodha Codename Premier (Liana, Flora, Foresta) &amp; Runwal Gardens.</t>
  </si>
  <si>
    <t>Total Residential Built Up Area of (Opal)</t>
  </si>
  <si>
    <t>Car = 0, scooter = 453</t>
  </si>
  <si>
    <t>100:00</t>
  </si>
  <si>
    <t>Ekatmik Nagar Vasahat/Mouje-Antarli, Khoni, Hedutane, Kole, Gharivali, Katai &amp; Mangaon, Ta-Kalyan &amp; Mouje-Umbroli, TaAmbarnath SSTN/5059
Date : 23/05/2023</t>
  </si>
  <si>
    <t xml:space="preserve">ANV/MJ-Antarli, Khoni &amp; etc,/ Sector "B,
D, I1, I2, O. P &amp; R"/SSTN/5059
Date : 23/05/2023
</t>
  </si>
  <si>
    <t>Valid Upto: Cluster 15.05 Opal Wing A, B &amp; C = Gr + 1st to 14th Floor</t>
  </si>
  <si>
    <t>Crown Dombivli 2 (Opal)</t>
  </si>
  <si>
    <t>Provisional Building Common Area Maintenance (CAM) Charges for 18
months</t>
  </si>
  <si>
    <t>City management charges for 60 months</t>
  </si>
  <si>
    <t>Utility Connection &amp; Related Expenses</t>
  </si>
  <si>
    <t>Land Under Construction (LUC) Reimbursement Charges</t>
  </si>
  <si>
    <t>City linked Utility Charge For 18 months</t>
  </si>
  <si>
    <t>User based fees for Club For 60 months</t>
  </si>
  <si>
    <t>Cluster 15.06 Opal (Wing A &amp; B) = Gr + 1st to 14th Floor</t>
  </si>
  <si>
    <t>Cluster 15.06 Opal (Wing C) = Gr + 1st to 14th Floor</t>
  </si>
  <si>
    <t>Construction Work is in process at the time of visit. (Internal Visit Not Allowed).</t>
  </si>
  <si>
    <t>As internal visit was not allowed. We have given the construction stage for Opal Wing A &amp; B
as per the architect letter provided on mail.</t>
  </si>
  <si>
    <t>Mr. Abhishek Manjrekar</t>
  </si>
  <si>
    <t>Gangaram parshuram Lambore</t>
  </si>
  <si>
    <t>Cluster 15.06 Opal (Wing A) = 
Gr + 1st to 14th Floor</t>
  </si>
  <si>
    <t>Cluster 15.06 Opal (Wing B) =
Gr + 1st to 14th Floor</t>
  </si>
  <si>
    <t xml:space="preserve"> On Site, we meet Mr. Rajendra 9820248856</t>
  </si>
  <si>
    <t>Shruti Tathare</t>
  </si>
  <si>
    <t>Krishna Kambli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</si>
</sst>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2"/>
      <color theme="1"/>
      <name val="Garamond"/>
      <family val="1"/>
    </font>
    <font>
      <sz val="11"/>
      <color rgb="FF000000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0"/>
      <color indexed="8"/>
      <name val="Times New Roman"/>
      <family val="1"/>
    </font>
    <font>
      <sz val="11"/>
      <name val="Garamond"/>
      <family val="1"/>
    </font>
    <font>
      <b/>
      <sz val="9"/>
      <name val="Garamond"/>
      <family val="1"/>
    </font>
    <font>
      <sz val="10"/>
      <name val="Garamond"/>
      <family val="1"/>
    </font>
    <font>
      <sz val="9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</cellStyleXfs>
  <cellXfs count="415">
    <xf numFmtId="0" fontId="0" fillId="0" borderId="0" xfId="0"/>
    <xf numFmtId="0" fontId="6" fillId="0" borderId="0" xfId="0" applyFont="1"/>
    <xf numFmtId="0" fontId="6" fillId="0" borderId="20" xfId="2" applyFont="1" applyBorder="1" applyProtection="1">
      <protection hidden="1"/>
    </xf>
    <xf numFmtId="0" fontId="6" fillId="0" borderId="21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2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2" xfId="2" applyFont="1" applyBorder="1"/>
    <xf numFmtId="0" fontId="7" fillId="0" borderId="2" xfId="0" applyFont="1" applyBorder="1" applyProtection="1">
      <protection hidden="1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right"/>
    </xf>
    <xf numFmtId="0" fontId="7" fillId="0" borderId="25" xfId="0" applyFont="1" applyBorder="1" applyProtection="1">
      <protection hidden="1"/>
    </xf>
    <xf numFmtId="1" fontId="6" fillId="0" borderId="24" xfId="0" applyNumberFormat="1" applyFont="1" applyBorder="1"/>
    <xf numFmtId="0" fontId="9" fillId="0" borderId="20" xfId="2" applyFont="1" applyBorder="1" applyProtection="1">
      <protection hidden="1"/>
    </xf>
    <xf numFmtId="0" fontId="9" fillId="0" borderId="21" xfId="2" applyFont="1" applyBorder="1" applyProtection="1">
      <protection hidden="1"/>
    </xf>
    <xf numFmtId="0" fontId="9" fillId="0" borderId="9" xfId="2" applyFont="1" applyBorder="1" applyAlignment="1" applyProtection="1">
      <alignment horizontal="center" vertical="top"/>
      <protection locked="0"/>
    </xf>
    <xf numFmtId="0" fontId="9" fillId="0" borderId="10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2" xfId="2" applyFont="1" applyBorder="1" applyProtection="1">
      <protection hidden="1"/>
    </xf>
    <xf numFmtId="0" fontId="9" fillId="0" borderId="10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2" xfId="2" applyFont="1" applyBorder="1"/>
    <xf numFmtId="0" fontId="9" fillId="0" borderId="10" xfId="2" applyFont="1" applyBorder="1" applyAlignment="1" applyProtection="1">
      <alignment horizontal="center" wrapText="1"/>
      <protection locked="0"/>
    </xf>
    <xf numFmtId="9" fontId="9" fillId="3" borderId="10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Protection="1">
      <protection hidden="1"/>
    </xf>
    <xf numFmtId="1" fontId="9" fillId="0" borderId="10" xfId="2" applyNumberFormat="1" applyFont="1" applyBorder="1" applyAlignment="1" applyProtection="1">
      <alignment horizontal="center" wrapText="1"/>
      <protection locked="0"/>
    </xf>
    <xf numFmtId="1" fontId="11" fillId="0" borderId="2" xfId="0" applyNumberFormat="1" applyFont="1" applyBorder="1"/>
    <xf numFmtId="1" fontId="11" fillId="0" borderId="2" xfId="0" applyNumberFormat="1" applyFont="1" applyBorder="1" applyAlignment="1">
      <alignment horizontal="right"/>
    </xf>
    <xf numFmtId="0" fontId="9" fillId="0" borderId="23" xfId="2" applyFont="1" applyBorder="1" applyAlignment="1" applyProtection="1">
      <alignment horizontal="center" wrapText="1"/>
      <protection locked="0"/>
    </xf>
    <xf numFmtId="9" fontId="9" fillId="3" borderId="23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Border="1" applyProtection="1">
      <protection hidden="1"/>
    </xf>
    <xf numFmtId="1" fontId="11" fillId="0" borderId="24" xfId="0" applyNumberFormat="1" applyFont="1" applyBorder="1"/>
    <xf numFmtId="0" fontId="9" fillId="0" borderId="13" xfId="2" applyFont="1" applyBorder="1" applyAlignment="1" applyProtection="1">
      <alignment vertical="top"/>
      <protection locked="0"/>
    </xf>
    <xf numFmtId="0" fontId="9" fillId="0" borderId="6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2" fontId="9" fillId="0" borderId="0" xfId="2" applyNumberFormat="1" applyFont="1" applyAlignment="1">
      <alignment horizontal="center" vertical="center"/>
    </xf>
    <xf numFmtId="0" fontId="15" fillId="0" borderId="0" xfId="0" applyFont="1"/>
    <xf numFmtId="0" fontId="2" fillId="4" borderId="10" xfId="0" applyFont="1" applyFill="1" applyBorder="1" applyAlignment="1">
      <alignment horizontal="left" vertical="top" wrapText="1"/>
    </xf>
    <xf numFmtId="1" fontId="19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1" fontId="9" fillId="0" borderId="0" xfId="2" applyNumberFormat="1" applyFont="1" applyBorder="1" applyAlignment="1">
      <alignment horizontal="center" vertical="center"/>
    </xf>
    <xf numFmtId="2" fontId="9" fillId="0" borderId="0" xfId="2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2" applyFont="1" applyBorder="1" applyAlignment="1">
      <alignment horizontal="center" vertical="center"/>
    </xf>
    <xf numFmtId="0" fontId="13" fillId="0" borderId="0" xfId="3" applyFont="1" applyBorder="1"/>
    <xf numFmtId="0" fontId="9" fillId="0" borderId="0" xfId="2" applyFont="1" applyBorder="1"/>
    <xf numFmtId="0" fontId="2" fillId="0" borderId="0" xfId="0" applyFont="1" applyBorder="1" applyAlignment="1">
      <alignment vertical="top" wrapText="1"/>
    </xf>
    <xf numFmtId="0" fontId="21" fillId="4" borderId="1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1" fontId="1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4" borderId="18" xfId="2" applyFont="1" applyFill="1" applyBorder="1" applyAlignment="1" applyProtection="1">
      <alignment horizontal="center" vertical="center"/>
      <protection locked="0"/>
    </xf>
    <xf numFmtId="0" fontId="3" fillId="4" borderId="19" xfId="2" applyFont="1" applyFill="1" applyBorder="1" applyAlignment="1" applyProtection="1">
      <alignment horizontal="center" vertical="center"/>
      <protection locked="0"/>
    </xf>
    <xf numFmtId="0" fontId="3" fillId="4" borderId="10" xfId="2" applyFont="1" applyFill="1" applyBorder="1" applyAlignment="1" applyProtection="1">
      <alignment horizontal="center" vertical="center"/>
      <protection locked="0"/>
    </xf>
    <xf numFmtId="0" fontId="3" fillId="4" borderId="11" xfId="2" applyFont="1" applyFill="1" applyBorder="1" applyAlignment="1" applyProtection="1">
      <alignment horizontal="center" vertical="center"/>
      <protection locked="0"/>
    </xf>
    <xf numFmtId="0" fontId="26" fillId="4" borderId="4" xfId="0" applyFont="1" applyFill="1" applyBorder="1" applyAlignment="1">
      <alignment horizontal="left" vertical="top"/>
    </xf>
    <xf numFmtId="0" fontId="3" fillId="4" borderId="9" xfId="2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>
      <alignment horizontal="center"/>
    </xf>
    <xf numFmtId="0" fontId="3" fillId="4" borderId="10" xfId="2" applyFont="1" applyFill="1" applyBorder="1" applyAlignment="1" applyProtection="1">
      <alignment horizontal="center" vertical="top" wrapText="1"/>
      <protection locked="0"/>
    </xf>
    <xf numFmtId="9" fontId="3" fillId="4" borderId="10" xfId="0" applyNumberFormat="1" applyFont="1" applyFill="1" applyBorder="1" applyAlignment="1">
      <alignment horizontal="center" vertical="center"/>
    </xf>
    <xf numFmtId="0" fontId="3" fillId="4" borderId="10" xfId="2" applyFont="1" applyFill="1" applyBorder="1" applyAlignment="1" applyProtection="1">
      <alignment horizontal="center" wrapText="1"/>
      <protection locked="0"/>
    </xf>
    <xf numFmtId="9" fontId="3" fillId="4" borderId="10" xfId="2" applyNumberFormat="1" applyFont="1" applyFill="1" applyBorder="1" applyAlignment="1" applyProtection="1">
      <alignment horizontal="center" vertical="center" wrapText="1"/>
      <protection hidden="1"/>
    </xf>
    <xf numFmtId="0" fontId="3" fillId="4" borderId="42" xfId="2" applyFont="1" applyFill="1" applyBorder="1" applyAlignment="1" applyProtection="1">
      <alignment horizontal="left" vertical="top" wrapText="1"/>
      <protection locked="0"/>
    </xf>
    <xf numFmtId="9" fontId="3" fillId="4" borderId="16" xfId="0" applyNumberFormat="1" applyFont="1" applyFill="1" applyBorder="1" applyAlignment="1">
      <alignment horizontal="center" vertical="center"/>
    </xf>
    <xf numFmtId="0" fontId="3" fillId="4" borderId="16" xfId="2" applyFont="1" applyFill="1" applyBorder="1" applyAlignment="1" applyProtection="1">
      <alignment horizontal="center" wrapText="1"/>
      <protection locked="0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1" fontId="2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10" xfId="0" applyNumberFormat="1" applyFont="1" applyBorder="1" applyAlignment="1" applyProtection="1">
      <alignment horizontal="center" vertical="center" wrapText="1"/>
      <protection locked="0"/>
    </xf>
    <xf numFmtId="1" fontId="29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23" xfId="0" applyNumberFormat="1" applyFont="1" applyBorder="1" applyAlignment="1" applyProtection="1">
      <alignment horizontal="center" vertical="center" wrapText="1"/>
      <protection locked="0"/>
    </xf>
    <xf numFmtId="1" fontId="29" fillId="4" borderId="42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16" xfId="0" applyNumberFormat="1" applyFont="1" applyBorder="1" applyAlignment="1" applyProtection="1">
      <alignment horizontal="center" vertical="center" wrapText="1"/>
      <protection locked="0"/>
    </xf>
    <xf numFmtId="1" fontId="29" fillId="4" borderId="46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7" xfId="0" applyNumberFormat="1" applyFont="1" applyBorder="1" applyAlignment="1" applyProtection="1">
      <alignment horizontal="center" vertical="center" wrapText="1"/>
      <protection locked="0"/>
    </xf>
    <xf numFmtId="1" fontId="27" fillId="0" borderId="10" xfId="2" applyNumberFormat="1" applyFont="1" applyBorder="1" applyAlignment="1" applyProtection="1">
      <alignment horizontal="center" vertical="center" wrapText="1"/>
      <protection locked="0"/>
    </xf>
    <xf numFmtId="1" fontId="30" fillId="0" borderId="10" xfId="2" applyNumberFormat="1" applyFont="1" applyBorder="1" applyAlignment="1" applyProtection="1">
      <alignment horizontal="center" vertical="center" wrapText="1"/>
      <protection locked="0"/>
    </xf>
    <xf numFmtId="1" fontId="25" fillId="0" borderId="10" xfId="2" applyNumberFormat="1" applyFont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Fill="1"/>
    <xf numFmtId="0" fontId="32" fillId="4" borderId="10" xfId="0" applyFont="1" applyFill="1" applyBorder="1" applyAlignment="1">
      <alignment horizontal="left" vertical="top" wrapText="1"/>
    </xf>
    <xf numFmtId="0" fontId="31" fillId="0" borderId="13" xfId="0" applyFont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quotePrefix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" fontId="3" fillId="4" borderId="10" xfId="2" applyNumberFormat="1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2" fillId="4" borderId="10" xfId="1" applyFont="1" applyFill="1" applyBorder="1" applyAlignment="1">
      <alignment horizontal="left" vertical="center" wrapText="1"/>
    </xf>
    <xf numFmtId="14" fontId="5" fillId="2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4" borderId="9" xfId="1" applyFont="1" applyFill="1" applyBorder="1" applyAlignment="1">
      <alignment vertical="center" wrapText="1"/>
    </xf>
    <xf numFmtId="14" fontId="34" fillId="2" borderId="11" xfId="1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1" fontId="19" fillId="0" borderId="43" xfId="2" applyNumberFormat="1" applyFont="1" applyBorder="1" applyAlignment="1" applyProtection="1">
      <alignment horizontal="center" vertical="center" wrapText="1"/>
      <protection locked="0"/>
    </xf>
    <xf numFmtId="9" fontId="19" fillId="0" borderId="45" xfId="2" applyNumberFormat="1" applyFont="1" applyBorder="1" applyAlignment="1" applyProtection="1">
      <alignment horizontal="center" vertical="center" wrapText="1"/>
      <protection locked="0"/>
    </xf>
    <xf numFmtId="1" fontId="27" fillId="0" borderId="9" xfId="2" applyNumberFormat="1" applyFont="1" applyBorder="1" applyAlignment="1" applyProtection="1">
      <alignment horizontal="center" vertical="center" wrapText="1"/>
      <protection locked="0"/>
    </xf>
    <xf numFmtId="1" fontId="27" fillId="0" borderId="11" xfId="2" applyNumberFormat="1" applyFont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/>
    </xf>
    <xf numFmtId="0" fontId="0" fillId="0" borderId="40" xfId="0" applyBorder="1"/>
    <xf numFmtId="0" fontId="0" fillId="0" borderId="49" xfId="0" applyBorder="1"/>
    <xf numFmtId="0" fontId="0" fillId="0" borderId="14" xfId="0" applyBorder="1" applyAlignment="1">
      <alignment horizontal="left"/>
    </xf>
    <xf numFmtId="0" fontId="0" fillId="0" borderId="58" xfId="0" applyBorder="1"/>
    <xf numFmtId="0" fontId="0" fillId="0" borderId="32" xfId="0" applyBorder="1" applyAlignment="1">
      <alignment horizontal="left"/>
    </xf>
    <xf numFmtId="0" fontId="0" fillId="0" borderId="41" xfId="0" applyBorder="1"/>
    <xf numFmtId="0" fontId="0" fillId="0" borderId="50" xfId="0" applyBorder="1"/>
    <xf numFmtId="0" fontId="18" fillId="0" borderId="42" xfId="0" applyFont="1" applyFill="1" applyBorder="1" applyAlignment="1">
      <alignment horizontal="center" vertical="center"/>
    </xf>
    <xf numFmtId="0" fontId="3" fillId="4" borderId="10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top" wrapText="1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1" fontId="26" fillId="0" borderId="16" xfId="0" applyNumberFormat="1" applyFont="1" applyBorder="1" applyAlignment="1" applyProtection="1">
      <alignment horizontal="center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9" fillId="5" borderId="56" xfId="2" applyFont="1" applyFill="1" applyBorder="1" applyAlignment="1" applyProtection="1">
      <alignment horizontal="center" vertical="center"/>
      <protection locked="0"/>
    </xf>
    <xf numFmtId="0" fontId="19" fillId="5" borderId="41" xfId="2" applyFont="1" applyFill="1" applyBorder="1" applyAlignment="1" applyProtection="1">
      <alignment horizontal="center" vertical="center"/>
      <protection locked="0"/>
    </xf>
    <xf numFmtId="0" fontId="19" fillId="5" borderId="57" xfId="2" applyFont="1" applyFill="1" applyBorder="1" applyAlignment="1" applyProtection="1">
      <alignment horizontal="center" vertical="center"/>
      <protection locked="0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1" fontId="19" fillId="0" borderId="42" xfId="2" applyNumberFormat="1" applyFont="1" applyBorder="1" applyAlignment="1" applyProtection="1">
      <alignment horizontal="center" vertical="center" wrapText="1"/>
      <protection locked="0"/>
    </xf>
    <xf numFmtId="1" fontId="19" fillId="0" borderId="44" xfId="2" applyNumberFormat="1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5" fillId="0" borderId="10" xfId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33" fillId="0" borderId="10" xfId="1" applyFont="1" applyBorder="1" applyAlignment="1" applyProtection="1">
      <alignment horizontal="center" vertical="top"/>
      <protection locked="0"/>
    </xf>
    <xf numFmtId="0" fontId="33" fillId="0" borderId="11" xfId="1" applyFont="1" applyBorder="1" applyAlignment="1" applyProtection="1">
      <alignment horizontal="center" vertical="top"/>
      <protection locked="0"/>
    </xf>
    <xf numFmtId="1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4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2" fillId="4" borderId="55" xfId="0" applyFont="1" applyFill="1" applyBorder="1" applyAlignment="1">
      <alignment horizontal="center" vertical="top" wrapText="1"/>
    </xf>
    <xf numFmtId="0" fontId="31" fillId="3" borderId="10" xfId="0" applyFont="1" applyFill="1" applyBorder="1" applyAlignment="1">
      <alignment horizontal="center" vertical="top" wrapText="1"/>
    </xf>
    <xf numFmtId="0" fontId="31" fillId="3" borderId="11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4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45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6" fillId="4" borderId="17" xfId="2" applyFont="1" applyFill="1" applyBorder="1" applyAlignment="1" applyProtection="1">
      <alignment horizontal="left" vertical="top" wrapText="1"/>
      <protection locked="0"/>
    </xf>
    <xf numFmtId="0" fontId="26" fillId="4" borderId="18" xfId="2" applyFont="1" applyFill="1" applyBorder="1" applyAlignment="1" applyProtection="1">
      <alignment horizontal="left" vertical="top" wrapText="1"/>
      <protection locked="0"/>
    </xf>
    <xf numFmtId="0" fontId="26" fillId="4" borderId="9" xfId="2" applyFont="1" applyFill="1" applyBorder="1" applyAlignment="1" applyProtection="1">
      <alignment horizontal="left" vertical="top" wrapText="1"/>
      <protection locked="0"/>
    </xf>
    <xf numFmtId="0" fontId="26" fillId="4" borderId="10" xfId="2" applyFont="1" applyFill="1" applyBorder="1" applyAlignment="1" applyProtection="1">
      <alignment horizontal="left" vertical="top" wrapText="1"/>
      <protection locked="0"/>
    </xf>
    <xf numFmtId="0" fontId="18" fillId="5" borderId="9" xfId="0" applyFont="1" applyFill="1" applyBorder="1" applyAlignment="1">
      <alignment horizontal="left"/>
    </xf>
    <xf numFmtId="0" fontId="18" fillId="5" borderId="10" xfId="0" applyFont="1" applyFill="1" applyBorder="1" applyAlignment="1">
      <alignment horizontal="left"/>
    </xf>
    <xf numFmtId="0" fontId="18" fillId="5" borderId="11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1" fontId="26" fillId="0" borderId="23" xfId="0" applyNumberFormat="1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1" fontId="26" fillId="0" borderId="23" xfId="0" applyNumberFormat="1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" fontId="19" fillId="0" borderId="8" xfId="2" applyNumberFormat="1" applyFont="1" applyBorder="1" applyAlignment="1" applyProtection="1">
      <alignment horizontal="center" vertical="center" wrapText="1"/>
      <protection locked="0"/>
    </xf>
    <xf numFmtId="1" fontId="19" fillId="0" borderId="6" xfId="2" applyNumberFormat="1" applyFont="1" applyBorder="1" applyAlignment="1" applyProtection="1">
      <alignment horizontal="center" vertical="center" wrapText="1"/>
      <protection locked="0"/>
    </xf>
    <xf numFmtId="1" fontId="19" fillId="0" borderId="3" xfId="2" applyNumberFormat="1" applyFont="1" applyBorder="1" applyAlignment="1" applyProtection="1">
      <alignment horizontal="center" vertical="center" wrapText="1"/>
      <protection locked="0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9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8" fillId="5" borderId="8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" fontId="25" fillId="0" borderId="15" xfId="2" applyNumberFormat="1" applyFont="1" applyBorder="1" applyAlignment="1">
      <alignment horizontal="center" vertical="center"/>
    </xf>
    <xf numFmtId="1" fontId="25" fillId="0" borderId="40" xfId="2" applyNumberFormat="1" applyFont="1" applyBorder="1" applyAlignment="1">
      <alignment horizontal="center" vertical="center"/>
    </xf>
    <xf numFmtId="1" fontId="25" fillId="0" borderId="49" xfId="2" applyNumberFormat="1" applyFont="1" applyBorder="1" applyAlignment="1">
      <alignment horizontal="center" vertical="center"/>
    </xf>
    <xf numFmtId="1" fontId="25" fillId="0" borderId="32" xfId="2" applyNumberFormat="1" applyFont="1" applyBorder="1" applyAlignment="1">
      <alignment horizontal="center" vertical="center"/>
    </xf>
    <xf numFmtId="1" fontId="25" fillId="0" borderId="41" xfId="2" applyNumberFormat="1" applyFont="1" applyBorder="1" applyAlignment="1">
      <alignment horizontal="center" vertical="center"/>
    </xf>
    <xf numFmtId="1" fontId="25" fillId="0" borderId="50" xfId="2" applyNumberFormat="1" applyFont="1" applyBorder="1" applyAlignment="1">
      <alignment horizontal="center" vertical="center"/>
    </xf>
    <xf numFmtId="1" fontId="25" fillId="0" borderId="13" xfId="2" applyNumberFormat="1" applyFont="1" applyBorder="1" applyAlignment="1">
      <alignment horizontal="center" vertical="center"/>
    </xf>
    <xf numFmtId="1" fontId="25" fillId="0" borderId="6" xfId="2" applyNumberFormat="1" applyFont="1" applyBorder="1" applyAlignment="1">
      <alignment horizontal="center" vertical="center"/>
    </xf>
    <xf numFmtId="1" fontId="25" fillId="0" borderId="7" xfId="2" applyNumberFormat="1" applyFont="1" applyBorder="1" applyAlignment="1">
      <alignment horizontal="center" vertical="center"/>
    </xf>
    <xf numFmtId="0" fontId="26" fillId="4" borderId="8" xfId="2" applyFont="1" applyFill="1" applyBorder="1" applyAlignment="1" applyProtection="1">
      <alignment horizontal="left" vertical="top" wrapText="1"/>
      <protection locked="0"/>
    </xf>
    <xf numFmtId="0" fontId="26" fillId="4" borderId="6" xfId="2" applyFont="1" applyFill="1" applyBorder="1" applyAlignment="1" applyProtection="1">
      <alignment horizontal="left" vertical="top" wrapText="1"/>
      <protection locked="0"/>
    </xf>
    <xf numFmtId="0" fontId="26" fillId="4" borderId="3" xfId="2" applyFont="1" applyFill="1" applyBorder="1" applyAlignment="1" applyProtection="1">
      <alignment horizontal="left" vertical="top" wrapText="1"/>
      <protection locked="0"/>
    </xf>
    <xf numFmtId="0" fontId="3" fillId="4" borderId="13" xfId="2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horizontal="center" vertical="center" wrapText="1"/>
      <protection locked="0"/>
    </xf>
    <xf numFmtId="9" fontId="3" fillId="4" borderId="1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4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2" xfId="2" applyNumberFormat="1" applyFont="1" applyFill="1" applyBorder="1" applyAlignment="1" applyProtection="1">
      <alignment horizontal="center" vertical="center" wrapText="1"/>
      <protection hidden="1"/>
    </xf>
    <xf numFmtId="1" fontId="19" fillId="7" borderId="42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6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1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3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5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top"/>
    </xf>
    <xf numFmtId="0" fontId="2" fillId="5" borderId="9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left" vertical="top" wrapText="1"/>
    </xf>
    <xf numFmtId="0" fontId="2" fillId="4" borderId="10" xfId="1" applyFont="1" applyFill="1" applyBorder="1" applyAlignment="1">
      <alignment horizontal="left" vertical="top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 wrapText="1"/>
    </xf>
    <xf numFmtId="0" fontId="2" fillId="4" borderId="9" xfId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left" vertical="center" wrapText="1"/>
    </xf>
    <xf numFmtId="0" fontId="20" fillId="4" borderId="13" xfId="4" applyFill="1" applyBorder="1" applyAlignment="1">
      <alignment horizontal="left" vertical="center" wrapText="1"/>
    </xf>
    <xf numFmtId="0" fontId="20" fillId="4" borderId="6" xfId="4" applyFill="1" applyBorder="1" applyAlignment="1">
      <alignment horizontal="left" vertical="center" wrapText="1"/>
    </xf>
    <xf numFmtId="0" fontId="20" fillId="4" borderId="3" xfId="4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left" vertical="top" wrapText="1"/>
    </xf>
    <xf numFmtId="0" fontId="24" fillId="3" borderId="13" xfId="0" applyFont="1" applyFill="1" applyBorder="1" applyAlignment="1">
      <alignment horizontal="left" vertical="top" wrapText="1"/>
    </xf>
    <xf numFmtId="0" fontId="24" fillId="3" borderId="6" xfId="0" applyFont="1" applyFill="1" applyBorder="1" applyAlignment="1">
      <alignment horizontal="left" vertical="top" wrapText="1"/>
    </xf>
    <xf numFmtId="0" fontId="24" fillId="3" borderId="3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4" fontId="5" fillId="2" borderId="10" xfId="1" applyNumberFormat="1" applyFont="1" applyFill="1" applyBorder="1" applyAlignment="1" applyProtection="1">
      <alignment horizontal="left" vertical="center" wrapText="1"/>
      <protection locked="0"/>
    </xf>
    <xf numFmtId="14" fontId="5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" fontId="19" fillId="5" borderId="44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0" fillId="0" borderId="13" xfId="4" applyBorder="1" applyAlignment="1">
      <alignment horizontal="left" vertical="center"/>
    </xf>
    <xf numFmtId="0" fontId="3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9" fontId="24" fillId="3" borderId="10" xfId="0" applyNumberFormat="1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43" xfId="0" applyFont="1" applyFill="1" applyBorder="1" applyAlignment="1">
      <alignment horizontal="center" vertical="top" wrapText="1"/>
    </xf>
    <xf numFmtId="1" fontId="19" fillId="0" borderId="16" xfId="2" applyNumberFormat="1" applyFont="1" applyBorder="1" applyAlignment="1" applyProtection="1">
      <alignment horizontal="center" vertical="center" wrapText="1"/>
      <protection locked="0"/>
    </xf>
    <xf numFmtId="1" fontId="19" fillId="0" borderId="12" xfId="2" applyNumberFormat="1" applyFont="1" applyBorder="1" applyAlignment="1" applyProtection="1">
      <alignment horizontal="center" vertical="center" wrapText="1"/>
      <protection locked="0"/>
    </xf>
    <xf numFmtId="1" fontId="19" fillId="0" borderId="15" xfId="2" applyNumberFormat="1" applyFont="1" applyBorder="1" applyAlignment="1" applyProtection="1">
      <alignment horizontal="center" vertical="center" wrapText="1"/>
      <protection locked="0"/>
    </xf>
    <xf numFmtId="1" fontId="19" fillId="0" borderId="32" xfId="2" applyNumberFormat="1" applyFont="1" applyBorder="1" applyAlignment="1" applyProtection="1">
      <alignment horizontal="center" vertical="center" wrapText="1"/>
      <protection locked="0"/>
    </xf>
    <xf numFmtId="0" fontId="19" fillId="0" borderId="8" xfId="2" applyFont="1" applyBorder="1" applyAlignment="1" applyProtection="1">
      <alignment horizontal="center" vertical="top"/>
      <protection locked="0"/>
    </xf>
    <xf numFmtId="0" fontId="19" fillId="0" borderId="6" xfId="2" applyFont="1" applyBorder="1" applyAlignment="1" applyProtection="1">
      <alignment horizontal="center" vertical="top"/>
      <protection locked="0"/>
    </xf>
    <xf numFmtId="0" fontId="19" fillId="0" borderId="3" xfId="2" applyFont="1" applyBorder="1" applyAlignment="1" applyProtection="1">
      <alignment horizontal="center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1" fontId="26" fillId="0" borderId="47" xfId="0" applyNumberFormat="1" applyFont="1" applyBorder="1" applyAlignment="1" applyProtection="1">
      <alignment horizontal="center" vertical="center"/>
      <protection locked="0"/>
    </xf>
    <xf numFmtId="0" fontId="26" fillId="0" borderId="47" xfId="0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9" xfId="2" applyFont="1" applyBorder="1" applyAlignment="1" applyProtection="1">
      <alignment horizontal="center" vertical="top" wrapText="1"/>
      <protection locked="0"/>
    </xf>
    <xf numFmtId="0" fontId="9" fillId="0" borderId="10" xfId="2" applyFont="1" applyBorder="1" applyAlignment="1" applyProtection="1">
      <alignment horizontal="center" vertical="top" wrapText="1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0" fontId="9" fillId="0" borderId="23" xfId="2" applyFont="1" applyBorder="1" applyAlignment="1" applyProtection="1">
      <alignment horizontal="center" vertical="top" wrapText="1"/>
      <protection locked="0"/>
    </xf>
    <xf numFmtId="9" fontId="9" fillId="3" borderId="10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23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1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31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Border="1" applyAlignment="1" applyProtection="1">
      <alignment horizontal="center" vertical="top"/>
      <protection locked="0"/>
    </xf>
    <xf numFmtId="0" fontId="9" fillId="0" borderId="10" xfId="2" applyFont="1" applyBorder="1" applyAlignment="1" applyProtection="1">
      <alignment horizontal="center" vertical="top"/>
      <protection locked="0"/>
    </xf>
    <xf numFmtId="0" fontId="8" fillId="0" borderId="26" xfId="2" applyFont="1" applyBorder="1" applyAlignment="1" applyProtection="1">
      <alignment horizontal="left" vertical="top" wrapText="1"/>
      <protection locked="0"/>
    </xf>
    <xf numFmtId="0" fontId="8" fillId="0" borderId="27" xfId="2" applyFont="1" applyBorder="1" applyAlignment="1" applyProtection="1">
      <alignment horizontal="left" vertical="top" wrapText="1"/>
      <protection locked="0"/>
    </xf>
    <xf numFmtId="0" fontId="8" fillId="0" borderId="28" xfId="2" applyFont="1" applyBorder="1" applyAlignment="1" applyProtection="1">
      <alignment horizontal="left" vertical="top" wrapText="1"/>
      <protection locked="0"/>
    </xf>
    <xf numFmtId="0" fontId="8" fillId="0" borderId="29" xfId="2" applyFont="1" applyBorder="1" applyAlignment="1" applyProtection="1">
      <alignment horizontal="left" vertical="top" wrapText="1"/>
      <protection locked="0"/>
    </xf>
    <xf numFmtId="0" fontId="8" fillId="0" borderId="30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left" vertical="top" wrapText="1"/>
      <protection locked="0"/>
    </xf>
    <xf numFmtId="0" fontId="8" fillId="0" borderId="11" xfId="2" applyFont="1" applyBorder="1" applyAlignment="1" applyProtection="1">
      <alignment horizontal="left" vertical="top" wrapText="1"/>
      <protection locked="0"/>
    </xf>
    <xf numFmtId="0" fontId="9" fillId="0" borderId="11" xfId="2" applyFont="1" applyBorder="1" applyAlignment="1" applyProtection="1">
      <alignment horizontal="center" vertical="top" wrapText="1"/>
      <protection locked="0"/>
    </xf>
  </cellXfs>
  <cellStyles count="5">
    <cellStyle name="Excel Built-in Normal" xfId="3"/>
    <cellStyle name="Hyperlink" xfId="4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425</xdr:row>
      <xdr:rowOff>33588</xdr:rowOff>
    </xdr:from>
    <xdr:to>
      <xdr:col>5</xdr:col>
      <xdr:colOff>183639</xdr:colOff>
      <xdr:row>463</xdr:row>
      <xdr:rowOff>938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4044088"/>
          <a:ext cx="4898514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172010</xdr:colOff>
      <xdr:row>437</xdr:row>
      <xdr:rowOff>78412</xdr:rowOff>
    </xdr:from>
    <xdr:to>
      <xdr:col>2</xdr:col>
      <xdr:colOff>864534</xdr:colOff>
      <xdr:row>442</xdr:row>
      <xdr:rowOff>44794</xdr:rowOff>
    </xdr:to>
    <xdr:sp macro="" textlink="">
      <xdr:nvSpPr>
        <xdr:cNvPr id="6" name="Freeform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648510" y="86374912"/>
          <a:ext cx="692524" cy="918882"/>
        </a:xfrm>
        <a:custGeom>
          <a:avLst/>
          <a:gdLst>
            <a:gd name="connsiteX0" fmla="*/ 85725 w 742950"/>
            <a:gd name="connsiteY0" fmla="*/ 95250 h 866775"/>
            <a:gd name="connsiteX1" fmla="*/ 0 w 742950"/>
            <a:gd name="connsiteY1" fmla="*/ 733425 h 866775"/>
            <a:gd name="connsiteX2" fmla="*/ 114300 w 742950"/>
            <a:gd name="connsiteY2" fmla="*/ 866775 h 866775"/>
            <a:gd name="connsiteX3" fmla="*/ 723900 w 742950"/>
            <a:gd name="connsiteY3" fmla="*/ 190500 h 866775"/>
            <a:gd name="connsiteX4" fmla="*/ 742950 w 742950"/>
            <a:gd name="connsiteY4" fmla="*/ 152400 h 866775"/>
            <a:gd name="connsiteX5" fmla="*/ 704850 w 742950"/>
            <a:gd name="connsiteY5" fmla="*/ 104775 h 866775"/>
            <a:gd name="connsiteX6" fmla="*/ 533400 w 742950"/>
            <a:gd name="connsiteY6" fmla="*/ 9525 h 866775"/>
            <a:gd name="connsiteX7" fmla="*/ 209550 w 742950"/>
            <a:gd name="connsiteY7" fmla="*/ 0 h 866775"/>
            <a:gd name="connsiteX8" fmla="*/ 85725 w 742950"/>
            <a:gd name="connsiteY8" fmla="*/ 95250 h 8667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742950" h="866775">
              <a:moveTo>
                <a:pt x="85725" y="95250"/>
              </a:moveTo>
              <a:lnTo>
                <a:pt x="0" y="733425"/>
              </a:lnTo>
              <a:lnTo>
                <a:pt x="114300" y="866775"/>
              </a:lnTo>
              <a:lnTo>
                <a:pt x="723900" y="190500"/>
              </a:lnTo>
              <a:lnTo>
                <a:pt x="742950" y="152400"/>
              </a:lnTo>
              <a:lnTo>
                <a:pt x="704850" y="104775"/>
              </a:lnTo>
              <a:lnTo>
                <a:pt x="533400" y="9525"/>
              </a:lnTo>
              <a:lnTo>
                <a:pt x="209550" y="0"/>
              </a:lnTo>
              <a:lnTo>
                <a:pt x="85725" y="95250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655543</xdr:colOff>
      <xdr:row>432</xdr:row>
      <xdr:rowOff>168059</xdr:rowOff>
    </xdr:from>
    <xdr:to>
      <xdr:col>2</xdr:col>
      <xdr:colOff>934173</xdr:colOff>
      <xdr:row>434</xdr:row>
      <xdr:rowOff>161200</xdr:rowOff>
    </xdr:to>
    <xdr:sp macro="" textlink="">
      <xdr:nvSpPr>
        <xdr:cNvPr id="7" name="TextBox 16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969993" y="85512059"/>
          <a:ext cx="1440680" cy="374141"/>
        </a:xfrm>
        <a:prstGeom prst="rect">
          <a:avLst/>
        </a:prstGeom>
        <a:noFill/>
        <a:ln>
          <a:noFill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ln>
                <a:noFill/>
              </a:ln>
              <a:solidFill>
                <a:srgbClr val="C00000"/>
              </a:solidFill>
            </a:rPr>
            <a:t>Liana </a:t>
          </a:r>
          <a:endParaRPr lang="en-IN" b="1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1117786</xdr:colOff>
      <xdr:row>434</xdr:row>
      <xdr:rowOff>92419</xdr:rowOff>
    </xdr:from>
    <xdr:to>
      <xdr:col>2</xdr:col>
      <xdr:colOff>289111</xdr:colOff>
      <xdr:row>438</xdr:row>
      <xdr:rowOff>25744</xdr:rowOff>
    </xdr:to>
    <xdr:cxnSp macro="">
      <xdr:nvCxnSpPr>
        <xdr:cNvPr id="8" name="Straight Arrow Connector 7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2432236" y="85817419"/>
          <a:ext cx="333375" cy="695325"/>
        </a:xfrm>
        <a:prstGeom prst="straightConnector1">
          <a:avLst/>
        </a:prstGeom>
        <a:ln w="952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153520</xdr:colOff>
      <xdr:row>427</xdr:row>
      <xdr:rowOff>11177</xdr:rowOff>
    </xdr:from>
    <xdr:to>
      <xdr:col>3</xdr:col>
      <xdr:colOff>932328</xdr:colOff>
      <xdr:row>430</xdr:row>
      <xdr:rowOff>56000</xdr:rowOff>
    </xdr:to>
    <xdr:sp macro="" textlink="">
      <xdr:nvSpPr>
        <xdr:cNvPr id="9" name="Freeform 8"/>
        <xdr:cNvSpPr/>
      </xdr:nvSpPr>
      <xdr:spPr>
        <a:xfrm>
          <a:off x="3572995" y="84402677"/>
          <a:ext cx="778808" cy="616323"/>
        </a:xfrm>
        <a:custGeom>
          <a:avLst/>
          <a:gdLst>
            <a:gd name="connsiteX0" fmla="*/ 89647 w 829235"/>
            <a:gd name="connsiteY0" fmla="*/ 324970 h 616323"/>
            <a:gd name="connsiteX1" fmla="*/ 571500 w 829235"/>
            <a:gd name="connsiteY1" fmla="*/ 0 h 616323"/>
            <a:gd name="connsiteX2" fmla="*/ 829235 w 829235"/>
            <a:gd name="connsiteY2" fmla="*/ 582705 h 616323"/>
            <a:gd name="connsiteX3" fmla="*/ 829235 w 829235"/>
            <a:gd name="connsiteY3" fmla="*/ 582705 h 616323"/>
            <a:gd name="connsiteX4" fmla="*/ 762000 w 829235"/>
            <a:gd name="connsiteY4" fmla="*/ 616323 h 616323"/>
            <a:gd name="connsiteX5" fmla="*/ 0 w 829235"/>
            <a:gd name="connsiteY5" fmla="*/ 470647 h 616323"/>
            <a:gd name="connsiteX6" fmla="*/ 89647 w 829235"/>
            <a:gd name="connsiteY6" fmla="*/ 324970 h 6163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829235" h="616323">
              <a:moveTo>
                <a:pt x="89647" y="324970"/>
              </a:moveTo>
              <a:lnTo>
                <a:pt x="571500" y="0"/>
              </a:lnTo>
              <a:lnTo>
                <a:pt x="829235" y="582705"/>
              </a:lnTo>
              <a:lnTo>
                <a:pt x="829235" y="582705"/>
              </a:lnTo>
              <a:lnTo>
                <a:pt x="762000" y="616323"/>
              </a:lnTo>
              <a:lnTo>
                <a:pt x="0" y="470647"/>
              </a:lnTo>
              <a:lnTo>
                <a:pt x="89647" y="324970"/>
              </a:lnTo>
              <a:close/>
            </a:path>
          </a:pathLst>
        </a:cu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491351</xdr:colOff>
      <xdr:row>430</xdr:row>
      <xdr:rowOff>31057</xdr:rowOff>
    </xdr:from>
    <xdr:to>
      <xdr:col>3</xdr:col>
      <xdr:colOff>636997</xdr:colOff>
      <xdr:row>434</xdr:row>
      <xdr:rowOff>57217</xdr:rowOff>
    </xdr:to>
    <xdr:sp macro="" textlink="">
      <xdr:nvSpPr>
        <xdr:cNvPr id="10" name="Rectangle 9"/>
        <xdr:cNvSpPr/>
      </xdr:nvSpPr>
      <xdr:spPr>
        <a:xfrm rot="2053423">
          <a:off x="3910826" y="84994057"/>
          <a:ext cx="145646" cy="788160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508630</xdr:colOff>
      <xdr:row>433</xdr:row>
      <xdr:rowOff>160330</xdr:rowOff>
    </xdr:from>
    <xdr:to>
      <xdr:col>3</xdr:col>
      <xdr:colOff>781242</xdr:colOff>
      <xdr:row>438</xdr:row>
      <xdr:rowOff>186606</xdr:rowOff>
    </xdr:to>
    <xdr:sp macro="" textlink="">
      <xdr:nvSpPr>
        <xdr:cNvPr id="11" name="Freeform 10"/>
        <xdr:cNvSpPr/>
      </xdr:nvSpPr>
      <xdr:spPr>
        <a:xfrm>
          <a:off x="3928105" y="85694830"/>
          <a:ext cx="272612" cy="978776"/>
        </a:xfrm>
        <a:custGeom>
          <a:avLst/>
          <a:gdLst>
            <a:gd name="connsiteX0" fmla="*/ 164224 w 321879"/>
            <a:gd name="connsiteY0" fmla="*/ 13138 h 978776"/>
            <a:gd name="connsiteX1" fmla="*/ 0 w 321879"/>
            <a:gd name="connsiteY1" fmla="*/ 243052 h 978776"/>
            <a:gd name="connsiteX2" fmla="*/ 39414 w 321879"/>
            <a:gd name="connsiteY2" fmla="*/ 959069 h 978776"/>
            <a:gd name="connsiteX3" fmla="*/ 131379 w 321879"/>
            <a:gd name="connsiteY3" fmla="*/ 978776 h 978776"/>
            <a:gd name="connsiteX4" fmla="*/ 321879 w 321879"/>
            <a:gd name="connsiteY4" fmla="*/ 978776 h 978776"/>
            <a:gd name="connsiteX5" fmla="*/ 295603 w 321879"/>
            <a:gd name="connsiteY5" fmla="*/ 0 h 978776"/>
            <a:gd name="connsiteX6" fmla="*/ 164224 w 321879"/>
            <a:gd name="connsiteY6" fmla="*/ 13138 h 97877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21879" h="978776">
              <a:moveTo>
                <a:pt x="164224" y="13138"/>
              </a:moveTo>
              <a:lnTo>
                <a:pt x="0" y="243052"/>
              </a:lnTo>
              <a:lnTo>
                <a:pt x="39414" y="959069"/>
              </a:lnTo>
              <a:lnTo>
                <a:pt x="131379" y="978776"/>
              </a:lnTo>
              <a:lnTo>
                <a:pt x="321879" y="978776"/>
              </a:lnTo>
              <a:lnTo>
                <a:pt x="295603" y="0"/>
              </a:lnTo>
              <a:lnTo>
                <a:pt x="164224" y="13138"/>
              </a:lnTo>
              <a:close/>
            </a:path>
          </a:pathLst>
        </a:cu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994033</xdr:colOff>
      <xdr:row>429</xdr:row>
      <xdr:rowOff>22381</xdr:rowOff>
    </xdr:from>
    <xdr:ext cx="670505" cy="374141"/>
    <xdr:sp macro="" textlink="">
      <xdr:nvSpPr>
        <xdr:cNvPr id="12" name="TextBox 11"/>
        <xdr:cNvSpPr txBox="1"/>
      </xdr:nvSpPr>
      <xdr:spPr>
        <a:xfrm>
          <a:off x="4413508" y="84794881"/>
          <a:ext cx="6705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 kern="1200">
              <a:ln>
                <a:solidFill>
                  <a:srgbClr val="7030A0"/>
                </a:solidFill>
              </a:ln>
              <a:solidFill>
                <a:srgbClr val="FF0000"/>
              </a:solidFill>
              <a:latin typeface="+mn-lt"/>
              <a:ea typeface="+mn-ea"/>
              <a:cs typeface="+mn-cs"/>
            </a:rPr>
            <a:t>Ruby</a:t>
          </a:r>
        </a:p>
      </xdr:txBody>
    </xdr:sp>
    <xdr:clientData/>
  </xdr:oneCellAnchor>
  <xdr:oneCellAnchor>
    <xdr:from>
      <xdr:col>3</xdr:col>
      <xdr:colOff>1032020</xdr:colOff>
      <xdr:row>425</xdr:row>
      <xdr:rowOff>0</xdr:rowOff>
    </xdr:from>
    <xdr:ext cx="635302" cy="374141"/>
    <xdr:sp macro="" textlink="">
      <xdr:nvSpPr>
        <xdr:cNvPr id="13" name="TextBox 12"/>
        <xdr:cNvSpPr txBox="1"/>
      </xdr:nvSpPr>
      <xdr:spPr>
        <a:xfrm>
          <a:off x="4451495" y="84010500"/>
          <a:ext cx="635302" cy="374141"/>
        </a:xfrm>
        <a:prstGeom prst="rect">
          <a:avLst/>
        </a:prstGeom>
        <a:noFill/>
      </xdr:spPr>
      <xdr:txBody>
        <a:bodyPr wrap="square">
          <a:spAutoFit/>
        </a:bodyPr>
        <a:lstStyle/>
        <a:p>
          <a:pPr marL="0" indent="0" algn="l" defTabSz="914400" rtl="0" eaLnBrk="1" latinLnBrk="0" hangingPunct="1"/>
          <a:r>
            <a:rPr lang="en-IN" sz="1800" b="1" kern="1200">
              <a:ln>
                <a:solidFill>
                  <a:srgbClr val="7030A0"/>
                </a:solidFill>
              </a:ln>
              <a:solidFill>
                <a:srgbClr val="FF0000"/>
              </a:solidFill>
              <a:latin typeface="+mn-lt"/>
              <a:ea typeface="+mn-ea"/>
              <a:cs typeface="+mn-cs"/>
            </a:rPr>
            <a:t>Opal</a:t>
          </a:r>
        </a:p>
      </xdr:txBody>
    </xdr:sp>
    <xdr:clientData/>
  </xdr:oneCellAnchor>
  <xdr:oneCellAnchor>
    <xdr:from>
      <xdr:col>4</xdr:col>
      <xdr:colOff>12166</xdr:colOff>
      <xdr:row>439</xdr:row>
      <xdr:rowOff>56350</xdr:rowOff>
    </xdr:from>
    <xdr:ext cx="678519" cy="374141"/>
    <xdr:sp macro="" textlink="">
      <xdr:nvSpPr>
        <xdr:cNvPr id="14" name="TextBox 13"/>
        <xdr:cNvSpPr txBox="1"/>
      </xdr:nvSpPr>
      <xdr:spPr>
        <a:xfrm>
          <a:off x="4669891" y="86733850"/>
          <a:ext cx="678519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 kern="1200">
              <a:ln>
                <a:solidFill>
                  <a:srgbClr val="7030A0"/>
                </a:solidFill>
              </a:ln>
              <a:solidFill>
                <a:srgbClr val="FF0000"/>
              </a:solidFill>
              <a:latin typeface="+mn-lt"/>
              <a:ea typeface="+mn-ea"/>
              <a:cs typeface="+mn-cs"/>
            </a:rPr>
            <a:t>Coral</a:t>
          </a:r>
        </a:p>
      </xdr:txBody>
    </xdr:sp>
    <xdr:clientData/>
  </xdr:oneCellAnchor>
  <xdr:twoCellAnchor>
    <xdr:from>
      <xdr:col>3</xdr:col>
      <xdr:colOff>708211</xdr:colOff>
      <xdr:row>426</xdr:row>
      <xdr:rowOff>89618</xdr:rowOff>
    </xdr:from>
    <xdr:to>
      <xdr:col>3</xdr:col>
      <xdr:colOff>1201269</xdr:colOff>
      <xdr:row>428</xdr:row>
      <xdr:rowOff>33588</xdr:rowOff>
    </xdr:to>
    <xdr:cxnSp macro="">
      <xdr:nvCxnSpPr>
        <xdr:cNvPr id="15" name="Straight Arrow Connector 14"/>
        <xdr:cNvCxnSpPr/>
      </xdr:nvCxnSpPr>
      <xdr:spPr>
        <a:xfrm flipH="1">
          <a:off x="4127686" y="84290618"/>
          <a:ext cx="493058" cy="324970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703729</xdr:colOff>
      <xdr:row>430</xdr:row>
      <xdr:rowOff>123235</xdr:rowOff>
    </xdr:from>
    <xdr:to>
      <xdr:col>3</xdr:col>
      <xdr:colOff>1214156</xdr:colOff>
      <xdr:row>431</xdr:row>
      <xdr:rowOff>174782</xdr:rowOff>
    </xdr:to>
    <xdr:cxnSp macro="">
      <xdr:nvCxnSpPr>
        <xdr:cNvPr id="16" name="Straight Arrow Connector 15"/>
        <xdr:cNvCxnSpPr/>
      </xdr:nvCxnSpPr>
      <xdr:spPr>
        <a:xfrm flipH="1">
          <a:off x="4123204" y="85086235"/>
          <a:ext cx="510427" cy="24204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800099</xdr:colOff>
      <xdr:row>438</xdr:row>
      <xdr:rowOff>47035</xdr:rowOff>
    </xdr:from>
    <xdr:to>
      <xdr:col>4</xdr:col>
      <xdr:colOff>125505</xdr:colOff>
      <xdr:row>440</xdr:row>
      <xdr:rowOff>89618</xdr:rowOff>
    </xdr:to>
    <xdr:cxnSp macro="">
      <xdr:nvCxnSpPr>
        <xdr:cNvPr id="17" name="Straight Arrow Connector 16"/>
        <xdr:cNvCxnSpPr/>
      </xdr:nvCxnSpPr>
      <xdr:spPr>
        <a:xfrm flipH="1" flipV="1">
          <a:off x="4219574" y="86534035"/>
          <a:ext cx="563656" cy="423583"/>
        </a:xfrm>
        <a:prstGeom prst="straightConnector1">
          <a:avLst/>
        </a:prstGeom>
        <a:ln w="28575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274546</xdr:colOff>
      <xdr:row>491</xdr:row>
      <xdr:rowOff>119342</xdr:rowOff>
    </xdr:from>
    <xdr:to>
      <xdr:col>4</xdr:col>
      <xdr:colOff>865781</xdr:colOff>
      <xdr:row>502</xdr:row>
      <xdr:rowOff>183842</xdr:rowOff>
    </xdr:to>
    <xdr:pic>
      <xdr:nvPicPr>
        <xdr:cNvPr id="18" name="Picture 17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8996" y="96702842"/>
          <a:ext cx="393451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1085850</xdr:colOff>
      <xdr:row>472</xdr:row>
      <xdr:rowOff>0</xdr:rowOff>
    </xdr:from>
    <xdr:to>
      <xdr:col>5</xdr:col>
      <xdr:colOff>260106</xdr:colOff>
      <xdr:row>490</xdr:row>
      <xdr:rowOff>171000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92964000"/>
          <a:ext cx="485115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715329</xdr:colOff>
      <xdr:row>477</xdr:row>
      <xdr:rowOff>182656</xdr:rowOff>
    </xdr:from>
    <xdr:to>
      <xdr:col>4</xdr:col>
      <xdr:colOff>349065</xdr:colOff>
      <xdr:row>481</xdr:row>
      <xdr:rowOff>171449</xdr:rowOff>
    </xdr:to>
    <xdr:sp macro="" textlink="">
      <xdr:nvSpPr>
        <xdr:cNvPr id="20" name="Rectangle 19"/>
        <xdr:cNvSpPr/>
      </xdr:nvSpPr>
      <xdr:spPr>
        <a:xfrm>
          <a:off x="3191829" y="94099156"/>
          <a:ext cx="1814961" cy="75079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409576</xdr:colOff>
      <xdr:row>378</xdr:row>
      <xdr:rowOff>161925</xdr:rowOff>
    </xdr:from>
    <xdr:to>
      <xdr:col>5</xdr:col>
      <xdr:colOff>1382887</xdr:colOff>
      <xdr:row>413</xdr:row>
      <xdr:rowOff>48852</xdr:rowOff>
    </xdr:to>
    <xdr:grpSp>
      <xdr:nvGrpSpPr>
        <xdr:cNvPr id="2" name="Group 1"/>
        <xdr:cNvGrpSpPr/>
      </xdr:nvGrpSpPr>
      <xdr:grpSpPr>
        <a:xfrm>
          <a:off x="409576" y="73275825"/>
          <a:ext cx="6259686" cy="6554427"/>
          <a:chOff x="409576" y="73275825"/>
          <a:chExt cx="6259686" cy="6554427"/>
        </a:xfrm>
      </xdr:grpSpPr>
      <xdr:grpSp>
        <xdr:nvGrpSpPr>
          <xdr:cNvPr id="21" name="Group 20"/>
          <xdr:cNvGrpSpPr/>
        </xdr:nvGrpSpPr>
        <xdr:grpSpPr>
          <a:xfrm>
            <a:off x="598647" y="77667531"/>
            <a:ext cx="5834404" cy="2162721"/>
            <a:chOff x="7800" y="77990020"/>
            <a:chExt cx="5840968" cy="2162721"/>
          </a:xfrm>
        </xdr:grpSpPr>
        <xdr:pic>
          <xdr:nvPicPr>
            <xdr:cNvPr id="46" name="Picture 45" descr="https://vsjcllp.vsjadon.com/upload/insp-240945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71435" y="77990020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 descr="https://vsjcllp.vsjadon.com/upload/insp-240945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00" y="77992741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5" name="Picture 24" descr="https://vsjcllp.vsjadon.com/upload/insp-237770-847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8652"/>
          <a:stretch/>
        </xdr:blipFill>
        <xdr:spPr bwMode="auto">
          <a:xfrm>
            <a:off x="409576" y="73275825"/>
            <a:ext cx="6259686" cy="43243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o.gl/maps/6UYgXR3QWjs76mEz9" TargetMode="External"/><Relationship Id="rId1" Type="http://schemas.openxmlformats.org/officeDocument/2006/relationships/hyperlink" Target="mailto:vsjc.apf@gmail.co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2"/>
  <sheetViews>
    <sheetView tabSelected="1" showWhiteSpace="0" view="pageBreakPreview" zoomScaleNormal="100" zoomScaleSheetLayoutView="100" workbookViewId="0">
      <selection activeCell="I402" sqref="I402"/>
    </sheetView>
  </sheetViews>
  <sheetFormatPr defaultRowHeight="15" x14ac:dyDescent="0.25"/>
  <cols>
    <col min="1" max="1" width="18.28515625" style="49" customWidth="1"/>
    <col min="2" max="2" width="16.28515625" customWidth="1"/>
    <col min="3" max="3" width="13.140625" customWidth="1"/>
    <col min="4" max="4" width="17.28515625" customWidth="1"/>
    <col min="5" max="5" width="14.28515625" customWidth="1"/>
    <col min="6" max="6" width="24.5703125" customWidth="1"/>
    <col min="7" max="7" width="13.28515625" customWidth="1"/>
    <col min="9" max="9" width="23.5703125" customWidth="1"/>
  </cols>
  <sheetData>
    <row r="1" spans="1:12" x14ac:dyDescent="0.25">
      <c r="A1" s="313" t="s">
        <v>0</v>
      </c>
      <c r="B1" s="314"/>
      <c r="C1" s="314"/>
      <c r="D1" s="314"/>
      <c r="E1" s="314"/>
      <c r="F1" s="315"/>
      <c r="G1" s="58"/>
      <c r="H1" s="58"/>
      <c r="I1" s="58"/>
      <c r="J1" s="58"/>
      <c r="K1" s="58"/>
      <c r="L1" s="58"/>
    </row>
    <row r="2" spans="1:12" ht="32.1" customHeight="1" x14ac:dyDescent="0.25">
      <c r="A2" s="126" t="s">
        <v>67</v>
      </c>
      <c r="B2" s="316" t="s">
        <v>356</v>
      </c>
      <c r="C2" s="316"/>
      <c r="D2" s="316"/>
      <c r="E2" s="63" t="s">
        <v>1</v>
      </c>
      <c r="F2" s="127" t="s">
        <v>285</v>
      </c>
      <c r="G2" s="58"/>
      <c r="H2" s="58"/>
      <c r="I2" s="58"/>
      <c r="J2" s="58"/>
      <c r="K2" s="58"/>
      <c r="L2" s="58"/>
    </row>
    <row r="3" spans="1:12" x14ac:dyDescent="0.25">
      <c r="A3" s="317" t="s">
        <v>68</v>
      </c>
      <c r="B3" s="318"/>
      <c r="C3" s="318"/>
      <c r="D3" s="318"/>
      <c r="E3" s="318"/>
      <c r="F3" s="319"/>
      <c r="G3" s="58"/>
      <c r="H3" s="58"/>
      <c r="I3" s="58"/>
      <c r="J3" s="58"/>
      <c r="K3" s="58"/>
      <c r="L3" s="58"/>
    </row>
    <row r="4" spans="1:12" ht="15" customHeight="1" x14ac:dyDescent="0.25">
      <c r="A4" s="320" t="s">
        <v>74</v>
      </c>
      <c r="B4" s="321"/>
      <c r="C4" s="327" t="s">
        <v>242</v>
      </c>
      <c r="D4" s="328"/>
      <c r="E4" s="328"/>
      <c r="F4" s="329"/>
      <c r="G4" s="58"/>
      <c r="H4" s="58"/>
      <c r="I4" s="58"/>
      <c r="J4" s="58"/>
      <c r="K4" s="58"/>
      <c r="L4" s="58"/>
    </row>
    <row r="5" spans="1:12" ht="15" customHeight="1" x14ac:dyDescent="0.25">
      <c r="A5" s="330" t="s">
        <v>69</v>
      </c>
      <c r="B5" s="331"/>
      <c r="C5" s="327" t="s">
        <v>243</v>
      </c>
      <c r="D5" s="328"/>
      <c r="E5" s="328"/>
      <c r="F5" s="329"/>
      <c r="G5" s="58"/>
      <c r="H5" s="58"/>
      <c r="I5" s="58"/>
      <c r="J5" s="58"/>
      <c r="K5" s="58"/>
      <c r="L5" s="58"/>
    </row>
    <row r="6" spans="1:12" ht="15" customHeight="1" x14ac:dyDescent="0.25">
      <c r="A6" s="332" t="s">
        <v>70</v>
      </c>
      <c r="B6" s="333"/>
      <c r="C6" s="334" t="s">
        <v>244</v>
      </c>
      <c r="D6" s="335"/>
      <c r="E6" s="335"/>
      <c r="F6" s="336"/>
      <c r="G6" s="58"/>
      <c r="H6" s="58"/>
      <c r="I6" s="58"/>
      <c r="J6" s="58"/>
      <c r="K6" s="58"/>
      <c r="L6" s="58"/>
    </row>
    <row r="7" spans="1:12" ht="15" customHeight="1" x14ac:dyDescent="0.25">
      <c r="A7" s="332" t="s">
        <v>73</v>
      </c>
      <c r="B7" s="333"/>
      <c r="C7" s="327" t="s">
        <v>245</v>
      </c>
      <c r="D7" s="328"/>
      <c r="E7" s="328"/>
      <c r="F7" s="329"/>
      <c r="G7" s="58"/>
      <c r="H7" s="58"/>
      <c r="I7" s="58"/>
      <c r="J7" s="58"/>
      <c r="K7" s="58"/>
      <c r="L7" s="58"/>
    </row>
    <row r="8" spans="1:12" ht="15" customHeight="1" x14ac:dyDescent="0.25">
      <c r="A8" s="332" t="s">
        <v>71</v>
      </c>
      <c r="B8" s="333"/>
      <c r="C8" s="327"/>
      <c r="D8" s="328"/>
      <c r="E8" s="328"/>
      <c r="F8" s="329"/>
      <c r="G8" s="58"/>
      <c r="H8" s="58"/>
      <c r="I8" s="58"/>
      <c r="J8" s="58"/>
      <c r="K8" s="58"/>
      <c r="L8" s="58"/>
    </row>
    <row r="9" spans="1:12" ht="33" customHeight="1" x14ac:dyDescent="0.25">
      <c r="A9" s="332" t="s">
        <v>72</v>
      </c>
      <c r="B9" s="333"/>
      <c r="C9" s="327" t="s">
        <v>286</v>
      </c>
      <c r="D9" s="328"/>
      <c r="E9" s="328"/>
      <c r="F9" s="329"/>
      <c r="G9" s="58"/>
      <c r="H9" s="58"/>
      <c r="I9" s="101"/>
      <c r="J9" s="101"/>
      <c r="K9" s="101"/>
      <c r="L9" s="101"/>
    </row>
    <row r="10" spans="1:12" x14ac:dyDescent="0.25">
      <c r="A10" s="317" t="s">
        <v>75</v>
      </c>
      <c r="B10" s="318"/>
      <c r="C10" s="318"/>
      <c r="D10" s="318"/>
      <c r="E10" s="318"/>
      <c r="F10" s="319"/>
      <c r="G10" s="58"/>
      <c r="H10" s="58"/>
      <c r="I10" s="101"/>
      <c r="J10" s="101"/>
      <c r="K10" s="101"/>
      <c r="L10" s="101"/>
    </row>
    <row r="11" spans="1:12" ht="24" x14ac:dyDescent="0.25">
      <c r="A11" s="128" t="s">
        <v>79</v>
      </c>
      <c r="B11" s="123">
        <v>45855</v>
      </c>
      <c r="C11" s="122" t="s">
        <v>92</v>
      </c>
      <c r="D11" s="124" t="s">
        <v>367</v>
      </c>
      <c r="E11" s="122" t="s">
        <v>279</v>
      </c>
      <c r="F11" s="129">
        <v>45150</v>
      </c>
      <c r="G11" s="58"/>
      <c r="H11" s="58"/>
      <c r="I11" s="102"/>
      <c r="J11" s="102"/>
      <c r="K11" s="102"/>
      <c r="L11" s="102"/>
    </row>
    <row r="12" spans="1:12" x14ac:dyDescent="0.25">
      <c r="A12" s="128" t="s">
        <v>80</v>
      </c>
      <c r="B12" s="123">
        <v>45855</v>
      </c>
      <c r="C12" s="321" t="s">
        <v>93</v>
      </c>
      <c r="D12" s="321"/>
      <c r="E12" s="348" t="s">
        <v>368</v>
      </c>
      <c r="F12" s="349"/>
      <c r="G12" s="58"/>
      <c r="H12" s="58"/>
      <c r="I12" s="354"/>
      <c r="J12" s="354"/>
      <c r="K12" s="102"/>
      <c r="L12" s="102"/>
    </row>
    <row r="13" spans="1:12" x14ac:dyDescent="0.25">
      <c r="A13" s="128" t="s">
        <v>81</v>
      </c>
      <c r="B13" s="123" t="str">
        <f ca="1">TEXT(TODAY(),"DD/MM/YYYY")</f>
        <v>17/07/2025</v>
      </c>
      <c r="C13" s="321" t="s">
        <v>94</v>
      </c>
      <c r="D13" s="321"/>
      <c r="E13" s="350" t="s">
        <v>372</v>
      </c>
      <c r="F13" s="351"/>
      <c r="G13" s="58"/>
      <c r="H13" s="58"/>
      <c r="I13" s="354"/>
      <c r="J13" s="354"/>
      <c r="K13" s="102"/>
      <c r="L13" s="102"/>
    </row>
    <row r="14" spans="1:12" x14ac:dyDescent="0.25">
      <c r="A14" s="324" t="s">
        <v>76</v>
      </c>
      <c r="B14" s="325"/>
      <c r="C14" s="325"/>
      <c r="D14" s="325"/>
      <c r="E14" s="325"/>
      <c r="F14" s="326"/>
      <c r="G14" s="58"/>
      <c r="H14" s="58"/>
      <c r="I14" s="101"/>
      <c r="J14" s="101"/>
      <c r="K14" s="101"/>
      <c r="L14" s="101"/>
    </row>
    <row r="15" spans="1:12" ht="26.1" customHeight="1" x14ac:dyDescent="0.25">
      <c r="A15" s="175" t="s">
        <v>77</v>
      </c>
      <c r="B15" s="176"/>
      <c r="C15" s="203" t="s">
        <v>287</v>
      </c>
      <c r="D15" s="203"/>
      <c r="E15" s="203"/>
      <c r="F15" s="204"/>
      <c r="G15" s="58"/>
      <c r="H15" s="58"/>
      <c r="I15" s="101"/>
      <c r="J15" s="101"/>
      <c r="K15" s="101"/>
      <c r="L15" s="101"/>
    </row>
    <row r="16" spans="1:12" x14ac:dyDescent="0.25">
      <c r="A16" s="324" t="s">
        <v>78</v>
      </c>
      <c r="B16" s="325"/>
      <c r="C16" s="325"/>
      <c r="D16" s="325"/>
      <c r="E16" s="325"/>
      <c r="F16" s="326"/>
      <c r="G16" s="58"/>
      <c r="H16" s="58"/>
      <c r="I16" s="101"/>
      <c r="J16" s="101"/>
      <c r="K16" s="101"/>
      <c r="L16" s="101"/>
    </row>
    <row r="17" spans="1:12" x14ac:dyDescent="0.25">
      <c r="A17" s="130" t="s">
        <v>67</v>
      </c>
      <c r="B17" s="344" t="s">
        <v>342</v>
      </c>
      <c r="C17" s="345"/>
      <c r="D17" s="345"/>
      <c r="E17" s="345"/>
      <c r="F17" s="346"/>
      <c r="G17" s="58"/>
      <c r="H17" s="58"/>
      <c r="I17" s="101"/>
      <c r="J17" s="101"/>
      <c r="K17" s="101"/>
      <c r="L17" s="101"/>
    </row>
    <row r="18" spans="1:12" x14ac:dyDescent="0.25">
      <c r="A18" s="130" t="s">
        <v>86</v>
      </c>
      <c r="B18" s="344" t="s">
        <v>288</v>
      </c>
      <c r="C18" s="345"/>
      <c r="D18" s="345"/>
      <c r="E18" s="345"/>
      <c r="F18" s="346"/>
      <c r="G18" s="58"/>
      <c r="H18" s="58"/>
      <c r="I18" s="101"/>
      <c r="J18" s="103"/>
      <c r="K18" s="101"/>
      <c r="L18" s="101"/>
    </row>
    <row r="19" spans="1:12" ht="28.5" customHeight="1" x14ac:dyDescent="0.25">
      <c r="A19" s="130" t="s">
        <v>82</v>
      </c>
      <c r="B19" s="337" t="s">
        <v>289</v>
      </c>
      <c r="C19" s="337"/>
      <c r="D19" s="72" t="s">
        <v>248</v>
      </c>
      <c r="E19" s="337" t="s">
        <v>290</v>
      </c>
      <c r="F19" s="347"/>
      <c r="G19" s="58"/>
      <c r="H19" s="58"/>
      <c r="I19" s="101"/>
      <c r="J19" s="103"/>
      <c r="K19" s="101"/>
      <c r="L19" s="101"/>
    </row>
    <row r="20" spans="1:12" x14ac:dyDescent="0.25">
      <c r="A20" s="130" t="s">
        <v>249</v>
      </c>
      <c r="B20" s="337" t="s">
        <v>291</v>
      </c>
      <c r="C20" s="337"/>
      <c r="D20" s="72" t="s">
        <v>87</v>
      </c>
      <c r="E20" s="337" t="s">
        <v>295</v>
      </c>
      <c r="F20" s="347"/>
      <c r="G20" s="58"/>
      <c r="H20" s="58"/>
      <c r="I20" s="101"/>
      <c r="J20" s="103"/>
      <c r="K20" s="101"/>
      <c r="L20" s="58"/>
    </row>
    <row r="21" spans="1:12" x14ac:dyDescent="0.25">
      <c r="A21" s="130" t="s">
        <v>247</v>
      </c>
      <c r="B21" s="337" t="s">
        <v>292</v>
      </c>
      <c r="C21" s="337"/>
      <c r="D21" s="72" t="s">
        <v>88</v>
      </c>
      <c r="E21" s="337" t="s">
        <v>296</v>
      </c>
      <c r="F21" s="347"/>
      <c r="G21" s="58"/>
      <c r="H21" s="58"/>
      <c r="I21" s="101"/>
      <c r="J21" s="103"/>
      <c r="K21" s="101"/>
      <c r="L21" s="58"/>
    </row>
    <row r="22" spans="1:12" x14ac:dyDescent="0.25">
      <c r="A22" s="130" t="s">
        <v>83</v>
      </c>
      <c r="B22" s="337" t="s">
        <v>231</v>
      </c>
      <c r="C22" s="337"/>
      <c r="D22" s="72" t="s">
        <v>89</v>
      </c>
      <c r="E22" s="337" t="s">
        <v>232</v>
      </c>
      <c r="F22" s="347"/>
      <c r="G22" s="58"/>
      <c r="H22" s="58"/>
      <c r="I22" s="101"/>
      <c r="J22" s="103"/>
      <c r="K22" s="101"/>
      <c r="L22" s="58"/>
    </row>
    <row r="23" spans="1:12" x14ac:dyDescent="0.25">
      <c r="A23" s="130" t="s">
        <v>84</v>
      </c>
      <c r="B23" s="337">
        <v>421203</v>
      </c>
      <c r="C23" s="337"/>
      <c r="D23" s="72" t="s">
        <v>90</v>
      </c>
      <c r="E23" s="337" t="s">
        <v>294</v>
      </c>
      <c r="F23" s="347"/>
      <c r="G23" s="58"/>
      <c r="H23" s="58"/>
      <c r="I23" s="101"/>
      <c r="J23" s="103"/>
      <c r="K23" s="101"/>
      <c r="L23" s="58"/>
    </row>
    <row r="24" spans="1:12" x14ac:dyDescent="0.25">
      <c r="A24" s="130" t="s">
        <v>252</v>
      </c>
      <c r="B24" s="362" t="s">
        <v>293</v>
      </c>
      <c r="C24" s="345"/>
      <c r="D24" s="345"/>
      <c r="E24" s="345"/>
      <c r="F24" s="346"/>
      <c r="G24" s="58"/>
      <c r="H24" s="58"/>
      <c r="I24" s="101"/>
      <c r="J24" s="103"/>
      <c r="K24" s="101"/>
      <c r="L24" s="58"/>
    </row>
    <row r="25" spans="1:12" ht="50.25" customHeight="1" x14ac:dyDescent="0.25">
      <c r="A25" s="130" t="s">
        <v>85</v>
      </c>
      <c r="B25" s="353" t="s">
        <v>297</v>
      </c>
      <c r="C25" s="353"/>
      <c r="D25" s="72" t="s">
        <v>91</v>
      </c>
      <c r="E25" s="337" t="s">
        <v>298</v>
      </c>
      <c r="F25" s="347"/>
      <c r="G25" s="58"/>
      <c r="H25" s="58"/>
      <c r="I25" s="101"/>
      <c r="J25" s="103"/>
      <c r="K25" s="101"/>
      <c r="L25" s="58"/>
    </row>
    <row r="26" spans="1:12" x14ac:dyDescent="0.25">
      <c r="A26" s="324" t="s">
        <v>101</v>
      </c>
      <c r="B26" s="325"/>
      <c r="C26" s="325"/>
      <c r="D26" s="325"/>
      <c r="E26" s="325"/>
      <c r="F26" s="326"/>
      <c r="G26" s="58"/>
      <c r="H26" s="58"/>
      <c r="I26" s="101"/>
      <c r="J26" s="101"/>
      <c r="K26" s="101"/>
      <c r="L26" s="58"/>
    </row>
    <row r="27" spans="1:12" x14ac:dyDescent="0.25">
      <c r="A27" s="343"/>
      <c r="B27" s="282"/>
      <c r="C27" s="48" t="s">
        <v>95</v>
      </c>
      <c r="D27" s="48" t="s">
        <v>96</v>
      </c>
      <c r="E27" s="48" t="s">
        <v>97</v>
      </c>
      <c r="F27" s="131" t="s">
        <v>98</v>
      </c>
      <c r="G27" s="58"/>
      <c r="H27" s="58"/>
      <c r="I27" s="101"/>
      <c r="J27" s="101"/>
      <c r="K27" s="101"/>
      <c r="L27" s="58"/>
    </row>
    <row r="28" spans="1:12" ht="30" customHeight="1" x14ac:dyDescent="0.25">
      <c r="A28" s="343" t="s">
        <v>99</v>
      </c>
      <c r="B28" s="282"/>
      <c r="C28" s="121" t="s">
        <v>246</v>
      </c>
      <c r="D28" s="121" t="s">
        <v>246</v>
      </c>
      <c r="E28" s="121" t="s">
        <v>246</v>
      </c>
      <c r="F28" s="132" t="s">
        <v>246</v>
      </c>
      <c r="G28" s="156"/>
      <c r="H28" s="156"/>
      <c r="I28" s="101"/>
      <c r="J28" s="101"/>
      <c r="K28" s="101"/>
      <c r="L28" s="58"/>
    </row>
    <row r="29" spans="1:12" ht="30" customHeight="1" x14ac:dyDescent="0.25">
      <c r="A29" s="343" t="s">
        <v>250</v>
      </c>
      <c r="B29" s="282"/>
      <c r="C29" s="121" t="s">
        <v>326</v>
      </c>
      <c r="D29" s="121" t="s">
        <v>327</v>
      </c>
      <c r="E29" s="121" t="s">
        <v>328</v>
      </c>
      <c r="F29" s="132" t="s">
        <v>329</v>
      </c>
      <c r="G29" s="156"/>
      <c r="H29" s="156"/>
      <c r="I29" s="101"/>
      <c r="J29" s="58"/>
      <c r="K29" s="58"/>
      <c r="L29" s="58"/>
    </row>
    <row r="30" spans="1:12" ht="30" customHeight="1" x14ac:dyDescent="0.25">
      <c r="A30" s="343" t="s">
        <v>100</v>
      </c>
      <c r="B30" s="282"/>
      <c r="C30" s="67" t="s">
        <v>333</v>
      </c>
      <c r="D30" s="67" t="s">
        <v>334</v>
      </c>
      <c r="E30" s="67" t="s">
        <v>332</v>
      </c>
      <c r="F30" s="133" t="s">
        <v>289</v>
      </c>
      <c r="G30" s="156"/>
      <c r="H30" s="156"/>
      <c r="I30" s="101"/>
      <c r="J30" s="58"/>
      <c r="K30" s="58"/>
      <c r="L30" s="58"/>
    </row>
    <row r="31" spans="1:12" x14ac:dyDescent="0.25">
      <c r="A31" s="324" t="s">
        <v>102</v>
      </c>
      <c r="B31" s="325"/>
      <c r="C31" s="325"/>
      <c r="D31" s="325"/>
      <c r="E31" s="325"/>
      <c r="F31" s="326"/>
      <c r="G31" s="156"/>
      <c r="H31" s="156"/>
      <c r="I31" s="101"/>
      <c r="J31" s="58"/>
      <c r="K31" s="58"/>
      <c r="L31" s="58"/>
    </row>
    <row r="32" spans="1:12" x14ac:dyDescent="0.25">
      <c r="A32" s="175" t="s">
        <v>103</v>
      </c>
      <c r="B32" s="176"/>
      <c r="C32" s="338" t="s">
        <v>299</v>
      </c>
      <c r="D32" s="338"/>
      <c r="E32" s="338"/>
      <c r="F32" s="339"/>
      <c r="G32" s="355" t="s">
        <v>251</v>
      </c>
      <c r="H32" s="355"/>
      <c r="I32" s="58"/>
      <c r="J32" s="58"/>
      <c r="K32" s="58"/>
      <c r="L32" s="58"/>
    </row>
    <row r="33" spans="1:12" ht="15" customHeight="1" x14ac:dyDescent="0.25">
      <c r="A33" s="175" t="s">
        <v>104</v>
      </c>
      <c r="B33" s="176"/>
      <c r="C33" s="338" t="s">
        <v>299</v>
      </c>
      <c r="D33" s="338"/>
      <c r="E33" s="338"/>
      <c r="F33" s="339"/>
      <c r="G33" s="355"/>
      <c r="H33" s="355"/>
      <c r="I33" s="58"/>
      <c r="J33" s="58"/>
      <c r="K33" s="58"/>
      <c r="L33" s="58"/>
    </row>
    <row r="34" spans="1:12" ht="15" customHeight="1" x14ac:dyDescent="0.25">
      <c r="A34" s="175" t="s">
        <v>105</v>
      </c>
      <c r="B34" s="176"/>
      <c r="C34" s="338" t="s">
        <v>330</v>
      </c>
      <c r="D34" s="338"/>
      <c r="E34" s="338"/>
      <c r="F34" s="339"/>
      <c r="G34" s="156"/>
      <c r="H34" s="156"/>
      <c r="I34" s="58"/>
      <c r="J34" s="58"/>
      <c r="K34" s="58"/>
      <c r="L34" s="58"/>
    </row>
    <row r="35" spans="1:12" x14ac:dyDescent="0.25">
      <c r="A35" s="175" t="s">
        <v>106</v>
      </c>
      <c r="B35" s="176"/>
      <c r="C35" s="340" t="str">
        <f>IF(AND(E21="Mumbai"),"Developed","Developing")</f>
        <v>Developing</v>
      </c>
      <c r="D35" s="341"/>
      <c r="E35" s="341"/>
      <c r="F35" s="342"/>
      <c r="G35" s="156"/>
      <c r="H35" s="156"/>
      <c r="I35" s="58"/>
      <c r="J35" s="58"/>
      <c r="K35" s="58"/>
      <c r="L35" s="58"/>
    </row>
    <row r="36" spans="1:12" ht="15" customHeight="1" x14ac:dyDescent="0.25">
      <c r="A36" s="175" t="s">
        <v>107</v>
      </c>
      <c r="B36" s="176"/>
      <c r="C36" s="338" t="s">
        <v>253</v>
      </c>
      <c r="D36" s="338"/>
      <c r="E36" s="338"/>
      <c r="F36" s="339"/>
      <c r="G36" s="156"/>
      <c r="H36" s="156"/>
      <c r="I36" s="58"/>
      <c r="J36" s="58"/>
      <c r="K36" s="58"/>
      <c r="L36" s="58"/>
    </row>
    <row r="37" spans="1:12" x14ac:dyDescent="0.25">
      <c r="A37" s="175" t="s">
        <v>108</v>
      </c>
      <c r="B37" s="176"/>
      <c r="C37" s="374">
        <f>E166</f>
        <v>0.91666666666666663</v>
      </c>
      <c r="D37" s="338"/>
      <c r="E37" s="338"/>
      <c r="F37" s="339"/>
      <c r="G37" s="156"/>
      <c r="H37" s="156"/>
      <c r="I37" s="58"/>
      <c r="J37" s="58"/>
      <c r="K37" s="58"/>
      <c r="L37" s="58"/>
    </row>
    <row r="38" spans="1:12" ht="15" customHeight="1" x14ac:dyDescent="0.25">
      <c r="A38" s="175" t="s">
        <v>109</v>
      </c>
      <c r="B38" s="176"/>
      <c r="C38" s="338" t="s">
        <v>254</v>
      </c>
      <c r="D38" s="338"/>
      <c r="E38" s="338"/>
      <c r="F38" s="339"/>
      <c r="G38" s="156"/>
      <c r="H38" s="156"/>
      <c r="I38" s="58"/>
      <c r="J38" s="58"/>
      <c r="K38" s="58"/>
      <c r="L38" s="58"/>
    </row>
    <row r="39" spans="1:12" x14ac:dyDescent="0.25">
      <c r="A39" s="175" t="s">
        <v>110</v>
      </c>
      <c r="B39" s="176"/>
      <c r="C39" s="338" t="s">
        <v>254</v>
      </c>
      <c r="D39" s="338"/>
      <c r="E39" s="338"/>
      <c r="F39" s="339"/>
      <c r="G39" s="156"/>
      <c r="H39" s="156"/>
      <c r="I39" s="58"/>
      <c r="J39" s="58"/>
      <c r="K39" s="58"/>
      <c r="L39" s="58"/>
    </row>
    <row r="40" spans="1:12" x14ac:dyDescent="0.25">
      <c r="A40" s="175" t="s">
        <v>111</v>
      </c>
      <c r="B40" s="176"/>
      <c r="C40" s="338" t="s">
        <v>331</v>
      </c>
      <c r="D40" s="338"/>
      <c r="E40" s="338"/>
      <c r="F40" s="339"/>
      <c r="G40" s="156"/>
      <c r="H40" s="156"/>
      <c r="I40" s="58"/>
      <c r="J40" s="58"/>
      <c r="K40" s="58"/>
      <c r="L40" s="58"/>
    </row>
    <row r="41" spans="1:12" x14ac:dyDescent="0.25">
      <c r="A41" s="324" t="s">
        <v>320</v>
      </c>
      <c r="B41" s="325"/>
      <c r="C41" s="325"/>
      <c r="D41" s="325"/>
      <c r="E41" s="325"/>
      <c r="F41" s="326"/>
      <c r="G41" s="156"/>
      <c r="H41" s="156"/>
      <c r="I41" s="58"/>
      <c r="J41" s="58"/>
      <c r="K41" s="58"/>
      <c r="L41" s="58"/>
    </row>
    <row r="42" spans="1:12" x14ac:dyDescent="0.25">
      <c r="A42" s="219" t="s">
        <v>113</v>
      </c>
      <c r="B42" s="220"/>
      <c r="C42" s="176" t="s">
        <v>112</v>
      </c>
      <c r="D42" s="176"/>
      <c r="E42" s="176"/>
      <c r="F42" s="352"/>
      <c r="G42" s="156"/>
      <c r="H42" s="156"/>
      <c r="I42" s="58"/>
      <c r="J42" s="58"/>
      <c r="K42" s="58"/>
      <c r="L42" s="58"/>
    </row>
    <row r="43" spans="1:12" x14ac:dyDescent="0.25">
      <c r="A43" s="219" t="s">
        <v>114</v>
      </c>
      <c r="B43" s="220"/>
      <c r="C43" s="203">
        <v>264673.90000000002</v>
      </c>
      <c r="D43" s="203"/>
      <c r="E43" s="203"/>
      <c r="F43" s="204"/>
      <c r="G43" s="156"/>
      <c r="H43" s="156"/>
      <c r="I43" s="58"/>
      <c r="J43" s="58"/>
      <c r="K43" s="58"/>
      <c r="L43" s="58"/>
    </row>
    <row r="44" spans="1:12" x14ac:dyDescent="0.25">
      <c r="A44" s="219" t="s">
        <v>300</v>
      </c>
      <c r="B44" s="220"/>
      <c r="C44" s="203">
        <v>134781.95000000001</v>
      </c>
      <c r="D44" s="203"/>
      <c r="E44" s="203"/>
      <c r="F44" s="204"/>
      <c r="G44" s="156"/>
      <c r="H44" s="156"/>
      <c r="I44" s="58"/>
      <c r="J44" s="58"/>
      <c r="K44" s="58"/>
      <c r="L44" s="58"/>
    </row>
    <row r="45" spans="1:12" x14ac:dyDescent="0.25">
      <c r="A45" s="219" t="s">
        <v>115</v>
      </c>
      <c r="B45" s="220"/>
      <c r="C45" s="203">
        <v>488550.28</v>
      </c>
      <c r="D45" s="203"/>
      <c r="E45" s="203"/>
      <c r="F45" s="204"/>
      <c r="G45" s="370">
        <f>C45/C44</f>
        <v>3.6247455983534884</v>
      </c>
      <c r="H45" s="370"/>
      <c r="I45" s="58">
        <f>264673.9*1.8</f>
        <v>476413.02000000008</v>
      </c>
      <c r="J45" s="58"/>
      <c r="K45" s="58"/>
      <c r="L45" s="58"/>
    </row>
    <row r="46" spans="1:12" x14ac:dyDescent="0.25">
      <c r="A46" s="219" t="s">
        <v>350</v>
      </c>
      <c r="B46" s="220"/>
      <c r="C46" s="203">
        <f>17924.94</f>
        <v>17924.939999999999</v>
      </c>
      <c r="D46" s="203"/>
      <c r="E46" s="203"/>
      <c r="F46" s="204"/>
      <c r="G46" s="156"/>
      <c r="H46" s="156"/>
      <c r="I46" s="58"/>
      <c r="J46" s="58"/>
      <c r="K46" s="58"/>
      <c r="L46" s="58"/>
    </row>
    <row r="47" spans="1:12" x14ac:dyDescent="0.25">
      <c r="A47" s="219" t="s">
        <v>116</v>
      </c>
      <c r="B47" s="220"/>
      <c r="C47" s="203">
        <v>0</v>
      </c>
      <c r="D47" s="203"/>
      <c r="E47" s="203"/>
      <c r="F47" s="204"/>
      <c r="G47" s="156">
        <v>16471.73</v>
      </c>
      <c r="H47" s="156"/>
      <c r="I47" s="58"/>
      <c r="J47" s="58"/>
      <c r="K47" s="58"/>
      <c r="L47" s="58"/>
    </row>
    <row r="48" spans="1:12" x14ac:dyDescent="0.25">
      <c r="A48" s="219" t="s">
        <v>323</v>
      </c>
      <c r="B48" s="220"/>
      <c r="C48" s="203">
        <v>82203.23</v>
      </c>
      <c r="D48" s="203"/>
      <c r="E48" s="203"/>
      <c r="F48" s="204"/>
      <c r="G48" s="156"/>
      <c r="H48" s="156"/>
      <c r="I48" s="58"/>
      <c r="J48" s="58"/>
      <c r="K48" s="58"/>
      <c r="L48" s="58"/>
    </row>
    <row r="49" spans="1:14" x14ac:dyDescent="0.25">
      <c r="A49" s="219" t="s">
        <v>321</v>
      </c>
      <c r="B49" s="220"/>
      <c r="C49" s="203">
        <v>26611.07</v>
      </c>
      <c r="D49" s="203"/>
      <c r="E49" s="203"/>
      <c r="F49" s="204"/>
      <c r="G49" s="156"/>
      <c r="H49" s="156"/>
      <c r="I49" s="58"/>
      <c r="J49" s="58"/>
      <c r="K49" s="58"/>
      <c r="L49" s="58"/>
    </row>
    <row r="50" spans="1:14" x14ac:dyDescent="0.25">
      <c r="A50" s="219" t="s">
        <v>322</v>
      </c>
      <c r="B50" s="220"/>
      <c r="C50" s="203">
        <v>21077.65</v>
      </c>
      <c r="D50" s="203"/>
      <c r="E50" s="203"/>
      <c r="F50" s="204"/>
      <c r="G50" s="156"/>
      <c r="H50" s="156"/>
      <c r="I50" s="58"/>
      <c r="J50" s="58"/>
      <c r="K50" s="58"/>
      <c r="L50" s="58"/>
    </row>
    <row r="51" spans="1:14" x14ac:dyDescent="0.25">
      <c r="A51" s="216" t="s">
        <v>117</v>
      </c>
      <c r="B51" s="217"/>
      <c r="C51" s="217"/>
      <c r="D51" s="217"/>
      <c r="E51" s="217"/>
      <c r="F51" s="218"/>
      <c r="G51" s="156"/>
      <c r="H51" s="156"/>
      <c r="I51" s="58"/>
      <c r="J51" s="58"/>
      <c r="K51" s="58"/>
      <c r="L51" s="58"/>
    </row>
    <row r="52" spans="1:14" x14ac:dyDescent="0.25">
      <c r="A52" s="175" t="s">
        <v>118</v>
      </c>
      <c r="B52" s="176"/>
      <c r="C52" s="203">
        <v>1.8</v>
      </c>
      <c r="D52" s="203"/>
      <c r="E52" s="203"/>
      <c r="F52" s="204"/>
      <c r="G52" s="156"/>
      <c r="H52" s="156"/>
      <c r="I52" s="58"/>
      <c r="J52" s="58"/>
      <c r="K52" s="58"/>
      <c r="L52" s="58"/>
    </row>
    <row r="53" spans="1:14" hidden="1" x14ac:dyDescent="0.25">
      <c r="A53" s="175" t="s">
        <v>119</v>
      </c>
      <c r="B53" s="176"/>
      <c r="C53" s="203"/>
      <c r="D53" s="203"/>
      <c r="E53" s="203"/>
      <c r="F53" s="204"/>
      <c r="G53" s="156"/>
      <c r="H53" s="156"/>
      <c r="I53" s="58"/>
      <c r="J53" s="58"/>
      <c r="K53" s="58"/>
      <c r="L53" s="58"/>
    </row>
    <row r="54" spans="1:14" hidden="1" x14ac:dyDescent="0.25">
      <c r="A54" s="175" t="s">
        <v>2</v>
      </c>
      <c r="B54" s="176"/>
      <c r="C54" s="203"/>
      <c r="D54" s="203"/>
      <c r="E54" s="203"/>
      <c r="F54" s="204"/>
      <c r="G54" s="156"/>
      <c r="H54" s="156"/>
      <c r="I54" s="58"/>
      <c r="J54" s="58"/>
      <c r="K54" s="58"/>
      <c r="L54" s="58"/>
    </row>
    <row r="55" spans="1:14" hidden="1" x14ac:dyDescent="0.25">
      <c r="A55" s="175" t="s">
        <v>120</v>
      </c>
      <c r="B55" s="176"/>
      <c r="C55" s="203"/>
      <c r="D55" s="203"/>
      <c r="E55" s="203"/>
      <c r="F55" s="204"/>
      <c r="G55" s="156"/>
      <c r="H55" s="156"/>
      <c r="I55" s="58"/>
      <c r="J55" s="58"/>
      <c r="K55" s="58"/>
      <c r="L55" s="58"/>
    </row>
    <row r="56" spans="1:14" ht="24" hidden="1" customHeight="1" x14ac:dyDescent="0.25">
      <c r="A56" s="175" t="s">
        <v>121</v>
      </c>
      <c r="B56" s="176"/>
      <c r="C56" s="203"/>
      <c r="D56" s="203"/>
      <c r="E56" s="203"/>
      <c r="F56" s="204"/>
      <c r="G56" s="156"/>
      <c r="H56" s="156"/>
      <c r="I56" s="58"/>
      <c r="J56" s="58"/>
      <c r="K56" s="58"/>
      <c r="L56" s="58"/>
    </row>
    <row r="57" spans="1:14" x14ac:dyDescent="0.25">
      <c r="A57" s="175" t="s">
        <v>345</v>
      </c>
      <c r="B57" s="176"/>
      <c r="C57" s="203">
        <f>3.62-C52</f>
        <v>1.82</v>
      </c>
      <c r="D57" s="203"/>
      <c r="E57" s="203"/>
      <c r="F57" s="204"/>
      <c r="G57" s="156"/>
      <c r="H57" s="156"/>
      <c r="I57" s="58"/>
      <c r="J57" s="58"/>
      <c r="K57" s="58"/>
      <c r="L57" s="58"/>
    </row>
    <row r="58" spans="1:14" x14ac:dyDescent="0.25">
      <c r="A58" s="175" t="s">
        <v>122</v>
      </c>
      <c r="B58" s="176"/>
      <c r="C58" s="203">
        <f>SUM(C52:F57)</f>
        <v>3.62</v>
      </c>
      <c r="D58" s="203"/>
      <c r="E58" s="203"/>
      <c r="F58" s="204"/>
      <c r="G58" s="156"/>
      <c r="H58" s="156"/>
      <c r="I58" s="58"/>
      <c r="J58" s="58"/>
      <c r="K58" s="58"/>
      <c r="L58" s="58"/>
    </row>
    <row r="59" spans="1:14" x14ac:dyDescent="0.25">
      <c r="A59" s="175" t="s">
        <v>123</v>
      </c>
      <c r="B59" s="176"/>
      <c r="C59" s="203"/>
      <c r="D59" s="203"/>
      <c r="E59" s="203"/>
      <c r="F59" s="204"/>
      <c r="G59" s="156"/>
      <c r="H59" s="156"/>
      <c r="I59" s="58"/>
      <c r="J59" s="58"/>
      <c r="K59" s="58"/>
      <c r="L59" s="58"/>
    </row>
    <row r="60" spans="1:14" x14ac:dyDescent="0.25">
      <c r="A60" s="221"/>
      <c r="B60" s="222"/>
      <c r="C60" s="222"/>
      <c r="D60" s="222"/>
      <c r="E60" s="222"/>
      <c r="F60" s="223"/>
      <c r="G60" s="58"/>
      <c r="H60" s="58"/>
      <c r="I60" s="58"/>
      <c r="J60" s="58"/>
      <c r="K60" s="58"/>
      <c r="L60" s="58"/>
      <c r="M60" s="58"/>
      <c r="N60" s="58"/>
    </row>
    <row r="61" spans="1:14" x14ac:dyDescent="0.25">
      <c r="A61" s="175" t="s">
        <v>124</v>
      </c>
      <c r="B61" s="176"/>
      <c r="C61" s="203" t="str">
        <f>D115</f>
        <v>Flats = 431</v>
      </c>
      <c r="D61" s="203"/>
      <c r="E61" s="203"/>
      <c r="F61" s="204"/>
      <c r="G61" s="156"/>
      <c r="H61" s="156"/>
      <c r="I61" s="104"/>
      <c r="J61" s="104"/>
      <c r="K61" s="101"/>
      <c r="L61" s="101"/>
      <c r="M61" s="58"/>
      <c r="N61" s="58"/>
    </row>
    <row r="62" spans="1:14" x14ac:dyDescent="0.25">
      <c r="A62" s="175" t="s">
        <v>125</v>
      </c>
      <c r="B62" s="176"/>
      <c r="C62" s="203" t="s">
        <v>351</v>
      </c>
      <c r="D62" s="203"/>
      <c r="E62" s="203"/>
      <c r="F62" s="204"/>
      <c r="G62" s="156"/>
      <c r="H62" s="156"/>
      <c r="I62" s="101"/>
      <c r="J62" s="101"/>
      <c r="K62" s="101"/>
      <c r="L62" s="101"/>
      <c r="M62" s="58"/>
      <c r="N62" s="58"/>
    </row>
    <row r="63" spans="1:14" x14ac:dyDescent="0.25">
      <c r="A63" s="175" t="s">
        <v>126</v>
      </c>
      <c r="B63" s="176"/>
      <c r="C63" s="214" t="s">
        <v>352</v>
      </c>
      <c r="D63" s="214"/>
      <c r="E63" s="214"/>
      <c r="F63" s="215"/>
      <c r="G63" s="156"/>
      <c r="H63" s="156"/>
      <c r="I63" s="101"/>
      <c r="J63" s="101"/>
      <c r="K63" s="101"/>
      <c r="L63" s="101"/>
      <c r="M63" s="58"/>
      <c r="N63" s="58"/>
    </row>
    <row r="64" spans="1:14" x14ac:dyDescent="0.25">
      <c r="A64" s="194" t="s">
        <v>127</v>
      </c>
      <c r="B64" s="195"/>
      <c r="C64" s="195"/>
      <c r="D64" s="195"/>
      <c r="E64" s="195"/>
      <c r="F64" s="196"/>
      <c r="G64" s="156"/>
      <c r="H64" s="156"/>
      <c r="I64" s="101"/>
      <c r="J64" s="101"/>
      <c r="K64" s="101"/>
      <c r="L64" s="101"/>
      <c r="M64" s="58"/>
      <c r="N64" s="58"/>
    </row>
    <row r="65" spans="1:14" ht="39" customHeight="1" x14ac:dyDescent="0.25">
      <c r="A65" s="134"/>
      <c r="B65" s="48" t="s">
        <v>128</v>
      </c>
      <c r="C65" s="48" t="s">
        <v>129</v>
      </c>
      <c r="D65" s="48" t="s">
        <v>134</v>
      </c>
      <c r="E65" s="48" t="s">
        <v>130</v>
      </c>
      <c r="F65" s="131" t="s">
        <v>133</v>
      </c>
      <c r="G65" s="105"/>
      <c r="H65" s="105"/>
      <c r="I65" s="105"/>
      <c r="J65" s="105"/>
      <c r="K65" s="105"/>
      <c r="L65" s="105"/>
      <c r="M65" s="105" t="str">
        <f t="shared" ref="M65" si="0">PROPER(G65)</f>
        <v/>
      </c>
      <c r="N65" s="58"/>
    </row>
    <row r="66" spans="1:14" ht="36" customHeight="1" x14ac:dyDescent="0.25">
      <c r="A66" s="135" t="s">
        <v>131</v>
      </c>
      <c r="B66" s="67" t="s">
        <v>301</v>
      </c>
      <c r="C66" s="67" t="s">
        <v>347</v>
      </c>
      <c r="D66" s="67" t="s">
        <v>304</v>
      </c>
      <c r="E66" s="67" t="s">
        <v>306</v>
      </c>
      <c r="F66" s="133" t="s">
        <v>308</v>
      </c>
      <c r="G66" s="105"/>
      <c r="H66" s="101"/>
      <c r="I66" s="101"/>
      <c r="J66" s="101"/>
      <c r="K66" s="101"/>
      <c r="L66" s="101"/>
      <c r="M66" s="101"/>
      <c r="N66" s="58"/>
    </row>
    <row r="67" spans="1:14" ht="36" customHeight="1" x14ac:dyDescent="0.25">
      <c r="A67" s="135" t="s">
        <v>132</v>
      </c>
      <c r="B67" s="121" t="s">
        <v>302</v>
      </c>
      <c r="C67" s="121" t="s">
        <v>303</v>
      </c>
      <c r="D67" s="121" t="s">
        <v>305</v>
      </c>
      <c r="E67" s="121" t="s">
        <v>307</v>
      </c>
      <c r="F67" s="132" t="s">
        <v>309</v>
      </c>
      <c r="G67" s="105"/>
      <c r="H67" s="101"/>
      <c r="I67" s="101"/>
      <c r="J67" s="101"/>
      <c r="K67" s="101"/>
      <c r="L67" s="101"/>
      <c r="M67" s="106"/>
    </row>
    <row r="68" spans="1:14" x14ac:dyDescent="0.25">
      <c r="A68" s="208" t="s">
        <v>135</v>
      </c>
      <c r="B68" s="209"/>
      <c r="C68" s="209"/>
      <c r="D68" s="209"/>
      <c r="E68" s="209"/>
      <c r="F68" s="210"/>
      <c r="G68" s="105"/>
      <c r="H68" s="101"/>
      <c r="I68" s="101"/>
      <c r="J68" s="101"/>
      <c r="K68" s="101"/>
      <c r="L68" s="101"/>
      <c r="M68" s="106"/>
    </row>
    <row r="69" spans="1:14" ht="36" x14ac:dyDescent="0.25">
      <c r="A69" s="134"/>
      <c r="B69" s="48" t="s">
        <v>136</v>
      </c>
      <c r="C69" s="48" t="s">
        <v>137</v>
      </c>
      <c r="D69" s="48" t="s">
        <v>138</v>
      </c>
      <c r="E69" s="48" t="s">
        <v>139</v>
      </c>
      <c r="F69" s="131" t="s">
        <v>140</v>
      </c>
      <c r="G69" s="105"/>
      <c r="H69" s="105"/>
      <c r="I69" s="105"/>
      <c r="J69" s="105"/>
      <c r="K69" s="105"/>
      <c r="L69" s="105"/>
      <c r="M69" s="106"/>
    </row>
    <row r="70" spans="1:14" x14ac:dyDescent="0.25">
      <c r="A70" s="135" t="s">
        <v>141</v>
      </c>
      <c r="B70" s="67" t="s">
        <v>280</v>
      </c>
      <c r="C70" s="67" t="s">
        <v>233</v>
      </c>
      <c r="D70" s="67" t="s">
        <v>233</v>
      </c>
      <c r="E70" s="67" t="s">
        <v>233</v>
      </c>
      <c r="F70" s="133" t="s">
        <v>233</v>
      </c>
      <c r="G70" s="105"/>
      <c r="H70" s="105"/>
      <c r="I70" s="105"/>
      <c r="J70" s="105"/>
      <c r="K70" s="105"/>
      <c r="L70" s="105"/>
      <c r="M70" s="106"/>
    </row>
    <row r="71" spans="1:14" ht="24" x14ac:dyDescent="0.25">
      <c r="A71" s="134"/>
      <c r="B71" s="48" t="s">
        <v>142</v>
      </c>
      <c r="C71" s="48" t="s">
        <v>143</v>
      </c>
      <c r="D71" s="48" t="s">
        <v>144</v>
      </c>
      <c r="E71" s="48" t="s">
        <v>145</v>
      </c>
      <c r="F71" s="131" t="s">
        <v>146</v>
      </c>
      <c r="G71" s="105"/>
      <c r="H71" s="105"/>
      <c r="I71" s="105"/>
      <c r="J71" s="105"/>
      <c r="K71" s="105"/>
      <c r="L71" s="105"/>
      <c r="M71" s="106"/>
    </row>
    <row r="72" spans="1:14" x14ac:dyDescent="0.25">
      <c r="A72" s="135" t="s">
        <v>141</v>
      </c>
      <c r="B72" s="67" t="s">
        <v>233</v>
      </c>
      <c r="C72" s="67" t="s">
        <v>233</v>
      </c>
      <c r="D72" s="67" t="s">
        <v>233</v>
      </c>
      <c r="E72" s="67" t="s">
        <v>233</v>
      </c>
      <c r="F72" s="133" t="s">
        <v>233</v>
      </c>
      <c r="G72" s="105"/>
      <c r="H72" s="105"/>
      <c r="I72" s="105"/>
      <c r="J72" s="105"/>
      <c r="K72" s="105"/>
      <c r="L72" s="105"/>
      <c r="M72" s="106"/>
    </row>
    <row r="73" spans="1:14" hidden="1" x14ac:dyDescent="0.25">
      <c r="A73" s="136" t="s">
        <v>3</v>
      </c>
      <c r="B73" s="125"/>
      <c r="C73" s="125"/>
      <c r="D73" s="125"/>
      <c r="E73" s="125"/>
      <c r="F73" s="137"/>
      <c r="G73" s="105"/>
      <c r="H73" s="105"/>
      <c r="I73" s="105"/>
      <c r="J73" s="105"/>
      <c r="K73" s="105"/>
      <c r="L73" s="105"/>
      <c r="M73" s="106"/>
    </row>
    <row r="74" spans="1:14" x14ac:dyDescent="0.25">
      <c r="A74" s="134"/>
      <c r="B74" s="48" t="s">
        <v>147</v>
      </c>
      <c r="C74" s="48" t="s">
        <v>148</v>
      </c>
      <c r="D74" s="48" t="s">
        <v>149</v>
      </c>
      <c r="E74" s="48" t="s">
        <v>150</v>
      </c>
      <c r="F74" s="131" t="s">
        <v>151</v>
      </c>
      <c r="G74" s="105"/>
      <c r="H74" s="105"/>
      <c r="I74" s="105"/>
      <c r="J74" s="105"/>
      <c r="K74" s="105"/>
      <c r="L74" s="105"/>
      <c r="M74" s="106"/>
    </row>
    <row r="75" spans="1:14" x14ac:dyDescent="0.25">
      <c r="A75" s="135" t="s">
        <v>141</v>
      </c>
      <c r="B75" s="67" t="s">
        <v>233</v>
      </c>
      <c r="C75" s="67" t="s">
        <v>233</v>
      </c>
      <c r="D75" s="67" t="s">
        <v>254</v>
      </c>
      <c r="E75" s="67" t="s">
        <v>233</v>
      </c>
      <c r="F75" s="133" t="s">
        <v>254</v>
      </c>
      <c r="G75" s="105"/>
      <c r="H75" s="105"/>
      <c r="I75" s="105"/>
      <c r="J75" s="105"/>
      <c r="K75" s="105"/>
      <c r="L75" s="105"/>
      <c r="M75" s="106"/>
    </row>
    <row r="76" spans="1:14" hidden="1" x14ac:dyDescent="0.25">
      <c r="A76" s="136" t="s">
        <v>3</v>
      </c>
      <c r="B76" s="125"/>
      <c r="C76" s="125"/>
      <c r="D76" s="125"/>
      <c r="E76" s="125"/>
      <c r="F76" s="137"/>
      <c r="G76" s="105"/>
      <c r="H76" s="101"/>
      <c r="I76" s="101"/>
      <c r="J76" s="101"/>
      <c r="K76" s="101"/>
      <c r="L76" s="101"/>
      <c r="M76" s="106"/>
    </row>
    <row r="77" spans="1:14" x14ac:dyDescent="0.25">
      <c r="A77" s="363"/>
      <c r="B77" s="364"/>
      <c r="C77" s="364"/>
      <c r="D77" s="364"/>
      <c r="E77" s="364"/>
      <c r="F77" s="365"/>
      <c r="G77" s="105"/>
      <c r="H77" s="101"/>
      <c r="I77" s="101"/>
      <c r="J77" s="101"/>
      <c r="K77" s="101"/>
      <c r="L77" s="101"/>
      <c r="M77" s="106"/>
    </row>
    <row r="78" spans="1:14" ht="36" x14ac:dyDescent="0.25">
      <c r="A78" s="136" t="s">
        <v>152</v>
      </c>
      <c r="B78" s="211" t="s">
        <v>310</v>
      </c>
      <c r="C78" s="212"/>
      <c r="D78" s="212"/>
      <c r="E78" s="212"/>
      <c r="F78" s="213"/>
      <c r="G78" s="105"/>
      <c r="H78" s="101"/>
      <c r="I78" s="101"/>
      <c r="J78" s="101"/>
      <c r="K78" s="101"/>
      <c r="L78" s="101"/>
      <c r="M78" s="106"/>
    </row>
    <row r="79" spans="1:14" x14ac:dyDescent="0.25">
      <c r="A79" s="194" t="s">
        <v>153</v>
      </c>
      <c r="B79" s="195"/>
      <c r="C79" s="195"/>
      <c r="D79" s="195"/>
      <c r="E79" s="195"/>
      <c r="F79" s="196"/>
      <c r="G79" s="105"/>
      <c r="H79" s="58"/>
      <c r="I79" s="58"/>
      <c r="J79" s="58"/>
      <c r="K79" s="58"/>
      <c r="L79" s="58"/>
    </row>
    <row r="80" spans="1:14" ht="24" x14ac:dyDescent="0.25">
      <c r="A80" s="136" t="s">
        <v>165</v>
      </c>
      <c r="B80" s="322" t="str">
        <f>C32</f>
        <v>Town Planning, Thane</v>
      </c>
      <c r="C80" s="322"/>
      <c r="D80" s="322"/>
      <c r="E80" s="322"/>
      <c r="F80" s="323"/>
      <c r="G80" s="105"/>
      <c r="H80" s="101"/>
      <c r="I80" s="101"/>
      <c r="J80" s="101"/>
      <c r="K80" s="101"/>
      <c r="L80" s="101"/>
    </row>
    <row r="81" spans="1:12" ht="31.5" customHeight="1" x14ac:dyDescent="0.25">
      <c r="A81" s="135" t="s">
        <v>154</v>
      </c>
      <c r="B81" s="48" t="s">
        <v>166</v>
      </c>
      <c r="C81" s="48" t="s">
        <v>167</v>
      </c>
      <c r="D81" s="205" t="s">
        <v>168</v>
      </c>
      <c r="E81" s="206"/>
      <c r="F81" s="207"/>
      <c r="G81" s="105"/>
      <c r="H81" s="105"/>
      <c r="I81" s="105"/>
      <c r="J81" s="156"/>
      <c r="K81" s="156"/>
      <c r="L81" s="156"/>
    </row>
    <row r="82" spans="1:12" ht="65.25" customHeight="1" x14ac:dyDescent="0.25">
      <c r="A82" s="135" t="s">
        <v>155</v>
      </c>
      <c r="B82" s="115" t="s">
        <v>311</v>
      </c>
      <c r="C82" s="115" t="str">
        <f>B80</f>
        <v>Town Planning, Thane</v>
      </c>
      <c r="D82" s="180" t="s">
        <v>353</v>
      </c>
      <c r="E82" s="181"/>
      <c r="F82" s="182"/>
      <c r="G82" s="105"/>
      <c r="H82" s="101"/>
      <c r="I82" s="101"/>
      <c r="J82" s="101"/>
      <c r="K82" s="101"/>
      <c r="L82" s="101"/>
    </row>
    <row r="83" spans="1:12" ht="61.5" customHeight="1" x14ac:dyDescent="0.25">
      <c r="A83" s="135" t="s">
        <v>156</v>
      </c>
      <c r="B83" s="115" t="s">
        <v>311</v>
      </c>
      <c r="C83" s="116" t="str">
        <f>C82</f>
        <v>Town Planning, Thane</v>
      </c>
      <c r="D83" s="180" t="s">
        <v>353</v>
      </c>
      <c r="E83" s="181"/>
      <c r="F83" s="182"/>
      <c r="G83" s="105"/>
      <c r="H83" s="101"/>
      <c r="I83" s="101"/>
      <c r="J83" s="101"/>
      <c r="K83" s="101"/>
      <c r="L83" s="101"/>
    </row>
    <row r="84" spans="1:12" ht="45" customHeight="1" x14ac:dyDescent="0.25">
      <c r="A84" s="366" t="s">
        <v>157</v>
      </c>
      <c r="B84" s="368" t="s">
        <v>311</v>
      </c>
      <c r="C84" s="368" t="str">
        <f>C83</f>
        <v>Town Planning, Thane</v>
      </c>
      <c r="D84" s="180" t="s">
        <v>354</v>
      </c>
      <c r="E84" s="181"/>
      <c r="F84" s="182"/>
      <c r="G84" s="105"/>
      <c r="H84" s="101"/>
      <c r="I84" s="101"/>
      <c r="J84" s="101"/>
      <c r="K84" s="101"/>
      <c r="L84" s="101"/>
    </row>
    <row r="85" spans="1:12" ht="31.5" customHeight="1" x14ac:dyDescent="0.25">
      <c r="A85" s="367"/>
      <c r="B85" s="369"/>
      <c r="C85" s="369"/>
      <c r="D85" s="183" t="s">
        <v>355</v>
      </c>
      <c r="E85" s="184"/>
      <c r="F85" s="185"/>
      <c r="G85" s="105"/>
      <c r="H85" s="101"/>
      <c r="I85" s="101"/>
      <c r="J85" s="101"/>
      <c r="K85" s="101"/>
      <c r="L85" s="101"/>
    </row>
    <row r="86" spans="1:12" ht="48" x14ac:dyDescent="0.25">
      <c r="A86" s="135" t="s">
        <v>158</v>
      </c>
      <c r="B86" s="115" t="s">
        <v>313</v>
      </c>
      <c r="C86" s="115" t="s">
        <v>246</v>
      </c>
      <c r="D86" s="177" t="s">
        <v>246</v>
      </c>
      <c r="E86" s="178"/>
      <c r="F86" s="179"/>
      <c r="G86" s="105"/>
      <c r="H86" s="101"/>
      <c r="I86" s="101"/>
      <c r="J86" s="101"/>
      <c r="K86" s="101"/>
      <c r="L86" s="58"/>
    </row>
    <row r="87" spans="1:12" ht="48" x14ac:dyDescent="0.25">
      <c r="A87" s="135" t="s">
        <v>159</v>
      </c>
      <c r="B87" s="115" t="s">
        <v>313</v>
      </c>
      <c r="C87" s="115" t="s">
        <v>246</v>
      </c>
      <c r="D87" s="177" t="s">
        <v>246</v>
      </c>
      <c r="E87" s="178"/>
      <c r="F87" s="179"/>
      <c r="G87" s="105"/>
      <c r="H87" s="101"/>
      <c r="I87" s="101"/>
      <c r="J87" s="101"/>
      <c r="K87" s="101"/>
      <c r="L87" s="58"/>
    </row>
    <row r="88" spans="1:12" ht="24" x14ac:dyDescent="0.25">
      <c r="A88" s="135" t="s">
        <v>160</v>
      </c>
      <c r="B88" s="115" t="s">
        <v>313</v>
      </c>
      <c r="C88" s="115" t="s">
        <v>246</v>
      </c>
      <c r="D88" s="177" t="s">
        <v>246</v>
      </c>
      <c r="E88" s="178"/>
      <c r="F88" s="179"/>
      <c r="G88" s="105"/>
      <c r="H88" s="101"/>
      <c r="I88" s="101"/>
      <c r="J88" s="101"/>
      <c r="K88" s="101"/>
      <c r="L88" s="58"/>
    </row>
    <row r="89" spans="1:12" ht="24" x14ac:dyDescent="0.25">
      <c r="A89" s="135" t="s">
        <v>161</v>
      </c>
      <c r="B89" s="115" t="s">
        <v>313</v>
      </c>
      <c r="C89" s="115" t="s">
        <v>246</v>
      </c>
      <c r="D89" s="177" t="s">
        <v>246</v>
      </c>
      <c r="E89" s="178"/>
      <c r="F89" s="179"/>
      <c r="G89" s="105"/>
      <c r="H89" s="101"/>
      <c r="I89" s="101"/>
      <c r="J89" s="101"/>
      <c r="K89" s="101"/>
      <c r="L89" s="58"/>
    </row>
    <row r="90" spans="1:12" ht="30" x14ac:dyDescent="0.25">
      <c r="A90" s="135" t="s">
        <v>255</v>
      </c>
      <c r="B90" s="115" t="s">
        <v>312</v>
      </c>
      <c r="C90" s="115" t="s">
        <v>246</v>
      </c>
      <c r="D90" s="180" t="s">
        <v>314</v>
      </c>
      <c r="E90" s="181"/>
      <c r="F90" s="182"/>
      <c r="G90" s="105"/>
      <c r="H90" s="101"/>
      <c r="I90" s="101"/>
      <c r="J90" s="101"/>
      <c r="K90" s="101"/>
      <c r="L90" s="58"/>
    </row>
    <row r="91" spans="1:12" ht="30" x14ac:dyDescent="0.25">
      <c r="A91" s="135" t="s">
        <v>256</v>
      </c>
      <c r="B91" s="115" t="s">
        <v>311</v>
      </c>
      <c r="C91" s="115" t="s">
        <v>325</v>
      </c>
      <c r="D91" s="180" t="s">
        <v>324</v>
      </c>
      <c r="E91" s="181"/>
      <c r="F91" s="182"/>
      <c r="G91" s="105"/>
      <c r="H91" s="101"/>
      <c r="I91" s="101"/>
      <c r="J91" s="101"/>
      <c r="K91" s="101"/>
      <c r="L91" s="58"/>
    </row>
    <row r="92" spans="1:12" ht="24" x14ac:dyDescent="0.25">
      <c r="A92" s="135" t="s">
        <v>257</v>
      </c>
      <c r="B92" s="115" t="s">
        <v>313</v>
      </c>
      <c r="C92" s="115" t="s">
        <v>246</v>
      </c>
      <c r="D92" s="177" t="s">
        <v>246</v>
      </c>
      <c r="E92" s="178"/>
      <c r="F92" s="179"/>
      <c r="G92" s="105"/>
      <c r="H92" s="101"/>
      <c r="I92" s="101"/>
      <c r="J92" s="101"/>
      <c r="K92" s="101"/>
      <c r="L92" s="58"/>
    </row>
    <row r="93" spans="1:12" ht="31.5" customHeight="1" x14ac:dyDescent="0.25">
      <c r="A93" s="135" t="s">
        <v>162</v>
      </c>
      <c r="B93" s="115" t="s">
        <v>311</v>
      </c>
      <c r="C93" s="115" t="s">
        <v>246</v>
      </c>
      <c r="D93" s="183" t="s">
        <v>344</v>
      </c>
      <c r="E93" s="184"/>
      <c r="F93" s="185"/>
      <c r="G93" s="105"/>
      <c r="H93" s="101"/>
      <c r="I93" s="101"/>
      <c r="J93" s="101"/>
      <c r="K93" s="101"/>
      <c r="L93" s="58"/>
    </row>
    <row r="94" spans="1:12" ht="36" hidden="1" customHeight="1" x14ac:dyDescent="0.25">
      <c r="A94" s="135" t="s">
        <v>163</v>
      </c>
      <c r="B94" s="73"/>
      <c r="C94" s="73"/>
      <c r="D94" s="186"/>
      <c r="E94" s="187"/>
      <c r="F94" s="188"/>
      <c r="G94" s="105"/>
      <c r="H94" s="101"/>
      <c r="I94" s="101"/>
      <c r="J94" s="101"/>
      <c r="K94" s="101"/>
      <c r="L94" s="58"/>
    </row>
    <row r="95" spans="1:12" ht="24" x14ac:dyDescent="0.25">
      <c r="A95" s="136" t="s">
        <v>164</v>
      </c>
      <c r="B95" s="192"/>
      <c r="C95" s="192"/>
      <c r="D95" s="192"/>
      <c r="E95" s="192"/>
      <c r="F95" s="193"/>
      <c r="G95" s="105"/>
      <c r="H95" s="101"/>
      <c r="I95" s="101"/>
      <c r="J95" s="101"/>
      <c r="K95" s="101"/>
      <c r="L95" s="58"/>
    </row>
    <row r="96" spans="1:12" x14ac:dyDescent="0.25">
      <c r="A96" s="194" t="s">
        <v>169</v>
      </c>
      <c r="B96" s="195"/>
      <c r="C96" s="195"/>
      <c r="D96" s="195"/>
      <c r="E96" s="195"/>
      <c r="F96" s="196"/>
      <c r="G96" s="105"/>
      <c r="H96" s="101"/>
      <c r="I96" s="105"/>
      <c r="J96" s="101"/>
      <c r="K96" s="101"/>
      <c r="L96" s="58"/>
    </row>
    <row r="97" spans="1:12" ht="48" x14ac:dyDescent="0.25">
      <c r="A97" s="135" t="s">
        <v>170</v>
      </c>
      <c r="B97" s="108" t="s">
        <v>233</v>
      </c>
      <c r="C97" s="109" t="s">
        <v>174</v>
      </c>
      <c r="D97" s="108" t="s">
        <v>258</v>
      </c>
      <c r="E97" s="109" t="s">
        <v>171</v>
      </c>
      <c r="F97" s="133" t="s">
        <v>348</v>
      </c>
      <c r="G97" s="105"/>
      <c r="H97" s="101"/>
      <c r="I97" s="101"/>
      <c r="J97" s="105"/>
      <c r="K97" s="101"/>
      <c r="L97" s="58"/>
    </row>
    <row r="98" spans="1:12" ht="24" x14ac:dyDescent="0.25">
      <c r="A98" s="136" t="s">
        <v>172</v>
      </c>
      <c r="B98" s="202">
        <v>44693</v>
      </c>
      <c r="C98" s="203"/>
      <c r="D98" s="46" t="s">
        <v>175</v>
      </c>
      <c r="E98" s="202">
        <v>47118</v>
      </c>
      <c r="F98" s="204"/>
      <c r="G98" s="105"/>
      <c r="H98" s="101"/>
      <c r="I98" s="101"/>
      <c r="J98" s="105"/>
      <c r="K98" s="101"/>
      <c r="L98" s="58"/>
    </row>
    <row r="99" spans="1:12" ht="36" x14ac:dyDescent="0.25">
      <c r="A99" s="136" t="s">
        <v>173</v>
      </c>
      <c r="B99" s="197" t="s">
        <v>254</v>
      </c>
      <c r="C99" s="198"/>
      <c r="D99" s="107" t="s">
        <v>176</v>
      </c>
      <c r="E99" s="197" t="s">
        <v>246</v>
      </c>
      <c r="F99" s="199"/>
      <c r="G99" s="105"/>
      <c r="H99" s="101"/>
      <c r="I99" s="101"/>
      <c r="J99" s="105"/>
      <c r="K99" s="101"/>
      <c r="L99" s="58"/>
    </row>
    <row r="100" spans="1:12" x14ac:dyDescent="0.25">
      <c r="A100" s="194" t="s">
        <v>177</v>
      </c>
      <c r="B100" s="195"/>
      <c r="C100" s="195"/>
      <c r="D100" s="195"/>
      <c r="E100" s="195"/>
      <c r="F100" s="196"/>
      <c r="G100" s="105"/>
      <c r="H100" s="101"/>
      <c r="I100" s="105"/>
      <c r="J100" s="101"/>
      <c r="K100" s="101"/>
      <c r="L100" s="58"/>
    </row>
    <row r="101" spans="1:12" x14ac:dyDescent="0.25">
      <c r="A101" s="136" t="s">
        <v>184</v>
      </c>
      <c r="B101" s="191" t="s">
        <v>259</v>
      </c>
      <c r="C101" s="191"/>
      <c r="D101" s="46" t="s">
        <v>178</v>
      </c>
      <c r="E101" s="189" t="s">
        <v>254</v>
      </c>
      <c r="F101" s="190"/>
      <c r="G101" s="105"/>
      <c r="H101" s="101"/>
      <c r="I101" s="101"/>
      <c r="J101" s="105"/>
      <c r="K101" s="101"/>
      <c r="L101" s="58"/>
    </row>
    <row r="102" spans="1:12" ht="24" x14ac:dyDescent="0.25">
      <c r="A102" s="136" t="s">
        <v>185</v>
      </c>
      <c r="B102" s="189" t="s">
        <v>233</v>
      </c>
      <c r="C102" s="189"/>
      <c r="D102" s="107" t="s">
        <v>179</v>
      </c>
      <c r="E102" s="200" t="s">
        <v>260</v>
      </c>
      <c r="F102" s="201"/>
      <c r="G102" s="105"/>
      <c r="H102" s="101"/>
      <c r="I102" s="101"/>
      <c r="J102" s="105"/>
      <c r="K102" s="101"/>
      <c r="L102" s="58"/>
    </row>
    <row r="103" spans="1:12" ht="36" x14ac:dyDescent="0.25">
      <c r="A103" s="136" t="s">
        <v>186</v>
      </c>
      <c r="B103" s="189" t="s">
        <v>254</v>
      </c>
      <c r="C103" s="189"/>
      <c r="D103" s="107" t="s">
        <v>180</v>
      </c>
      <c r="E103" s="189" t="s">
        <v>254</v>
      </c>
      <c r="F103" s="190"/>
      <c r="G103" s="105"/>
      <c r="H103" s="101"/>
      <c r="I103" s="101"/>
      <c r="J103" s="105"/>
      <c r="K103" s="101"/>
      <c r="L103" s="58"/>
    </row>
    <row r="104" spans="1:12" ht="24" customHeight="1" x14ac:dyDescent="0.25">
      <c r="A104" s="136" t="s">
        <v>187</v>
      </c>
      <c r="B104" s="189" t="s">
        <v>254</v>
      </c>
      <c r="C104" s="189"/>
      <c r="D104" s="107" t="s">
        <v>181</v>
      </c>
      <c r="E104" s="189" t="s">
        <v>254</v>
      </c>
      <c r="F104" s="190"/>
      <c r="G104" s="105"/>
      <c r="H104" s="101"/>
      <c r="I104" s="101"/>
      <c r="J104" s="105"/>
      <c r="K104" s="101"/>
      <c r="L104" s="58"/>
    </row>
    <row r="105" spans="1:12" ht="36" x14ac:dyDescent="0.25">
      <c r="A105" s="136" t="s">
        <v>188</v>
      </c>
      <c r="B105" s="189" t="s">
        <v>254</v>
      </c>
      <c r="C105" s="189"/>
      <c r="D105" s="107" t="s">
        <v>182</v>
      </c>
      <c r="E105" s="189" t="s">
        <v>254</v>
      </c>
      <c r="F105" s="190"/>
      <c r="G105" s="105"/>
      <c r="H105" s="101"/>
      <c r="I105" s="101"/>
      <c r="J105" s="105"/>
      <c r="K105" s="101"/>
      <c r="L105" s="58"/>
    </row>
    <row r="106" spans="1:12" x14ac:dyDescent="0.25">
      <c r="A106" s="136" t="s">
        <v>189</v>
      </c>
      <c r="B106" s="189" t="s">
        <v>254</v>
      </c>
      <c r="C106" s="189"/>
      <c r="D106" s="107" t="s">
        <v>183</v>
      </c>
      <c r="E106" s="189" t="s">
        <v>254</v>
      </c>
      <c r="F106" s="190"/>
      <c r="G106" s="105"/>
      <c r="H106" s="101"/>
      <c r="I106" s="101"/>
      <c r="J106" s="105"/>
      <c r="K106" s="101"/>
      <c r="L106" s="58"/>
    </row>
    <row r="107" spans="1:12" x14ac:dyDescent="0.25">
      <c r="A107" s="175" t="s">
        <v>190</v>
      </c>
      <c r="B107" s="176"/>
      <c r="C107" s="232" t="s">
        <v>233</v>
      </c>
      <c r="D107" s="232"/>
      <c r="E107" s="232"/>
      <c r="F107" s="233"/>
      <c r="G107" s="156"/>
      <c r="H107" s="156"/>
      <c r="I107" s="101"/>
      <c r="J107" s="101"/>
      <c r="K107" s="101"/>
      <c r="L107" s="58"/>
    </row>
    <row r="108" spans="1:12" x14ac:dyDescent="0.25">
      <c r="A108" s="175" t="s">
        <v>191</v>
      </c>
      <c r="B108" s="176"/>
      <c r="C108" s="232" t="s">
        <v>254</v>
      </c>
      <c r="D108" s="232"/>
      <c r="E108" s="232"/>
      <c r="F108" s="233"/>
      <c r="G108" s="156"/>
      <c r="H108" s="156"/>
      <c r="I108" s="101"/>
      <c r="J108" s="101"/>
      <c r="K108" s="101"/>
      <c r="L108" s="58"/>
    </row>
    <row r="109" spans="1:12" x14ac:dyDescent="0.25">
      <c r="A109" s="194" t="s">
        <v>192</v>
      </c>
      <c r="B109" s="195"/>
      <c r="C109" s="195"/>
      <c r="D109" s="195"/>
      <c r="E109" s="195"/>
      <c r="F109" s="196"/>
      <c r="G109" s="105"/>
      <c r="H109" s="101"/>
      <c r="I109" s="101"/>
      <c r="J109" s="101"/>
      <c r="K109" s="101"/>
      <c r="L109" s="58"/>
    </row>
    <row r="110" spans="1:12" ht="24" customHeight="1" x14ac:dyDescent="0.25">
      <c r="A110" s="359" t="s">
        <v>194</v>
      </c>
      <c r="B110" s="360"/>
      <c r="C110" s="360"/>
      <c r="D110" s="360"/>
      <c r="E110" s="360" t="s">
        <v>193</v>
      </c>
      <c r="F110" s="361"/>
      <c r="G110" s="105"/>
      <c r="H110" s="105"/>
      <c r="I110" s="105"/>
      <c r="J110" s="105"/>
      <c r="K110" s="105"/>
      <c r="L110" s="62"/>
    </row>
    <row r="111" spans="1:12" x14ac:dyDescent="0.25">
      <c r="A111" s="234" t="s">
        <v>246</v>
      </c>
      <c r="B111" s="235"/>
      <c r="C111" s="235"/>
      <c r="D111" s="235"/>
      <c r="E111" s="189" t="s">
        <v>254</v>
      </c>
      <c r="F111" s="190"/>
      <c r="G111" s="101"/>
      <c r="H111" s="101"/>
      <c r="I111" s="101"/>
      <c r="J111" s="101"/>
      <c r="K111" s="101"/>
      <c r="L111" s="58"/>
    </row>
    <row r="112" spans="1:12" hidden="1" x14ac:dyDescent="0.25">
      <c r="A112" s="234"/>
      <c r="B112" s="235"/>
      <c r="C112" s="235"/>
      <c r="D112" s="235"/>
      <c r="E112" s="235"/>
      <c r="F112" s="236"/>
      <c r="G112" s="58"/>
      <c r="H112" s="58"/>
      <c r="I112" s="58"/>
      <c r="J112" s="58"/>
      <c r="K112" s="58"/>
      <c r="L112" s="58"/>
    </row>
    <row r="113" spans="1:12" ht="15.75" thickBot="1" x14ac:dyDescent="0.3">
      <c r="A113" s="237"/>
      <c r="B113" s="238"/>
      <c r="C113" s="238"/>
      <c r="D113" s="238"/>
      <c r="E113" s="238"/>
      <c r="F113" s="239"/>
      <c r="G113" s="58"/>
      <c r="H113" s="58"/>
      <c r="I113" s="58"/>
      <c r="J113" s="58"/>
      <c r="K113" s="58"/>
      <c r="L113" s="58"/>
    </row>
    <row r="114" spans="1:12" ht="36" x14ac:dyDescent="0.25">
      <c r="A114" s="68" t="s">
        <v>195</v>
      </c>
      <c r="B114" s="69" t="s">
        <v>196</v>
      </c>
      <c r="C114" s="69" t="s">
        <v>197</v>
      </c>
      <c r="D114" s="69" t="s">
        <v>198</v>
      </c>
      <c r="E114" s="69" t="s">
        <v>199</v>
      </c>
      <c r="F114" s="70" t="s">
        <v>200</v>
      </c>
      <c r="G114" s="105"/>
      <c r="H114" s="105"/>
      <c r="I114" s="62"/>
      <c r="J114" s="62"/>
      <c r="K114" s="62"/>
      <c r="L114" s="62"/>
    </row>
    <row r="115" spans="1:12" ht="15.75" thickBot="1" x14ac:dyDescent="0.3">
      <c r="A115" s="117">
        <v>1</v>
      </c>
      <c r="B115" s="118">
        <v>1</v>
      </c>
      <c r="C115" s="118">
        <v>3</v>
      </c>
      <c r="D115" s="118" t="s">
        <v>341</v>
      </c>
      <c r="E115" s="118" t="s">
        <v>319</v>
      </c>
      <c r="F115" s="119">
        <v>431</v>
      </c>
      <c r="G115" s="106"/>
      <c r="H115" s="106"/>
    </row>
    <row r="116" spans="1:12" x14ac:dyDescent="0.25">
      <c r="A116" s="240" t="s">
        <v>261</v>
      </c>
      <c r="B116" s="241"/>
      <c r="C116" s="242" t="s">
        <v>343</v>
      </c>
      <c r="D116" s="242"/>
      <c r="E116" s="242"/>
      <c r="F116" s="243"/>
      <c r="G116" s="156"/>
      <c r="H116" s="156"/>
    </row>
    <row r="117" spans="1:12" x14ac:dyDescent="0.25">
      <c r="A117" s="175" t="s">
        <v>262</v>
      </c>
      <c r="B117" s="176"/>
      <c r="C117" s="375" t="s">
        <v>363</v>
      </c>
      <c r="D117" s="375"/>
      <c r="E117" s="375"/>
      <c r="F117" s="376"/>
      <c r="G117" s="156"/>
      <c r="H117" s="156"/>
    </row>
    <row r="118" spans="1:12" ht="15" customHeight="1" x14ac:dyDescent="0.25">
      <c r="A118" s="175"/>
      <c r="B118" s="176"/>
      <c r="C118" s="172" t="s">
        <v>364</v>
      </c>
      <c r="D118" s="173"/>
      <c r="E118" s="173"/>
      <c r="F118" s="174"/>
      <c r="G118" s="156"/>
      <c r="H118" s="156"/>
    </row>
    <row r="119" spans="1:12" x14ac:dyDescent="0.25">
      <c r="A119" s="175" t="s">
        <v>201</v>
      </c>
      <c r="B119" s="176"/>
      <c r="C119" s="232" t="s">
        <v>233</v>
      </c>
      <c r="D119" s="232"/>
      <c r="E119" s="232"/>
      <c r="F119" s="233"/>
      <c r="G119" s="156"/>
      <c r="H119" s="156"/>
    </row>
    <row r="120" spans="1:12" x14ac:dyDescent="0.25">
      <c r="A120" s="175" t="s">
        <v>202</v>
      </c>
      <c r="B120" s="176"/>
      <c r="C120" s="232" t="s">
        <v>233</v>
      </c>
      <c r="D120" s="232"/>
      <c r="E120" s="232"/>
      <c r="F120" s="233"/>
      <c r="G120" s="156"/>
      <c r="H120" s="156"/>
    </row>
    <row r="121" spans="1:12" ht="32.450000000000003" customHeight="1" x14ac:dyDescent="0.25">
      <c r="A121" s="175" t="s">
        <v>203</v>
      </c>
      <c r="B121" s="176"/>
      <c r="C121" s="183" t="s">
        <v>346</v>
      </c>
      <c r="D121" s="184"/>
      <c r="E121" s="184"/>
      <c r="F121" s="185"/>
      <c r="G121" s="156"/>
      <c r="H121" s="156"/>
    </row>
    <row r="122" spans="1:12" ht="48" customHeight="1" x14ac:dyDescent="0.25">
      <c r="A122" s="175" t="s">
        <v>204</v>
      </c>
      <c r="B122" s="176"/>
      <c r="C122" s="227" t="s">
        <v>349</v>
      </c>
      <c r="D122" s="227"/>
      <c r="E122" s="227"/>
      <c r="F122" s="228"/>
      <c r="G122" s="156"/>
      <c r="H122" s="156"/>
    </row>
    <row r="123" spans="1:12" ht="15.75" thickBot="1" x14ac:dyDescent="0.3">
      <c r="A123" s="229" t="s">
        <v>4</v>
      </c>
      <c r="B123" s="230"/>
      <c r="C123" s="230"/>
      <c r="D123" s="230"/>
      <c r="E123" s="230"/>
      <c r="F123" s="231"/>
      <c r="G123" s="1"/>
      <c r="H123" s="1"/>
    </row>
    <row r="124" spans="1:12" x14ac:dyDescent="0.25">
      <c r="A124" s="254" t="s">
        <v>369</v>
      </c>
      <c r="B124" s="255"/>
      <c r="C124" s="74" t="s">
        <v>5</v>
      </c>
      <c r="D124" s="74" t="s">
        <v>6</v>
      </c>
      <c r="E124" s="74" t="s">
        <v>7</v>
      </c>
      <c r="F124" s="75" t="s">
        <v>8</v>
      </c>
      <c r="G124" s="2" t="str">
        <f>(IF(E128&gt;99%,"All work completed. Please provide OC.",IF(E128&gt;89.8%,"Plinth, RCC, Brick, Plaster, Flooring, Painting work Completed. Finishing work is in process.",IF(E129&lt;94%,(IF(C128=0,"Work not yet Started.",IF(D128=25%,"Piling work in process",IF(D128=50%,"Excavation work in process",IF(D128=100%," ","")))&amp;(IF(C129=0%,"",IF(C129=H130,"Excavation work is process",IF(C129=H131,"Foudation Work in process",IF(C129=H132,"1st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Plinth, RCC, Brick, Plaster, Flooring, Painting work Completed. Finishing work is in process.</v>
      </c>
      <c r="H124" s="3"/>
    </row>
    <row r="125" spans="1:12" x14ac:dyDescent="0.25">
      <c r="A125" s="256"/>
      <c r="B125" s="257"/>
      <c r="C125" s="76">
        <v>0</v>
      </c>
      <c r="D125" s="76">
        <v>1</v>
      </c>
      <c r="E125" s="76">
        <v>0</v>
      </c>
      <c r="F125" s="77">
        <v>14</v>
      </c>
      <c r="G125" s="4"/>
      <c r="H125" s="5"/>
      <c r="L125" t="s">
        <v>207</v>
      </c>
    </row>
    <row r="126" spans="1:12" ht="30.75" customHeight="1" x14ac:dyDescent="0.25">
      <c r="A126" s="78" t="s">
        <v>9</v>
      </c>
      <c r="B126" s="295" t="str">
        <f>G124</f>
        <v>Plinth, RCC, Brick, Plaster, Flooring, Painting work Completed. Finishing work is in process.</v>
      </c>
      <c r="C126" s="296"/>
      <c r="D126" s="296"/>
      <c r="E126" s="296"/>
      <c r="F126" s="297"/>
      <c r="G126" s="4" t="s">
        <v>10</v>
      </c>
      <c r="H126" s="5"/>
      <c r="L126" t="s">
        <v>205</v>
      </c>
    </row>
    <row r="127" spans="1:12" x14ac:dyDescent="0.25">
      <c r="A127" s="79" t="s">
        <v>11</v>
      </c>
      <c r="B127" s="80" t="s">
        <v>12</v>
      </c>
      <c r="C127" s="81" t="s">
        <v>13</v>
      </c>
      <c r="D127" s="81" t="s">
        <v>14</v>
      </c>
      <c r="E127" s="298" t="s">
        <v>37</v>
      </c>
      <c r="F127" s="299"/>
      <c r="G127" s="6"/>
      <c r="H127" s="7"/>
      <c r="L127" t="s">
        <v>206</v>
      </c>
    </row>
    <row r="128" spans="1:12" ht="24" hidden="1" x14ac:dyDescent="0.25">
      <c r="A128" s="79" t="s">
        <v>17</v>
      </c>
      <c r="B128" s="82">
        <v>0.15</v>
      </c>
      <c r="C128" s="83">
        <v>14</v>
      </c>
      <c r="D128" s="84">
        <f>((100/F125)*C128)/100</f>
        <v>1</v>
      </c>
      <c r="E128" s="300">
        <f>((((C129/F125)*35)+(35/(F125+E125+D125)*C130)+(5/F125*C131)+(5/F125*C132)+(5/F125*C133)+(5/F125*C134)+(5/F125*C135)+(2.5/F125*C136)+(2.5/F125*C137))/100)</f>
        <v>0.92142857142857149</v>
      </c>
      <c r="F128" s="301"/>
      <c r="G128" s="6"/>
      <c r="H128" s="8"/>
    </row>
    <row r="129" spans="1:12" x14ac:dyDescent="0.25">
      <c r="A129" s="79" t="s">
        <v>19</v>
      </c>
      <c r="B129" s="82">
        <v>0.35</v>
      </c>
      <c r="C129" s="120">
        <f>H137</f>
        <v>14</v>
      </c>
      <c r="D129" s="84">
        <f>((100/F125)*C129)/100</f>
        <v>1</v>
      </c>
      <c r="E129" s="302"/>
      <c r="F129" s="303"/>
      <c r="G129" s="6"/>
      <c r="H129" s="8"/>
    </row>
    <row r="130" spans="1:12" ht="30" x14ac:dyDescent="0.25">
      <c r="A130" s="79" t="s">
        <v>21</v>
      </c>
      <c r="B130" s="82">
        <v>0.35</v>
      </c>
      <c r="C130" s="110">
        <v>15</v>
      </c>
      <c r="D130" s="84">
        <f>((100/(D125+E125+F125))*C130)/100</f>
        <v>1</v>
      </c>
      <c r="E130" s="302"/>
      <c r="F130" s="303"/>
      <c r="G130" s="6" t="s">
        <v>281</v>
      </c>
      <c r="H130" s="9">
        <f>(IF(C125&gt;1,(F125/(C125+2)),F125/7))</f>
        <v>2</v>
      </c>
    </row>
    <row r="131" spans="1:12" x14ac:dyDescent="0.25">
      <c r="A131" s="79" t="s">
        <v>23</v>
      </c>
      <c r="B131" s="82">
        <v>0.05</v>
      </c>
      <c r="C131" s="120">
        <f>C130-1</f>
        <v>14</v>
      </c>
      <c r="D131" s="84">
        <f>((100/F125)*C131)/100</f>
        <v>1</v>
      </c>
      <c r="E131" s="302"/>
      <c r="F131" s="303"/>
      <c r="G131" s="6" t="s">
        <v>282</v>
      </c>
      <c r="H131" s="9">
        <f>(IF(C125&gt;1,(F125/(C125+2)),F125/3.5))</f>
        <v>4</v>
      </c>
    </row>
    <row r="132" spans="1:12" x14ac:dyDescent="0.25">
      <c r="A132" s="79" t="s">
        <v>38</v>
      </c>
      <c r="B132" s="82">
        <v>0.05</v>
      </c>
      <c r="C132" s="120">
        <v>14</v>
      </c>
      <c r="D132" s="84">
        <f>((100/F125)*C132)/100</f>
        <v>1</v>
      </c>
      <c r="E132" s="302"/>
      <c r="F132" s="303"/>
      <c r="G132" s="6" t="s">
        <v>26</v>
      </c>
      <c r="H132" s="9">
        <f>(IF(C125&gt;1,(F125/(C125+2)+H131),0))</f>
        <v>0</v>
      </c>
    </row>
    <row r="133" spans="1:12" x14ac:dyDescent="0.25">
      <c r="A133" s="79" t="s">
        <v>29</v>
      </c>
      <c r="B133" s="82">
        <v>0.05</v>
      </c>
      <c r="C133" s="83">
        <v>12</v>
      </c>
      <c r="D133" s="84">
        <f>((100/(F125))*C133)/100</f>
        <v>0.85714285714285721</v>
      </c>
      <c r="E133" s="302"/>
      <c r="F133" s="303"/>
      <c r="G133" s="6" t="s">
        <v>28</v>
      </c>
      <c r="H133" s="9">
        <f>(IF(C125&gt;2,(F125/(C125+2)+H132),0))</f>
        <v>0</v>
      </c>
    </row>
    <row r="134" spans="1:12" ht="30" x14ac:dyDescent="0.25">
      <c r="A134" s="79" t="s">
        <v>39</v>
      </c>
      <c r="B134" s="82">
        <v>0.05</v>
      </c>
      <c r="C134" s="155">
        <v>12</v>
      </c>
      <c r="D134" s="84">
        <f>((100/F125)*C134)/100</f>
        <v>0.85714285714285721</v>
      </c>
      <c r="E134" s="302"/>
      <c r="F134" s="303"/>
      <c r="G134" s="6" t="s">
        <v>30</v>
      </c>
      <c r="H134" s="10">
        <f>(IF(C125&gt;3,(F125/(C125+2)+H133),0))</f>
        <v>0</v>
      </c>
    </row>
    <row r="135" spans="1:12" x14ac:dyDescent="0.25">
      <c r="A135" s="79" t="s">
        <v>31</v>
      </c>
      <c r="B135" s="82">
        <v>0.05</v>
      </c>
      <c r="C135" s="83">
        <v>10</v>
      </c>
      <c r="D135" s="84">
        <f>((100/F125)*C135)/100</f>
        <v>0.7142857142857143</v>
      </c>
      <c r="E135" s="302"/>
      <c r="F135" s="303"/>
      <c r="G135" s="6" t="s">
        <v>32</v>
      </c>
      <c r="H135" s="9">
        <f>(IF(C125&gt;4,(F125/(C125+2)+H134),0))</f>
        <v>0</v>
      </c>
    </row>
    <row r="136" spans="1:12" x14ac:dyDescent="0.25">
      <c r="A136" s="79" t="s">
        <v>40</v>
      </c>
      <c r="B136" s="82">
        <v>2.5000000000000001E-2</v>
      </c>
      <c r="C136" s="83">
        <v>0</v>
      </c>
      <c r="D136" s="84">
        <f>((100/(F125))*C136)/100</f>
        <v>0</v>
      </c>
      <c r="E136" s="302"/>
      <c r="F136" s="303"/>
      <c r="G136" s="6" t="s">
        <v>34</v>
      </c>
      <c r="H136" s="9">
        <f>(IF(C125&gt;1,(F125/(C125+2)),F125*4/7))</f>
        <v>8</v>
      </c>
    </row>
    <row r="137" spans="1:12" ht="15.75" thickBot="1" x14ac:dyDescent="0.3">
      <c r="A137" s="85" t="s">
        <v>35</v>
      </c>
      <c r="B137" s="86">
        <v>2.5000000000000001E-2</v>
      </c>
      <c r="C137" s="87">
        <v>0</v>
      </c>
      <c r="D137" s="88">
        <f>((100/(F125))*C137)/100</f>
        <v>0</v>
      </c>
      <c r="E137" s="302"/>
      <c r="F137" s="303"/>
      <c r="G137" s="11" t="s">
        <v>36</v>
      </c>
      <c r="H137" s="12">
        <f>F125</f>
        <v>14</v>
      </c>
    </row>
    <row r="138" spans="1:12" x14ac:dyDescent="0.25">
      <c r="A138" s="254" t="s">
        <v>370</v>
      </c>
      <c r="B138" s="255"/>
      <c r="C138" s="74" t="s">
        <v>5</v>
      </c>
      <c r="D138" s="74" t="s">
        <v>6</v>
      </c>
      <c r="E138" s="74" t="s">
        <v>7</v>
      </c>
      <c r="F138" s="75" t="s">
        <v>8</v>
      </c>
      <c r="G138" s="2" t="str">
        <f>(IF(E142&gt;99%,"All work completed. Please provide OC.",IF(E142&gt;89.8%,"Plinth, RCC, Brick, Plaster, Flooring, Painting work Completed. Finishing work is in process.",IF(E143&lt;94%,(IF(C142=0,"Work not yet Started.",IF(D142=25%,"Piling work in process",IF(D142=50%,"Excavation work in process",IF(D142=100%," ","")))&amp;(IF(C143=0%,"",IF(C143=H144,"Excavation work is process",IF(C143=H145,"Foudation Work in process",IF(C143=H146,"1st Basement Completed",IF(C143=H147,"1st &amp; 2nd Basement Completed",IF(C143=H148,"1st to 3rd Basement Completed",IF(C143=H149,"1st to 4th Basement Completed",IF(C143=H150,"Plinth work is process",IF(C143=H151,"Plinth work completed","0")))))))))))&amp;(IF(C144=(D139+E139+F139),", RCC Slab",IF(C144&gt;0,", RCC upto "&amp;C144&amp;" Slab",""))&amp;(IF(C145=F139,", Brickwork",IF(C145&gt;0,", Brickwork upto "&amp;C145&amp;" Floor",""))&amp;(IF(C146=F139,", Internal Plaster",IF(C146&gt;0,", Internal Plaster upto "&amp;C146&amp;" Floor",""))&amp;(IF(C147=F139,", External Plaster",IF(C147&gt;0,", External Plaster upto "&amp;C147&amp;" Floor",""))&amp;(IF(C148=F139,", Flooring",IF(C148&gt;0,", Flooring upto "&amp;C148&amp;" Floor",""))&amp;(IF(C149=F139,", Painting",IF(C149&gt;0,", Painting upto "&amp;C149&amp;" Floor",""))&amp;(IF(C150&gt;0,", Finishing upto "&amp;C150&amp;" Floor","")&amp;(IF(C144&gt;0.5," Completed",""))))))))))))))</f>
        <v>Plinth, RCC, Brick, Plaster, Flooring, Painting work Completed. Finishing work is in process.</v>
      </c>
      <c r="H138" s="3"/>
    </row>
    <row r="139" spans="1:12" x14ac:dyDescent="0.25">
      <c r="A139" s="256"/>
      <c r="B139" s="257"/>
      <c r="C139" s="76">
        <v>0</v>
      </c>
      <c r="D139" s="76">
        <v>1</v>
      </c>
      <c r="E139" s="76">
        <v>0</v>
      </c>
      <c r="F139" s="77">
        <v>14</v>
      </c>
      <c r="G139" s="4"/>
      <c r="H139" s="5"/>
      <c r="L139" t="s">
        <v>207</v>
      </c>
    </row>
    <row r="140" spans="1:12" ht="30.75" customHeight="1" x14ac:dyDescent="0.25">
      <c r="A140" s="78" t="s">
        <v>9</v>
      </c>
      <c r="B140" s="295" t="str">
        <f>G138</f>
        <v>Plinth, RCC, Brick, Plaster, Flooring, Painting work Completed. Finishing work is in process.</v>
      </c>
      <c r="C140" s="296"/>
      <c r="D140" s="296"/>
      <c r="E140" s="296"/>
      <c r="F140" s="297"/>
      <c r="G140" s="4" t="s">
        <v>10</v>
      </c>
      <c r="H140" s="5"/>
      <c r="L140" t="s">
        <v>205</v>
      </c>
    </row>
    <row r="141" spans="1:12" x14ac:dyDescent="0.25">
      <c r="A141" s="79" t="s">
        <v>11</v>
      </c>
      <c r="B141" s="80" t="s">
        <v>12</v>
      </c>
      <c r="C141" s="81" t="s">
        <v>13</v>
      </c>
      <c r="D141" s="81" t="s">
        <v>14</v>
      </c>
      <c r="E141" s="298" t="s">
        <v>37</v>
      </c>
      <c r="F141" s="299"/>
      <c r="G141" s="6"/>
      <c r="H141" s="7"/>
      <c r="L141" t="s">
        <v>206</v>
      </c>
    </row>
    <row r="142" spans="1:12" hidden="1" x14ac:dyDescent="0.25">
      <c r="A142" s="79" t="s">
        <v>17</v>
      </c>
      <c r="B142" s="82">
        <v>0.15</v>
      </c>
      <c r="C142" s="83">
        <v>14</v>
      </c>
      <c r="D142" s="84">
        <f>((100/F139)*C142)/100</f>
        <v>1</v>
      </c>
      <c r="E142" s="300">
        <f>((((C143/F139)*35)+(35/(F139+E139+D139)*C144)+(5/F139*C145)+(5/F139*C146)+(5/F139*C147)+(5/F139*C148)+(5/F139*C149)+(2.5/F139*C150)+(2.5/F139*C151))/100)</f>
        <v>0.9107142857142857</v>
      </c>
      <c r="F142" s="301"/>
      <c r="G142" s="6"/>
      <c r="H142" s="8"/>
    </row>
    <row r="143" spans="1:12" x14ac:dyDescent="0.25">
      <c r="A143" s="79" t="s">
        <v>19</v>
      </c>
      <c r="B143" s="82">
        <v>0.35</v>
      </c>
      <c r="C143" s="120">
        <f>H151</f>
        <v>14</v>
      </c>
      <c r="D143" s="84">
        <f>((100/F139)*C143)/100</f>
        <v>1</v>
      </c>
      <c r="E143" s="302"/>
      <c r="F143" s="303"/>
      <c r="G143" s="6"/>
      <c r="H143" s="8"/>
    </row>
    <row r="144" spans="1:12" ht="30" x14ac:dyDescent="0.25">
      <c r="A144" s="79" t="s">
        <v>21</v>
      </c>
      <c r="B144" s="82">
        <v>0.35</v>
      </c>
      <c r="C144" s="110">
        <v>15</v>
      </c>
      <c r="D144" s="84">
        <f>((100/(D139+E139+F139))*C144)/100</f>
        <v>1</v>
      </c>
      <c r="E144" s="302"/>
      <c r="F144" s="303"/>
      <c r="G144" s="6" t="s">
        <v>281</v>
      </c>
      <c r="H144" s="9">
        <f>(IF(C139&gt;1,(F139/(C139+2)),F139/7))</f>
        <v>2</v>
      </c>
    </row>
    <row r="145" spans="1:12" x14ac:dyDescent="0.25">
      <c r="A145" s="79" t="s">
        <v>23</v>
      </c>
      <c r="B145" s="82">
        <v>0.05</v>
      </c>
      <c r="C145" s="120">
        <v>14</v>
      </c>
      <c r="D145" s="84">
        <f>((100/F139)*C145)/100</f>
        <v>1</v>
      </c>
      <c r="E145" s="302"/>
      <c r="F145" s="303"/>
      <c r="G145" s="6" t="s">
        <v>282</v>
      </c>
      <c r="H145" s="9">
        <f>(IF(C139&gt;1,(F139/(C139+2)),F139/3.5))</f>
        <v>4</v>
      </c>
    </row>
    <row r="146" spans="1:12" x14ac:dyDescent="0.25">
      <c r="A146" s="79" t="s">
        <v>38</v>
      </c>
      <c r="B146" s="82">
        <v>0.05</v>
      </c>
      <c r="C146" s="120">
        <v>14</v>
      </c>
      <c r="D146" s="84">
        <f>((100/F139)*C146)/100</f>
        <v>1</v>
      </c>
      <c r="E146" s="302"/>
      <c r="F146" s="303"/>
      <c r="G146" s="6" t="s">
        <v>26</v>
      </c>
      <c r="H146" s="9">
        <f>(IF(C139&gt;1,(F139/(C139+2)+H145),0))</f>
        <v>0</v>
      </c>
    </row>
    <row r="147" spans="1:12" x14ac:dyDescent="0.25">
      <c r="A147" s="79" t="s">
        <v>29</v>
      </c>
      <c r="B147" s="82">
        <v>0.05</v>
      </c>
      <c r="C147" s="83">
        <v>11</v>
      </c>
      <c r="D147" s="84">
        <f>((100/(F139))*C147)/100</f>
        <v>0.7857142857142857</v>
      </c>
      <c r="E147" s="302"/>
      <c r="F147" s="303"/>
      <c r="G147" s="6" t="s">
        <v>28</v>
      </c>
      <c r="H147" s="9">
        <f>(IF(C139&gt;2,(F139/(C139+2)+H146),0))</f>
        <v>0</v>
      </c>
    </row>
    <row r="148" spans="1:12" ht="30" x14ac:dyDescent="0.25">
      <c r="A148" s="79" t="s">
        <v>39</v>
      </c>
      <c r="B148" s="82">
        <v>0.05</v>
      </c>
      <c r="C148" s="155">
        <v>11</v>
      </c>
      <c r="D148" s="84">
        <f>((100/F139)*C148)/100</f>
        <v>0.7857142857142857</v>
      </c>
      <c r="E148" s="302"/>
      <c r="F148" s="303"/>
      <c r="G148" s="6" t="s">
        <v>30</v>
      </c>
      <c r="H148" s="10">
        <f>(IF(C139&gt;3,(F139/(C139+2)+H147),0))</f>
        <v>0</v>
      </c>
    </row>
    <row r="149" spans="1:12" x14ac:dyDescent="0.25">
      <c r="A149" s="79" t="s">
        <v>31</v>
      </c>
      <c r="B149" s="82">
        <v>0.05</v>
      </c>
      <c r="C149" s="83">
        <v>9</v>
      </c>
      <c r="D149" s="84">
        <f>((100/F139)*C149)/100</f>
        <v>0.6428571428571429</v>
      </c>
      <c r="E149" s="302"/>
      <c r="F149" s="303"/>
      <c r="G149" s="6" t="s">
        <v>32</v>
      </c>
      <c r="H149" s="9">
        <f>(IF(C139&gt;4,(F139/(C139+2)+H148),0))</f>
        <v>0</v>
      </c>
    </row>
    <row r="150" spans="1:12" x14ac:dyDescent="0.25">
      <c r="A150" s="79" t="s">
        <v>40</v>
      </c>
      <c r="B150" s="82">
        <v>2.5000000000000001E-2</v>
      </c>
      <c r="C150" s="83">
        <v>0</v>
      </c>
      <c r="D150" s="84">
        <f>((100/(F139))*C150)/100</f>
        <v>0</v>
      </c>
      <c r="E150" s="302"/>
      <c r="F150" s="303"/>
      <c r="G150" s="6" t="s">
        <v>34</v>
      </c>
      <c r="H150" s="9">
        <f>(IF(C139&gt;1,(F139/(C139+2)),F139*4/7))</f>
        <v>8</v>
      </c>
    </row>
    <row r="151" spans="1:12" ht="15.75" thickBot="1" x14ac:dyDescent="0.3">
      <c r="A151" s="85" t="s">
        <v>35</v>
      </c>
      <c r="B151" s="86">
        <v>2.5000000000000001E-2</v>
      </c>
      <c r="C151" s="87">
        <v>0</v>
      </c>
      <c r="D151" s="88">
        <f>((100/(F139))*C151)/100</f>
        <v>0</v>
      </c>
      <c r="E151" s="302"/>
      <c r="F151" s="303"/>
      <c r="G151" s="11" t="s">
        <v>36</v>
      </c>
      <c r="H151" s="12">
        <f>F139</f>
        <v>14</v>
      </c>
    </row>
    <row r="152" spans="1:12" x14ac:dyDescent="0.25">
      <c r="A152" s="254" t="str">
        <f>C118</f>
        <v>Cluster 15.06 Opal (Wing C) = Gr + 1st to 14th Floor</v>
      </c>
      <c r="B152" s="255"/>
      <c r="C152" s="74" t="s">
        <v>5</v>
      </c>
      <c r="D152" s="74" t="s">
        <v>6</v>
      </c>
      <c r="E152" s="74" t="s">
        <v>7</v>
      </c>
      <c r="F152" s="75" t="s">
        <v>8</v>
      </c>
      <c r="G152" s="2" t="str">
        <f>(IF(E156&gt;99%,"All work completed. Please provide OC.",IF(E156&gt;89.8%,"Plinth, RCC, Brick, Plaster, Flooring, Painting work Completed. Finishing work is in process.",IF(E157&lt;94%,(IF(C156=0,"Work not yet Started.",IF(D156=25%,"Piling work in process",IF(D156=50%,"Excavation work in process",IF(D156=100%," ","")))&amp;(IF(C157=0%,"",IF(C157=H158,"Excavation work is process",IF(C157=H159,"Foudation Work in process",IF(C157=H160,"1st Basement Completed",IF(C157=H161,"1st &amp; 2nd Basement Completed",IF(C157=H162,"1st to 3rd Basement Completed",IF(C157=H163,"1st to 4th Basement Completed",IF(C157=H164,"Plinth work is process",IF(C157=H165,"Plinth work completed","0")))))))))))&amp;(IF(C158=(D153+E153+F153),", RCC Slab",IF(C158&gt;0,", RCC upto "&amp;C158&amp;" Slab",""))&amp;(IF(C159=F153,", Brickwork",IF(C159&gt;0,", Brickwork upto "&amp;C159&amp;" Floor",""))&amp;(IF(C160=F153,", Internal Plaster",IF(C160&gt;0,", Internal Plaster upto "&amp;C160&amp;" Floor",""))&amp;(IF(C161=F153,", External Plaster",IF(C161&gt;0,", External Plaster upto "&amp;C161&amp;" Floor",""))&amp;(IF(C162=F153,", Flooring",IF(C162&gt;0,", Flooring upto "&amp;C162&amp;" Floor",""))&amp;(IF(C163=F153,", Painting",IF(C163&gt;0,", Painting upto "&amp;C163&amp;" Floor",""))&amp;(IF(C164&gt;0,", Finishing upto "&amp;C164&amp;" Floor","")&amp;(IF(C158&gt;0.5," Completed",""))))))))))))))</f>
        <v>Plinth, RCC, Brick, Plaster, Flooring, Painting work Completed. Finishing work is in process.</v>
      </c>
      <c r="H152" s="3"/>
    </row>
    <row r="153" spans="1:12" x14ac:dyDescent="0.25">
      <c r="A153" s="256"/>
      <c r="B153" s="257"/>
      <c r="C153" s="76">
        <v>0</v>
      </c>
      <c r="D153" s="76">
        <v>1</v>
      </c>
      <c r="E153" s="76">
        <v>0</v>
      </c>
      <c r="F153" s="77">
        <v>14</v>
      </c>
      <c r="G153" s="4"/>
      <c r="H153" s="5"/>
      <c r="L153" t="s">
        <v>207</v>
      </c>
    </row>
    <row r="154" spans="1:12" x14ac:dyDescent="0.25">
      <c r="A154" s="78" t="s">
        <v>9</v>
      </c>
      <c r="B154" s="295" t="str">
        <f>G152</f>
        <v>Plinth, RCC, Brick, Plaster, Flooring, Painting work Completed. Finishing work is in process.</v>
      </c>
      <c r="C154" s="296"/>
      <c r="D154" s="296"/>
      <c r="E154" s="296"/>
      <c r="F154" s="297"/>
      <c r="G154" s="4" t="s">
        <v>10</v>
      </c>
      <c r="H154" s="5"/>
      <c r="L154" t="s">
        <v>205</v>
      </c>
    </row>
    <row r="155" spans="1:12" x14ac:dyDescent="0.25">
      <c r="A155" s="79" t="s">
        <v>11</v>
      </c>
      <c r="B155" s="80" t="s">
        <v>12</v>
      </c>
      <c r="C155" s="81" t="s">
        <v>13</v>
      </c>
      <c r="D155" s="81" t="s">
        <v>14</v>
      </c>
      <c r="E155" s="298" t="s">
        <v>37</v>
      </c>
      <c r="F155" s="299"/>
      <c r="G155" s="6"/>
      <c r="H155" s="7"/>
      <c r="L155" t="s">
        <v>206</v>
      </c>
    </row>
    <row r="156" spans="1:12" ht="15" hidden="1" customHeight="1" x14ac:dyDescent="0.25">
      <c r="A156" s="79" t="s">
        <v>17</v>
      </c>
      <c r="B156" s="82">
        <v>0.15</v>
      </c>
      <c r="C156" s="83">
        <v>14</v>
      </c>
      <c r="D156" s="84">
        <f>((100/F153)*C156)/100</f>
        <v>1</v>
      </c>
      <c r="E156" s="300">
        <f>((((C157/F153)*35)+(35/(F153+E153+D153)*C158)+(5/F153*C159)+(5/F153*C160)+(5/F153*C161)+(5/F153*C162)+(5/F153*C163)+(2.5/F153*C164)+(2.5/F153*C165))/100)</f>
        <v>0.91785714285714293</v>
      </c>
      <c r="F156" s="301"/>
      <c r="G156" s="6"/>
      <c r="H156" s="8"/>
    </row>
    <row r="157" spans="1:12" x14ac:dyDescent="0.25">
      <c r="A157" s="79" t="s">
        <v>19</v>
      </c>
      <c r="B157" s="82">
        <v>0.35</v>
      </c>
      <c r="C157" s="120">
        <f>H165</f>
        <v>14</v>
      </c>
      <c r="D157" s="84">
        <f>((100/F153)*C157)/100</f>
        <v>1</v>
      </c>
      <c r="E157" s="302"/>
      <c r="F157" s="303"/>
      <c r="G157" s="6"/>
      <c r="H157" s="8"/>
    </row>
    <row r="158" spans="1:12" ht="30" x14ac:dyDescent="0.25">
      <c r="A158" s="79" t="s">
        <v>21</v>
      </c>
      <c r="B158" s="82">
        <v>0.35</v>
      </c>
      <c r="C158" s="110">
        <v>15</v>
      </c>
      <c r="D158" s="84">
        <f>((100/(D153+E153+F153))*C158)/100</f>
        <v>1</v>
      </c>
      <c r="E158" s="302"/>
      <c r="F158" s="303"/>
      <c r="G158" s="6" t="s">
        <v>281</v>
      </c>
      <c r="H158" s="9">
        <f>(IF(C153&gt;1,(F153/(C153+2)),F153/7))</f>
        <v>2</v>
      </c>
    </row>
    <row r="159" spans="1:12" x14ac:dyDescent="0.25">
      <c r="A159" s="79" t="s">
        <v>23</v>
      </c>
      <c r="B159" s="82">
        <v>0.05</v>
      </c>
      <c r="C159" s="120">
        <f>C158-1</f>
        <v>14</v>
      </c>
      <c r="D159" s="84">
        <f>((100/F153)*C159)/100</f>
        <v>1</v>
      </c>
      <c r="E159" s="302"/>
      <c r="F159" s="303"/>
      <c r="G159" s="6" t="s">
        <v>282</v>
      </c>
      <c r="H159" s="9">
        <f>(IF(C153&gt;1,(F153/(C153+2)),F153/3.5))</f>
        <v>4</v>
      </c>
    </row>
    <row r="160" spans="1:12" x14ac:dyDescent="0.25">
      <c r="A160" s="79" t="s">
        <v>38</v>
      </c>
      <c r="B160" s="82">
        <v>0.05</v>
      </c>
      <c r="C160" s="120">
        <v>14</v>
      </c>
      <c r="D160" s="84">
        <f>((100/F153)*C160)/100</f>
        <v>1</v>
      </c>
      <c r="E160" s="302"/>
      <c r="F160" s="303"/>
      <c r="G160" s="6" t="s">
        <v>26</v>
      </c>
      <c r="H160" s="9">
        <f>(IF(C153&gt;1,(F153/(C153+2)+H159),0))</f>
        <v>0</v>
      </c>
    </row>
    <row r="161" spans="1:13" x14ac:dyDescent="0.25">
      <c r="A161" s="79" t="s">
        <v>29</v>
      </c>
      <c r="B161" s="82">
        <v>0.05</v>
      </c>
      <c r="C161" s="83">
        <v>12</v>
      </c>
      <c r="D161" s="84">
        <f>((100/(F153))*C161)/100</f>
        <v>0.85714285714285721</v>
      </c>
      <c r="E161" s="302"/>
      <c r="F161" s="303"/>
      <c r="G161" s="6" t="s">
        <v>28</v>
      </c>
      <c r="H161" s="9">
        <f>(IF(C153&gt;2,(F153/(C153+2)+H160),0))</f>
        <v>0</v>
      </c>
    </row>
    <row r="162" spans="1:13" ht="30" x14ac:dyDescent="0.25">
      <c r="A162" s="79" t="s">
        <v>39</v>
      </c>
      <c r="B162" s="82">
        <v>0.05</v>
      </c>
      <c r="C162" s="155">
        <v>12</v>
      </c>
      <c r="D162" s="84">
        <f>((100/F153)*C162)/100</f>
        <v>0.85714285714285721</v>
      </c>
      <c r="E162" s="302"/>
      <c r="F162" s="303"/>
      <c r="G162" s="6" t="s">
        <v>30</v>
      </c>
      <c r="H162" s="10">
        <f>(IF(C153&gt;3,(F153/(C153+2)+H161),0))</f>
        <v>0</v>
      </c>
    </row>
    <row r="163" spans="1:13" x14ac:dyDescent="0.25">
      <c r="A163" s="79" t="s">
        <v>31</v>
      </c>
      <c r="B163" s="82">
        <v>0.05</v>
      </c>
      <c r="C163" s="83">
        <v>9</v>
      </c>
      <c r="D163" s="84">
        <f>((100/F153)*C163)/100</f>
        <v>0.6428571428571429</v>
      </c>
      <c r="E163" s="302"/>
      <c r="F163" s="303"/>
      <c r="G163" s="6" t="s">
        <v>32</v>
      </c>
      <c r="H163" s="9">
        <f>(IF(C153&gt;4,(F153/(C153+2)+H162),0))</f>
        <v>0</v>
      </c>
    </row>
    <row r="164" spans="1:13" x14ac:dyDescent="0.25">
      <c r="A164" s="79" t="s">
        <v>40</v>
      </c>
      <c r="B164" s="82">
        <v>2.5000000000000001E-2</v>
      </c>
      <c r="C164" s="83">
        <v>0</v>
      </c>
      <c r="D164" s="84">
        <f>((100/(F153))*C164)/100</f>
        <v>0</v>
      </c>
      <c r="E164" s="302"/>
      <c r="F164" s="303"/>
      <c r="G164" s="6" t="s">
        <v>34</v>
      </c>
      <c r="H164" s="9">
        <f>(IF(C153&gt;1,(F153/(C153+2)),F153*4/7))</f>
        <v>8</v>
      </c>
    </row>
    <row r="165" spans="1:13" ht="15.75" thickBot="1" x14ac:dyDescent="0.3">
      <c r="A165" s="85" t="s">
        <v>35</v>
      </c>
      <c r="B165" s="86">
        <v>2.5000000000000001E-2</v>
      </c>
      <c r="C165" s="87">
        <v>0</v>
      </c>
      <c r="D165" s="88">
        <f>((100/(F153))*C165)/100</f>
        <v>0</v>
      </c>
      <c r="E165" s="302"/>
      <c r="F165" s="303"/>
      <c r="G165" s="11" t="s">
        <v>36</v>
      </c>
      <c r="H165" s="12">
        <f>F153</f>
        <v>14</v>
      </c>
    </row>
    <row r="166" spans="1:13" s="64" customFormat="1" x14ac:dyDescent="0.25">
      <c r="A166" s="388" t="s">
        <v>108</v>
      </c>
      <c r="B166" s="389"/>
      <c r="C166" s="389"/>
      <c r="D166" s="389"/>
      <c r="E166" s="392">
        <f>AVERAGE(E128,E142,E156)</f>
        <v>0.91666666666666663</v>
      </c>
      <c r="F166" s="393"/>
    </row>
    <row r="167" spans="1:13" s="64" customFormat="1" x14ac:dyDescent="0.25">
      <c r="A167" s="390"/>
      <c r="B167" s="391"/>
      <c r="C167" s="391"/>
      <c r="D167" s="391"/>
      <c r="E167" s="391"/>
      <c r="F167" s="394"/>
      <c r="G167" s="65"/>
      <c r="H167" s="66"/>
    </row>
    <row r="168" spans="1:13" ht="15.75" thickBot="1" x14ac:dyDescent="0.3">
      <c r="A168" s="304" t="s">
        <v>45</v>
      </c>
      <c r="B168" s="305"/>
      <c r="C168" s="305"/>
      <c r="D168" s="305"/>
      <c r="E168" s="305"/>
      <c r="F168" s="306"/>
    </row>
    <row r="169" spans="1:13" ht="36" x14ac:dyDescent="0.25">
      <c r="A169" s="68" t="s">
        <v>195</v>
      </c>
      <c r="B169" s="69" t="s">
        <v>196</v>
      </c>
      <c r="C169" s="69" t="s">
        <v>197</v>
      </c>
      <c r="D169" s="69" t="s">
        <v>198</v>
      </c>
      <c r="E169" s="69" t="s">
        <v>199</v>
      </c>
      <c r="F169" s="70" t="s">
        <v>200</v>
      </c>
    </row>
    <row r="170" spans="1:13" ht="15.75" thickBot="1" x14ac:dyDescent="0.3">
      <c r="A170" s="117">
        <v>1</v>
      </c>
      <c r="B170" s="118">
        <v>1</v>
      </c>
      <c r="C170" s="118">
        <v>3</v>
      </c>
      <c r="D170" s="118" t="s">
        <v>341</v>
      </c>
      <c r="E170" s="118" t="s">
        <v>319</v>
      </c>
      <c r="F170" s="119">
        <v>431</v>
      </c>
    </row>
    <row r="171" spans="1:13" s="35" customFormat="1" ht="15.75" hidden="1" customHeight="1" x14ac:dyDescent="0.25">
      <c r="A171" s="310" t="s">
        <v>263</v>
      </c>
      <c r="B171" s="311"/>
      <c r="C171" s="311"/>
      <c r="D171" s="311"/>
      <c r="E171" s="311"/>
      <c r="F171" s="312"/>
      <c r="G171" s="41"/>
      <c r="H171" s="41"/>
      <c r="I171"/>
      <c r="J171"/>
      <c r="K171"/>
      <c r="L171"/>
      <c r="M171"/>
    </row>
    <row r="172" spans="1:13" s="35" customFormat="1" ht="15.75" hidden="1" customHeight="1" x14ac:dyDescent="0.25">
      <c r="A172" s="71" t="s">
        <v>46</v>
      </c>
      <c r="B172" s="47" t="s">
        <v>47</v>
      </c>
      <c r="C172" s="307" t="s">
        <v>48</v>
      </c>
      <c r="D172" s="307"/>
      <c r="E172" s="308" t="s">
        <v>49</v>
      </c>
      <c r="F172" s="309"/>
      <c r="G172" s="284"/>
      <c r="H172" s="284"/>
      <c r="I172" s="371"/>
      <c r="J172" s="371"/>
      <c r="K172" s="371"/>
      <c r="L172" s="371"/>
    </row>
    <row r="173" spans="1:13" s="35" customFormat="1" ht="15.75" hidden="1" x14ac:dyDescent="0.25">
      <c r="A173" s="89" t="s">
        <v>264</v>
      </c>
      <c r="B173" s="90"/>
      <c r="C173" s="270"/>
      <c r="D173" s="285"/>
      <c r="E173" s="270"/>
      <c r="F173" s="271"/>
      <c r="G173" s="372"/>
      <c r="H173" s="373"/>
      <c r="I173" s="371"/>
      <c r="J173" s="371"/>
      <c r="K173" s="371"/>
      <c r="L173" s="371"/>
    </row>
    <row r="174" spans="1:13" s="35" customFormat="1" ht="15.75" hidden="1" customHeight="1" x14ac:dyDescent="0.25">
      <c r="A174" s="89" t="s">
        <v>265</v>
      </c>
      <c r="B174" s="90"/>
      <c r="C174" s="270"/>
      <c r="D174" s="285"/>
      <c r="E174" s="270"/>
      <c r="F174" s="271"/>
      <c r="G174" s="372"/>
      <c r="H174" s="373"/>
    </row>
    <row r="175" spans="1:13" s="35" customFormat="1" ht="16.5" hidden="1" thickBot="1" x14ac:dyDescent="0.3">
      <c r="A175" s="91" t="s">
        <v>51</v>
      </c>
      <c r="B175" s="92">
        <f>SUM(B173:B174)</f>
        <v>0</v>
      </c>
      <c r="C175" s="266">
        <f>SUM(C173:C174)</f>
        <v>0</v>
      </c>
      <c r="D175" s="267"/>
      <c r="E175" s="268">
        <f>SUM(E173:E174)</f>
        <v>0</v>
      </c>
      <c r="F175" s="269"/>
      <c r="G175" s="162"/>
      <c r="H175" s="163"/>
      <c r="J175" s="36"/>
    </row>
    <row r="176" spans="1:13" s="35" customFormat="1" ht="15.75" hidden="1" customHeight="1" x14ac:dyDescent="0.25">
      <c r="A176" s="310" t="s">
        <v>266</v>
      </c>
      <c r="B176" s="311"/>
      <c r="C176" s="311"/>
      <c r="D176" s="311"/>
      <c r="E176" s="311"/>
      <c r="F176" s="312"/>
      <c r="G176" s="41"/>
      <c r="H176" s="41"/>
      <c r="I176"/>
      <c r="J176"/>
      <c r="K176"/>
      <c r="L176"/>
      <c r="M176"/>
    </row>
    <row r="177" spans="1:13" s="35" customFormat="1" ht="15.75" hidden="1" customHeight="1" x14ac:dyDescent="0.25">
      <c r="A177" s="71" t="s">
        <v>46</v>
      </c>
      <c r="B177" s="47" t="s">
        <v>47</v>
      </c>
      <c r="C177" s="307" t="s">
        <v>48</v>
      </c>
      <c r="D177" s="307"/>
      <c r="E177" s="308" t="s">
        <v>49</v>
      </c>
      <c r="F177" s="309"/>
      <c r="G177" s="284"/>
      <c r="H177" s="284"/>
      <c r="I177" s="371"/>
      <c r="J177" s="371"/>
      <c r="K177" s="371"/>
      <c r="L177" s="371"/>
    </row>
    <row r="178" spans="1:13" s="35" customFormat="1" ht="15.75" hidden="1" x14ac:dyDescent="0.25">
      <c r="A178" s="89" t="s">
        <v>265</v>
      </c>
      <c r="B178" s="90"/>
      <c r="C178" s="270"/>
      <c r="D178" s="285"/>
      <c r="E178" s="270"/>
      <c r="F178" s="271"/>
      <c r="G178" s="372"/>
      <c r="H178" s="373"/>
      <c r="I178" s="371"/>
      <c r="J178" s="371"/>
      <c r="K178" s="371"/>
      <c r="L178" s="371"/>
    </row>
    <row r="179" spans="1:13" s="35" customFormat="1" ht="15.75" hidden="1" customHeight="1" x14ac:dyDescent="0.25">
      <c r="A179" s="89" t="s">
        <v>267</v>
      </c>
      <c r="B179" s="90"/>
      <c r="C179" s="270"/>
      <c r="D179" s="285"/>
      <c r="E179" s="270"/>
      <c r="F179" s="271"/>
      <c r="G179" s="372"/>
      <c r="H179" s="373"/>
    </row>
    <row r="180" spans="1:13" s="35" customFormat="1" ht="16.5" hidden="1" thickBot="1" x14ac:dyDescent="0.3">
      <c r="A180" s="91" t="s">
        <v>51</v>
      </c>
      <c r="B180" s="92">
        <f>SUM(B178:B179)</f>
        <v>0</v>
      </c>
      <c r="C180" s="266">
        <f>SUM(C178:C179)</f>
        <v>0</v>
      </c>
      <c r="D180" s="267"/>
      <c r="E180" s="268">
        <f>SUM(E178:E179)</f>
        <v>0</v>
      </c>
      <c r="F180" s="269"/>
      <c r="G180" s="162"/>
      <c r="H180" s="163"/>
      <c r="J180" s="36"/>
    </row>
    <row r="181" spans="1:13" s="35" customFormat="1" ht="15.75" customHeight="1" x14ac:dyDescent="0.25">
      <c r="A181" s="356" t="s">
        <v>270</v>
      </c>
      <c r="B181" s="357"/>
      <c r="C181" s="357"/>
      <c r="D181" s="357"/>
      <c r="E181" s="357"/>
      <c r="F181" s="358"/>
      <c r="G181" s="41"/>
      <c r="H181" s="41"/>
    </row>
    <row r="182" spans="1:13" s="35" customFormat="1" ht="15.75" customHeight="1" x14ac:dyDescent="0.25">
      <c r="A182" s="71" t="s">
        <v>46</v>
      </c>
      <c r="B182" s="47" t="s">
        <v>47</v>
      </c>
      <c r="C182" s="307" t="s">
        <v>48</v>
      </c>
      <c r="D182" s="307"/>
      <c r="E182" s="308" t="s">
        <v>49</v>
      </c>
      <c r="F182" s="309"/>
      <c r="G182" s="284"/>
      <c r="H182" s="284"/>
    </row>
    <row r="183" spans="1:13" s="35" customFormat="1" ht="15.75" x14ac:dyDescent="0.25">
      <c r="A183" s="89" t="s">
        <v>50</v>
      </c>
      <c r="B183" s="90">
        <f>COUNT(C196:C206)*12+COUNT(C208:C218)+COUNT(C220:C230)</f>
        <v>154</v>
      </c>
      <c r="C183" s="270">
        <f>SUM(C196:C206)*12+SUM(C208:C218)+SUM(C220:C230)</f>
        <v>49613.644079999998</v>
      </c>
      <c r="D183" s="285"/>
      <c r="E183" s="270">
        <f>SUM(F196:F206)*12+SUM(F208:F218)+SUM(F220:F230)</f>
        <v>79381.830528000006</v>
      </c>
      <c r="F183" s="271"/>
      <c r="G183" s="372"/>
      <c r="H183" s="372"/>
    </row>
    <row r="184" spans="1:13" s="35" customFormat="1" ht="15.75" x14ac:dyDescent="0.25">
      <c r="A184" s="89" t="s">
        <v>317</v>
      </c>
      <c r="B184" s="90">
        <f>COUNT(C233:C241)*12+COUNT(C243:C246,C249:C251)+COUNT(C253:C256,C258:C261)</f>
        <v>123</v>
      </c>
      <c r="C184" s="270">
        <f>SUM(C233:C241)*12+SUM(C243:C246,C249:C251)+SUM(C253:C256,C258:C261)</f>
        <v>39626.48195999999</v>
      </c>
      <c r="D184" s="285"/>
      <c r="E184" s="270">
        <f>SUM(F233:F241)*12+SUM(F243:F246,F249:F251)+SUM(F253:F256,F258:F261)</f>
        <v>63402.371136000009</v>
      </c>
      <c r="F184" s="271"/>
      <c r="G184" s="372"/>
      <c r="H184" s="372"/>
    </row>
    <row r="185" spans="1:13" s="35" customFormat="1" ht="15.75" x14ac:dyDescent="0.25">
      <c r="A185" s="89" t="s">
        <v>318</v>
      </c>
      <c r="B185" s="90">
        <f>COUNT(C264:C274)*12+COUNT(C276:C286)+COUNT(C288:C298)</f>
        <v>154</v>
      </c>
      <c r="C185" s="270">
        <f>SUM(C264:C274)*12+SUM(C276:C286)+SUM(C288:C298)</f>
        <v>49613.644079999998</v>
      </c>
      <c r="D185" s="285"/>
      <c r="E185" s="270">
        <f>SUM(F264:F274)*12+SUM(F276:F286)+SUM(F288:F298)</f>
        <v>79381.830528000006</v>
      </c>
      <c r="F185" s="271"/>
      <c r="G185" s="372"/>
      <c r="H185" s="372"/>
    </row>
    <row r="186" spans="1:13" s="35" customFormat="1" ht="16.5" thickBot="1" x14ac:dyDescent="0.3">
      <c r="A186" s="93" t="s">
        <v>51</v>
      </c>
      <c r="B186" s="94">
        <f>SUM(B183:B185)</f>
        <v>431</v>
      </c>
      <c r="C186" s="158">
        <f>SUM(C183:C185)</f>
        <v>138853.77012</v>
      </c>
      <c r="D186" s="159"/>
      <c r="E186" s="160">
        <f>SUM(E183:E185)</f>
        <v>222166.03219200001</v>
      </c>
      <c r="F186" s="161"/>
      <c r="G186" s="162"/>
      <c r="H186" s="163"/>
    </row>
    <row r="187" spans="1:13" s="35" customFormat="1" ht="16.5" thickBot="1" x14ac:dyDescent="0.3">
      <c r="A187" s="95" t="s">
        <v>269</v>
      </c>
      <c r="B187" s="96">
        <f>SUM(B175,B180,B186)</f>
        <v>431</v>
      </c>
      <c r="C187" s="385">
        <f>SUM(C175,C180,C186)</f>
        <v>138853.77012</v>
      </c>
      <c r="D187" s="386"/>
      <c r="E187" s="385">
        <f>SUM(E175,E180,E186)</f>
        <v>222166.03219200001</v>
      </c>
      <c r="F187" s="387"/>
      <c r="G187" s="162"/>
      <c r="H187" s="163"/>
    </row>
    <row r="188" spans="1:13" s="37" customFormat="1" ht="15.75" x14ac:dyDescent="0.25">
      <c r="A188" s="164" t="s">
        <v>52</v>
      </c>
      <c r="B188" s="165"/>
      <c r="C188" s="165"/>
      <c r="D188" s="165"/>
      <c r="E188" s="165"/>
      <c r="F188" s="166"/>
      <c r="G188" s="42"/>
      <c r="H188" s="42"/>
    </row>
    <row r="189" spans="1:13" s="38" customFormat="1" ht="15.75" x14ac:dyDescent="0.25">
      <c r="A189" s="167" t="s">
        <v>53</v>
      </c>
      <c r="B189" s="168"/>
      <c r="C189" s="168"/>
      <c r="D189" s="168"/>
      <c r="E189" s="168"/>
      <c r="F189" s="169"/>
      <c r="G189" s="42"/>
      <c r="H189" s="42"/>
    </row>
    <row r="190" spans="1:13" s="38" customFormat="1" ht="26.45" customHeight="1" x14ac:dyDescent="0.25">
      <c r="A190" s="170" t="s">
        <v>66</v>
      </c>
      <c r="B190" s="377" t="s">
        <v>54</v>
      </c>
      <c r="C190" s="377" t="s">
        <v>55</v>
      </c>
      <c r="D190" s="377" t="s">
        <v>57</v>
      </c>
      <c r="E190" s="379" t="s">
        <v>56</v>
      </c>
      <c r="F190" s="138" t="s">
        <v>58</v>
      </c>
      <c r="G190" s="157"/>
      <c r="H190" s="157"/>
    </row>
    <row r="191" spans="1:13" s="38" customFormat="1" ht="15.75" x14ac:dyDescent="0.25">
      <c r="A191" s="171"/>
      <c r="B191" s="378"/>
      <c r="C191" s="378"/>
      <c r="D191" s="378"/>
      <c r="E191" s="380"/>
      <c r="F191" s="139">
        <v>0.6</v>
      </c>
      <c r="G191" s="157"/>
      <c r="H191" s="157"/>
      <c r="J191" s="61"/>
      <c r="K191" s="61"/>
      <c r="L191" s="61"/>
      <c r="M191" s="61"/>
    </row>
    <row r="192" spans="1:13" s="37" customFormat="1" ht="15.75" x14ac:dyDescent="0.25">
      <c r="A192" s="167" t="s">
        <v>315</v>
      </c>
      <c r="B192" s="168"/>
      <c r="C192" s="168"/>
      <c r="D192" s="168"/>
      <c r="E192" s="168"/>
      <c r="F192" s="169"/>
      <c r="G192" s="42"/>
      <c r="H192" s="42"/>
      <c r="J192" s="60"/>
      <c r="K192" s="60"/>
      <c r="L192" s="60"/>
      <c r="M192" s="60"/>
    </row>
    <row r="193" spans="1:14" s="112" customFormat="1" ht="15.75" customHeight="1" x14ac:dyDescent="0.25">
      <c r="A193" s="272" t="s">
        <v>335</v>
      </c>
      <c r="B193" s="273"/>
      <c r="C193" s="273"/>
      <c r="D193" s="273"/>
      <c r="E193" s="273"/>
      <c r="F193" s="274"/>
      <c r="G193" s="43"/>
      <c r="H193" s="43"/>
      <c r="J193" s="111"/>
      <c r="K193" s="56"/>
      <c r="L193" s="111"/>
      <c r="M193" s="111"/>
    </row>
    <row r="194" spans="1:14" s="112" customFormat="1" ht="15.75" customHeight="1" x14ac:dyDescent="0.25">
      <c r="A194" s="272" t="s">
        <v>50</v>
      </c>
      <c r="B194" s="273"/>
      <c r="C194" s="273"/>
      <c r="D194" s="273"/>
      <c r="E194" s="273"/>
      <c r="F194" s="274"/>
      <c r="G194" s="43"/>
      <c r="H194" s="43"/>
      <c r="J194" s="111"/>
      <c r="K194" s="56"/>
      <c r="L194" s="111"/>
      <c r="M194" s="111"/>
    </row>
    <row r="195" spans="1:14" s="39" customFormat="1" ht="32.25" customHeight="1" x14ac:dyDescent="0.25">
      <c r="A195" s="272" t="s">
        <v>336</v>
      </c>
      <c r="B195" s="273"/>
      <c r="C195" s="273"/>
      <c r="D195" s="273"/>
      <c r="E195" s="273"/>
      <c r="F195" s="274"/>
      <c r="G195" s="43"/>
      <c r="H195" s="43"/>
      <c r="J195" s="59"/>
      <c r="K195" s="56"/>
      <c r="L195" s="59"/>
      <c r="M195" s="59"/>
    </row>
    <row r="196" spans="1:14" s="39" customFormat="1" ht="15.75" x14ac:dyDescent="0.25">
      <c r="A196" s="140">
        <v>1</v>
      </c>
      <c r="B196" s="99" t="s">
        <v>337</v>
      </c>
      <c r="C196" s="99">
        <f>(29.93)*(10.764)</f>
        <v>322.16651999999999</v>
      </c>
      <c r="D196" s="99">
        <f>C196*1.2</f>
        <v>386.59982399999996</v>
      </c>
      <c r="E196" s="97">
        <v>0</v>
      </c>
      <c r="F196" s="141">
        <f>(C196+E196)*(($F$191)+1)</f>
        <v>515.46643200000005</v>
      </c>
      <c r="G196" s="275">
        <f>3951270/F196</f>
        <v>7665.4264074367493</v>
      </c>
      <c r="H196" s="275"/>
      <c r="I196" s="40"/>
      <c r="J196" s="57"/>
      <c r="K196" s="59"/>
      <c r="L196" s="247"/>
      <c r="M196" s="247"/>
      <c r="N196" s="40"/>
    </row>
    <row r="197" spans="1:14" x14ac:dyDescent="0.25">
      <c r="A197" s="140">
        <v>2</v>
      </c>
      <c r="B197" s="99" t="s">
        <v>337</v>
      </c>
      <c r="C197" s="99">
        <f t="shared" ref="C197:C206" si="1">(29.93)*(10.764)</f>
        <v>322.16651999999999</v>
      </c>
      <c r="D197" s="99">
        <f t="shared" ref="D197:D201" si="2">C197*1.2</f>
        <v>386.59982399999996</v>
      </c>
      <c r="E197" s="97">
        <v>0</v>
      </c>
      <c r="F197" s="141">
        <f t="shared" ref="F197:F201" si="3">(C197+E197)*(($F$191)+1)</f>
        <v>515.46643200000005</v>
      </c>
      <c r="J197" s="58"/>
      <c r="K197" s="58"/>
      <c r="L197" s="58"/>
      <c r="M197" s="58"/>
    </row>
    <row r="198" spans="1:14" x14ac:dyDescent="0.25">
      <c r="A198" s="140">
        <v>3</v>
      </c>
      <c r="B198" s="99" t="s">
        <v>337</v>
      </c>
      <c r="C198" s="99">
        <f t="shared" si="1"/>
        <v>322.16651999999999</v>
      </c>
      <c r="D198" s="99">
        <f t="shared" si="2"/>
        <v>386.59982399999996</v>
      </c>
      <c r="E198" s="97">
        <v>0</v>
      </c>
      <c r="F198" s="141">
        <f t="shared" si="3"/>
        <v>515.46643200000005</v>
      </c>
    </row>
    <row r="199" spans="1:14" x14ac:dyDescent="0.25">
      <c r="A199" s="140">
        <v>4</v>
      </c>
      <c r="B199" s="99" t="s">
        <v>337</v>
      </c>
      <c r="C199" s="99">
        <f t="shared" si="1"/>
        <v>322.16651999999999</v>
      </c>
      <c r="D199" s="99">
        <f t="shared" si="2"/>
        <v>386.59982399999996</v>
      </c>
      <c r="E199" s="97">
        <v>0</v>
      </c>
      <c r="F199" s="141">
        <f t="shared" si="3"/>
        <v>515.46643200000005</v>
      </c>
    </row>
    <row r="200" spans="1:14" x14ac:dyDescent="0.25">
      <c r="A200" s="140">
        <v>5</v>
      </c>
      <c r="B200" s="99" t="s">
        <v>337</v>
      </c>
      <c r="C200" s="99">
        <f t="shared" si="1"/>
        <v>322.16651999999999</v>
      </c>
      <c r="D200" s="99">
        <f t="shared" si="2"/>
        <v>386.59982399999996</v>
      </c>
      <c r="E200" s="97">
        <v>0</v>
      </c>
      <c r="F200" s="141">
        <f t="shared" si="3"/>
        <v>515.46643200000005</v>
      </c>
    </row>
    <row r="201" spans="1:14" x14ac:dyDescent="0.25">
      <c r="A201" s="140">
        <v>6</v>
      </c>
      <c r="B201" s="99" t="s">
        <v>337</v>
      </c>
      <c r="C201" s="99">
        <f t="shared" si="1"/>
        <v>322.16651999999999</v>
      </c>
      <c r="D201" s="99">
        <f t="shared" si="2"/>
        <v>386.59982399999996</v>
      </c>
      <c r="E201" s="97">
        <v>0</v>
      </c>
      <c r="F201" s="141">
        <f t="shared" si="3"/>
        <v>515.46643200000005</v>
      </c>
    </row>
    <row r="202" spans="1:14" x14ac:dyDescent="0.25">
      <c r="A202" s="140">
        <v>7</v>
      </c>
      <c r="B202" s="99" t="s">
        <v>337</v>
      </c>
      <c r="C202" s="99">
        <f t="shared" si="1"/>
        <v>322.16651999999999</v>
      </c>
      <c r="D202" s="99">
        <f t="shared" ref="D202:D205" si="4">C202*1.2</f>
        <v>386.59982399999996</v>
      </c>
      <c r="E202" s="97">
        <v>0</v>
      </c>
      <c r="F202" s="141">
        <f t="shared" ref="F202:F205" si="5">(C202+E202)*(($F$191)+1)</f>
        <v>515.46643200000005</v>
      </c>
    </row>
    <row r="203" spans="1:14" x14ac:dyDescent="0.25">
      <c r="A203" s="140">
        <v>8</v>
      </c>
      <c r="B203" s="99" t="s">
        <v>337</v>
      </c>
      <c r="C203" s="99">
        <f t="shared" si="1"/>
        <v>322.16651999999999</v>
      </c>
      <c r="D203" s="99">
        <f t="shared" si="4"/>
        <v>386.59982399999996</v>
      </c>
      <c r="E203" s="97">
        <v>0</v>
      </c>
      <c r="F203" s="141">
        <f t="shared" si="5"/>
        <v>515.46643200000005</v>
      </c>
    </row>
    <row r="204" spans="1:14" x14ac:dyDescent="0.25">
      <c r="A204" s="140">
        <v>9</v>
      </c>
      <c r="B204" s="99" t="s">
        <v>337</v>
      </c>
      <c r="C204" s="99">
        <f t="shared" si="1"/>
        <v>322.16651999999999</v>
      </c>
      <c r="D204" s="99">
        <f t="shared" si="4"/>
        <v>386.59982399999996</v>
      </c>
      <c r="E204" s="97">
        <v>0</v>
      </c>
      <c r="F204" s="141">
        <f t="shared" si="5"/>
        <v>515.46643200000005</v>
      </c>
    </row>
    <row r="205" spans="1:14" x14ac:dyDescent="0.25">
      <c r="A205" s="140">
        <v>10</v>
      </c>
      <c r="B205" s="99" t="s">
        <v>337</v>
      </c>
      <c r="C205" s="99">
        <f t="shared" si="1"/>
        <v>322.16651999999999</v>
      </c>
      <c r="D205" s="99">
        <f t="shared" si="4"/>
        <v>386.59982399999996</v>
      </c>
      <c r="E205" s="97">
        <v>0</v>
      </c>
      <c r="F205" s="141">
        <f t="shared" si="5"/>
        <v>515.46643200000005</v>
      </c>
    </row>
    <row r="206" spans="1:14" x14ac:dyDescent="0.25">
      <c r="A206" s="140">
        <v>11</v>
      </c>
      <c r="B206" s="99" t="s">
        <v>337</v>
      </c>
      <c r="C206" s="99">
        <f t="shared" si="1"/>
        <v>322.16651999999999</v>
      </c>
      <c r="D206" s="99">
        <f t="shared" ref="D206" si="6">C206*1.2</f>
        <v>386.59982399999996</v>
      </c>
      <c r="E206" s="97">
        <v>0</v>
      </c>
      <c r="F206" s="141">
        <f t="shared" ref="F206" si="7">(C206+E206)*(($F$191)+1)</f>
        <v>515.46643200000005</v>
      </c>
    </row>
    <row r="207" spans="1:14" s="112" customFormat="1" ht="15.75" x14ac:dyDescent="0.25">
      <c r="A207" s="272" t="s">
        <v>338</v>
      </c>
      <c r="B207" s="273"/>
      <c r="C207" s="273"/>
      <c r="D207" s="273"/>
      <c r="E207" s="273"/>
      <c r="F207" s="274"/>
      <c r="G207" s="43"/>
      <c r="H207" s="43"/>
      <c r="J207" s="111"/>
      <c r="K207" s="56"/>
      <c r="L207" s="111"/>
      <c r="M207" s="111"/>
    </row>
    <row r="208" spans="1:14" s="114" customFormat="1" ht="15.75" x14ac:dyDescent="0.25">
      <c r="A208" s="140">
        <v>1</v>
      </c>
      <c r="B208" s="99" t="s">
        <v>337</v>
      </c>
      <c r="C208" s="99">
        <f>(29.93)*(10.764)</f>
        <v>322.16651999999999</v>
      </c>
      <c r="D208" s="99">
        <f>C208*1.2</f>
        <v>386.59982399999996</v>
      </c>
      <c r="E208" s="97">
        <v>0</v>
      </c>
      <c r="F208" s="141">
        <f>(C208+E208)*(($F$191)+1)</f>
        <v>515.46643200000005</v>
      </c>
      <c r="G208" s="275"/>
      <c r="H208" s="275"/>
      <c r="I208" s="40"/>
      <c r="J208" s="57"/>
      <c r="K208" s="113"/>
      <c r="L208" s="247"/>
      <c r="M208" s="247"/>
      <c r="N208" s="40"/>
    </row>
    <row r="209" spans="1:14" x14ac:dyDescent="0.25">
      <c r="A209" s="140">
        <v>2</v>
      </c>
      <c r="B209" s="99" t="s">
        <v>337</v>
      </c>
      <c r="C209" s="99">
        <f t="shared" ref="C209:C218" si="8">(29.93)*(10.764)</f>
        <v>322.16651999999999</v>
      </c>
      <c r="D209" s="99">
        <f t="shared" ref="D209:D218" si="9">C209*1.2</f>
        <v>386.59982399999996</v>
      </c>
      <c r="E209" s="97">
        <v>0</v>
      </c>
      <c r="F209" s="141">
        <f t="shared" ref="F209:F218" si="10">(C209+E209)*(($F$191)+1)</f>
        <v>515.46643200000005</v>
      </c>
      <c r="J209" s="58"/>
      <c r="K209" s="58"/>
      <c r="L209" s="58"/>
      <c r="M209" s="58"/>
    </row>
    <row r="210" spans="1:14" x14ac:dyDescent="0.25">
      <c r="A210" s="140">
        <v>3</v>
      </c>
      <c r="B210" s="99" t="s">
        <v>337</v>
      </c>
      <c r="C210" s="99">
        <f t="shared" si="8"/>
        <v>322.16651999999999</v>
      </c>
      <c r="D210" s="99">
        <f t="shared" si="9"/>
        <v>386.59982399999996</v>
      </c>
      <c r="E210" s="97">
        <v>0</v>
      </c>
      <c r="F210" s="141">
        <f t="shared" si="10"/>
        <v>515.46643200000005</v>
      </c>
    </row>
    <row r="211" spans="1:14" x14ac:dyDescent="0.25">
      <c r="A211" s="140">
        <v>4</v>
      </c>
      <c r="B211" s="99" t="s">
        <v>337</v>
      </c>
      <c r="C211" s="99">
        <f t="shared" si="8"/>
        <v>322.16651999999999</v>
      </c>
      <c r="D211" s="99">
        <f t="shared" si="9"/>
        <v>386.59982399999996</v>
      </c>
      <c r="E211" s="97">
        <v>0</v>
      </c>
      <c r="F211" s="141">
        <f t="shared" si="10"/>
        <v>515.46643200000005</v>
      </c>
    </row>
    <row r="212" spans="1:14" x14ac:dyDescent="0.25">
      <c r="A212" s="140">
        <v>5</v>
      </c>
      <c r="B212" s="99" t="s">
        <v>337</v>
      </c>
      <c r="C212" s="99">
        <f t="shared" si="8"/>
        <v>322.16651999999999</v>
      </c>
      <c r="D212" s="99">
        <f t="shared" si="9"/>
        <v>386.59982399999996</v>
      </c>
      <c r="E212" s="97">
        <v>0</v>
      </c>
      <c r="F212" s="141">
        <f t="shared" si="10"/>
        <v>515.46643200000005</v>
      </c>
    </row>
    <row r="213" spans="1:14" x14ac:dyDescent="0.25">
      <c r="A213" s="140">
        <v>6</v>
      </c>
      <c r="B213" s="99" t="s">
        <v>337</v>
      </c>
      <c r="C213" s="99">
        <f t="shared" si="8"/>
        <v>322.16651999999999</v>
      </c>
      <c r="D213" s="99">
        <f t="shared" si="9"/>
        <v>386.59982399999996</v>
      </c>
      <c r="E213" s="97">
        <v>0</v>
      </c>
      <c r="F213" s="141">
        <f t="shared" si="10"/>
        <v>515.46643200000005</v>
      </c>
    </row>
    <row r="214" spans="1:14" x14ac:dyDescent="0.25">
      <c r="A214" s="140">
        <v>7</v>
      </c>
      <c r="B214" s="99" t="s">
        <v>337</v>
      </c>
      <c r="C214" s="99">
        <f t="shared" si="8"/>
        <v>322.16651999999999</v>
      </c>
      <c r="D214" s="99">
        <f t="shared" si="9"/>
        <v>386.59982399999996</v>
      </c>
      <c r="E214" s="97">
        <v>0</v>
      </c>
      <c r="F214" s="141">
        <f t="shared" si="10"/>
        <v>515.46643200000005</v>
      </c>
    </row>
    <row r="215" spans="1:14" x14ac:dyDescent="0.25">
      <c r="A215" s="140">
        <v>8</v>
      </c>
      <c r="B215" s="99" t="s">
        <v>337</v>
      </c>
      <c r="C215" s="99">
        <f t="shared" si="8"/>
        <v>322.16651999999999</v>
      </c>
      <c r="D215" s="99">
        <f t="shared" si="9"/>
        <v>386.59982399999996</v>
      </c>
      <c r="E215" s="97">
        <v>0</v>
      </c>
      <c r="F215" s="141">
        <f t="shared" si="10"/>
        <v>515.46643200000005</v>
      </c>
    </row>
    <row r="216" spans="1:14" x14ac:dyDescent="0.25">
      <c r="A216" s="140">
        <v>9</v>
      </c>
      <c r="B216" s="99" t="s">
        <v>337</v>
      </c>
      <c r="C216" s="99">
        <f t="shared" si="8"/>
        <v>322.16651999999999</v>
      </c>
      <c r="D216" s="99">
        <f t="shared" si="9"/>
        <v>386.59982399999996</v>
      </c>
      <c r="E216" s="97">
        <v>0</v>
      </c>
      <c r="F216" s="141">
        <f t="shared" si="10"/>
        <v>515.46643200000005</v>
      </c>
    </row>
    <row r="217" spans="1:14" x14ac:dyDescent="0.25">
      <c r="A217" s="140">
        <v>10</v>
      </c>
      <c r="B217" s="99" t="s">
        <v>337</v>
      </c>
      <c r="C217" s="99">
        <f t="shared" si="8"/>
        <v>322.16651999999999</v>
      </c>
      <c r="D217" s="99">
        <f t="shared" si="9"/>
        <v>386.59982399999996</v>
      </c>
      <c r="E217" s="97">
        <v>0</v>
      </c>
      <c r="F217" s="141">
        <f t="shared" si="10"/>
        <v>515.46643200000005</v>
      </c>
    </row>
    <row r="218" spans="1:14" x14ac:dyDescent="0.25">
      <c r="A218" s="140">
        <v>11</v>
      </c>
      <c r="B218" s="99" t="s">
        <v>337</v>
      </c>
      <c r="C218" s="99">
        <f t="shared" si="8"/>
        <v>322.16651999999999</v>
      </c>
      <c r="D218" s="99">
        <f t="shared" si="9"/>
        <v>386.59982399999996</v>
      </c>
      <c r="E218" s="97">
        <v>0</v>
      </c>
      <c r="F218" s="141">
        <f t="shared" si="10"/>
        <v>515.46643200000005</v>
      </c>
    </row>
    <row r="219" spans="1:14" s="114" customFormat="1" ht="15.75" x14ac:dyDescent="0.25">
      <c r="A219" s="272" t="s">
        <v>339</v>
      </c>
      <c r="B219" s="273"/>
      <c r="C219" s="273"/>
      <c r="D219" s="273"/>
      <c r="E219" s="273"/>
      <c r="F219" s="274"/>
      <c r="G219" s="43"/>
      <c r="H219" s="43"/>
      <c r="J219" s="113"/>
      <c r="K219" s="56"/>
      <c r="L219" s="113"/>
      <c r="M219" s="113"/>
    </row>
    <row r="220" spans="1:14" s="114" customFormat="1" ht="15.75" x14ac:dyDescent="0.25">
      <c r="A220" s="140">
        <v>1</v>
      </c>
      <c r="B220" s="99" t="s">
        <v>337</v>
      </c>
      <c r="C220" s="99">
        <f>(29.93)*(10.764)</f>
        <v>322.16651999999999</v>
      </c>
      <c r="D220" s="99">
        <f>C220*1.2</f>
        <v>386.59982399999996</v>
      </c>
      <c r="E220" s="97">
        <v>0</v>
      </c>
      <c r="F220" s="141">
        <f>(C220+E220)*(($F$191)+1)</f>
        <v>515.46643200000005</v>
      </c>
      <c r="G220" s="275"/>
      <c r="H220" s="275"/>
      <c r="I220" s="40"/>
      <c r="J220" s="57"/>
      <c r="K220" s="113"/>
      <c r="L220" s="247"/>
      <c r="M220" s="247"/>
      <c r="N220" s="40"/>
    </row>
    <row r="221" spans="1:14" x14ac:dyDescent="0.25">
      <c r="A221" s="140">
        <v>2</v>
      </c>
      <c r="B221" s="99" t="s">
        <v>337</v>
      </c>
      <c r="C221" s="99">
        <f t="shared" ref="C221:C230" si="11">(29.93)*(10.764)</f>
        <v>322.16651999999999</v>
      </c>
      <c r="D221" s="99">
        <f t="shared" ref="D221:D230" si="12">C221*1.2</f>
        <v>386.59982399999996</v>
      </c>
      <c r="E221" s="97">
        <v>0</v>
      </c>
      <c r="F221" s="141">
        <f t="shared" ref="F221:F230" si="13">(C221+E221)*(($F$191)+1)</f>
        <v>515.46643200000005</v>
      </c>
      <c r="J221" s="58"/>
      <c r="K221" s="58"/>
      <c r="L221" s="58"/>
      <c r="M221" s="58"/>
    </row>
    <row r="222" spans="1:14" x14ac:dyDescent="0.25">
      <c r="A222" s="140">
        <v>3</v>
      </c>
      <c r="B222" s="99" t="s">
        <v>337</v>
      </c>
      <c r="C222" s="99">
        <f t="shared" si="11"/>
        <v>322.16651999999999</v>
      </c>
      <c r="D222" s="99">
        <f t="shared" si="12"/>
        <v>386.59982399999996</v>
      </c>
      <c r="E222" s="97">
        <v>0</v>
      </c>
      <c r="F222" s="141">
        <f t="shared" si="13"/>
        <v>515.46643200000005</v>
      </c>
    </row>
    <row r="223" spans="1:14" x14ac:dyDescent="0.25">
      <c r="A223" s="140">
        <v>4</v>
      </c>
      <c r="B223" s="99" t="s">
        <v>337</v>
      </c>
      <c r="C223" s="99">
        <f t="shared" si="11"/>
        <v>322.16651999999999</v>
      </c>
      <c r="D223" s="99">
        <f t="shared" si="12"/>
        <v>386.59982399999996</v>
      </c>
      <c r="E223" s="97">
        <v>0</v>
      </c>
      <c r="F223" s="141">
        <f t="shared" si="13"/>
        <v>515.46643200000005</v>
      </c>
    </row>
    <row r="224" spans="1:14" x14ac:dyDescent="0.25">
      <c r="A224" s="140">
        <v>5</v>
      </c>
      <c r="B224" s="99" t="s">
        <v>337</v>
      </c>
      <c r="C224" s="99">
        <f t="shared" si="11"/>
        <v>322.16651999999999</v>
      </c>
      <c r="D224" s="99">
        <f t="shared" si="12"/>
        <v>386.59982399999996</v>
      </c>
      <c r="E224" s="97">
        <v>0</v>
      </c>
      <c r="F224" s="141">
        <f t="shared" si="13"/>
        <v>515.46643200000005</v>
      </c>
    </row>
    <row r="225" spans="1:14" x14ac:dyDescent="0.25">
      <c r="A225" s="140">
        <v>6</v>
      </c>
      <c r="B225" s="99" t="s">
        <v>337</v>
      </c>
      <c r="C225" s="99">
        <f t="shared" si="11"/>
        <v>322.16651999999999</v>
      </c>
      <c r="D225" s="99">
        <f t="shared" si="12"/>
        <v>386.59982399999996</v>
      </c>
      <c r="E225" s="97">
        <v>0</v>
      </c>
      <c r="F225" s="141">
        <f t="shared" si="13"/>
        <v>515.46643200000005</v>
      </c>
    </row>
    <row r="226" spans="1:14" x14ac:dyDescent="0.25">
      <c r="A226" s="140">
        <v>7</v>
      </c>
      <c r="B226" s="99" t="s">
        <v>337</v>
      </c>
      <c r="C226" s="99">
        <f t="shared" si="11"/>
        <v>322.16651999999999</v>
      </c>
      <c r="D226" s="99">
        <f t="shared" si="12"/>
        <v>386.59982399999996</v>
      </c>
      <c r="E226" s="97">
        <v>0</v>
      </c>
      <c r="F226" s="141">
        <f t="shared" si="13"/>
        <v>515.46643200000005</v>
      </c>
    </row>
    <row r="227" spans="1:14" x14ac:dyDescent="0.25">
      <c r="A227" s="140">
        <v>8</v>
      </c>
      <c r="B227" s="99" t="s">
        <v>337</v>
      </c>
      <c r="C227" s="99">
        <f t="shared" si="11"/>
        <v>322.16651999999999</v>
      </c>
      <c r="D227" s="99">
        <f t="shared" si="12"/>
        <v>386.59982399999996</v>
      </c>
      <c r="E227" s="97">
        <v>0</v>
      </c>
      <c r="F227" s="141">
        <f t="shared" si="13"/>
        <v>515.46643200000005</v>
      </c>
    </row>
    <row r="228" spans="1:14" x14ac:dyDescent="0.25">
      <c r="A228" s="140">
        <v>9</v>
      </c>
      <c r="B228" s="99" t="s">
        <v>337</v>
      </c>
      <c r="C228" s="99">
        <f t="shared" si="11"/>
        <v>322.16651999999999</v>
      </c>
      <c r="D228" s="99">
        <f t="shared" si="12"/>
        <v>386.59982399999996</v>
      </c>
      <c r="E228" s="97">
        <v>0</v>
      </c>
      <c r="F228" s="141">
        <f t="shared" si="13"/>
        <v>515.46643200000005</v>
      </c>
    </row>
    <row r="229" spans="1:14" x14ac:dyDescent="0.25">
      <c r="A229" s="140">
        <v>10</v>
      </c>
      <c r="B229" s="99" t="s">
        <v>337</v>
      </c>
      <c r="C229" s="99">
        <f t="shared" si="11"/>
        <v>322.16651999999999</v>
      </c>
      <c r="D229" s="99">
        <f t="shared" si="12"/>
        <v>386.59982399999996</v>
      </c>
      <c r="E229" s="97">
        <v>0</v>
      </c>
      <c r="F229" s="141">
        <f t="shared" si="13"/>
        <v>515.46643200000005</v>
      </c>
    </row>
    <row r="230" spans="1:14" x14ac:dyDescent="0.25">
      <c r="A230" s="140">
        <v>11</v>
      </c>
      <c r="B230" s="99" t="s">
        <v>337</v>
      </c>
      <c r="C230" s="99">
        <f t="shared" si="11"/>
        <v>322.16651999999999</v>
      </c>
      <c r="D230" s="99">
        <f t="shared" si="12"/>
        <v>386.59982399999996</v>
      </c>
      <c r="E230" s="97">
        <v>0</v>
      </c>
      <c r="F230" s="141">
        <f t="shared" si="13"/>
        <v>515.46643200000005</v>
      </c>
    </row>
    <row r="231" spans="1:14" s="112" customFormat="1" ht="15.75" customHeight="1" x14ac:dyDescent="0.25">
      <c r="A231" s="272" t="s">
        <v>317</v>
      </c>
      <c r="B231" s="273"/>
      <c r="C231" s="273"/>
      <c r="D231" s="273"/>
      <c r="E231" s="273"/>
      <c r="F231" s="274"/>
      <c r="G231" s="43"/>
      <c r="H231" s="43"/>
      <c r="J231" s="111"/>
      <c r="K231" s="56"/>
      <c r="L231" s="111"/>
      <c r="M231" s="111"/>
    </row>
    <row r="232" spans="1:14" s="112" customFormat="1" ht="32.25" customHeight="1" x14ac:dyDescent="0.25">
      <c r="A232" s="272" t="s">
        <v>336</v>
      </c>
      <c r="B232" s="273"/>
      <c r="C232" s="273"/>
      <c r="D232" s="273"/>
      <c r="E232" s="273"/>
      <c r="F232" s="274"/>
      <c r="G232" s="43"/>
      <c r="H232" s="43"/>
      <c r="J232" s="111"/>
      <c r="K232" s="56"/>
      <c r="L232" s="111"/>
      <c r="M232" s="111"/>
    </row>
    <row r="233" spans="1:14" s="112" customFormat="1" ht="15.75" x14ac:dyDescent="0.25">
      <c r="A233" s="140">
        <v>1</v>
      </c>
      <c r="B233" s="99" t="s">
        <v>337</v>
      </c>
      <c r="C233" s="99">
        <f t="shared" ref="C233:C250" si="14">(29.93)*(10.764)</f>
        <v>322.16651999999999</v>
      </c>
      <c r="D233" s="99">
        <f>C233*1.2</f>
        <v>386.59982399999996</v>
      </c>
      <c r="E233" s="97">
        <v>0</v>
      </c>
      <c r="F233" s="141">
        <f>(C233+E233)*(($F$191)+1)</f>
        <v>515.46643200000005</v>
      </c>
      <c r="G233" s="275"/>
      <c r="H233" s="275"/>
      <c r="I233" s="40"/>
      <c r="J233" s="57"/>
      <c r="K233" s="111"/>
      <c r="L233" s="247"/>
      <c r="M233" s="247"/>
      <c r="N233" s="40"/>
    </row>
    <row r="234" spans="1:14" x14ac:dyDescent="0.25">
      <c r="A234" s="140">
        <v>2</v>
      </c>
      <c r="B234" s="99" t="s">
        <v>337</v>
      </c>
      <c r="C234" s="99">
        <f t="shared" si="14"/>
        <v>322.16651999999999</v>
      </c>
      <c r="D234" s="99">
        <f t="shared" ref="D234:D241" si="15">C234*1.2</f>
        <v>386.59982399999996</v>
      </c>
      <c r="E234" s="97">
        <v>0</v>
      </c>
      <c r="F234" s="141">
        <f t="shared" ref="F234:F241" si="16">(C234+E234)*(($F$191)+1)</f>
        <v>515.46643200000005</v>
      </c>
      <c r="J234" s="58"/>
      <c r="K234" s="58"/>
      <c r="L234" s="58"/>
      <c r="M234" s="58"/>
    </row>
    <row r="235" spans="1:14" x14ac:dyDescent="0.25">
      <c r="A235" s="140">
        <v>3</v>
      </c>
      <c r="B235" s="99" t="s">
        <v>337</v>
      </c>
      <c r="C235" s="99">
        <f t="shared" si="14"/>
        <v>322.16651999999999</v>
      </c>
      <c r="D235" s="99">
        <f t="shared" si="15"/>
        <v>386.59982399999996</v>
      </c>
      <c r="E235" s="97">
        <v>0</v>
      </c>
      <c r="F235" s="141">
        <f t="shared" si="16"/>
        <v>515.46643200000005</v>
      </c>
    </row>
    <row r="236" spans="1:14" x14ac:dyDescent="0.25">
      <c r="A236" s="140">
        <v>4</v>
      </c>
      <c r="B236" s="99" t="s">
        <v>337</v>
      </c>
      <c r="C236" s="99">
        <f t="shared" si="14"/>
        <v>322.16651999999999</v>
      </c>
      <c r="D236" s="99">
        <f t="shared" si="15"/>
        <v>386.59982399999996</v>
      </c>
      <c r="E236" s="97">
        <v>0</v>
      </c>
      <c r="F236" s="141">
        <f t="shared" si="16"/>
        <v>515.46643200000005</v>
      </c>
    </row>
    <row r="237" spans="1:14" x14ac:dyDescent="0.25">
      <c r="A237" s="140">
        <v>5</v>
      </c>
      <c r="B237" s="99" t="s">
        <v>337</v>
      </c>
      <c r="C237" s="99">
        <f t="shared" si="14"/>
        <v>322.16651999999999</v>
      </c>
      <c r="D237" s="99">
        <f t="shared" si="15"/>
        <v>386.59982399999996</v>
      </c>
      <c r="E237" s="97">
        <v>0</v>
      </c>
      <c r="F237" s="141">
        <f t="shared" si="16"/>
        <v>515.46643200000005</v>
      </c>
    </row>
    <row r="238" spans="1:14" x14ac:dyDescent="0.25">
      <c r="A238" s="140">
        <v>6</v>
      </c>
      <c r="B238" s="99" t="s">
        <v>337</v>
      </c>
      <c r="C238" s="99">
        <f t="shared" si="14"/>
        <v>322.16651999999999</v>
      </c>
      <c r="D238" s="99">
        <f t="shared" si="15"/>
        <v>386.59982399999996</v>
      </c>
      <c r="E238" s="97">
        <v>0</v>
      </c>
      <c r="F238" s="141">
        <f t="shared" si="16"/>
        <v>515.46643200000005</v>
      </c>
    </row>
    <row r="239" spans="1:14" x14ac:dyDescent="0.25">
      <c r="A239" s="140">
        <v>7</v>
      </c>
      <c r="B239" s="99" t="s">
        <v>337</v>
      </c>
      <c r="C239" s="99">
        <f t="shared" si="14"/>
        <v>322.16651999999999</v>
      </c>
      <c r="D239" s="99">
        <f t="shared" ref="D239:D240" si="17">C239*1.2</f>
        <v>386.59982399999996</v>
      </c>
      <c r="E239" s="97">
        <v>0</v>
      </c>
      <c r="F239" s="141">
        <f t="shared" ref="F239:F240" si="18">(C239+E239)*(($F$191)+1)</f>
        <v>515.46643200000005</v>
      </c>
    </row>
    <row r="240" spans="1:14" x14ac:dyDescent="0.25">
      <c r="A240" s="140">
        <v>8</v>
      </c>
      <c r="B240" s="99" t="s">
        <v>337</v>
      </c>
      <c r="C240" s="99">
        <f t="shared" si="14"/>
        <v>322.16651999999999</v>
      </c>
      <c r="D240" s="99">
        <f t="shared" si="17"/>
        <v>386.59982399999996</v>
      </c>
      <c r="E240" s="97">
        <v>0</v>
      </c>
      <c r="F240" s="141">
        <f t="shared" si="18"/>
        <v>515.46643200000005</v>
      </c>
    </row>
    <row r="241" spans="1:14" x14ac:dyDescent="0.25">
      <c r="A241" s="140">
        <v>9</v>
      </c>
      <c r="B241" s="99" t="s">
        <v>337</v>
      </c>
      <c r="C241" s="99">
        <f t="shared" si="14"/>
        <v>322.16651999999999</v>
      </c>
      <c r="D241" s="99">
        <f t="shared" si="15"/>
        <v>386.59982399999996</v>
      </c>
      <c r="E241" s="97">
        <v>0</v>
      </c>
      <c r="F241" s="141">
        <f t="shared" si="16"/>
        <v>515.46643200000005</v>
      </c>
    </row>
    <row r="242" spans="1:14" s="112" customFormat="1" ht="15.75" x14ac:dyDescent="0.25">
      <c r="A242" s="272" t="s">
        <v>338</v>
      </c>
      <c r="B242" s="273"/>
      <c r="C242" s="273"/>
      <c r="D242" s="273"/>
      <c r="E242" s="273"/>
      <c r="F242" s="274"/>
      <c r="G242" s="43"/>
      <c r="H242" s="43"/>
      <c r="J242" s="111"/>
      <c r="K242" s="56"/>
      <c r="L242" s="111"/>
      <c r="M242" s="111"/>
    </row>
    <row r="243" spans="1:14" s="112" customFormat="1" ht="15.75" x14ac:dyDescent="0.25">
      <c r="A243" s="140">
        <v>1</v>
      </c>
      <c r="B243" s="99" t="s">
        <v>337</v>
      </c>
      <c r="C243" s="99">
        <f t="shared" si="14"/>
        <v>322.16651999999999</v>
      </c>
      <c r="D243" s="99">
        <f>C243*1.2</f>
        <v>386.59982399999996</v>
      </c>
      <c r="E243" s="97">
        <v>0</v>
      </c>
      <c r="F243" s="141">
        <f>(C243+E243)*(($F$191)+1)</f>
        <v>515.46643200000005</v>
      </c>
      <c r="G243" s="275"/>
      <c r="H243" s="275"/>
      <c r="I243" s="40"/>
      <c r="J243" s="57"/>
      <c r="K243" s="111"/>
      <c r="L243" s="247"/>
      <c r="M243" s="247"/>
      <c r="N243" s="40"/>
    </row>
    <row r="244" spans="1:14" x14ac:dyDescent="0.25">
      <c r="A244" s="140">
        <v>2</v>
      </c>
      <c r="B244" s="99" t="s">
        <v>337</v>
      </c>
      <c r="C244" s="99">
        <f t="shared" si="14"/>
        <v>322.16651999999999</v>
      </c>
      <c r="D244" s="99">
        <f t="shared" ref="D244:D246" si="19">C244*1.2</f>
        <v>386.59982399999996</v>
      </c>
      <c r="E244" s="97">
        <v>0</v>
      </c>
      <c r="F244" s="141">
        <f t="shared" ref="F244:F249" si="20">(C244+E244)*(($F$191)+1)</f>
        <v>515.46643200000005</v>
      </c>
      <c r="J244" s="58"/>
      <c r="K244" s="58"/>
      <c r="L244" s="58"/>
      <c r="M244" s="58"/>
    </row>
    <row r="245" spans="1:14" x14ac:dyDescent="0.25">
      <c r="A245" s="140">
        <v>3</v>
      </c>
      <c r="B245" s="99" t="s">
        <v>337</v>
      </c>
      <c r="C245" s="99">
        <f t="shared" si="14"/>
        <v>322.16651999999999</v>
      </c>
      <c r="D245" s="99">
        <f t="shared" si="19"/>
        <v>386.59982399999996</v>
      </c>
      <c r="E245" s="97">
        <v>0</v>
      </c>
      <c r="F245" s="141">
        <f t="shared" si="20"/>
        <v>515.46643200000005</v>
      </c>
    </row>
    <row r="246" spans="1:14" x14ac:dyDescent="0.25">
      <c r="A246" s="140">
        <v>4</v>
      </c>
      <c r="B246" s="99" t="s">
        <v>337</v>
      </c>
      <c r="C246" s="99">
        <f t="shared" si="14"/>
        <v>322.16651999999999</v>
      </c>
      <c r="D246" s="99">
        <f t="shared" si="19"/>
        <v>386.59982399999996</v>
      </c>
      <c r="E246" s="97">
        <v>0</v>
      </c>
      <c r="F246" s="141">
        <f t="shared" si="20"/>
        <v>515.46643200000005</v>
      </c>
    </row>
    <row r="247" spans="1:14" x14ac:dyDescent="0.25">
      <c r="A247" s="140">
        <v>5</v>
      </c>
      <c r="B247" s="286" t="s">
        <v>316</v>
      </c>
      <c r="C247" s="287"/>
      <c r="D247" s="287"/>
      <c r="E247" s="288"/>
      <c r="F247" s="141">
        <f t="shared" si="20"/>
        <v>0</v>
      </c>
    </row>
    <row r="248" spans="1:14" x14ac:dyDescent="0.25">
      <c r="A248" s="140">
        <v>6</v>
      </c>
      <c r="B248" s="289"/>
      <c r="C248" s="290"/>
      <c r="D248" s="290"/>
      <c r="E248" s="291"/>
      <c r="F248" s="141">
        <f t="shared" si="20"/>
        <v>0</v>
      </c>
    </row>
    <row r="249" spans="1:14" x14ac:dyDescent="0.25">
      <c r="A249" s="140">
        <v>7</v>
      </c>
      <c r="B249" s="99" t="s">
        <v>337</v>
      </c>
      <c r="C249" s="99">
        <f t="shared" si="14"/>
        <v>322.16651999999999</v>
      </c>
      <c r="D249" s="99">
        <f t="shared" ref="D249" si="21">C249*1.2</f>
        <v>386.59982399999996</v>
      </c>
      <c r="E249" s="97">
        <v>0</v>
      </c>
      <c r="F249" s="141">
        <f t="shared" si="20"/>
        <v>515.46643200000005</v>
      </c>
    </row>
    <row r="250" spans="1:14" x14ac:dyDescent="0.25">
      <c r="A250" s="140">
        <v>8</v>
      </c>
      <c r="B250" s="99" t="s">
        <v>337</v>
      </c>
      <c r="C250" s="99">
        <f t="shared" si="14"/>
        <v>322.16651999999999</v>
      </c>
      <c r="D250" s="99">
        <f t="shared" ref="D250:D251" si="22">C250*1.2</f>
        <v>386.59982399999996</v>
      </c>
      <c r="E250" s="97">
        <v>0</v>
      </c>
      <c r="F250" s="141">
        <f t="shared" ref="F250:F251" si="23">(C250+E250)*(($F$191)+1)</f>
        <v>515.46643200000005</v>
      </c>
    </row>
    <row r="251" spans="1:14" x14ac:dyDescent="0.25">
      <c r="A251" s="140">
        <v>9</v>
      </c>
      <c r="B251" s="99" t="s">
        <v>337</v>
      </c>
      <c r="C251" s="99">
        <f t="shared" ref="C251" si="24">(29.93)*(10.764)</f>
        <v>322.16651999999999</v>
      </c>
      <c r="D251" s="99">
        <f t="shared" si="22"/>
        <v>386.59982399999996</v>
      </c>
      <c r="E251" s="97">
        <v>0</v>
      </c>
      <c r="F251" s="141">
        <f t="shared" si="23"/>
        <v>515.46643200000005</v>
      </c>
    </row>
    <row r="252" spans="1:14" s="114" customFormat="1" ht="15.75" x14ac:dyDescent="0.25">
      <c r="A252" s="272" t="s">
        <v>339</v>
      </c>
      <c r="B252" s="273"/>
      <c r="C252" s="273"/>
      <c r="D252" s="273"/>
      <c r="E252" s="273"/>
      <c r="F252" s="274"/>
      <c r="G252" s="43"/>
      <c r="H252" s="43"/>
      <c r="J252" s="113"/>
      <c r="K252" s="56"/>
      <c r="L252" s="113"/>
      <c r="M252" s="113"/>
    </row>
    <row r="253" spans="1:14" s="114" customFormat="1" ht="15.75" x14ac:dyDescent="0.25">
      <c r="A253" s="140">
        <v>1</v>
      </c>
      <c r="B253" s="99" t="s">
        <v>337</v>
      </c>
      <c r="C253" s="99">
        <f t="shared" ref="C253:C261" si="25">(29.93)*(10.764)</f>
        <v>322.16651999999999</v>
      </c>
      <c r="D253" s="99">
        <f>C253*1.2</f>
        <v>386.59982399999996</v>
      </c>
      <c r="E253" s="97">
        <v>0</v>
      </c>
      <c r="F253" s="141">
        <f>(C253+E253)*(($F$191)+1)</f>
        <v>515.46643200000005</v>
      </c>
      <c r="G253" s="275"/>
      <c r="H253" s="275"/>
      <c r="I253" s="40"/>
      <c r="J253" s="57"/>
      <c r="K253" s="113"/>
      <c r="L253" s="247"/>
      <c r="M253" s="247"/>
      <c r="N253" s="40"/>
    </row>
    <row r="254" spans="1:14" x14ac:dyDescent="0.25">
      <c r="A254" s="140">
        <v>2</v>
      </c>
      <c r="B254" s="99" t="s">
        <v>337</v>
      </c>
      <c r="C254" s="99">
        <f t="shared" si="25"/>
        <v>322.16651999999999</v>
      </c>
      <c r="D254" s="99">
        <f t="shared" ref="D254:D261" si="26">C254*1.2</f>
        <v>386.59982399999996</v>
      </c>
      <c r="E254" s="97">
        <v>0</v>
      </c>
      <c r="F254" s="141">
        <f t="shared" ref="F254:F261" si="27">(C254+E254)*(($F$191)+1)</f>
        <v>515.46643200000005</v>
      </c>
      <c r="J254" s="58"/>
      <c r="K254" s="58"/>
      <c r="L254" s="58"/>
      <c r="M254" s="58"/>
    </row>
    <row r="255" spans="1:14" x14ac:dyDescent="0.25">
      <c r="A255" s="140">
        <v>3</v>
      </c>
      <c r="B255" s="99" t="s">
        <v>337</v>
      </c>
      <c r="C255" s="99">
        <f t="shared" si="25"/>
        <v>322.16651999999999</v>
      </c>
      <c r="D255" s="99">
        <f t="shared" si="26"/>
        <v>386.59982399999996</v>
      </c>
      <c r="E255" s="97">
        <v>0</v>
      </c>
      <c r="F255" s="141">
        <f t="shared" si="27"/>
        <v>515.46643200000005</v>
      </c>
    </row>
    <row r="256" spans="1:14" x14ac:dyDescent="0.25">
      <c r="A256" s="140">
        <v>4</v>
      </c>
      <c r="B256" s="99" t="s">
        <v>337</v>
      </c>
      <c r="C256" s="99">
        <f t="shared" si="25"/>
        <v>322.16651999999999</v>
      </c>
      <c r="D256" s="99">
        <f t="shared" si="26"/>
        <v>386.59982399999996</v>
      </c>
      <c r="E256" s="97">
        <v>0</v>
      </c>
      <c r="F256" s="141">
        <f t="shared" si="27"/>
        <v>515.46643200000005</v>
      </c>
    </row>
    <row r="257" spans="1:14" x14ac:dyDescent="0.25">
      <c r="A257" s="140">
        <v>5</v>
      </c>
      <c r="B257" s="292" t="s">
        <v>316</v>
      </c>
      <c r="C257" s="293"/>
      <c r="D257" s="293"/>
      <c r="E257" s="294"/>
      <c r="F257" s="141">
        <f t="shared" si="27"/>
        <v>0</v>
      </c>
    </row>
    <row r="258" spans="1:14" x14ac:dyDescent="0.25">
      <c r="A258" s="140">
        <v>6</v>
      </c>
      <c r="B258" s="99" t="s">
        <v>337</v>
      </c>
      <c r="C258" s="99">
        <f t="shared" si="25"/>
        <v>322.16651999999999</v>
      </c>
      <c r="D258" s="99">
        <f t="shared" si="26"/>
        <v>386.59982399999996</v>
      </c>
      <c r="E258" s="97">
        <v>0</v>
      </c>
      <c r="F258" s="141">
        <f t="shared" si="27"/>
        <v>515.46643200000005</v>
      </c>
    </row>
    <row r="259" spans="1:14" x14ac:dyDescent="0.25">
      <c r="A259" s="140">
        <v>7</v>
      </c>
      <c r="B259" s="99" t="s">
        <v>337</v>
      </c>
      <c r="C259" s="99">
        <f t="shared" si="25"/>
        <v>322.16651999999999</v>
      </c>
      <c r="D259" s="99">
        <f t="shared" si="26"/>
        <v>386.59982399999996</v>
      </c>
      <c r="E259" s="97">
        <v>0</v>
      </c>
      <c r="F259" s="141">
        <f t="shared" si="27"/>
        <v>515.46643200000005</v>
      </c>
    </row>
    <row r="260" spans="1:14" x14ac:dyDescent="0.25">
      <c r="A260" s="140">
        <v>8</v>
      </c>
      <c r="B260" s="99" t="s">
        <v>337</v>
      </c>
      <c r="C260" s="99">
        <f t="shared" si="25"/>
        <v>322.16651999999999</v>
      </c>
      <c r="D260" s="99">
        <f t="shared" si="26"/>
        <v>386.59982399999996</v>
      </c>
      <c r="E260" s="97">
        <v>0</v>
      </c>
      <c r="F260" s="141">
        <f t="shared" si="27"/>
        <v>515.46643200000005</v>
      </c>
    </row>
    <row r="261" spans="1:14" x14ac:dyDescent="0.25">
      <c r="A261" s="140">
        <v>9</v>
      </c>
      <c r="B261" s="99" t="s">
        <v>337</v>
      </c>
      <c r="C261" s="99">
        <f t="shared" si="25"/>
        <v>322.16651999999999</v>
      </c>
      <c r="D261" s="99">
        <f t="shared" si="26"/>
        <v>386.59982399999996</v>
      </c>
      <c r="E261" s="97">
        <v>0</v>
      </c>
      <c r="F261" s="141">
        <f t="shared" si="27"/>
        <v>515.46643200000005</v>
      </c>
    </row>
    <row r="262" spans="1:14" s="112" customFormat="1" ht="15.75" customHeight="1" x14ac:dyDescent="0.25">
      <c r="A262" s="272" t="s">
        <v>318</v>
      </c>
      <c r="B262" s="273"/>
      <c r="C262" s="273"/>
      <c r="D262" s="273"/>
      <c r="E262" s="273"/>
      <c r="F262" s="274"/>
      <c r="G262" s="43"/>
      <c r="H262" s="43"/>
      <c r="J262" s="111"/>
      <c r="K262" s="56"/>
      <c r="L262" s="111"/>
      <c r="M262" s="111"/>
    </row>
    <row r="263" spans="1:14" s="112" customFormat="1" ht="32.25" customHeight="1" x14ac:dyDescent="0.25">
      <c r="A263" s="272" t="s">
        <v>336</v>
      </c>
      <c r="B263" s="273"/>
      <c r="C263" s="273"/>
      <c r="D263" s="273"/>
      <c r="E263" s="273"/>
      <c r="F263" s="274"/>
      <c r="G263" s="43"/>
      <c r="H263" s="43"/>
      <c r="J263" s="111"/>
      <c r="K263" s="56"/>
      <c r="L263" s="111"/>
      <c r="M263" s="111"/>
    </row>
    <row r="264" spans="1:14" s="112" customFormat="1" ht="15.75" x14ac:dyDescent="0.25">
      <c r="A264" s="140">
        <v>1</v>
      </c>
      <c r="B264" s="99" t="s">
        <v>337</v>
      </c>
      <c r="C264" s="99">
        <f t="shared" ref="C264:C274" si="28">(29.93)*(10.764)</f>
        <v>322.16651999999999</v>
      </c>
      <c r="D264" s="99">
        <f>C264*1.2</f>
        <v>386.59982399999996</v>
      </c>
      <c r="E264" s="97">
        <v>0</v>
      </c>
      <c r="F264" s="141">
        <f>(C264+E264)*(($F$191)+1)</f>
        <v>515.46643200000005</v>
      </c>
      <c r="G264" s="275"/>
      <c r="H264" s="275"/>
      <c r="I264" s="40"/>
      <c r="J264" s="57"/>
      <c r="K264" s="111"/>
      <c r="L264" s="247"/>
      <c r="M264" s="247"/>
      <c r="N264" s="40"/>
    </row>
    <row r="265" spans="1:14" x14ac:dyDescent="0.25">
      <c r="A265" s="140">
        <v>2</v>
      </c>
      <c r="B265" s="99" t="s">
        <v>337</v>
      </c>
      <c r="C265" s="99">
        <f t="shared" si="28"/>
        <v>322.16651999999999</v>
      </c>
      <c r="D265" s="99">
        <f t="shared" ref="D265:D271" si="29">C265*1.2</f>
        <v>386.59982399999996</v>
      </c>
      <c r="E265" s="97">
        <v>0</v>
      </c>
      <c r="F265" s="141">
        <f t="shared" ref="F265:F271" si="30">(C265+E265)*(($F$191)+1)</f>
        <v>515.46643200000005</v>
      </c>
      <c r="J265" s="58"/>
      <c r="K265" s="58"/>
      <c r="L265" s="58"/>
      <c r="M265" s="58"/>
    </row>
    <row r="266" spans="1:14" x14ac:dyDescent="0.25">
      <c r="A266" s="140">
        <v>3</v>
      </c>
      <c r="B266" s="99" t="s">
        <v>337</v>
      </c>
      <c r="C266" s="99">
        <f t="shared" si="28"/>
        <v>322.16651999999999</v>
      </c>
      <c r="D266" s="99">
        <f t="shared" si="29"/>
        <v>386.59982399999996</v>
      </c>
      <c r="E266" s="97">
        <v>0</v>
      </c>
      <c r="F266" s="141">
        <f t="shared" si="30"/>
        <v>515.46643200000005</v>
      </c>
    </row>
    <row r="267" spans="1:14" x14ac:dyDescent="0.25">
      <c r="A267" s="140">
        <v>4</v>
      </c>
      <c r="B267" s="99" t="s">
        <v>337</v>
      </c>
      <c r="C267" s="99">
        <f t="shared" si="28"/>
        <v>322.16651999999999</v>
      </c>
      <c r="D267" s="99">
        <f t="shared" si="29"/>
        <v>386.59982399999996</v>
      </c>
      <c r="E267" s="97">
        <v>0</v>
      </c>
      <c r="F267" s="141">
        <f t="shared" si="30"/>
        <v>515.46643200000005</v>
      </c>
    </row>
    <row r="268" spans="1:14" x14ac:dyDescent="0.25">
      <c r="A268" s="140">
        <v>5</v>
      </c>
      <c r="B268" s="99" t="s">
        <v>337</v>
      </c>
      <c r="C268" s="99">
        <f t="shared" si="28"/>
        <v>322.16651999999999</v>
      </c>
      <c r="D268" s="99">
        <f t="shared" si="29"/>
        <v>386.59982399999996</v>
      </c>
      <c r="E268" s="97">
        <v>0</v>
      </c>
      <c r="F268" s="141">
        <f t="shared" si="30"/>
        <v>515.46643200000005</v>
      </c>
    </row>
    <row r="269" spans="1:14" x14ac:dyDescent="0.25">
      <c r="A269" s="140">
        <v>6</v>
      </c>
      <c r="B269" s="99" t="s">
        <v>337</v>
      </c>
      <c r="C269" s="99">
        <f t="shared" si="28"/>
        <v>322.16651999999999</v>
      </c>
      <c r="D269" s="99">
        <f t="shared" si="29"/>
        <v>386.59982399999996</v>
      </c>
      <c r="E269" s="97">
        <v>0</v>
      </c>
      <c r="F269" s="141">
        <f t="shared" si="30"/>
        <v>515.46643200000005</v>
      </c>
    </row>
    <row r="270" spans="1:14" x14ac:dyDescent="0.25">
      <c r="A270" s="140">
        <v>7</v>
      </c>
      <c r="B270" s="99" t="s">
        <v>337</v>
      </c>
      <c r="C270" s="99">
        <f t="shared" si="28"/>
        <v>322.16651999999999</v>
      </c>
      <c r="D270" s="99">
        <f t="shared" si="29"/>
        <v>386.59982399999996</v>
      </c>
      <c r="E270" s="97">
        <v>0</v>
      </c>
      <c r="F270" s="141">
        <f t="shared" si="30"/>
        <v>515.46643200000005</v>
      </c>
    </row>
    <row r="271" spans="1:14" x14ac:dyDescent="0.25">
      <c r="A271" s="140">
        <v>8</v>
      </c>
      <c r="B271" s="99" t="s">
        <v>337</v>
      </c>
      <c r="C271" s="99">
        <f t="shared" si="28"/>
        <v>322.16651999999999</v>
      </c>
      <c r="D271" s="99">
        <f t="shared" si="29"/>
        <v>386.59982399999996</v>
      </c>
      <c r="E271" s="97">
        <v>0</v>
      </c>
      <c r="F271" s="141">
        <f t="shared" si="30"/>
        <v>515.46643200000005</v>
      </c>
    </row>
    <row r="272" spans="1:14" x14ac:dyDescent="0.25">
      <c r="A272" s="140">
        <v>9</v>
      </c>
      <c r="B272" s="99" t="s">
        <v>337</v>
      </c>
      <c r="C272" s="99">
        <f t="shared" si="28"/>
        <v>322.16651999999999</v>
      </c>
      <c r="D272" s="99">
        <f t="shared" ref="D272:D274" si="31">C272*1.2</f>
        <v>386.59982399999996</v>
      </c>
      <c r="E272" s="97">
        <v>0</v>
      </c>
      <c r="F272" s="141">
        <f t="shared" ref="F272:F274" si="32">(C272+E272)*(($F$191)+1)</f>
        <v>515.46643200000005</v>
      </c>
    </row>
    <row r="273" spans="1:14" x14ac:dyDescent="0.25">
      <c r="A273" s="140">
        <v>10</v>
      </c>
      <c r="B273" s="99" t="s">
        <v>337</v>
      </c>
      <c r="C273" s="99">
        <f t="shared" si="28"/>
        <v>322.16651999999999</v>
      </c>
      <c r="D273" s="99">
        <f t="shared" si="31"/>
        <v>386.59982399999996</v>
      </c>
      <c r="E273" s="97">
        <v>0</v>
      </c>
      <c r="F273" s="141">
        <f t="shared" si="32"/>
        <v>515.46643200000005</v>
      </c>
    </row>
    <row r="274" spans="1:14" x14ac:dyDescent="0.25">
      <c r="A274" s="140">
        <v>11</v>
      </c>
      <c r="B274" s="99" t="s">
        <v>337</v>
      </c>
      <c r="C274" s="99">
        <f t="shared" si="28"/>
        <v>322.16651999999999</v>
      </c>
      <c r="D274" s="99">
        <f t="shared" si="31"/>
        <v>386.59982399999996</v>
      </c>
      <c r="E274" s="97">
        <v>0</v>
      </c>
      <c r="F274" s="141">
        <f t="shared" si="32"/>
        <v>515.46643200000005</v>
      </c>
    </row>
    <row r="275" spans="1:14" s="112" customFormat="1" ht="15.75" x14ac:dyDescent="0.25">
      <c r="A275" s="272" t="s">
        <v>338</v>
      </c>
      <c r="B275" s="273"/>
      <c r="C275" s="273"/>
      <c r="D275" s="273"/>
      <c r="E275" s="273"/>
      <c r="F275" s="274"/>
      <c r="G275" s="43"/>
      <c r="H275" s="43"/>
      <c r="J275" s="111"/>
      <c r="K275" s="56"/>
      <c r="L275" s="111"/>
      <c r="M275" s="111"/>
    </row>
    <row r="276" spans="1:14" s="112" customFormat="1" ht="15.75" x14ac:dyDescent="0.25">
      <c r="A276" s="140">
        <v>1</v>
      </c>
      <c r="B276" s="99" t="s">
        <v>337</v>
      </c>
      <c r="C276" s="99">
        <f t="shared" ref="C276:C286" si="33">(29.93)*(10.764)</f>
        <v>322.16651999999999</v>
      </c>
      <c r="D276" s="99">
        <f>C276*1.2</f>
        <v>386.59982399999996</v>
      </c>
      <c r="E276" s="97">
        <v>0</v>
      </c>
      <c r="F276" s="141">
        <f>(C276+E276)*(($F$191)+1)</f>
        <v>515.46643200000005</v>
      </c>
      <c r="G276" s="275"/>
      <c r="H276" s="275"/>
      <c r="I276" s="40"/>
      <c r="J276" s="57"/>
      <c r="K276" s="111"/>
      <c r="L276" s="247"/>
      <c r="M276" s="247"/>
      <c r="N276" s="40"/>
    </row>
    <row r="277" spans="1:14" x14ac:dyDescent="0.25">
      <c r="A277" s="140">
        <v>2</v>
      </c>
      <c r="B277" s="99" t="s">
        <v>337</v>
      </c>
      <c r="C277" s="99">
        <f t="shared" si="33"/>
        <v>322.16651999999999</v>
      </c>
      <c r="D277" s="99">
        <f t="shared" ref="D277:D286" si="34">C277*1.2</f>
        <v>386.59982399999996</v>
      </c>
      <c r="E277" s="97">
        <v>0</v>
      </c>
      <c r="F277" s="141">
        <f t="shared" ref="F277:F286" si="35">(C277+E277)*(($F$191)+1)</f>
        <v>515.46643200000005</v>
      </c>
      <c r="J277" s="58"/>
      <c r="K277" s="58"/>
      <c r="L277" s="58"/>
      <c r="M277" s="58"/>
    </row>
    <row r="278" spans="1:14" x14ac:dyDescent="0.25">
      <c r="A278" s="140">
        <v>3</v>
      </c>
      <c r="B278" s="99" t="s">
        <v>337</v>
      </c>
      <c r="C278" s="99">
        <f t="shared" si="33"/>
        <v>322.16651999999999</v>
      </c>
      <c r="D278" s="99">
        <f t="shared" si="34"/>
        <v>386.59982399999996</v>
      </c>
      <c r="E278" s="97">
        <v>0</v>
      </c>
      <c r="F278" s="141">
        <f t="shared" si="35"/>
        <v>515.46643200000005</v>
      </c>
    </row>
    <row r="279" spans="1:14" x14ac:dyDescent="0.25">
      <c r="A279" s="140">
        <v>4</v>
      </c>
      <c r="B279" s="99" t="s">
        <v>337</v>
      </c>
      <c r="C279" s="99">
        <f t="shared" si="33"/>
        <v>322.16651999999999</v>
      </c>
      <c r="D279" s="99">
        <f t="shared" si="34"/>
        <v>386.59982399999996</v>
      </c>
      <c r="E279" s="97">
        <v>0</v>
      </c>
      <c r="F279" s="141">
        <f t="shared" si="35"/>
        <v>515.46643200000005</v>
      </c>
    </row>
    <row r="280" spans="1:14" x14ac:dyDescent="0.25">
      <c r="A280" s="140">
        <v>5</v>
      </c>
      <c r="B280" s="99" t="s">
        <v>337</v>
      </c>
      <c r="C280" s="99">
        <f t="shared" si="33"/>
        <v>322.16651999999999</v>
      </c>
      <c r="D280" s="99">
        <f t="shared" si="34"/>
        <v>386.59982399999996</v>
      </c>
      <c r="E280" s="97">
        <v>0</v>
      </c>
      <c r="F280" s="141">
        <f t="shared" si="35"/>
        <v>515.46643200000005</v>
      </c>
    </row>
    <row r="281" spans="1:14" x14ac:dyDescent="0.25">
      <c r="A281" s="140">
        <v>6</v>
      </c>
      <c r="B281" s="99" t="s">
        <v>337</v>
      </c>
      <c r="C281" s="99">
        <f t="shared" si="33"/>
        <v>322.16651999999999</v>
      </c>
      <c r="D281" s="99">
        <f t="shared" si="34"/>
        <v>386.59982399999996</v>
      </c>
      <c r="E281" s="97">
        <v>0</v>
      </c>
      <c r="F281" s="141">
        <f t="shared" si="35"/>
        <v>515.46643200000005</v>
      </c>
    </row>
    <row r="282" spans="1:14" x14ac:dyDescent="0.25">
      <c r="A282" s="140">
        <v>7</v>
      </c>
      <c r="B282" s="99" t="s">
        <v>337</v>
      </c>
      <c r="C282" s="99">
        <f t="shared" si="33"/>
        <v>322.16651999999999</v>
      </c>
      <c r="D282" s="99">
        <f t="shared" si="34"/>
        <v>386.59982399999996</v>
      </c>
      <c r="E282" s="97">
        <v>0</v>
      </c>
      <c r="F282" s="141">
        <f t="shared" si="35"/>
        <v>515.46643200000005</v>
      </c>
    </row>
    <row r="283" spans="1:14" x14ac:dyDescent="0.25">
      <c r="A283" s="140">
        <v>8</v>
      </c>
      <c r="B283" s="99" t="s">
        <v>337</v>
      </c>
      <c r="C283" s="99">
        <f t="shared" si="33"/>
        <v>322.16651999999999</v>
      </c>
      <c r="D283" s="99">
        <f t="shared" si="34"/>
        <v>386.59982399999996</v>
      </c>
      <c r="E283" s="97">
        <v>0</v>
      </c>
      <c r="F283" s="141">
        <f t="shared" si="35"/>
        <v>515.46643200000005</v>
      </c>
    </row>
    <row r="284" spans="1:14" x14ac:dyDescent="0.25">
      <c r="A284" s="140">
        <v>9</v>
      </c>
      <c r="B284" s="99" t="s">
        <v>337</v>
      </c>
      <c r="C284" s="99">
        <f t="shared" si="33"/>
        <v>322.16651999999999</v>
      </c>
      <c r="D284" s="99">
        <f t="shared" si="34"/>
        <v>386.59982399999996</v>
      </c>
      <c r="E284" s="97">
        <v>0</v>
      </c>
      <c r="F284" s="141">
        <f t="shared" si="35"/>
        <v>515.46643200000005</v>
      </c>
    </row>
    <row r="285" spans="1:14" x14ac:dyDescent="0.25">
      <c r="A285" s="140">
        <v>10</v>
      </c>
      <c r="B285" s="99" t="s">
        <v>337</v>
      </c>
      <c r="C285" s="99">
        <f t="shared" si="33"/>
        <v>322.16651999999999</v>
      </c>
      <c r="D285" s="99">
        <f t="shared" si="34"/>
        <v>386.59982399999996</v>
      </c>
      <c r="E285" s="97">
        <v>0</v>
      </c>
      <c r="F285" s="141">
        <f t="shared" si="35"/>
        <v>515.46643200000005</v>
      </c>
    </row>
    <row r="286" spans="1:14" x14ac:dyDescent="0.25">
      <c r="A286" s="140">
        <v>11</v>
      </c>
      <c r="B286" s="99" t="s">
        <v>337</v>
      </c>
      <c r="C286" s="99">
        <f t="shared" si="33"/>
        <v>322.16651999999999</v>
      </c>
      <c r="D286" s="99">
        <f t="shared" si="34"/>
        <v>386.59982399999996</v>
      </c>
      <c r="E286" s="97">
        <v>0</v>
      </c>
      <c r="F286" s="141">
        <f t="shared" si="35"/>
        <v>515.46643200000005</v>
      </c>
    </row>
    <row r="287" spans="1:14" s="114" customFormat="1" ht="15.75" x14ac:dyDescent="0.25">
      <c r="A287" s="272" t="s">
        <v>339</v>
      </c>
      <c r="B287" s="273"/>
      <c r="C287" s="273"/>
      <c r="D287" s="273"/>
      <c r="E287" s="273"/>
      <c r="F287" s="274"/>
      <c r="G287" s="43"/>
      <c r="H287" s="43"/>
      <c r="J287" s="113"/>
      <c r="K287" s="56"/>
      <c r="L287" s="113"/>
      <c r="M287" s="113"/>
    </row>
    <row r="288" spans="1:14" s="114" customFormat="1" ht="15.75" x14ac:dyDescent="0.25">
      <c r="A288" s="140">
        <v>1</v>
      </c>
      <c r="B288" s="99" t="s">
        <v>337</v>
      </c>
      <c r="C288" s="99">
        <f t="shared" ref="C288:C298" si="36">(29.93)*(10.764)</f>
        <v>322.16651999999999</v>
      </c>
      <c r="D288" s="99">
        <f>C288*1.2</f>
        <v>386.59982399999996</v>
      </c>
      <c r="E288" s="97">
        <v>0</v>
      </c>
      <c r="F288" s="141">
        <f>(C288+E288)*(($F$191)+1)</f>
        <v>515.46643200000005</v>
      </c>
      <c r="G288" s="275"/>
      <c r="H288" s="275"/>
      <c r="I288" s="40"/>
      <c r="J288" s="57"/>
      <c r="K288" s="113"/>
      <c r="L288" s="247"/>
      <c r="M288" s="247"/>
      <c r="N288" s="40"/>
    </row>
    <row r="289" spans="1:13" x14ac:dyDescent="0.25">
      <c r="A289" s="140">
        <v>2</v>
      </c>
      <c r="B289" s="99" t="s">
        <v>337</v>
      </c>
      <c r="C289" s="99">
        <f t="shared" si="36"/>
        <v>322.16651999999999</v>
      </c>
      <c r="D289" s="99">
        <f t="shared" ref="D289:D298" si="37">C289*1.2</f>
        <v>386.59982399999996</v>
      </c>
      <c r="E289" s="97">
        <v>0</v>
      </c>
      <c r="F289" s="141">
        <f t="shared" ref="F289:F298" si="38">(C289+E289)*(($F$191)+1)</f>
        <v>515.46643200000005</v>
      </c>
      <c r="J289" s="58"/>
      <c r="K289" s="58"/>
      <c r="L289" s="58"/>
      <c r="M289" s="58"/>
    </row>
    <row r="290" spans="1:13" x14ac:dyDescent="0.25">
      <c r="A290" s="140">
        <v>3</v>
      </c>
      <c r="B290" s="99" t="s">
        <v>337</v>
      </c>
      <c r="C290" s="99">
        <f t="shared" si="36"/>
        <v>322.16651999999999</v>
      </c>
      <c r="D290" s="99">
        <f t="shared" si="37"/>
        <v>386.59982399999996</v>
      </c>
      <c r="E290" s="97">
        <v>0</v>
      </c>
      <c r="F290" s="141">
        <f t="shared" si="38"/>
        <v>515.46643200000005</v>
      </c>
    </row>
    <row r="291" spans="1:13" x14ac:dyDescent="0.25">
      <c r="A291" s="140">
        <v>4</v>
      </c>
      <c r="B291" s="99" t="s">
        <v>337</v>
      </c>
      <c r="C291" s="99">
        <f t="shared" si="36"/>
        <v>322.16651999999999</v>
      </c>
      <c r="D291" s="99">
        <f t="shared" si="37"/>
        <v>386.59982399999996</v>
      </c>
      <c r="E291" s="97">
        <v>0</v>
      </c>
      <c r="F291" s="141">
        <f t="shared" si="38"/>
        <v>515.46643200000005</v>
      </c>
    </row>
    <row r="292" spans="1:13" x14ac:dyDescent="0.25">
      <c r="A292" s="140">
        <v>5</v>
      </c>
      <c r="B292" s="99" t="s">
        <v>337</v>
      </c>
      <c r="C292" s="99">
        <f t="shared" si="36"/>
        <v>322.16651999999999</v>
      </c>
      <c r="D292" s="99">
        <f t="shared" si="37"/>
        <v>386.59982399999996</v>
      </c>
      <c r="E292" s="97">
        <v>0</v>
      </c>
      <c r="F292" s="141">
        <f t="shared" si="38"/>
        <v>515.46643200000005</v>
      </c>
    </row>
    <row r="293" spans="1:13" x14ac:dyDescent="0.25">
      <c r="A293" s="140">
        <v>6</v>
      </c>
      <c r="B293" s="99" t="s">
        <v>337</v>
      </c>
      <c r="C293" s="99">
        <f t="shared" si="36"/>
        <v>322.16651999999999</v>
      </c>
      <c r="D293" s="99">
        <f t="shared" si="37"/>
        <v>386.59982399999996</v>
      </c>
      <c r="E293" s="97">
        <v>0</v>
      </c>
      <c r="F293" s="141">
        <f t="shared" si="38"/>
        <v>515.46643200000005</v>
      </c>
    </row>
    <row r="294" spans="1:13" x14ac:dyDescent="0.25">
      <c r="A294" s="140">
        <v>7</v>
      </c>
      <c r="B294" s="99" t="s">
        <v>337</v>
      </c>
      <c r="C294" s="99">
        <f t="shared" si="36"/>
        <v>322.16651999999999</v>
      </c>
      <c r="D294" s="99">
        <f t="shared" si="37"/>
        <v>386.59982399999996</v>
      </c>
      <c r="E294" s="97">
        <v>0</v>
      </c>
      <c r="F294" s="141">
        <f t="shared" si="38"/>
        <v>515.46643200000005</v>
      </c>
    </row>
    <row r="295" spans="1:13" x14ac:dyDescent="0.25">
      <c r="A295" s="140">
        <v>8</v>
      </c>
      <c r="B295" s="99" t="s">
        <v>337</v>
      </c>
      <c r="C295" s="99">
        <f t="shared" si="36"/>
        <v>322.16651999999999</v>
      </c>
      <c r="D295" s="99">
        <f t="shared" si="37"/>
        <v>386.59982399999996</v>
      </c>
      <c r="E295" s="97">
        <v>0</v>
      </c>
      <c r="F295" s="141">
        <f t="shared" si="38"/>
        <v>515.46643200000005</v>
      </c>
    </row>
    <row r="296" spans="1:13" x14ac:dyDescent="0.25">
      <c r="A296" s="140">
        <v>9</v>
      </c>
      <c r="B296" s="99" t="s">
        <v>337</v>
      </c>
      <c r="C296" s="99">
        <f t="shared" si="36"/>
        <v>322.16651999999999</v>
      </c>
      <c r="D296" s="99">
        <f t="shared" si="37"/>
        <v>386.59982399999996</v>
      </c>
      <c r="E296" s="97">
        <v>0</v>
      </c>
      <c r="F296" s="141">
        <f t="shared" si="38"/>
        <v>515.46643200000005</v>
      </c>
    </row>
    <row r="297" spans="1:13" x14ac:dyDescent="0.25">
      <c r="A297" s="140">
        <v>10</v>
      </c>
      <c r="B297" s="99" t="s">
        <v>337</v>
      </c>
      <c r="C297" s="99">
        <f t="shared" si="36"/>
        <v>322.16651999999999</v>
      </c>
      <c r="D297" s="99">
        <f t="shared" si="37"/>
        <v>386.59982399999996</v>
      </c>
      <c r="E297" s="97">
        <v>0</v>
      </c>
      <c r="F297" s="141">
        <f t="shared" si="38"/>
        <v>515.46643200000005</v>
      </c>
    </row>
    <row r="298" spans="1:13" x14ac:dyDescent="0.25">
      <c r="A298" s="140">
        <v>11</v>
      </c>
      <c r="B298" s="99" t="s">
        <v>337</v>
      </c>
      <c r="C298" s="99">
        <f t="shared" si="36"/>
        <v>322.16651999999999</v>
      </c>
      <c r="D298" s="99">
        <f t="shared" si="37"/>
        <v>386.59982399999996</v>
      </c>
      <c r="E298" s="97">
        <v>0</v>
      </c>
      <c r="F298" s="141">
        <f t="shared" si="38"/>
        <v>515.46643200000005</v>
      </c>
    </row>
    <row r="299" spans="1:13" s="38" customFormat="1" ht="15.75" x14ac:dyDescent="0.25">
      <c r="A299" s="381"/>
      <c r="B299" s="382"/>
      <c r="C299" s="382"/>
      <c r="D299" s="382"/>
      <c r="E299" s="382"/>
      <c r="F299" s="383"/>
      <c r="G299" s="42"/>
      <c r="H299" s="42"/>
    </row>
    <row r="300" spans="1:13" s="38" customFormat="1" ht="15.75" hidden="1" x14ac:dyDescent="0.25">
      <c r="A300" s="167" t="s">
        <v>53</v>
      </c>
      <c r="B300" s="168"/>
      <c r="C300" s="168"/>
      <c r="D300" s="168"/>
      <c r="E300" s="168"/>
      <c r="F300" s="169"/>
      <c r="G300" s="42"/>
      <c r="H300" s="42"/>
    </row>
    <row r="301" spans="1:13" s="38" customFormat="1" ht="27.6" hidden="1" customHeight="1" x14ac:dyDescent="0.25">
      <c r="A301" s="170" t="s">
        <v>271</v>
      </c>
      <c r="B301" s="377" t="s">
        <v>54</v>
      </c>
      <c r="C301" s="377" t="s">
        <v>55</v>
      </c>
      <c r="D301" s="377" t="s">
        <v>57</v>
      </c>
      <c r="E301" s="379" t="s">
        <v>56</v>
      </c>
      <c r="F301" s="138" t="s">
        <v>284</v>
      </c>
      <c r="G301" s="157"/>
      <c r="H301" s="157"/>
      <c r="I301" s="157"/>
      <c r="J301" s="157"/>
      <c r="K301" s="157"/>
    </row>
    <row r="302" spans="1:13" s="38" customFormat="1" ht="15.75" hidden="1" x14ac:dyDescent="0.25">
      <c r="A302" s="171"/>
      <c r="B302" s="378"/>
      <c r="C302" s="378"/>
      <c r="D302" s="378"/>
      <c r="E302" s="380"/>
      <c r="F302" s="139">
        <v>0.45</v>
      </c>
      <c r="G302" s="157"/>
      <c r="H302" s="157"/>
      <c r="I302" s="61"/>
      <c r="J302" s="61"/>
      <c r="K302" s="58"/>
    </row>
    <row r="303" spans="1:13" s="37" customFormat="1" ht="15.75" hidden="1" x14ac:dyDescent="0.25">
      <c r="A303" s="167" t="s">
        <v>268</v>
      </c>
      <c r="B303" s="168"/>
      <c r="C303" s="168"/>
      <c r="D303" s="168"/>
      <c r="E303" s="168"/>
      <c r="F303" s="169"/>
      <c r="G303" s="384"/>
      <c r="H303" s="384"/>
      <c r="I303" s="384"/>
      <c r="J303" s="384"/>
      <c r="K303" s="384"/>
    </row>
    <row r="304" spans="1:13" s="39" customFormat="1" ht="15.75" hidden="1" customHeight="1" x14ac:dyDescent="0.25">
      <c r="A304" s="272" t="s">
        <v>234</v>
      </c>
      <c r="B304" s="273"/>
      <c r="C304" s="273"/>
      <c r="D304" s="273"/>
      <c r="E304" s="273"/>
      <c r="F304" s="274"/>
      <c r="G304" s="43"/>
      <c r="H304" s="43"/>
      <c r="I304" s="59"/>
      <c r="J304" s="59"/>
      <c r="K304" s="56"/>
    </row>
    <row r="305" spans="1:14" s="39" customFormat="1" ht="15.75" hidden="1" customHeight="1" x14ac:dyDescent="0.25">
      <c r="A305" s="272" t="s">
        <v>235</v>
      </c>
      <c r="B305" s="273"/>
      <c r="C305" s="273"/>
      <c r="D305" s="273"/>
      <c r="E305" s="273"/>
      <c r="F305" s="274"/>
      <c r="G305" s="43"/>
      <c r="H305" s="43"/>
      <c r="I305" s="59"/>
      <c r="J305" s="59"/>
      <c r="K305" s="59"/>
      <c r="L305" s="59"/>
      <c r="M305" s="59"/>
    </row>
    <row r="306" spans="1:14" s="39" customFormat="1" ht="15.75" hidden="1" customHeight="1" x14ac:dyDescent="0.25">
      <c r="A306" s="272" t="s">
        <v>236</v>
      </c>
      <c r="B306" s="273"/>
      <c r="C306" s="273"/>
      <c r="D306" s="273"/>
      <c r="E306" s="273"/>
      <c r="F306" s="274"/>
      <c r="G306" s="43"/>
      <c r="H306" s="43"/>
      <c r="I306" s="59"/>
      <c r="J306" s="59"/>
      <c r="K306" s="58"/>
      <c r="L306" s="59"/>
      <c r="M306" s="59"/>
    </row>
    <row r="307" spans="1:14" s="39" customFormat="1" ht="15.75" hidden="1" customHeight="1" x14ac:dyDescent="0.25">
      <c r="A307" s="272" t="s">
        <v>237</v>
      </c>
      <c r="B307" s="273"/>
      <c r="C307" s="273"/>
      <c r="D307" s="273"/>
      <c r="E307" s="273"/>
      <c r="F307" s="274"/>
      <c r="G307" s="43"/>
      <c r="H307" s="43"/>
      <c r="I307" s="59"/>
      <c r="J307" s="59"/>
      <c r="K307" s="58"/>
      <c r="L307" s="59"/>
      <c r="M307" s="59"/>
    </row>
    <row r="308" spans="1:14" s="39" customFormat="1" ht="15.75" hidden="1" x14ac:dyDescent="0.25">
      <c r="A308" s="140">
        <v>1</v>
      </c>
      <c r="B308" s="97"/>
      <c r="C308" s="98"/>
      <c r="D308" s="99">
        <f>C308*1.2</f>
        <v>0</v>
      </c>
      <c r="E308" s="97">
        <v>0</v>
      </c>
      <c r="F308" s="141">
        <f>C308*(($F$302)+1)+(IF(E308&lt;101,E308,IF(E308&lt;201,E308/2,IF(E308&lt;=301,E308/3,E308/4))))</f>
        <v>0</v>
      </c>
      <c r="G308" s="275"/>
      <c r="H308" s="275"/>
      <c r="I308" s="56"/>
      <c r="J308" s="57"/>
      <c r="K308" s="58"/>
      <c r="L308" s="247"/>
      <c r="M308" s="247"/>
      <c r="N308" s="40"/>
    </row>
    <row r="309" spans="1:14" hidden="1" x14ac:dyDescent="0.25">
      <c r="A309" s="140">
        <f>A308+1</f>
        <v>2</v>
      </c>
      <c r="B309" s="97"/>
      <c r="C309" s="98"/>
      <c r="D309" s="99">
        <f t="shared" ref="D309:D313" si="39">C309*1.2</f>
        <v>0</v>
      </c>
      <c r="E309" s="97">
        <v>0</v>
      </c>
      <c r="F309" s="141">
        <f t="shared" ref="F309:F313" si="40">C309*(($F$302)+1)+(IF(E309&lt;101,E309,IF(E309&lt;201,E309/2,IF(E309&lt;=301,E309/3,E309/4))))</f>
        <v>0</v>
      </c>
      <c r="I309" s="58"/>
      <c r="J309" s="58"/>
      <c r="K309" s="58"/>
      <c r="L309" s="58"/>
      <c r="M309" s="58"/>
    </row>
    <row r="310" spans="1:14" hidden="1" x14ac:dyDescent="0.25">
      <c r="A310" s="140">
        <f t="shared" ref="A310:A313" si="41">A309+1</f>
        <v>3</v>
      </c>
      <c r="B310" s="97"/>
      <c r="C310" s="98"/>
      <c r="D310" s="99">
        <f t="shared" si="39"/>
        <v>0</v>
      </c>
      <c r="E310" s="97">
        <v>0</v>
      </c>
      <c r="F310" s="141">
        <f t="shared" si="40"/>
        <v>0</v>
      </c>
      <c r="I310" s="58"/>
      <c r="J310" s="58"/>
      <c r="K310" s="58"/>
      <c r="L310" s="58"/>
      <c r="M310" s="58"/>
    </row>
    <row r="311" spans="1:14" ht="15.75" hidden="1" x14ac:dyDescent="0.25">
      <c r="A311" s="140">
        <f t="shared" si="41"/>
        <v>4</v>
      </c>
      <c r="B311" s="97"/>
      <c r="C311" s="98"/>
      <c r="D311" s="99">
        <f t="shared" si="39"/>
        <v>0</v>
      </c>
      <c r="E311" s="97">
        <v>0</v>
      </c>
      <c r="F311" s="141">
        <f t="shared" si="40"/>
        <v>0</v>
      </c>
      <c r="I311" s="58"/>
      <c r="J311" s="58"/>
      <c r="K311" s="56"/>
      <c r="L311" s="58"/>
      <c r="M311" s="58"/>
    </row>
    <row r="312" spans="1:14" ht="15.75" hidden="1" x14ac:dyDescent="0.25">
      <c r="A312" s="140">
        <f t="shared" si="41"/>
        <v>5</v>
      </c>
      <c r="B312" s="97"/>
      <c r="C312" s="98"/>
      <c r="D312" s="99">
        <f t="shared" si="39"/>
        <v>0</v>
      </c>
      <c r="E312" s="97">
        <v>0</v>
      </c>
      <c r="F312" s="141">
        <f t="shared" si="40"/>
        <v>0</v>
      </c>
      <c r="I312" s="58"/>
      <c r="J312" s="58"/>
      <c r="K312" s="59"/>
      <c r="L312" s="58"/>
      <c r="M312" s="58"/>
    </row>
    <row r="313" spans="1:14" hidden="1" x14ac:dyDescent="0.25">
      <c r="A313" s="140">
        <f t="shared" si="41"/>
        <v>6</v>
      </c>
      <c r="B313" s="97"/>
      <c r="C313" s="98"/>
      <c r="D313" s="99">
        <f t="shared" si="39"/>
        <v>0</v>
      </c>
      <c r="E313" s="97">
        <v>0</v>
      </c>
      <c r="F313" s="141">
        <f t="shared" si="40"/>
        <v>0</v>
      </c>
      <c r="I313" s="58"/>
      <c r="J313" s="58"/>
      <c r="K313" s="58"/>
      <c r="L313" s="58"/>
      <c r="M313" s="58"/>
    </row>
    <row r="314" spans="1:14" s="39" customFormat="1" ht="15.75" hidden="1" customHeight="1" x14ac:dyDescent="0.25">
      <c r="A314" s="272" t="s">
        <v>238</v>
      </c>
      <c r="B314" s="273"/>
      <c r="C314" s="273"/>
      <c r="D314" s="273"/>
      <c r="E314" s="273"/>
      <c r="F314" s="274"/>
      <c r="G314" s="43"/>
      <c r="H314" s="43"/>
      <c r="I314" s="59"/>
      <c r="J314" s="59"/>
      <c r="K314" s="58"/>
      <c r="L314" s="59"/>
      <c r="M314" s="59"/>
    </row>
    <row r="315" spans="1:14" s="39" customFormat="1" ht="15.75" hidden="1" x14ac:dyDescent="0.25">
      <c r="A315" s="140">
        <v>1</v>
      </c>
      <c r="B315" s="97"/>
      <c r="C315" s="98"/>
      <c r="D315" s="99">
        <f>C315*1.2</f>
        <v>0</v>
      </c>
      <c r="E315" s="97">
        <v>0</v>
      </c>
      <c r="F315" s="141">
        <f>C315*(($F$302)+1)+(IF(E315&lt;101,E315,IF(E315&lt;201,E315/2,IF(E315&lt;=301,E315/3,E315/4))))</f>
        <v>0</v>
      </c>
      <c r="G315" s="275"/>
      <c r="H315" s="275"/>
      <c r="I315" s="56"/>
      <c r="J315" s="57"/>
      <c r="K315" s="58"/>
      <c r="L315" s="247"/>
      <c r="M315" s="247"/>
      <c r="N315" s="40"/>
    </row>
    <row r="316" spans="1:14" hidden="1" x14ac:dyDescent="0.25">
      <c r="A316" s="140">
        <f>A315+1</f>
        <v>2</v>
      </c>
      <c r="B316" s="97"/>
      <c r="C316" s="98"/>
      <c r="D316" s="99">
        <f t="shared" ref="D316:D320" si="42">C316*1.2</f>
        <v>0</v>
      </c>
      <c r="E316" s="97">
        <v>0</v>
      </c>
      <c r="F316" s="141">
        <f t="shared" ref="F316:F320" si="43">C316*(($F$302)+1)+(IF(E316&lt;101,E316,IF(E316&lt;201,E316/2,IF(E316&lt;=301,E316/3,E316/4))))</f>
        <v>0</v>
      </c>
      <c r="I316" s="58"/>
      <c r="J316" s="58"/>
      <c r="K316" s="58"/>
      <c r="L316" s="58"/>
      <c r="M316" s="58"/>
    </row>
    <row r="317" spans="1:14" hidden="1" x14ac:dyDescent="0.25">
      <c r="A317" s="140">
        <f t="shared" ref="A317:A320" si="44">A316+1</f>
        <v>3</v>
      </c>
      <c r="B317" s="97"/>
      <c r="C317" s="98"/>
      <c r="D317" s="99">
        <f t="shared" si="42"/>
        <v>0</v>
      </c>
      <c r="E317" s="97">
        <v>0</v>
      </c>
      <c r="F317" s="141">
        <f t="shared" si="43"/>
        <v>0</v>
      </c>
      <c r="I317" s="58"/>
      <c r="J317" s="58"/>
      <c r="K317" s="58"/>
      <c r="L317" s="58"/>
      <c r="M317" s="58"/>
    </row>
    <row r="318" spans="1:14" ht="15.75" hidden="1" x14ac:dyDescent="0.25">
      <c r="A318" s="140">
        <f t="shared" si="44"/>
        <v>4</v>
      </c>
      <c r="B318" s="97"/>
      <c r="C318" s="98"/>
      <c r="D318" s="99">
        <f t="shared" si="42"/>
        <v>0</v>
      </c>
      <c r="E318" s="97">
        <v>0</v>
      </c>
      <c r="F318" s="141">
        <f t="shared" si="43"/>
        <v>0</v>
      </c>
      <c r="I318" s="58"/>
      <c r="J318" s="58"/>
      <c r="K318" s="56"/>
      <c r="L318" s="58"/>
      <c r="M318" s="58"/>
    </row>
    <row r="319" spans="1:14" ht="15.75" hidden="1" x14ac:dyDescent="0.25">
      <c r="A319" s="140">
        <f t="shared" si="44"/>
        <v>5</v>
      </c>
      <c r="B319" s="97"/>
      <c r="C319" s="98"/>
      <c r="D319" s="99">
        <f t="shared" si="42"/>
        <v>0</v>
      </c>
      <c r="E319" s="97">
        <v>0</v>
      </c>
      <c r="F319" s="141">
        <f t="shared" si="43"/>
        <v>0</v>
      </c>
      <c r="I319" s="58"/>
      <c r="J319" s="58"/>
      <c r="K319" s="59"/>
      <c r="L319" s="58"/>
      <c r="M319" s="58"/>
    </row>
    <row r="320" spans="1:14" hidden="1" x14ac:dyDescent="0.25">
      <c r="A320" s="140">
        <f t="shared" si="44"/>
        <v>6</v>
      </c>
      <c r="B320" s="97"/>
      <c r="C320" s="98"/>
      <c r="D320" s="99">
        <f t="shared" si="42"/>
        <v>0</v>
      </c>
      <c r="E320" s="97">
        <v>0</v>
      </c>
      <c r="F320" s="141">
        <f t="shared" si="43"/>
        <v>0</v>
      </c>
      <c r="I320" s="58"/>
      <c r="J320" s="58"/>
      <c r="K320" s="58"/>
      <c r="L320" s="58"/>
      <c r="M320" s="58"/>
    </row>
    <row r="321" spans="1:14" s="39" customFormat="1" ht="15.75" hidden="1" customHeight="1" x14ac:dyDescent="0.25">
      <c r="A321" s="272" t="s">
        <v>239</v>
      </c>
      <c r="B321" s="273"/>
      <c r="C321" s="273"/>
      <c r="D321" s="273"/>
      <c r="E321" s="273"/>
      <c r="F321" s="274"/>
      <c r="G321" s="43"/>
      <c r="H321" s="43"/>
      <c r="I321" s="59"/>
      <c r="J321" s="59"/>
      <c r="K321" s="58"/>
      <c r="L321" s="59"/>
      <c r="M321" s="59"/>
    </row>
    <row r="322" spans="1:14" s="39" customFormat="1" ht="15.75" hidden="1" x14ac:dyDescent="0.25">
      <c r="A322" s="140">
        <v>1</v>
      </c>
      <c r="B322" s="97"/>
      <c r="C322" s="98"/>
      <c r="D322" s="99">
        <f>C322*1.2</f>
        <v>0</v>
      </c>
      <c r="E322" s="97">
        <v>0</v>
      </c>
      <c r="F322" s="141">
        <f>C322*(($F$302)+1)+(IF(E322&lt;101,E322,IF(E322&lt;201,E322/2,IF(E322&lt;=301,E322/3,E322/4))))</f>
        <v>0</v>
      </c>
      <c r="G322" s="275"/>
      <c r="H322" s="275"/>
      <c r="I322" s="56"/>
      <c r="J322" s="57"/>
      <c r="K322" s="58"/>
      <c r="L322" s="247"/>
      <c r="M322" s="247"/>
      <c r="N322" s="40"/>
    </row>
    <row r="323" spans="1:14" hidden="1" x14ac:dyDescent="0.25">
      <c r="A323" s="140">
        <f>A322+1</f>
        <v>2</v>
      </c>
      <c r="B323" s="97"/>
      <c r="C323" s="98"/>
      <c r="D323" s="99">
        <f t="shared" ref="D323:D327" si="45">C323*1.2</f>
        <v>0</v>
      </c>
      <c r="E323" s="97">
        <v>0</v>
      </c>
      <c r="F323" s="141">
        <f t="shared" ref="F323:F327" si="46">C323*(($F$302)+1)+(IF(E323&lt;101,E323,IF(E323&lt;201,E323/2,IF(E323&lt;=301,E323/3,E323/4))))</f>
        <v>0</v>
      </c>
      <c r="I323" s="58"/>
      <c r="J323" s="58"/>
      <c r="K323" s="58"/>
      <c r="L323" s="58"/>
      <c r="M323" s="58"/>
    </row>
    <row r="324" spans="1:14" hidden="1" x14ac:dyDescent="0.25">
      <c r="A324" s="140">
        <f t="shared" ref="A324:A327" si="47">A323+1</f>
        <v>3</v>
      </c>
      <c r="B324" s="97"/>
      <c r="C324" s="98"/>
      <c r="D324" s="99">
        <f t="shared" si="45"/>
        <v>0</v>
      </c>
      <c r="E324" s="97">
        <v>0</v>
      </c>
      <c r="F324" s="141">
        <f t="shared" si="46"/>
        <v>0</v>
      </c>
      <c r="I324" s="58"/>
      <c r="J324" s="58"/>
      <c r="K324" s="58"/>
      <c r="L324" s="58"/>
      <c r="M324" s="58"/>
    </row>
    <row r="325" spans="1:14" ht="15.75" hidden="1" x14ac:dyDescent="0.25">
      <c r="A325" s="140">
        <f t="shared" si="47"/>
        <v>4</v>
      </c>
      <c r="B325" s="97"/>
      <c r="C325" s="98"/>
      <c r="D325" s="99">
        <f t="shared" si="45"/>
        <v>0</v>
      </c>
      <c r="E325" s="97">
        <v>0</v>
      </c>
      <c r="F325" s="141">
        <f t="shared" si="46"/>
        <v>0</v>
      </c>
      <c r="I325" s="58"/>
      <c r="J325" s="58"/>
      <c r="K325" s="56"/>
      <c r="L325" s="58"/>
      <c r="M325" s="58"/>
    </row>
    <row r="326" spans="1:14" ht="15.75" hidden="1" x14ac:dyDescent="0.25">
      <c r="A326" s="140">
        <f t="shared" si="47"/>
        <v>5</v>
      </c>
      <c r="B326" s="97"/>
      <c r="C326" s="98"/>
      <c r="D326" s="99">
        <f t="shared" si="45"/>
        <v>0</v>
      </c>
      <c r="E326" s="97">
        <v>0</v>
      </c>
      <c r="F326" s="141">
        <f t="shared" si="46"/>
        <v>0</v>
      </c>
      <c r="K326" s="39"/>
    </row>
    <row r="327" spans="1:14" hidden="1" x14ac:dyDescent="0.25">
      <c r="A327" s="140">
        <f t="shared" si="47"/>
        <v>6</v>
      </c>
      <c r="B327" s="97"/>
      <c r="C327" s="98"/>
      <c r="D327" s="99">
        <f t="shared" si="45"/>
        <v>0</v>
      </c>
      <c r="E327" s="97">
        <v>0</v>
      </c>
      <c r="F327" s="141">
        <f t="shared" si="46"/>
        <v>0</v>
      </c>
    </row>
    <row r="328" spans="1:14" s="39" customFormat="1" ht="15.75" hidden="1" customHeight="1" x14ac:dyDescent="0.25">
      <c r="A328" s="272" t="s">
        <v>240</v>
      </c>
      <c r="B328" s="273"/>
      <c r="C328" s="273"/>
      <c r="D328" s="273"/>
      <c r="E328" s="273"/>
      <c r="F328" s="274"/>
      <c r="G328" s="43"/>
      <c r="H328" s="43"/>
      <c r="K328"/>
    </row>
    <row r="329" spans="1:14" s="39" customFormat="1" ht="15.75" hidden="1" x14ac:dyDescent="0.25">
      <c r="A329" s="140">
        <v>1</v>
      </c>
      <c r="B329" s="97"/>
      <c r="C329" s="98"/>
      <c r="D329" s="99">
        <f>C329*1.2</f>
        <v>0</v>
      </c>
      <c r="E329" s="97">
        <v>0</v>
      </c>
      <c r="F329" s="141">
        <f>C329*(($F$302)+1)+(IF(E329&lt;101,E329,IF(E329&lt;201,E329/2,IF(E329&lt;=301,E329/3,E329/4))))</f>
        <v>0</v>
      </c>
      <c r="G329" s="275"/>
      <c r="H329" s="275"/>
      <c r="I329" s="40"/>
      <c r="J329" s="44"/>
      <c r="K329"/>
      <c r="L329" s="276"/>
      <c r="M329" s="276"/>
      <c r="N329" s="40"/>
    </row>
    <row r="330" spans="1:14" hidden="1" x14ac:dyDescent="0.25">
      <c r="A330" s="140">
        <f>A329+1</f>
        <v>2</v>
      </c>
      <c r="B330" s="97"/>
      <c r="C330" s="98"/>
      <c r="D330" s="99">
        <f t="shared" ref="D330:D334" si="48">C330*1.2</f>
        <v>0</v>
      </c>
      <c r="E330" s="97">
        <v>0</v>
      </c>
      <c r="F330" s="141">
        <f t="shared" ref="F330:F334" si="49">C330*(($F$302)+1)+(IF(E330&lt;101,E330,IF(E330&lt;201,E330/2,IF(E330&lt;=301,E330/3,E330/4))))</f>
        <v>0</v>
      </c>
      <c r="J330" s="58"/>
      <c r="K330" s="58"/>
      <c r="L330" s="58"/>
      <c r="M330" s="58"/>
    </row>
    <row r="331" spans="1:14" hidden="1" x14ac:dyDescent="0.25">
      <c r="A331" s="140">
        <f t="shared" ref="A331:A334" si="50">A330+1</f>
        <v>3</v>
      </c>
      <c r="B331" s="97"/>
      <c r="C331" s="98"/>
      <c r="D331" s="99">
        <f t="shared" si="48"/>
        <v>0</v>
      </c>
      <c r="E331" s="97">
        <v>0</v>
      </c>
      <c r="F331" s="141">
        <f t="shared" si="49"/>
        <v>0</v>
      </c>
      <c r="J331" s="58"/>
      <c r="K331" s="58"/>
      <c r="L331" s="58"/>
      <c r="M331" s="58"/>
    </row>
    <row r="332" spans="1:14" ht="15.75" hidden="1" x14ac:dyDescent="0.25">
      <c r="A332" s="140">
        <f t="shared" si="50"/>
        <v>4</v>
      </c>
      <c r="B332" s="97"/>
      <c r="C332" s="98"/>
      <c r="D332" s="99">
        <f t="shared" si="48"/>
        <v>0</v>
      </c>
      <c r="E332" s="97">
        <v>0</v>
      </c>
      <c r="F332" s="141">
        <f t="shared" si="49"/>
        <v>0</v>
      </c>
      <c r="J332" s="58"/>
      <c r="K332" s="60"/>
      <c r="L332" s="58"/>
      <c r="M332" s="58"/>
    </row>
    <row r="333" spans="1:14" ht="15.75" hidden="1" x14ac:dyDescent="0.25">
      <c r="A333" s="140">
        <f t="shared" si="50"/>
        <v>5</v>
      </c>
      <c r="B333" s="97"/>
      <c r="C333" s="98"/>
      <c r="D333" s="99">
        <f t="shared" si="48"/>
        <v>0</v>
      </c>
      <c r="E333" s="97">
        <v>0</v>
      </c>
      <c r="F333" s="141">
        <f t="shared" si="49"/>
        <v>0</v>
      </c>
      <c r="J333" s="58"/>
      <c r="K333" s="56"/>
      <c r="L333" s="58"/>
      <c r="M333" s="58"/>
    </row>
    <row r="334" spans="1:14" ht="15.75" hidden="1" x14ac:dyDescent="0.25">
      <c r="A334" s="140">
        <f t="shared" si="50"/>
        <v>6</v>
      </c>
      <c r="B334" s="97"/>
      <c r="C334" s="98"/>
      <c r="D334" s="99">
        <f t="shared" si="48"/>
        <v>0</v>
      </c>
      <c r="E334" s="97">
        <v>0</v>
      </c>
      <c r="F334" s="141">
        <f t="shared" si="49"/>
        <v>0</v>
      </c>
      <c r="J334" s="58"/>
      <c r="K334" s="56"/>
      <c r="L334" s="58"/>
      <c r="M334" s="58"/>
    </row>
    <row r="335" spans="1:14" s="39" customFormat="1" ht="15.75" hidden="1" customHeight="1" x14ac:dyDescent="0.25">
      <c r="A335" s="272" t="s">
        <v>241</v>
      </c>
      <c r="B335" s="273"/>
      <c r="C335" s="273"/>
      <c r="D335" s="273"/>
      <c r="E335" s="273"/>
      <c r="F335" s="274"/>
      <c r="G335" s="43"/>
      <c r="H335" s="43"/>
      <c r="J335" s="59"/>
      <c r="K335" s="56"/>
      <c r="L335" s="59"/>
      <c r="M335" s="59"/>
    </row>
    <row r="336" spans="1:14" s="39" customFormat="1" ht="15.75" hidden="1" x14ac:dyDescent="0.25">
      <c r="A336" s="140">
        <v>1</v>
      </c>
      <c r="B336" s="97"/>
      <c r="C336" s="98"/>
      <c r="D336" s="99">
        <f>C336*1.2</f>
        <v>0</v>
      </c>
      <c r="E336" s="97">
        <v>0</v>
      </c>
      <c r="F336" s="141">
        <f>C336*(($F$302)+1)+(IF(E336&lt;101,E336,IF(E336&lt;201,E336/2,IF(E336&lt;=301,E336/3,E336/4))))</f>
        <v>0</v>
      </c>
      <c r="G336" s="275"/>
      <c r="H336" s="275"/>
      <c r="I336" s="40"/>
      <c r="J336" s="57"/>
      <c r="K336" s="59"/>
      <c r="L336" s="247"/>
      <c r="M336" s="247"/>
      <c r="N336" s="40"/>
    </row>
    <row r="337" spans="1:13" hidden="1" x14ac:dyDescent="0.25">
      <c r="A337" s="140">
        <f>A336+1</f>
        <v>2</v>
      </c>
      <c r="B337" s="97"/>
      <c r="C337" s="98"/>
      <c r="D337" s="99">
        <f t="shared" ref="D337:D341" si="51">C337*1.2</f>
        <v>0</v>
      </c>
      <c r="E337" s="97">
        <v>0</v>
      </c>
      <c r="F337" s="141">
        <f t="shared" ref="F337:F341" si="52">C337*(($F$302)+1)+(IF(E337&lt;101,E337,IF(E337&lt;201,E337/2,IF(E337&lt;=301,E337/3,E337/4))))</f>
        <v>0</v>
      </c>
      <c r="J337" s="58"/>
      <c r="K337" s="58"/>
      <c r="L337" s="58"/>
      <c r="M337" s="58"/>
    </row>
    <row r="338" spans="1:13" hidden="1" x14ac:dyDescent="0.25">
      <c r="A338" s="140">
        <f t="shared" ref="A338:A341" si="53">A337+1</f>
        <v>3</v>
      </c>
      <c r="B338" s="97"/>
      <c r="C338" s="98"/>
      <c r="D338" s="99">
        <f t="shared" si="51"/>
        <v>0</v>
      </c>
      <c r="E338" s="97">
        <v>0</v>
      </c>
      <c r="F338" s="141">
        <f t="shared" si="52"/>
        <v>0</v>
      </c>
      <c r="J338" s="58"/>
      <c r="K338" s="58"/>
      <c r="L338" s="58"/>
      <c r="M338" s="58"/>
    </row>
    <row r="339" spans="1:13" hidden="1" x14ac:dyDescent="0.25">
      <c r="A339" s="140">
        <f t="shared" si="53"/>
        <v>4</v>
      </c>
      <c r="B339" s="97"/>
      <c r="C339" s="98"/>
      <c r="D339" s="99">
        <f t="shared" si="51"/>
        <v>0</v>
      </c>
      <c r="E339" s="97">
        <v>0</v>
      </c>
      <c r="F339" s="141">
        <f t="shared" si="52"/>
        <v>0</v>
      </c>
      <c r="J339" s="58"/>
      <c r="K339" s="58"/>
      <c r="L339" s="58"/>
      <c r="M339" s="58"/>
    </row>
    <row r="340" spans="1:13" hidden="1" x14ac:dyDescent="0.25">
      <c r="A340" s="140">
        <f t="shared" si="53"/>
        <v>5</v>
      </c>
      <c r="B340" s="97"/>
      <c r="C340" s="98"/>
      <c r="D340" s="99">
        <f t="shared" si="51"/>
        <v>0</v>
      </c>
      <c r="E340" s="97">
        <v>0</v>
      </c>
      <c r="F340" s="141">
        <f t="shared" si="52"/>
        <v>0</v>
      </c>
      <c r="J340" s="58"/>
      <c r="K340" s="58"/>
      <c r="L340" s="58"/>
      <c r="M340" s="58"/>
    </row>
    <row r="341" spans="1:13" hidden="1" x14ac:dyDescent="0.25">
      <c r="A341" s="140">
        <f t="shared" si="53"/>
        <v>6</v>
      </c>
      <c r="B341" s="97"/>
      <c r="C341" s="98"/>
      <c r="D341" s="99">
        <f t="shared" si="51"/>
        <v>0</v>
      </c>
      <c r="E341" s="97">
        <v>0</v>
      </c>
      <c r="F341" s="141">
        <f t="shared" si="52"/>
        <v>0</v>
      </c>
      <c r="J341" s="58"/>
      <c r="K341" s="58"/>
      <c r="L341" s="58"/>
      <c r="M341" s="58"/>
    </row>
    <row r="342" spans="1:13" x14ac:dyDescent="0.25">
      <c r="A342" s="278" t="s">
        <v>59</v>
      </c>
      <c r="B342" s="279"/>
      <c r="C342" s="279"/>
      <c r="D342" s="279"/>
      <c r="E342" s="279"/>
      <c r="F342" s="280"/>
      <c r="I342" s="58"/>
      <c r="J342" s="58"/>
      <c r="K342" s="53"/>
    </row>
    <row r="343" spans="1:13" s="1" customFormat="1" ht="32.25" customHeight="1" x14ac:dyDescent="0.2">
      <c r="A343" s="135" t="s">
        <v>208</v>
      </c>
      <c r="B343" s="281" t="s">
        <v>272</v>
      </c>
      <c r="C343" s="282"/>
      <c r="D343" s="48" t="s">
        <v>209</v>
      </c>
      <c r="E343" s="281" t="s">
        <v>273</v>
      </c>
      <c r="F343" s="283"/>
      <c r="G343" s="50"/>
      <c r="H343" s="277"/>
      <c r="I343" s="277"/>
      <c r="J343" s="50"/>
      <c r="L343" s="52"/>
    </row>
    <row r="344" spans="1:13" s="1" customFormat="1" ht="12.75" x14ac:dyDescent="0.2">
      <c r="A344" s="135">
        <v>1</v>
      </c>
      <c r="B344" s="244" t="s">
        <v>340</v>
      </c>
      <c r="C344" s="245"/>
      <c r="D344" s="100">
        <v>7000</v>
      </c>
      <c r="E344" s="244" t="s">
        <v>274</v>
      </c>
      <c r="F344" s="246"/>
    </row>
    <row r="345" spans="1:13" s="1" customFormat="1" ht="12.75" hidden="1" x14ac:dyDescent="0.2">
      <c r="A345" s="135">
        <v>2</v>
      </c>
      <c r="B345" s="244"/>
      <c r="C345" s="245"/>
      <c r="D345" s="100"/>
      <c r="E345" s="244" t="s">
        <v>274</v>
      </c>
      <c r="F345" s="246"/>
      <c r="K345" s="51"/>
    </row>
    <row r="346" spans="1:13" s="1" customFormat="1" ht="12.75" hidden="1" x14ac:dyDescent="0.2">
      <c r="A346" s="135">
        <v>3</v>
      </c>
      <c r="B346" s="244"/>
      <c r="C346" s="245"/>
      <c r="D346" s="100"/>
      <c r="E346" s="244" t="s">
        <v>274</v>
      </c>
      <c r="F346" s="246"/>
    </row>
    <row r="347" spans="1:13" s="1" customFormat="1" ht="12.75" hidden="1" x14ac:dyDescent="0.2">
      <c r="A347" s="135">
        <v>4</v>
      </c>
      <c r="B347" s="244"/>
      <c r="C347" s="245"/>
      <c r="D347" s="100"/>
      <c r="E347" s="244" t="s">
        <v>274</v>
      </c>
      <c r="F347" s="246"/>
    </row>
    <row r="348" spans="1:13" s="1" customFormat="1" ht="12.75" hidden="1" x14ac:dyDescent="0.2">
      <c r="A348" s="135">
        <v>5</v>
      </c>
      <c r="B348" s="244"/>
      <c r="C348" s="245"/>
      <c r="D348" s="100"/>
      <c r="E348" s="244" t="s">
        <v>274</v>
      </c>
      <c r="F348" s="246"/>
      <c r="G348" s="53"/>
      <c r="H348" s="53"/>
      <c r="I348" s="53"/>
      <c r="J348" s="53"/>
      <c r="K348" s="53"/>
      <c r="L348" s="53"/>
    </row>
    <row r="349" spans="1:13" s="1" customFormat="1" ht="12.75" hidden="1" x14ac:dyDescent="0.2">
      <c r="A349" s="135">
        <v>6</v>
      </c>
      <c r="B349" s="244"/>
      <c r="C349" s="245"/>
      <c r="D349" s="100"/>
      <c r="E349" s="244" t="s">
        <v>274</v>
      </c>
      <c r="F349" s="246"/>
      <c r="G349" s="53"/>
      <c r="H349" s="53"/>
      <c r="I349" s="53"/>
      <c r="J349" s="53"/>
      <c r="K349" s="54"/>
      <c r="L349" s="53"/>
    </row>
    <row r="350" spans="1:13" s="1" customFormat="1" ht="48" customHeight="1" x14ac:dyDescent="0.2">
      <c r="A350" s="135" t="s">
        <v>210</v>
      </c>
      <c r="B350" s="48" t="s">
        <v>211</v>
      </c>
      <c r="C350" s="48" t="s">
        <v>212</v>
      </c>
      <c r="D350" s="48" t="s">
        <v>213</v>
      </c>
      <c r="E350" s="48" t="s">
        <v>214</v>
      </c>
      <c r="F350" s="131" t="s">
        <v>215</v>
      </c>
      <c r="G350" s="55"/>
      <c r="H350" s="55"/>
      <c r="I350" s="55"/>
      <c r="J350" s="55"/>
      <c r="K350" s="53"/>
      <c r="L350" s="55"/>
    </row>
    <row r="351" spans="1:13" s="1" customFormat="1" ht="12.75" x14ac:dyDescent="0.2">
      <c r="A351" s="135" t="s">
        <v>216</v>
      </c>
      <c r="B351" s="100" t="s">
        <v>246</v>
      </c>
      <c r="C351" s="100" t="s">
        <v>246</v>
      </c>
      <c r="D351" s="100"/>
      <c r="E351" s="100"/>
      <c r="F351" s="142"/>
      <c r="G351" s="53"/>
      <c r="H351" s="53"/>
      <c r="I351" s="53"/>
      <c r="J351" s="53"/>
      <c r="K351" s="53"/>
      <c r="L351" s="53"/>
    </row>
    <row r="352" spans="1:13" s="1" customFormat="1" ht="12.75" hidden="1" x14ac:dyDescent="0.2">
      <c r="A352" s="135" t="s">
        <v>217</v>
      </c>
      <c r="B352" s="100"/>
      <c r="C352" s="100"/>
      <c r="D352" s="100"/>
      <c r="E352" s="100"/>
      <c r="F352" s="142"/>
      <c r="G352" s="53"/>
      <c r="H352" s="53"/>
      <c r="I352" s="53"/>
      <c r="J352" s="53"/>
      <c r="K352" s="53"/>
      <c r="L352" s="53"/>
    </row>
    <row r="353" spans="1:12" s="1" customFormat="1" ht="12.75" hidden="1" x14ac:dyDescent="0.2">
      <c r="A353" s="135" t="s">
        <v>218</v>
      </c>
      <c r="B353" s="100"/>
      <c r="C353" s="100"/>
      <c r="D353" s="100"/>
      <c r="E353" s="100"/>
      <c r="F353" s="142"/>
    </row>
    <row r="354" spans="1:12" s="1" customFormat="1" ht="12.75" hidden="1" x14ac:dyDescent="0.2">
      <c r="A354" s="135" t="s">
        <v>219</v>
      </c>
      <c r="B354" s="100"/>
      <c r="C354" s="100"/>
      <c r="D354" s="100"/>
      <c r="E354" s="100"/>
      <c r="F354" s="142"/>
    </row>
    <row r="355" spans="1:12" s="1" customFormat="1" ht="36" x14ac:dyDescent="0.2">
      <c r="A355" s="135" t="s">
        <v>220</v>
      </c>
      <c r="B355" s="48" t="s">
        <v>211</v>
      </c>
      <c r="C355" s="48" t="s">
        <v>212</v>
      </c>
      <c r="D355" s="281" t="s">
        <v>221</v>
      </c>
      <c r="E355" s="282"/>
      <c r="F355" s="131" t="s">
        <v>222</v>
      </c>
      <c r="G355" s="51"/>
      <c r="H355" s="51"/>
      <c r="I355" s="51"/>
      <c r="J355" s="51"/>
      <c r="L355" s="51"/>
    </row>
    <row r="356" spans="1:12" s="1" customFormat="1" ht="12.75" x14ac:dyDescent="0.2">
      <c r="A356" s="135" t="s">
        <v>223</v>
      </c>
      <c r="B356" s="100" t="s">
        <v>246</v>
      </c>
      <c r="C356" s="100" t="s">
        <v>246</v>
      </c>
      <c r="D356" s="244"/>
      <c r="E356" s="245"/>
      <c r="F356" s="142"/>
    </row>
    <row r="357" spans="1:12" s="1" customFormat="1" ht="12.75" hidden="1" x14ac:dyDescent="0.2">
      <c r="A357" s="135" t="s">
        <v>224</v>
      </c>
      <c r="B357" s="100"/>
      <c r="C357" s="100"/>
      <c r="D357" s="244"/>
      <c r="E357" s="245"/>
      <c r="F357" s="142"/>
    </row>
    <row r="358" spans="1:12" s="1" customFormat="1" ht="12.75" hidden="1" x14ac:dyDescent="0.2">
      <c r="A358" s="135" t="s">
        <v>225</v>
      </c>
      <c r="B358" s="100"/>
      <c r="C358" s="100"/>
      <c r="D358" s="244"/>
      <c r="E358" s="245"/>
      <c r="F358" s="142"/>
    </row>
    <row r="359" spans="1:12" s="1" customFormat="1" ht="36" x14ac:dyDescent="0.25">
      <c r="A359" s="135" t="s">
        <v>226</v>
      </c>
      <c r="B359" s="48" t="s">
        <v>211</v>
      </c>
      <c r="C359" s="48" t="s">
        <v>212</v>
      </c>
      <c r="D359" s="281" t="s">
        <v>227</v>
      </c>
      <c r="E359" s="282"/>
      <c r="F359" s="131" t="s">
        <v>228</v>
      </c>
      <c r="G359" s="50"/>
      <c r="H359" s="50"/>
      <c r="I359" s="50"/>
      <c r="J359" s="52"/>
      <c r="K359" s="45"/>
      <c r="L359" s="50"/>
    </row>
    <row r="360" spans="1:12" s="1" customFormat="1" x14ac:dyDescent="0.25">
      <c r="A360" s="135" t="s">
        <v>146</v>
      </c>
      <c r="B360" s="100" t="s">
        <v>246</v>
      </c>
      <c r="C360" s="100">
        <v>400000</v>
      </c>
      <c r="D360" s="244" t="s">
        <v>246</v>
      </c>
      <c r="E360" s="245"/>
      <c r="F360" s="142"/>
      <c r="G360" s="50"/>
      <c r="K360"/>
    </row>
    <row r="361" spans="1:12" s="1" customFormat="1" ht="60" x14ac:dyDescent="0.25">
      <c r="A361" s="135" t="s">
        <v>357</v>
      </c>
      <c r="B361" s="100" t="s">
        <v>246</v>
      </c>
      <c r="C361" s="100">
        <v>50000</v>
      </c>
      <c r="D361" s="244" t="s">
        <v>246</v>
      </c>
      <c r="E361" s="245"/>
      <c r="F361" s="142"/>
      <c r="G361" s="50"/>
      <c r="K361" s="45"/>
    </row>
    <row r="362" spans="1:12" s="1" customFormat="1" ht="24" x14ac:dyDescent="0.25">
      <c r="A362" s="135" t="s">
        <v>358</v>
      </c>
      <c r="B362" s="100" t="s">
        <v>246</v>
      </c>
      <c r="C362" s="100">
        <v>80000</v>
      </c>
      <c r="D362" s="244" t="s">
        <v>246</v>
      </c>
      <c r="E362" s="245"/>
      <c r="F362" s="142"/>
      <c r="G362" s="50"/>
      <c r="K362"/>
    </row>
    <row r="363" spans="1:12" s="1" customFormat="1" ht="24" x14ac:dyDescent="0.25">
      <c r="A363" s="135" t="s">
        <v>359</v>
      </c>
      <c r="B363" s="100" t="s">
        <v>246</v>
      </c>
      <c r="C363" s="100">
        <v>90000</v>
      </c>
      <c r="D363" s="244" t="s">
        <v>246</v>
      </c>
      <c r="E363" s="245"/>
      <c r="F363" s="142"/>
      <c r="G363" s="50"/>
      <c r="K363"/>
    </row>
    <row r="364" spans="1:12" s="1" customFormat="1" ht="48" x14ac:dyDescent="0.25">
      <c r="A364" s="135" t="s">
        <v>360</v>
      </c>
      <c r="B364" s="100" t="s">
        <v>246</v>
      </c>
      <c r="C364" s="100">
        <v>15000</v>
      </c>
      <c r="D364" s="244" t="s">
        <v>246</v>
      </c>
      <c r="E364" s="245"/>
      <c r="F364" s="142"/>
      <c r="G364" s="50"/>
      <c r="K364"/>
    </row>
    <row r="365" spans="1:12" s="1" customFormat="1" ht="24" x14ac:dyDescent="0.25">
      <c r="A365" s="135" t="s">
        <v>361</v>
      </c>
      <c r="B365" s="100" t="s">
        <v>246</v>
      </c>
      <c r="C365" s="100">
        <v>10000</v>
      </c>
      <c r="D365" s="244" t="s">
        <v>246</v>
      </c>
      <c r="E365" s="245"/>
      <c r="F365" s="142"/>
      <c r="G365" s="50"/>
      <c r="K365"/>
    </row>
    <row r="366" spans="1:12" s="1" customFormat="1" ht="30" customHeight="1" x14ac:dyDescent="0.25">
      <c r="A366" s="135" t="s">
        <v>362</v>
      </c>
      <c r="B366" s="100" t="s">
        <v>246</v>
      </c>
      <c r="C366" s="100">
        <v>30000</v>
      </c>
      <c r="D366" s="244" t="s">
        <v>246</v>
      </c>
      <c r="E366" s="245"/>
      <c r="F366" s="142"/>
      <c r="G366" s="50"/>
      <c r="K366"/>
    </row>
    <row r="367" spans="1:12" s="1" customFormat="1" ht="30" hidden="1" customHeight="1" x14ac:dyDescent="0.25">
      <c r="A367" s="135" t="s">
        <v>229</v>
      </c>
      <c r="B367" s="100"/>
      <c r="C367" s="100"/>
      <c r="D367" s="244"/>
      <c r="E367" s="245"/>
      <c r="F367" s="142"/>
      <c r="G367" s="50"/>
      <c r="K367"/>
    </row>
    <row r="368" spans="1:12" s="1" customFormat="1" ht="30" hidden="1" customHeight="1" x14ac:dyDescent="0.25">
      <c r="A368" s="135" t="s">
        <v>230</v>
      </c>
      <c r="B368" s="100"/>
      <c r="C368" s="100"/>
      <c r="D368" s="244"/>
      <c r="E368" s="245"/>
      <c r="F368" s="142"/>
      <c r="G368" s="50"/>
      <c r="K368"/>
    </row>
    <row r="369" spans="1:11" s="45" customFormat="1" x14ac:dyDescent="0.25">
      <c r="A369" s="258" t="s">
        <v>60</v>
      </c>
      <c r="B369" s="259"/>
      <c r="C369" s="259"/>
      <c r="D369" s="259"/>
      <c r="E369" s="259"/>
      <c r="F369" s="260"/>
      <c r="K369"/>
    </row>
    <row r="370" spans="1:11" s="45" customFormat="1" x14ac:dyDescent="0.25">
      <c r="A370" s="143">
        <v>1</v>
      </c>
      <c r="B370" s="261" t="s">
        <v>365</v>
      </c>
      <c r="C370" s="261"/>
      <c r="D370" s="261"/>
      <c r="E370" s="261"/>
      <c r="F370" s="262"/>
      <c r="H370" s="45" t="s">
        <v>275</v>
      </c>
      <c r="K370"/>
    </row>
    <row r="371" spans="1:11" s="45" customFormat="1" x14ac:dyDescent="0.25">
      <c r="A371" s="143">
        <f t="shared" ref="A371:A377" si="54">A370+1</f>
        <v>2</v>
      </c>
      <c r="B371" s="261" t="s">
        <v>283</v>
      </c>
      <c r="C371" s="261"/>
      <c r="D371" s="261"/>
      <c r="E371" s="261"/>
      <c r="F371" s="262"/>
      <c r="K371"/>
    </row>
    <row r="372" spans="1:11" s="45" customFormat="1" x14ac:dyDescent="0.25">
      <c r="A372" s="143">
        <f t="shared" si="54"/>
        <v>3</v>
      </c>
      <c r="B372" s="263" t="str">
        <f>(IF(F301="Saleable area Loading :","We have considered Saleable area of Flats as per our Calculation.","We considered Saleable area of Flat as per Builder area Sheet."))</f>
        <v>We have considered Saleable area of Flats as per our Calculation.</v>
      </c>
      <c r="C372" s="264"/>
      <c r="D372" s="264"/>
      <c r="E372" s="264"/>
      <c r="F372" s="265"/>
      <c r="K372"/>
    </row>
    <row r="373" spans="1:11" s="45" customFormat="1" x14ac:dyDescent="0.25">
      <c r="A373" s="143">
        <f t="shared" si="54"/>
        <v>4</v>
      </c>
      <c r="B373" s="261" t="s">
        <v>276</v>
      </c>
      <c r="C373" s="261"/>
      <c r="D373" s="261"/>
      <c r="E373" s="261"/>
      <c r="F373" s="262"/>
      <c r="K373"/>
    </row>
    <row r="374" spans="1:11" s="45" customFormat="1" x14ac:dyDescent="0.25">
      <c r="A374" s="143">
        <f t="shared" si="54"/>
        <v>5</v>
      </c>
      <c r="B374" s="261" t="s">
        <v>277</v>
      </c>
      <c r="C374" s="261"/>
      <c r="D374" s="261"/>
      <c r="E374" s="261"/>
      <c r="F374" s="262"/>
      <c r="K374"/>
    </row>
    <row r="375" spans="1:11" s="45" customFormat="1" x14ac:dyDescent="0.25">
      <c r="A375" s="143">
        <f t="shared" si="54"/>
        <v>6</v>
      </c>
      <c r="B375" s="261" t="s">
        <v>371</v>
      </c>
      <c r="C375" s="261"/>
      <c r="D375" s="261"/>
      <c r="E375" s="261"/>
      <c r="F375" s="262"/>
      <c r="K375"/>
    </row>
    <row r="376" spans="1:11" s="45" customFormat="1" x14ac:dyDescent="0.25">
      <c r="A376" s="143">
        <f t="shared" si="54"/>
        <v>7</v>
      </c>
      <c r="B376" s="261" t="s">
        <v>278</v>
      </c>
      <c r="C376" s="261"/>
      <c r="D376" s="261"/>
      <c r="E376" s="261"/>
      <c r="F376" s="262"/>
      <c r="K376"/>
    </row>
    <row r="377" spans="1:11" s="45" customFormat="1" ht="30" hidden="1" customHeight="1" x14ac:dyDescent="0.25">
      <c r="A377" s="154">
        <f t="shared" si="54"/>
        <v>8</v>
      </c>
      <c r="B377" s="224" t="s">
        <v>366</v>
      </c>
      <c r="C377" s="225"/>
      <c r="D377" s="225"/>
      <c r="E377" s="225"/>
      <c r="F377" s="226"/>
      <c r="K377"/>
    </row>
    <row r="378" spans="1:11" x14ac:dyDescent="0.25">
      <c r="A378" s="248" t="s">
        <v>61</v>
      </c>
      <c r="B378" s="249"/>
      <c r="C378" s="250" t="str">
        <f>B2</f>
        <v>Crown Dombivli 2 (Opal)</v>
      </c>
      <c r="D378" s="250"/>
      <c r="E378" s="250"/>
      <c r="F378" s="251"/>
    </row>
    <row r="379" spans="1:11" x14ac:dyDescent="0.25">
      <c r="A379" s="149"/>
      <c r="B379" s="58"/>
      <c r="C379" s="58"/>
      <c r="D379" s="58"/>
      <c r="E379" s="58"/>
      <c r="F379" s="150"/>
    </row>
    <row r="380" spans="1:11" x14ac:dyDescent="0.25">
      <c r="A380" s="149"/>
      <c r="B380" s="58"/>
      <c r="C380" s="58"/>
      <c r="D380" s="58"/>
      <c r="E380" s="58"/>
      <c r="F380" s="150"/>
    </row>
    <row r="381" spans="1:11" x14ac:dyDescent="0.25">
      <c r="A381" s="149"/>
      <c r="B381" s="58"/>
      <c r="C381" s="58"/>
      <c r="D381" s="58"/>
      <c r="E381" s="58"/>
      <c r="F381" s="150"/>
    </row>
    <row r="382" spans="1:11" x14ac:dyDescent="0.25">
      <c r="A382" s="149"/>
      <c r="B382" s="58"/>
      <c r="C382" s="58"/>
      <c r="D382" s="58"/>
      <c r="E382" s="58"/>
      <c r="F382" s="150"/>
    </row>
    <row r="383" spans="1:11" x14ac:dyDescent="0.25">
      <c r="A383" s="149"/>
      <c r="B383" s="58"/>
      <c r="C383" s="58"/>
      <c r="D383" s="58"/>
      <c r="E383" s="58"/>
      <c r="F383" s="150"/>
    </row>
    <row r="384" spans="1:11" x14ac:dyDescent="0.25">
      <c r="A384" s="149"/>
      <c r="B384" s="58"/>
      <c r="C384" s="58"/>
      <c r="D384" s="58"/>
      <c r="E384" s="58"/>
      <c r="F384" s="150"/>
    </row>
    <row r="385" spans="1:6" x14ac:dyDescent="0.25">
      <c r="A385" s="149"/>
      <c r="B385" s="58"/>
      <c r="C385" s="58"/>
      <c r="D385" s="58"/>
      <c r="E385" s="58"/>
      <c r="F385" s="150"/>
    </row>
    <row r="386" spans="1:6" x14ac:dyDescent="0.25">
      <c r="A386" s="149"/>
      <c r="B386" s="58"/>
      <c r="C386" s="58"/>
      <c r="D386" s="58"/>
      <c r="E386" s="58"/>
      <c r="F386" s="150"/>
    </row>
    <row r="387" spans="1:6" x14ac:dyDescent="0.25">
      <c r="A387" s="149"/>
      <c r="B387" s="58"/>
      <c r="C387" s="58"/>
      <c r="D387" s="58"/>
      <c r="E387" s="58"/>
      <c r="F387" s="150"/>
    </row>
    <row r="388" spans="1:6" x14ac:dyDescent="0.25">
      <c r="A388" s="149"/>
      <c r="B388" s="58"/>
      <c r="C388" s="58"/>
      <c r="D388" s="58"/>
      <c r="E388" s="58"/>
      <c r="F388" s="150"/>
    </row>
    <row r="389" spans="1:6" x14ac:dyDescent="0.25">
      <c r="A389" s="149"/>
      <c r="B389" s="58"/>
      <c r="C389" s="58"/>
      <c r="D389" s="58"/>
      <c r="E389" s="58"/>
      <c r="F389" s="150"/>
    </row>
    <row r="390" spans="1:6" x14ac:dyDescent="0.25">
      <c r="A390" s="149"/>
      <c r="B390" s="58"/>
      <c r="C390" s="58"/>
      <c r="D390" s="58"/>
      <c r="E390" s="58"/>
      <c r="F390" s="150"/>
    </row>
    <row r="391" spans="1:6" x14ac:dyDescent="0.25">
      <c r="A391" s="149"/>
      <c r="B391" s="58"/>
      <c r="C391" s="58"/>
      <c r="D391" s="58"/>
      <c r="E391" s="58"/>
      <c r="F391" s="150"/>
    </row>
    <row r="392" spans="1:6" x14ac:dyDescent="0.25">
      <c r="A392" s="149"/>
      <c r="B392" s="58"/>
      <c r="C392" s="58"/>
      <c r="D392" s="58"/>
      <c r="E392" s="58"/>
      <c r="F392" s="150"/>
    </row>
    <row r="393" spans="1:6" x14ac:dyDescent="0.25">
      <c r="A393" s="149"/>
      <c r="B393" s="58"/>
      <c r="C393" s="58"/>
      <c r="D393" s="58"/>
      <c r="E393" s="58"/>
      <c r="F393" s="150"/>
    </row>
    <row r="394" spans="1:6" x14ac:dyDescent="0.25">
      <c r="A394" s="149"/>
      <c r="B394" s="58"/>
      <c r="C394" s="58"/>
      <c r="D394" s="58"/>
      <c r="E394" s="58"/>
      <c r="F394" s="150"/>
    </row>
    <row r="395" spans="1:6" x14ac:dyDescent="0.25">
      <c r="A395" s="149"/>
      <c r="B395" s="58"/>
      <c r="C395" s="58"/>
      <c r="D395" s="58"/>
      <c r="E395" s="58"/>
      <c r="F395" s="150"/>
    </row>
    <row r="396" spans="1:6" x14ac:dyDescent="0.25">
      <c r="A396" s="149"/>
      <c r="B396" s="58"/>
      <c r="C396" s="58"/>
      <c r="D396" s="58"/>
      <c r="E396" s="58"/>
      <c r="F396" s="150"/>
    </row>
    <row r="397" spans="1:6" x14ac:dyDescent="0.25">
      <c r="A397" s="149"/>
      <c r="B397" s="58"/>
      <c r="C397" s="58"/>
      <c r="D397" s="58"/>
      <c r="E397" s="58"/>
      <c r="F397" s="150"/>
    </row>
    <row r="398" spans="1:6" x14ac:dyDescent="0.25">
      <c r="A398" s="149"/>
      <c r="B398" s="58"/>
      <c r="C398" s="58"/>
      <c r="D398" s="58"/>
      <c r="E398" s="58"/>
      <c r="F398" s="150"/>
    </row>
    <row r="399" spans="1:6" x14ac:dyDescent="0.25">
      <c r="A399" s="149"/>
      <c r="B399" s="58"/>
      <c r="C399" s="58"/>
      <c r="D399" s="58"/>
      <c r="E399" s="58"/>
      <c r="F399" s="150"/>
    </row>
    <row r="400" spans="1:6" x14ac:dyDescent="0.25">
      <c r="A400" s="149"/>
      <c r="B400" s="58"/>
      <c r="C400" s="58"/>
      <c r="D400" s="58"/>
      <c r="E400" s="58"/>
      <c r="F400" s="150"/>
    </row>
    <row r="401" spans="1:6" x14ac:dyDescent="0.25">
      <c r="A401" s="149"/>
      <c r="B401" s="58"/>
      <c r="C401" s="58"/>
      <c r="D401" s="58"/>
      <c r="E401" s="58"/>
      <c r="F401" s="150"/>
    </row>
    <row r="402" spans="1:6" x14ac:dyDescent="0.25">
      <c r="A402" s="149"/>
      <c r="B402" s="58"/>
      <c r="C402" s="58"/>
      <c r="D402" s="58"/>
      <c r="E402" s="58"/>
      <c r="F402" s="150"/>
    </row>
    <row r="403" spans="1:6" x14ac:dyDescent="0.25">
      <c r="A403" s="149"/>
      <c r="B403" s="58"/>
      <c r="C403" s="58"/>
      <c r="D403" s="58"/>
      <c r="E403" s="58"/>
      <c r="F403" s="150"/>
    </row>
    <row r="404" spans="1:6" x14ac:dyDescent="0.25">
      <c r="A404" s="149"/>
      <c r="B404" s="58"/>
      <c r="C404" s="58"/>
      <c r="D404" s="58"/>
      <c r="E404" s="58"/>
      <c r="F404" s="150"/>
    </row>
    <row r="405" spans="1:6" x14ac:dyDescent="0.25">
      <c r="A405" s="149"/>
      <c r="B405" s="58"/>
      <c r="C405" s="58"/>
      <c r="D405" s="58"/>
      <c r="E405" s="58"/>
      <c r="F405" s="150"/>
    </row>
    <row r="406" spans="1:6" x14ac:dyDescent="0.25">
      <c r="A406" s="149"/>
      <c r="B406" s="58"/>
      <c r="C406" s="58"/>
      <c r="D406" s="58"/>
      <c r="E406" s="58"/>
      <c r="F406" s="150"/>
    </row>
    <row r="407" spans="1:6" x14ac:dyDescent="0.25">
      <c r="A407" s="149"/>
      <c r="B407" s="58"/>
      <c r="C407" s="58"/>
      <c r="D407" s="58"/>
      <c r="E407" s="58"/>
      <c r="F407" s="150"/>
    </row>
    <row r="408" spans="1:6" x14ac:dyDescent="0.25">
      <c r="A408" s="149"/>
      <c r="B408" s="58"/>
      <c r="C408" s="58"/>
      <c r="D408" s="58"/>
      <c r="E408" s="58"/>
      <c r="F408" s="150"/>
    </row>
    <row r="409" spans="1:6" x14ac:dyDescent="0.25">
      <c r="A409" s="149"/>
      <c r="B409" s="58"/>
      <c r="C409" s="58"/>
      <c r="D409" s="58"/>
      <c r="E409" s="58"/>
      <c r="F409" s="150"/>
    </row>
    <row r="410" spans="1:6" x14ac:dyDescent="0.25">
      <c r="A410" s="149"/>
      <c r="B410" s="58"/>
      <c r="C410" s="58"/>
      <c r="D410" s="58"/>
      <c r="E410" s="58"/>
      <c r="F410" s="150"/>
    </row>
    <row r="411" spans="1:6" x14ac:dyDescent="0.25">
      <c r="A411" s="149"/>
      <c r="B411" s="58"/>
      <c r="C411" s="58"/>
      <c r="D411" s="58"/>
      <c r="E411" s="58"/>
      <c r="F411" s="150"/>
    </row>
    <row r="412" spans="1:6" x14ac:dyDescent="0.25">
      <c r="A412" s="149"/>
      <c r="B412" s="58"/>
      <c r="C412" s="58"/>
      <c r="D412" s="58"/>
      <c r="E412" s="58"/>
      <c r="F412" s="150"/>
    </row>
    <row r="413" spans="1:6" x14ac:dyDescent="0.25">
      <c r="A413" s="149"/>
      <c r="B413" s="58"/>
      <c r="C413" s="58"/>
      <c r="D413" s="58"/>
      <c r="E413" s="58"/>
      <c r="F413" s="150"/>
    </row>
    <row r="414" spans="1:6" x14ac:dyDescent="0.25">
      <c r="A414" s="149"/>
      <c r="B414" s="58"/>
      <c r="C414" s="58"/>
      <c r="D414" s="58"/>
      <c r="E414" s="58"/>
      <c r="F414" s="150"/>
    </row>
    <row r="415" spans="1:6" x14ac:dyDescent="0.25">
      <c r="A415" s="149"/>
      <c r="B415" s="58"/>
      <c r="C415" s="58"/>
      <c r="D415" s="58"/>
      <c r="E415" s="58"/>
      <c r="F415" s="150"/>
    </row>
    <row r="416" spans="1:6" x14ac:dyDescent="0.25">
      <c r="A416" s="149"/>
      <c r="B416" s="58"/>
      <c r="C416" s="58"/>
      <c r="D416" s="58"/>
      <c r="E416" s="58"/>
      <c r="F416" s="150"/>
    </row>
    <row r="417" spans="1:6" x14ac:dyDescent="0.25">
      <c r="A417" s="149"/>
      <c r="B417" s="58"/>
      <c r="C417" s="58"/>
      <c r="D417" s="58"/>
      <c r="E417" s="58"/>
      <c r="F417" s="150"/>
    </row>
    <row r="418" spans="1:6" x14ac:dyDescent="0.25">
      <c r="A418" s="149"/>
      <c r="B418" s="58"/>
      <c r="C418" s="58"/>
      <c r="D418" s="58"/>
      <c r="E418" s="58"/>
      <c r="F418" s="150"/>
    </row>
    <row r="419" spans="1:6" x14ac:dyDescent="0.25">
      <c r="A419" s="149"/>
      <c r="B419" s="58"/>
      <c r="C419" s="58"/>
      <c r="D419" s="58"/>
      <c r="E419" s="58"/>
      <c r="F419" s="150"/>
    </row>
    <row r="420" spans="1:6" x14ac:dyDescent="0.25">
      <c r="A420" s="149"/>
      <c r="B420" s="58"/>
      <c r="C420" s="58"/>
      <c r="D420" s="58"/>
      <c r="E420" s="58"/>
      <c r="F420" s="150"/>
    </row>
    <row r="421" spans="1:6" x14ac:dyDescent="0.25">
      <c r="A421" s="149"/>
      <c r="B421" s="58"/>
      <c r="C421" s="58"/>
      <c r="D421" s="58"/>
      <c r="E421" s="58"/>
      <c r="F421" s="150"/>
    </row>
    <row r="422" spans="1:6" x14ac:dyDescent="0.25">
      <c r="A422" s="149"/>
      <c r="B422" s="58"/>
      <c r="C422" s="58"/>
      <c r="D422" s="58"/>
      <c r="E422" s="58"/>
      <c r="F422" s="150"/>
    </row>
    <row r="423" spans="1:6" x14ac:dyDescent="0.25">
      <c r="A423" s="151"/>
      <c r="B423" s="152"/>
      <c r="C423" s="152"/>
      <c r="D423" s="152"/>
      <c r="E423" s="152"/>
      <c r="F423" s="153"/>
    </row>
    <row r="424" spans="1:6" x14ac:dyDescent="0.25">
      <c r="A424" s="146" t="s">
        <v>62</v>
      </c>
      <c r="B424" s="147"/>
      <c r="C424" s="147"/>
      <c r="D424" s="147"/>
      <c r="E424" s="147"/>
      <c r="F424" s="148"/>
    </row>
    <row r="425" spans="1:6" x14ac:dyDescent="0.25">
      <c r="A425" s="149"/>
      <c r="B425" s="58"/>
      <c r="C425" s="58"/>
      <c r="D425" s="58"/>
      <c r="E425" s="58"/>
      <c r="F425" s="150"/>
    </row>
    <row r="426" spans="1:6" x14ac:dyDescent="0.25">
      <c r="A426" s="149"/>
      <c r="B426" s="58"/>
      <c r="C426" s="58"/>
      <c r="D426" s="58"/>
      <c r="E426" s="58"/>
      <c r="F426" s="150"/>
    </row>
    <row r="427" spans="1:6" x14ac:dyDescent="0.25">
      <c r="A427" s="149"/>
      <c r="B427" s="58"/>
      <c r="C427" s="58"/>
      <c r="D427" s="58"/>
      <c r="E427" s="58"/>
      <c r="F427" s="150"/>
    </row>
    <row r="428" spans="1:6" x14ac:dyDescent="0.25">
      <c r="A428" s="149"/>
      <c r="B428" s="58"/>
      <c r="C428" s="58"/>
      <c r="D428" s="58"/>
      <c r="E428" s="58"/>
      <c r="F428" s="150"/>
    </row>
    <row r="429" spans="1:6" x14ac:dyDescent="0.25">
      <c r="A429" s="149"/>
      <c r="B429" s="58"/>
      <c r="C429" s="58"/>
      <c r="D429" s="58"/>
      <c r="E429" s="58"/>
      <c r="F429" s="150"/>
    </row>
    <row r="430" spans="1:6" x14ac:dyDescent="0.25">
      <c r="A430" s="149"/>
      <c r="B430" s="58"/>
      <c r="C430" s="58"/>
      <c r="D430" s="58"/>
      <c r="E430" s="58"/>
      <c r="F430" s="150"/>
    </row>
    <row r="431" spans="1:6" x14ac:dyDescent="0.25">
      <c r="A431" s="149"/>
      <c r="B431" s="58"/>
      <c r="C431" s="58"/>
      <c r="D431" s="58"/>
      <c r="E431" s="58"/>
      <c r="F431" s="150"/>
    </row>
    <row r="432" spans="1:6" x14ac:dyDescent="0.25">
      <c r="A432" s="149"/>
      <c r="B432" s="58"/>
      <c r="C432" s="58"/>
      <c r="D432" s="58"/>
      <c r="E432" s="58"/>
      <c r="F432" s="150"/>
    </row>
    <row r="433" spans="1:6" x14ac:dyDescent="0.25">
      <c r="A433" s="149"/>
      <c r="B433" s="58"/>
      <c r="C433" s="58"/>
      <c r="D433" s="58"/>
      <c r="E433" s="58"/>
      <c r="F433" s="150"/>
    </row>
    <row r="434" spans="1:6" x14ac:dyDescent="0.25">
      <c r="A434" s="149"/>
      <c r="B434" s="58"/>
      <c r="C434" s="58"/>
      <c r="D434" s="58"/>
      <c r="E434" s="58"/>
      <c r="F434" s="150"/>
    </row>
    <row r="435" spans="1:6" x14ac:dyDescent="0.25">
      <c r="A435" s="149"/>
      <c r="B435" s="58"/>
      <c r="C435" s="58"/>
      <c r="D435" s="58"/>
      <c r="E435" s="58"/>
      <c r="F435" s="150"/>
    </row>
    <row r="436" spans="1:6" x14ac:dyDescent="0.25">
      <c r="A436" s="149"/>
      <c r="B436" s="58"/>
      <c r="C436" s="58"/>
      <c r="D436" s="58"/>
      <c r="E436" s="58"/>
      <c r="F436" s="150"/>
    </row>
    <row r="437" spans="1:6" x14ac:dyDescent="0.25">
      <c r="A437" s="149"/>
      <c r="B437" s="58"/>
      <c r="C437" s="58"/>
      <c r="D437" s="58"/>
      <c r="E437" s="58"/>
      <c r="F437" s="150"/>
    </row>
    <row r="438" spans="1:6" x14ac:dyDescent="0.25">
      <c r="A438" s="149"/>
      <c r="B438" s="58"/>
      <c r="C438" s="58"/>
      <c r="D438" s="58"/>
      <c r="E438" s="58"/>
      <c r="F438" s="150"/>
    </row>
    <row r="439" spans="1:6" x14ac:dyDescent="0.25">
      <c r="A439" s="149"/>
      <c r="B439" s="58"/>
      <c r="C439" s="58"/>
      <c r="D439" s="58"/>
      <c r="E439" s="58"/>
      <c r="F439" s="150"/>
    </row>
    <row r="440" spans="1:6" x14ac:dyDescent="0.25">
      <c r="A440" s="149"/>
      <c r="B440" s="58"/>
      <c r="C440" s="58"/>
      <c r="D440" s="58"/>
      <c r="E440" s="58"/>
      <c r="F440" s="150"/>
    </row>
    <row r="441" spans="1:6" x14ac:dyDescent="0.25">
      <c r="A441" s="149"/>
      <c r="B441" s="58"/>
      <c r="C441" s="58"/>
      <c r="D441" s="58"/>
      <c r="E441" s="58"/>
      <c r="F441" s="150"/>
    </row>
    <row r="442" spans="1:6" x14ac:dyDescent="0.25">
      <c r="A442" s="149"/>
      <c r="B442" s="58"/>
      <c r="C442" s="58"/>
      <c r="D442" s="58"/>
      <c r="E442" s="58"/>
      <c r="F442" s="150"/>
    </row>
    <row r="443" spans="1:6" x14ac:dyDescent="0.25">
      <c r="A443" s="149"/>
      <c r="B443" s="58"/>
      <c r="C443" s="58"/>
      <c r="D443" s="58"/>
      <c r="E443" s="58"/>
      <c r="F443" s="150"/>
    </row>
    <row r="444" spans="1:6" x14ac:dyDescent="0.25">
      <c r="A444" s="149"/>
      <c r="B444" s="58"/>
      <c r="C444" s="58"/>
      <c r="D444" s="58"/>
      <c r="E444" s="58"/>
      <c r="F444" s="150"/>
    </row>
    <row r="445" spans="1:6" x14ac:dyDescent="0.25">
      <c r="A445" s="149"/>
      <c r="B445" s="58"/>
      <c r="C445" s="58"/>
      <c r="D445" s="58"/>
      <c r="E445" s="58"/>
      <c r="F445" s="150"/>
    </row>
    <row r="446" spans="1:6" x14ac:dyDescent="0.25">
      <c r="A446" s="149"/>
      <c r="B446" s="58"/>
      <c r="C446" s="58"/>
      <c r="D446" s="58"/>
      <c r="E446" s="58"/>
      <c r="F446" s="150"/>
    </row>
    <row r="447" spans="1:6" x14ac:dyDescent="0.25">
      <c r="A447" s="149"/>
      <c r="B447" s="58"/>
      <c r="C447" s="58"/>
      <c r="D447" s="58"/>
      <c r="E447" s="58"/>
      <c r="F447" s="150"/>
    </row>
    <row r="448" spans="1:6" x14ac:dyDescent="0.25">
      <c r="A448" s="149"/>
      <c r="B448" s="58"/>
      <c r="C448" s="58"/>
      <c r="D448" s="58"/>
      <c r="E448" s="58"/>
      <c r="F448" s="150"/>
    </row>
    <row r="449" spans="1:6" x14ac:dyDescent="0.25">
      <c r="A449" s="149"/>
      <c r="B449" s="58"/>
      <c r="C449" s="58"/>
      <c r="D449" s="58"/>
      <c r="E449" s="58"/>
      <c r="F449" s="150"/>
    </row>
    <row r="450" spans="1:6" x14ac:dyDescent="0.25">
      <c r="A450" s="149"/>
      <c r="B450" s="58"/>
      <c r="C450" s="58"/>
      <c r="D450" s="58"/>
      <c r="E450" s="58"/>
      <c r="F450" s="150"/>
    </row>
    <row r="451" spans="1:6" x14ac:dyDescent="0.25">
      <c r="A451" s="149"/>
      <c r="B451" s="58"/>
      <c r="C451" s="58"/>
      <c r="D451" s="58"/>
      <c r="E451" s="58"/>
      <c r="F451" s="150"/>
    </row>
    <row r="452" spans="1:6" x14ac:dyDescent="0.25">
      <c r="A452" s="149"/>
      <c r="B452" s="58"/>
      <c r="C452" s="58"/>
      <c r="D452" s="58"/>
      <c r="E452" s="58"/>
      <c r="F452" s="150"/>
    </row>
    <row r="453" spans="1:6" x14ac:dyDescent="0.25">
      <c r="A453" s="149"/>
      <c r="B453" s="58"/>
      <c r="C453" s="58"/>
      <c r="D453" s="58"/>
      <c r="E453" s="58"/>
      <c r="F453" s="150"/>
    </row>
    <row r="454" spans="1:6" x14ac:dyDescent="0.25">
      <c r="A454" s="149"/>
      <c r="B454" s="58"/>
      <c r="C454" s="58"/>
      <c r="D454" s="58"/>
      <c r="E454" s="58"/>
      <c r="F454" s="150"/>
    </row>
    <row r="455" spans="1:6" x14ac:dyDescent="0.25">
      <c r="A455" s="149"/>
      <c r="B455" s="58"/>
      <c r="C455" s="58"/>
      <c r="D455" s="58"/>
      <c r="E455" s="58"/>
      <c r="F455" s="150"/>
    </row>
    <row r="456" spans="1:6" x14ac:dyDescent="0.25">
      <c r="A456" s="149"/>
      <c r="B456" s="58"/>
      <c r="C456" s="58"/>
      <c r="D456" s="58"/>
      <c r="E456" s="58"/>
      <c r="F456" s="150"/>
    </row>
    <row r="457" spans="1:6" x14ac:dyDescent="0.25">
      <c r="A457" s="149"/>
      <c r="B457" s="58"/>
      <c r="C457" s="58"/>
      <c r="D457" s="58"/>
      <c r="E457" s="58"/>
      <c r="F457" s="150"/>
    </row>
    <row r="458" spans="1:6" x14ac:dyDescent="0.25">
      <c r="A458" s="149"/>
      <c r="B458" s="58"/>
      <c r="C458" s="58"/>
      <c r="D458" s="58"/>
      <c r="E458" s="58"/>
      <c r="F458" s="150"/>
    </row>
    <row r="459" spans="1:6" x14ac:dyDescent="0.25">
      <c r="A459" s="149"/>
      <c r="B459" s="58"/>
      <c r="C459" s="58"/>
      <c r="D459" s="58"/>
      <c r="E459" s="58"/>
      <c r="F459" s="150"/>
    </row>
    <row r="460" spans="1:6" x14ac:dyDescent="0.25">
      <c r="A460" s="149"/>
      <c r="B460" s="58"/>
      <c r="C460" s="58"/>
      <c r="D460" s="58"/>
      <c r="E460" s="58"/>
      <c r="F460" s="150"/>
    </row>
    <row r="461" spans="1:6" x14ac:dyDescent="0.25">
      <c r="A461" s="149"/>
      <c r="B461" s="58"/>
      <c r="C461" s="58"/>
      <c r="D461" s="58"/>
      <c r="E461" s="58"/>
      <c r="F461" s="150"/>
    </row>
    <row r="462" spans="1:6" x14ac:dyDescent="0.25">
      <c r="A462" s="149"/>
      <c r="B462" s="58"/>
      <c r="C462" s="58"/>
      <c r="D462" s="58"/>
      <c r="E462" s="58"/>
      <c r="F462" s="150"/>
    </row>
    <row r="463" spans="1:6" x14ac:dyDescent="0.25">
      <c r="A463" s="149"/>
      <c r="B463" s="58"/>
      <c r="C463" s="58"/>
      <c r="D463" s="58"/>
      <c r="E463" s="58"/>
      <c r="F463" s="150"/>
    </row>
    <row r="464" spans="1:6" x14ac:dyDescent="0.25">
      <c r="A464" s="149"/>
      <c r="B464" s="58"/>
      <c r="C464" s="58"/>
      <c r="D464" s="58"/>
      <c r="E464" s="58"/>
      <c r="F464" s="150"/>
    </row>
    <row r="465" spans="1:6" x14ac:dyDescent="0.25">
      <c r="A465" s="149"/>
      <c r="B465" s="58"/>
      <c r="C465" s="58"/>
      <c r="D465" s="58"/>
      <c r="E465" s="58"/>
      <c r="F465" s="150"/>
    </row>
    <row r="466" spans="1:6" x14ac:dyDescent="0.25">
      <c r="A466" s="149"/>
      <c r="B466" s="58"/>
      <c r="C466" s="58"/>
      <c r="D466" s="58"/>
      <c r="E466" s="58"/>
      <c r="F466" s="150"/>
    </row>
    <row r="467" spans="1:6" x14ac:dyDescent="0.25">
      <c r="A467" s="149"/>
      <c r="B467" s="58"/>
      <c r="C467" s="58"/>
      <c r="D467" s="58"/>
      <c r="E467" s="58"/>
      <c r="F467" s="150"/>
    </row>
    <row r="468" spans="1:6" x14ac:dyDescent="0.25">
      <c r="A468" s="149"/>
      <c r="B468" s="58"/>
      <c r="C468" s="58"/>
      <c r="D468" s="58"/>
      <c r="E468" s="58"/>
      <c r="F468" s="150"/>
    </row>
    <row r="469" spans="1:6" x14ac:dyDescent="0.25">
      <c r="A469" s="151"/>
      <c r="B469" s="152"/>
      <c r="C469" s="152"/>
      <c r="D469" s="152"/>
      <c r="E469" s="152"/>
      <c r="F469" s="153"/>
    </row>
    <row r="470" spans="1:6" x14ac:dyDescent="0.25">
      <c r="A470" s="146" t="s">
        <v>63</v>
      </c>
      <c r="B470" s="147"/>
      <c r="C470" s="147"/>
      <c r="D470" s="147"/>
      <c r="E470" s="147"/>
      <c r="F470" s="148"/>
    </row>
    <row r="471" spans="1:6" x14ac:dyDescent="0.25">
      <c r="A471" s="149"/>
      <c r="B471" s="58"/>
      <c r="C471" s="58"/>
      <c r="D471" s="58"/>
      <c r="E471" s="58"/>
      <c r="F471" s="150"/>
    </row>
    <row r="472" spans="1:6" x14ac:dyDescent="0.25">
      <c r="A472" s="149"/>
      <c r="B472" s="58"/>
      <c r="C472" s="58"/>
      <c r="D472" s="58"/>
      <c r="E472" s="58"/>
      <c r="F472" s="150"/>
    </row>
    <row r="473" spans="1:6" x14ac:dyDescent="0.25">
      <c r="A473" s="149"/>
      <c r="B473" s="58"/>
      <c r="C473" s="58"/>
      <c r="D473" s="58"/>
      <c r="E473" s="58"/>
      <c r="F473" s="150"/>
    </row>
    <row r="474" spans="1:6" x14ac:dyDescent="0.25">
      <c r="A474" s="149"/>
      <c r="B474" s="58"/>
      <c r="C474" s="58"/>
      <c r="D474" s="58"/>
      <c r="E474" s="58"/>
      <c r="F474" s="150"/>
    </row>
    <row r="475" spans="1:6" x14ac:dyDescent="0.25">
      <c r="A475" s="149"/>
      <c r="B475" s="58"/>
      <c r="C475" s="58"/>
      <c r="D475" s="58"/>
      <c r="E475" s="58"/>
      <c r="F475" s="150"/>
    </row>
    <row r="476" spans="1:6" x14ac:dyDescent="0.25">
      <c r="A476" s="149"/>
      <c r="B476" s="58"/>
      <c r="C476" s="58"/>
      <c r="D476" s="58"/>
      <c r="E476" s="58"/>
      <c r="F476" s="150"/>
    </row>
    <row r="477" spans="1:6" x14ac:dyDescent="0.25">
      <c r="A477" s="149"/>
      <c r="B477" s="58"/>
      <c r="C477" s="58"/>
      <c r="D477" s="58"/>
      <c r="E477" s="58"/>
      <c r="F477" s="150"/>
    </row>
    <row r="478" spans="1:6" x14ac:dyDescent="0.25">
      <c r="A478" s="149"/>
      <c r="B478" s="58"/>
      <c r="C478" s="58"/>
      <c r="D478" s="58"/>
      <c r="E478" s="58"/>
      <c r="F478" s="150"/>
    </row>
    <row r="479" spans="1:6" x14ac:dyDescent="0.25">
      <c r="A479" s="149"/>
      <c r="B479" s="58"/>
      <c r="C479" s="58"/>
      <c r="D479" s="58"/>
      <c r="E479" s="58"/>
      <c r="F479" s="150"/>
    </row>
    <row r="480" spans="1:6" x14ac:dyDescent="0.25">
      <c r="A480" s="149"/>
      <c r="B480" s="58"/>
      <c r="C480" s="58"/>
      <c r="D480" s="58"/>
      <c r="E480" s="58"/>
      <c r="F480" s="150"/>
    </row>
    <row r="481" spans="1:6" x14ac:dyDescent="0.25">
      <c r="A481" s="149"/>
      <c r="B481" s="58"/>
      <c r="C481" s="58"/>
      <c r="D481" s="58"/>
      <c r="E481" s="58"/>
      <c r="F481" s="150"/>
    </row>
    <row r="482" spans="1:6" x14ac:dyDescent="0.25">
      <c r="A482" s="149"/>
      <c r="B482" s="58"/>
      <c r="C482" s="58"/>
      <c r="D482" s="58"/>
      <c r="E482" s="58"/>
      <c r="F482" s="150"/>
    </row>
    <row r="483" spans="1:6" x14ac:dyDescent="0.25">
      <c r="A483" s="149"/>
      <c r="B483" s="58"/>
      <c r="C483" s="58"/>
      <c r="D483" s="58"/>
      <c r="E483" s="58"/>
      <c r="F483" s="150"/>
    </row>
    <row r="484" spans="1:6" x14ac:dyDescent="0.25">
      <c r="A484" s="149"/>
      <c r="B484" s="58"/>
      <c r="C484" s="58"/>
      <c r="D484" s="58"/>
      <c r="E484" s="58"/>
      <c r="F484" s="150"/>
    </row>
    <row r="485" spans="1:6" x14ac:dyDescent="0.25">
      <c r="A485" s="149"/>
      <c r="B485" s="58"/>
      <c r="C485" s="58"/>
      <c r="D485" s="58"/>
      <c r="E485" s="58"/>
      <c r="F485" s="150"/>
    </row>
    <row r="486" spans="1:6" x14ac:dyDescent="0.25">
      <c r="A486" s="149"/>
      <c r="B486" s="58"/>
      <c r="C486" s="58"/>
      <c r="D486" s="58"/>
      <c r="E486" s="58"/>
      <c r="F486" s="150"/>
    </row>
    <row r="487" spans="1:6" x14ac:dyDescent="0.25">
      <c r="A487" s="149"/>
      <c r="B487" s="58"/>
      <c r="C487" s="58"/>
      <c r="D487" s="58"/>
      <c r="E487" s="58"/>
      <c r="F487" s="150"/>
    </row>
    <row r="488" spans="1:6" x14ac:dyDescent="0.25">
      <c r="A488" s="149"/>
      <c r="B488" s="58"/>
      <c r="C488" s="58"/>
      <c r="D488" s="58"/>
      <c r="E488" s="58"/>
      <c r="F488" s="150"/>
    </row>
    <row r="489" spans="1:6" x14ac:dyDescent="0.25">
      <c r="A489" s="149"/>
      <c r="B489" s="58"/>
      <c r="C489" s="58"/>
      <c r="D489" s="58"/>
      <c r="E489" s="58"/>
      <c r="F489" s="150"/>
    </row>
    <row r="490" spans="1:6" x14ac:dyDescent="0.25">
      <c r="A490" s="149"/>
      <c r="B490" s="58"/>
      <c r="C490" s="58"/>
      <c r="D490" s="58"/>
      <c r="E490" s="58"/>
      <c r="F490" s="150"/>
    </row>
    <row r="491" spans="1:6" x14ac:dyDescent="0.25">
      <c r="A491" s="149"/>
      <c r="B491" s="58"/>
      <c r="C491" s="58"/>
      <c r="D491" s="58"/>
      <c r="E491" s="58"/>
      <c r="F491" s="150"/>
    </row>
    <row r="492" spans="1:6" x14ac:dyDescent="0.25">
      <c r="A492" s="149"/>
      <c r="B492" s="58"/>
      <c r="C492" s="58"/>
      <c r="D492" s="58"/>
      <c r="E492" s="58"/>
      <c r="F492" s="150"/>
    </row>
    <row r="493" spans="1:6" x14ac:dyDescent="0.25">
      <c r="A493" s="149"/>
      <c r="B493" s="58"/>
      <c r="C493" s="58"/>
      <c r="D493" s="58"/>
      <c r="E493" s="58"/>
      <c r="F493" s="150"/>
    </row>
    <row r="494" spans="1:6" x14ac:dyDescent="0.25">
      <c r="A494" s="149"/>
      <c r="B494" s="58"/>
      <c r="C494" s="58"/>
      <c r="D494" s="58"/>
      <c r="E494" s="58"/>
      <c r="F494" s="150"/>
    </row>
    <row r="495" spans="1:6" x14ac:dyDescent="0.25">
      <c r="A495" s="149"/>
      <c r="B495" s="58"/>
      <c r="C495" s="58"/>
      <c r="D495" s="58"/>
      <c r="E495" s="58"/>
      <c r="F495" s="150"/>
    </row>
    <row r="496" spans="1:6" x14ac:dyDescent="0.25">
      <c r="A496" s="149"/>
      <c r="B496" s="58"/>
      <c r="C496" s="58"/>
      <c r="D496" s="58"/>
      <c r="E496" s="58"/>
      <c r="F496" s="150"/>
    </row>
    <row r="497" spans="1:6" x14ac:dyDescent="0.25">
      <c r="A497" s="149"/>
      <c r="B497" s="58"/>
      <c r="C497" s="58"/>
      <c r="D497" s="58"/>
      <c r="E497" s="58"/>
      <c r="F497" s="150"/>
    </row>
    <row r="498" spans="1:6" x14ac:dyDescent="0.25">
      <c r="A498" s="149"/>
      <c r="B498" s="58"/>
      <c r="C498" s="58"/>
      <c r="D498" s="58"/>
      <c r="E498" s="58"/>
      <c r="F498" s="150"/>
    </row>
    <row r="499" spans="1:6" x14ac:dyDescent="0.25">
      <c r="A499" s="149"/>
      <c r="B499" s="58"/>
      <c r="C499" s="58"/>
      <c r="D499" s="58"/>
      <c r="E499" s="58"/>
      <c r="F499" s="150"/>
    </row>
    <row r="500" spans="1:6" x14ac:dyDescent="0.25">
      <c r="A500" s="149"/>
      <c r="B500" s="58"/>
      <c r="C500" s="58"/>
      <c r="D500" s="58"/>
      <c r="E500" s="58"/>
      <c r="F500" s="150"/>
    </row>
    <row r="501" spans="1:6" x14ac:dyDescent="0.25">
      <c r="A501" s="149"/>
      <c r="B501" s="58"/>
      <c r="C501" s="58"/>
      <c r="D501" s="58"/>
      <c r="E501" s="58"/>
      <c r="F501" s="150"/>
    </row>
    <row r="502" spans="1:6" x14ac:dyDescent="0.25">
      <c r="A502" s="149"/>
      <c r="B502" s="58"/>
      <c r="C502" s="58"/>
      <c r="D502" s="58"/>
      <c r="E502" s="58"/>
      <c r="F502" s="150"/>
    </row>
    <row r="503" spans="1:6" x14ac:dyDescent="0.25">
      <c r="A503" s="149"/>
      <c r="B503" s="58"/>
      <c r="C503" s="58"/>
      <c r="D503" s="58"/>
      <c r="E503" s="58"/>
      <c r="F503" s="150"/>
    </row>
    <row r="504" spans="1:6" x14ac:dyDescent="0.25">
      <c r="A504" s="149"/>
      <c r="B504" s="58"/>
      <c r="C504" s="58"/>
      <c r="D504" s="58"/>
      <c r="E504" s="58"/>
      <c r="F504" s="150"/>
    </row>
    <row r="505" spans="1:6" x14ac:dyDescent="0.25">
      <c r="A505" s="149"/>
      <c r="B505" s="58"/>
      <c r="C505" s="58"/>
      <c r="D505" s="58"/>
      <c r="E505" s="58"/>
      <c r="F505" s="150"/>
    </row>
    <row r="506" spans="1:6" x14ac:dyDescent="0.25">
      <c r="A506" s="149"/>
      <c r="B506" s="58"/>
      <c r="C506" s="58"/>
      <c r="D506" s="58"/>
      <c r="E506" s="58"/>
      <c r="F506" s="150"/>
    </row>
    <row r="507" spans="1:6" x14ac:dyDescent="0.25">
      <c r="A507" s="149"/>
      <c r="B507" s="58"/>
      <c r="C507" s="58"/>
      <c r="D507" s="58"/>
      <c r="E507" s="58"/>
      <c r="F507" s="150"/>
    </row>
    <row r="508" spans="1:6" x14ac:dyDescent="0.25">
      <c r="A508" s="149"/>
      <c r="B508" s="58"/>
      <c r="C508" s="58"/>
      <c r="D508" s="58"/>
      <c r="E508" s="58"/>
      <c r="F508" s="150"/>
    </row>
    <row r="509" spans="1:6" x14ac:dyDescent="0.25">
      <c r="A509" s="149"/>
      <c r="B509" s="58"/>
      <c r="C509" s="58"/>
      <c r="D509" s="58"/>
      <c r="E509" s="58"/>
      <c r="F509" s="150"/>
    </row>
    <row r="510" spans="1:6" x14ac:dyDescent="0.25">
      <c r="A510" s="149"/>
      <c r="B510" s="58"/>
      <c r="C510" s="58"/>
      <c r="D510" s="58"/>
      <c r="E510" s="58"/>
      <c r="F510" s="150"/>
    </row>
    <row r="511" spans="1:6" x14ac:dyDescent="0.25">
      <c r="A511" s="151"/>
      <c r="B511" s="152"/>
      <c r="C511" s="152"/>
      <c r="D511" s="152"/>
      <c r="E511" s="152"/>
      <c r="F511" s="153"/>
    </row>
    <row r="512" spans="1:6" ht="57" customHeight="1" x14ac:dyDescent="0.25">
      <c r="A512" s="144" t="s">
        <v>64</v>
      </c>
      <c r="B512" s="145" t="s">
        <v>373</v>
      </c>
      <c r="C512" s="252" t="s">
        <v>65</v>
      </c>
      <c r="D512" s="252"/>
      <c r="E512" s="253"/>
      <c r="F512" s="253"/>
    </row>
  </sheetData>
  <dataConsolidate/>
  <mergeCells count="398">
    <mergeCell ref="A138:B139"/>
    <mergeCell ref="B140:F140"/>
    <mergeCell ref="E141:F141"/>
    <mergeCell ref="E142:F151"/>
    <mergeCell ref="C187:D187"/>
    <mergeCell ref="E187:F187"/>
    <mergeCell ref="A219:F219"/>
    <mergeCell ref="C183:D183"/>
    <mergeCell ref="E183:F183"/>
    <mergeCell ref="A166:D167"/>
    <mergeCell ref="E166:F167"/>
    <mergeCell ref="A152:B153"/>
    <mergeCell ref="B154:F154"/>
    <mergeCell ref="E155:F155"/>
    <mergeCell ref="E156:F165"/>
    <mergeCell ref="A176:F176"/>
    <mergeCell ref="C182:D182"/>
    <mergeCell ref="E182:F182"/>
    <mergeCell ref="B190:B191"/>
    <mergeCell ref="C190:C191"/>
    <mergeCell ref="G187:H187"/>
    <mergeCell ref="G303:K303"/>
    <mergeCell ref="A193:F193"/>
    <mergeCell ref="A194:F194"/>
    <mergeCell ref="A207:F207"/>
    <mergeCell ref="G208:H208"/>
    <mergeCell ref="A231:F231"/>
    <mergeCell ref="A232:F232"/>
    <mergeCell ref="D190:D191"/>
    <mergeCell ref="E190:E191"/>
    <mergeCell ref="A192:F192"/>
    <mergeCell ref="A195:F195"/>
    <mergeCell ref="A303:F303"/>
    <mergeCell ref="G220:H220"/>
    <mergeCell ref="A287:F287"/>
    <mergeCell ref="G288:H288"/>
    <mergeCell ref="C180:D180"/>
    <mergeCell ref="E180:F180"/>
    <mergeCell ref="G180:H180"/>
    <mergeCell ref="C177:D177"/>
    <mergeCell ref="E177:F177"/>
    <mergeCell ref="G177:H177"/>
    <mergeCell ref="D366:E366"/>
    <mergeCell ref="D367:E367"/>
    <mergeCell ref="D368:E368"/>
    <mergeCell ref="D355:E355"/>
    <mergeCell ref="D359:E359"/>
    <mergeCell ref="D356:E356"/>
    <mergeCell ref="D357:E357"/>
    <mergeCell ref="D358:E358"/>
    <mergeCell ref="D361:E361"/>
    <mergeCell ref="G183:H183"/>
    <mergeCell ref="C184:D184"/>
    <mergeCell ref="E184:F184"/>
    <mergeCell ref="G184:H184"/>
    <mergeCell ref="G185:H185"/>
    <mergeCell ref="L276:M276"/>
    <mergeCell ref="G301:K301"/>
    <mergeCell ref="L208:M208"/>
    <mergeCell ref="L233:M233"/>
    <mergeCell ref="L243:M243"/>
    <mergeCell ref="A262:F262"/>
    <mergeCell ref="A263:F263"/>
    <mergeCell ref="G264:H264"/>
    <mergeCell ref="L264:M264"/>
    <mergeCell ref="A275:F275"/>
    <mergeCell ref="A299:F299"/>
    <mergeCell ref="G233:H233"/>
    <mergeCell ref="A242:F242"/>
    <mergeCell ref="G243:H243"/>
    <mergeCell ref="A300:F300"/>
    <mergeCell ref="A301:A302"/>
    <mergeCell ref="B301:B302"/>
    <mergeCell ref="C301:C302"/>
    <mergeCell ref="D301:D302"/>
    <mergeCell ref="E301:E302"/>
    <mergeCell ref="G302:H302"/>
    <mergeCell ref="G196:H196"/>
    <mergeCell ref="G276:H276"/>
    <mergeCell ref="A117:B118"/>
    <mergeCell ref="G42:H42"/>
    <mergeCell ref="G44:H44"/>
    <mergeCell ref="G43:H43"/>
    <mergeCell ref="A40:B40"/>
    <mergeCell ref="C40:F40"/>
    <mergeCell ref="A50:B50"/>
    <mergeCell ref="C50:F50"/>
    <mergeCell ref="A56:B56"/>
    <mergeCell ref="C56:F56"/>
    <mergeCell ref="A57:B57"/>
    <mergeCell ref="A54:B54"/>
    <mergeCell ref="G37:H37"/>
    <mergeCell ref="G38:H38"/>
    <mergeCell ref="G39:H39"/>
    <mergeCell ref="G40:H40"/>
    <mergeCell ref="G41:H41"/>
    <mergeCell ref="G175:H175"/>
    <mergeCell ref="I172:L173"/>
    <mergeCell ref="C173:D173"/>
    <mergeCell ref="G173:H173"/>
    <mergeCell ref="C174:D174"/>
    <mergeCell ref="E174:F174"/>
    <mergeCell ref="G174:H174"/>
    <mergeCell ref="C37:F37"/>
    <mergeCell ref="G116:H116"/>
    <mergeCell ref="C117:F117"/>
    <mergeCell ref="G117:H117"/>
    <mergeCell ref="G56:H56"/>
    <mergeCell ref="G57:H57"/>
    <mergeCell ref="G58:H58"/>
    <mergeCell ref="A59:B59"/>
    <mergeCell ref="C59:F59"/>
    <mergeCell ref="G59:H59"/>
    <mergeCell ref="G45:H45"/>
    <mergeCell ref="G46:H46"/>
    <mergeCell ref="G47:H47"/>
    <mergeCell ref="A108:B108"/>
    <mergeCell ref="A39:B39"/>
    <mergeCell ref="C39:F39"/>
    <mergeCell ref="B24:F24"/>
    <mergeCell ref="A77:F77"/>
    <mergeCell ref="D85:F85"/>
    <mergeCell ref="A84:A85"/>
    <mergeCell ref="B84:B85"/>
    <mergeCell ref="C84:C85"/>
    <mergeCell ref="A37:B37"/>
    <mergeCell ref="C47:F47"/>
    <mergeCell ref="A48:B48"/>
    <mergeCell ref="C48:F48"/>
    <mergeCell ref="A55:B55"/>
    <mergeCell ref="C55:F55"/>
    <mergeCell ref="A49:B49"/>
    <mergeCell ref="C49:F49"/>
    <mergeCell ref="I12:J12"/>
    <mergeCell ref="I13:J13"/>
    <mergeCell ref="G28:H28"/>
    <mergeCell ref="G29:H29"/>
    <mergeCell ref="G30:H30"/>
    <mergeCell ref="G31:H31"/>
    <mergeCell ref="G34:H34"/>
    <mergeCell ref="G32:H33"/>
    <mergeCell ref="A16:F16"/>
    <mergeCell ref="A26:F26"/>
    <mergeCell ref="A31:F31"/>
    <mergeCell ref="B17:F17"/>
    <mergeCell ref="B19:C19"/>
    <mergeCell ref="G54:H54"/>
    <mergeCell ref="G55:H55"/>
    <mergeCell ref="G35:H35"/>
    <mergeCell ref="G36:H36"/>
    <mergeCell ref="A43:B43"/>
    <mergeCell ref="C43:F43"/>
    <mergeCell ref="C7:F7"/>
    <mergeCell ref="C8:F8"/>
    <mergeCell ref="A9:B9"/>
    <mergeCell ref="C9:F9"/>
    <mergeCell ref="A15:B15"/>
    <mergeCell ref="A44:B44"/>
    <mergeCell ref="C44:F44"/>
    <mergeCell ref="A42:B42"/>
    <mergeCell ref="C42:F42"/>
    <mergeCell ref="C15:F15"/>
    <mergeCell ref="B25:C25"/>
    <mergeCell ref="E25:F25"/>
    <mergeCell ref="B20:C20"/>
    <mergeCell ref="E20:F20"/>
    <mergeCell ref="E19:F19"/>
    <mergeCell ref="B21:C21"/>
    <mergeCell ref="E21:F21"/>
    <mergeCell ref="B22:C22"/>
    <mergeCell ref="E22:F22"/>
    <mergeCell ref="A34:B34"/>
    <mergeCell ref="C34:F34"/>
    <mergeCell ref="A38:B38"/>
    <mergeCell ref="A30:B30"/>
    <mergeCell ref="B18:F18"/>
    <mergeCell ref="C38:F38"/>
    <mergeCell ref="E23:F23"/>
    <mergeCell ref="E12:F12"/>
    <mergeCell ref="C13:D13"/>
    <mergeCell ref="E13:F13"/>
    <mergeCell ref="A36:B36"/>
    <mergeCell ref="A32:B32"/>
    <mergeCell ref="C32:F32"/>
    <mergeCell ref="A33:B33"/>
    <mergeCell ref="C33:F33"/>
    <mergeCell ref="A1:F1"/>
    <mergeCell ref="B2:D2"/>
    <mergeCell ref="A3:F3"/>
    <mergeCell ref="A10:F10"/>
    <mergeCell ref="A4:B4"/>
    <mergeCell ref="A79:F79"/>
    <mergeCell ref="B80:F80"/>
    <mergeCell ref="A41:F41"/>
    <mergeCell ref="C4:F4"/>
    <mergeCell ref="A5:B5"/>
    <mergeCell ref="A6:B6"/>
    <mergeCell ref="C5:F5"/>
    <mergeCell ref="C6:F6"/>
    <mergeCell ref="A7:B7"/>
    <mergeCell ref="A14:F14"/>
    <mergeCell ref="C12:D12"/>
    <mergeCell ref="A8:B8"/>
    <mergeCell ref="B23:C23"/>
    <mergeCell ref="C36:F36"/>
    <mergeCell ref="A35:B35"/>
    <mergeCell ref="C35:F35"/>
    <mergeCell ref="A27:B27"/>
    <mergeCell ref="A28:B28"/>
    <mergeCell ref="A29:B29"/>
    <mergeCell ref="L220:M220"/>
    <mergeCell ref="A252:F252"/>
    <mergeCell ref="G253:H253"/>
    <mergeCell ref="L253:M253"/>
    <mergeCell ref="B247:E248"/>
    <mergeCell ref="B257:E257"/>
    <mergeCell ref="G191:H191"/>
    <mergeCell ref="B126:F126"/>
    <mergeCell ref="E127:F127"/>
    <mergeCell ref="E128:F137"/>
    <mergeCell ref="A168:F168"/>
    <mergeCell ref="C172:D172"/>
    <mergeCell ref="E172:F172"/>
    <mergeCell ref="G172:H172"/>
    <mergeCell ref="A171:F171"/>
    <mergeCell ref="A181:F181"/>
    <mergeCell ref="L196:M196"/>
    <mergeCell ref="I177:L178"/>
    <mergeCell ref="C178:D178"/>
    <mergeCell ref="E178:F178"/>
    <mergeCell ref="G178:H178"/>
    <mergeCell ref="C179:D179"/>
    <mergeCell ref="E179:F179"/>
    <mergeCell ref="G179:H179"/>
    <mergeCell ref="L288:M288"/>
    <mergeCell ref="B344:C344"/>
    <mergeCell ref="E344:F344"/>
    <mergeCell ref="A305:F305"/>
    <mergeCell ref="A304:F304"/>
    <mergeCell ref="A306:F306"/>
    <mergeCell ref="G315:H315"/>
    <mergeCell ref="L315:M315"/>
    <mergeCell ref="A335:F335"/>
    <mergeCell ref="G336:H336"/>
    <mergeCell ref="L336:M336"/>
    <mergeCell ref="A328:F328"/>
    <mergeCell ref="G329:H329"/>
    <mergeCell ref="L329:M329"/>
    <mergeCell ref="A321:F321"/>
    <mergeCell ref="G322:H322"/>
    <mergeCell ref="L322:M322"/>
    <mergeCell ref="A307:F307"/>
    <mergeCell ref="H343:I343"/>
    <mergeCell ref="A314:F314"/>
    <mergeCell ref="A342:F342"/>
    <mergeCell ref="B343:C343"/>
    <mergeCell ref="E343:F343"/>
    <mergeCell ref="G308:H308"/>
    <mergeCell ref="L308:M308"/>
    <mergeCell ref="A378:B378"/>
    <mergeCell ref="C378:F378"/>
    <mergeCell ref="C512:D512"/>
    <mergeCell ref="E512:F512"/>
    <mergeCell ref="A124:B125"/>
    <mergeCell ref="D364:E364"/>
    <mergeCell ref="D365:E365"/>
    <mergeCell ref="B349:C349"/>
    <mergeCell ref="E349:F349"/>
    <mergeCell ref="A369:F369"/>
    <mergeCell ref="B370:F370"/>
    <mergeCell ref="B371:F371"/>
    <mergeCell ref="B372:F372"/>
    <mergeCell ref="B373:F373"/>
    <mergeCell ref="B374:F374"/>
    <mergeCell ref="D360:E360"/>
    <mergeCell ref="D362:E362"/>
    <mergeCell ref="D363:E363"/>
    <mergeCell ref="C175:D175"/>
    <mergeCell ref="E175:F175"/>
    <mergeCell ref="E173:F173"/>
    <mergeCell ref="B375:F375"/>
    <mergeCell ref="B376:F376"/>
    <mergeCell ref="B377:F377"/>
    <mergeCell ref="A122:B122"/>
    <mergeCell ref="C121:F121"/>
    <mergeCell ref="C122:F122"/>
    <mergeCell ref="A123:F123"/>
    <mergeCell ref="A107:B107"/>
    <mergeCell ref="C107:F107"/>
    <mergeCell ref="C108:F108"/>
    <mergeCell ref="A119:B119"/>
    <mergeCell ref="C119:F119"/>
    <mergeCell ref="A112:D112"/>
    <mergeCell ref="E112:F112"/>
    <mergeCell ref="A113:F113"/>
    <mergeCell ref="A116:B116"/>
    <mergeCell ref="C116:F116"/>
    <mergeCell ref="B345:C345"/>
    <mergeCell ref="E345:F345"/>
    <mergeCell ref="B346:C346"/>
    <mergeCell ref="E346:F346"/>
    <mergeCell ref="B347:C347"/>
    <mergeCell ref="E347:F347"/>
    <mergeCell ref="B348:C348"/>
    <mergeCell ref="E348:F348"/>
    <mergeCell ref="C185:D185"/>
    <mergeCell ref="A61:B61"/>
    <mergeCell ref="C57:F57"/>
    <mergeCell ref="C53:F53"/>
    <mergeCell ref="A51:F51"/>
    <mergeCell ref="A52:B52"/>
    <mergeCell ref="C52:F52"/>
    <mergeCell ref="A53:B53"/>
    <mergeCell ref="A45:B45"/>
    <mergeCell ref="J81:L81"/>
    <mergeCell ref="A64:F64"/>
    <mergeCell ref="A60:F60"/>
    <mergeCell ref="A58:B58"/>
    <mergeCell ref="C58:F58"/>
    <mergeCell ref="G50:H50"/>
    <mergeCell ref="G51:H51"/>
    <mergeCell ref="G52:H52"/>
    <mergeCell ref="G53:H53"/>
    <mergeCell ref="G48:H48"/>
    <mergeCell ref="G49:H49"/>
    <mergeCell ref="C54:F54"/>
    <mergeCell ref="C45:F45"/>
    <mergeCell ref="A46:B46"/>
    <mergeCell ref="C46:F46"/>
    <mergeCell ref="A47:B47"/>
    <mergeCell ref="G107:H107"/>
    <mergeCell ref="G61:H61"/>
    <mergeCell ref="G62:H62"/>
    <mergeCell ref="G63:H63"/>
    <mergeCell ref="G64:H64"/>
    <mergeCell ref="D81:F81"/>
    <mergeCell ref="D82:F82"/>
    <mergeCell ref="D83:F83"/>
    <mergeCell ref="D84:F84"/>
    <mergeCell ref="D86:F86"/>
    <mergeCell ref="D87:F87"/>
    <mergeCell ref="A68:F68"/>
    <mergeCell ref="B78:F78"/>
    <mergeCell ref="A62:B62"/>
    <mergeCell ref="A63:B63"/>
    <mergeCell ref="C61:F61"/>
    <mergeCell ref="C62:F62"/>
    <mergeCell ref="C63:F63"/>
    <mergeCell ref="B104:C104"/>
    <mergeCell ref="E104:F104"/>
    <mergeCell ref="E105:F105"/>
    <mergeCell ref="B105:C105"/>
    <mergeCell ref="B106:C106"/>
    <mergeCell ref="D88:F88"/>
    <mergeCell ref="D89:F89"/>
    <mergeCell ref="D90:F90"/>
    <mergeCell ref="D91:F91"/>
    <mergeCell ref="D92:F92"/>
    <mergeCell ref="D93:F93"/>
    <mergeCell ref="D94:F94"/>
    <mergeCell ref="E106:F106"/>
    <mergeCell ref="B102:C102"/>
    <mergeCell ref="B101:C101"/>
    <mergeCell ref="E101:F101"/>
    <mergeCell ref="B103:C103"/>
    <mergeCell ref="E103:F103"/>
    <mergeCell ref="B95:F95"/>
    <mergeCell ref="A96:F96"/>
    <mergeCell ref="A100:F100"/>
    <mergeCell ref="B99:C99"/>
    <mergeCell ref="E99:F99"/>
    <mergeCell ref="E102:F102"/>
    <mergeCell ref="B98:C98"/>
    <mergeCell ref="E98:F98"/>
    <mergeCell ref="G108:H108"/>
    <mergeCell ref="G119:H119"/>
    <mergeCell ref="G120:H120"/>
    <mergeCell ref="G121:H121"/>
    <mergeCell ref="G122:H122"/>
    <mergeCell ref="G190:H190"/>
    <mergeCell ref="C186:D186"/>
    <mergeCell ref="E186:F186"/>
    <mergeCell ref="G186:H186"/>
    <mergeCell ref="A188:F188"/>
    <mergeCell ref="A189:F189"/>
    <mergeCell ref="A190:A191"/>
    <mergeCell ref="G118:H118"/>
    <mergeCell ref="C118:F118"/>
    <mergeCell ref="A121:B121"/>
    <mergeCell ref="G182:H182"/>
    <mergeCell ref="E185:F185"/>
    <mergeCell ref="A120:B120"/>
    <mergeCell ref="C120:F120"/>
    <mergeCell ref="A109:F109"/>
    <mergeCell ref="A110:D110"/>
    <mergeCell ref="E110:F110"/>
    <mergeCell ref="A111:D111"/>
    <mergeCell ref="E111:F111"/>
  </mergeCells>
  <dataValidations count="15">
    <dataValidation type="list" allowBlank="1" showInputMessage="1" showErrorMessage="1" sqref="E344:F349">
      <formula1>"Carpet Area,Buildup Area,Saleable Area"</formula1>
    </dataValidation>
    <dataValidation type="list" allowBlank="1" showInputMessage="1" showErrorMessage="1" sqref="C119:F120 B97 C70:F70 B72:F72 B75:F75 B102:C106 E103:F106 E101:F101 B99:C99 C107:F108">
      <formula1>"Yes,No"</formula1>
    </dataValidation>
    <dataValidation type="list" allowBlank="1" showInputMessage="1" showErrorMessage="1" sqref="B39:B40 B36:B37 B33:B34">
      <formula1>$C$382:$C$387</formula1>
    </dataValidation>
    <dataValidation type="list" allowBlank="1" showInputMessage="1" showErrorMessage="1" sqref="F33:F34 F36:F37 F40">
      <formula1>$G$378:$G$380</formula1>
    </dataValidation>
    <dataValidation type="list" allowBlank="1" showInputMessage="1" showErrorMessage="1" sqref="F2">
      <formula1>"Airoli,Goregaon"</formula1>
    </dataValidation>
    <dataValidation type="list" allowBlank="1" showInputMessage="1" showErrorMessage="1" sqref="D11">
      <formula1>"Mr. Abhishek Manjrekar, Mr. Rushabh Kakade,Miss. Bharti,Mr. Ajinkya Oturkar"</formula1>
    </dataValidation>
    <dataValidation type="list" allowBlank="1" showInputMessage="1" showErrorMessage="1" sqref="E13:F13">
      <formula1>"Sachin Sawant,Shruti Fule,Shruti Tathare,Hitakshi Mhatre,Anjali Kamble,Sonali Kumbhar,Pooja Kawale,Mansee Mohite"</formula1>
    </dataValidation>
    <dataValidation type="list" allowBlank="1" showInputMessage="1" showErrorMessage="1" sqref="A18">
      <formula1>"Plot No.,Survey No.,CTS No.,Gut No."</formula1>
    </dataValidation>
    <dataValidation type="list" allowBlank="1" showInputMessage="1" showErrorMessage="1" sqref="D19">
      <formula1>"Ward No.,Existing Builidng Name &amp; No.,City"</formula1>
    </dataValidation>
    <dataValidation type="list" allowBlank="1" showInputMessage="1" showErrorMessage="1" sqref="E21:F21">
      <formula1>"Mumbai,Thane,Palghar,Raigad,Pune"</formula1>
    </dataValidation>
    <dataValidation type="list" allowBlank="1" showInputMessage="1" showErrorMessage="1" sqref="B82:B84 B86:B94">
      <formula1>"Applicable and Received,Applicable and Not Received,Not Applicable"</formula1>
    </dataValidation>
    <dataValidation type="list" allowBlank="1" showInputMessage="1" showErrorMessage="1" sqref="D97">
      <formula1>"Registered,Not Registered"</formula1>
    </dataValidation>
    <dataValidation type="list" allowBlank="1" showInputMessage="1" showErrorMessage="1" sqref="B101:C101">
      <formula1>"Zone II,Zone III,Zone IV,Zone V"</formula1>
    </dataValidation>
    <dataValidation type="list" allowBlank="1" showInputMessage="1" showErrorMessage="1" sqref="E102:F102">
      <formula1>"Not Appicable,Zone I,Zone II,Zone III,Zone IV"</formula1>
    </dataValidation>
    <dataValidation type="list" allowBlank="1" showInputMessage="1" showErrorMessage="1" sqref="B70">
      <formula1>"Yes &amp; 0.15m, No"</formula1>
    </dataValidation>
  </dataValidations>
  <hyperlinks>
    <hyperlink ref="C6" r:id="rId1"/>
    <hyperlink ref="B24" r:id="rId2"/>
  </hyperlinks>
  <pageMargins left="0.39370078740157483" right="0.39370078740157483" top="0.78740157480314965" bottom="0.78740157480314965" header="0.31496062992125984" footer="0.31496062992125984"/>
  <pageSetup scale="94" fitToHeight="0" orientation="portrait" r:id="rId3"/>
  <headerFooter>
    <oddHeader>&amp;C&amp;G</oddHeader>
    <oddFooter>&amp;L&amp;"-,Bold"Ref No: &amp;F&amp;R&amp;"-,Bold"&amp;P</oddFooter>
  </headerFooter>
  <rowBreaks count="4" manualBreakCount="4">
    <brk id="137" max="5" man="1"/>
    <brk id="377" max="16383" man="1"/>
    <brk id="423" max="16383" man="1"/>
    <brk id="469" max="5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K131"/>
  <sheetViews>
    <sheetView topLeftCell="A123" workbookViewId="0">
      <selection activeCell="B124" sqref="B124"/>
    </sheetView>
  </sheetViews>
  <sheetFormatPr defaultRowHeight="15" x14ac:dyDescent="0.25"/>
  <sheetData>
    <row r="104" spans="2:11" ht="15.75" thickBot="1" x14ac:dyDescent="0.3"/>
    <row r="105" spans="2:11" ht="15.75" x14ac:dyDescent="0.25">
      <c r="B105" s="405" t="s">
        <v>4</v>
      </c>
      <c r="C105" s="406"/>
      <c r="D105" s="407" t="s">
        <v>44</v>
      </c>
      <c r="E105" s="408"/>
      <c r="F105" s="408"/>
      <c r="G105" s="408"/>
      <c r="H105" s="408"/>
      <c r="I105" s="409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75" x14ac:dyDescent="0.25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75" x14ac:dyDescent="0.25">
      <c r="B107" s="410" t="s">
        <v>9</v>
      </c>
      <c r="C107" s="411"/>
      <c r="D107" s="412" t="str">
        <f>J107</f>
        <v>All work Completed. OC Received.</v>
      </c>
      <c r="E107" s="412"/>
      <c r="F107" s="412"/>
      <c r="G107" s="412"/>
      <c r="H107" s="412"/>
      <c r="I107" s="413"/>
      <c r="J107" s="17" t="s">
        <v>10</v>
      </c>
      <c r="K107" s="18"/>
    </row>
    <row r="108" spans="2:11" ht="31.5" x14ac:dyDescent="0.25">
      <c r="B108" s="395" t="s">
        <v>11</v>
      </c>
      <c r="C108" s="396"/>
      <c r="D108" s="19" t="s">
        <v>13</v>
      </c>
      <c r="E108" s="19" t="s">
        <v>14</v>
      </c>
      <c r="F108" s="396" t="s">
        <v>15</v>
      </c>
      <c r="G108" s="396"/>
      <c r="H108" s="396" t="s">
        <v>41</v>
      </c>
      <c r="I108" s="414"/>
      <c r="J108" s="20" t="s">
        <v>16</v>
      </c>
      <c r="K108" s="21">
        <f ca="1">F106*25%</f>
        <v>1.75</v>
      </c>
    </row>
    <row r="109" spans="2:11" ht="15.75" x14ac:dyDescent="0.25">
      <c r="B109" s="395" t="s">
        <v>17</v>
      </c>
      <c r="C109" s="396"/>
      <c r="D109" s="22">
        <f ca="1">K110</f>
        <v>7</v>
      </c>
      <c r="E109" s="23">
        <f ca="1">((100/F106)*D109)/100</f>
        <v>1</v>
      </c>
      <c r="F109" s="399">
        <f ca="1">(((D110/F106*10)+(40/(D106+E106+F106)*D111)+(7.5/(F106)*D112)+(7.5/(F106)*D113)+(10/F106*D114)+(10/F106*D115)+(5/F106*D116)+(5/F106*D117)+(5/F106*D118))/100)</f>
        <v>1</v>
      </c>
      <c r="G109" s="399"/>
      <c r="H109" s="399">
        <f ca="1">((((D109/F106)*20)+((D110/F106)*25)+(30/(F106+E106+D106)*D111)+(5/F106*D112)+(5/F106*D113)+(5/F106*D114)+(5/F106*D115)+(0/F106*D116)+(0/F106*D117)+(5/F106*D118))/100)</f>
        <v>1</v>
      </c>
      <c r="I109" s="401"/>
      <c r="J109" s="20" t="s">
        <v>18</v>
      </c>
      <c r="K109" s="24">
        <f ca="1">F106*50%</f>
        <v>3.5</v>
      </c>
    </row>
    <row r="110" spans="2:11" ht="15.75" x14ac:dyDescent="0.25">
      <c r="B110" s="395" t="s">
        <v>19</v>
      </c>
      <c r="C110" s="396"/>
      <c r="D110" s="25">
        <f ca="1">K118</f>
        <v>7</v>
      </c>
      <c r="E110" s="23">
        <f ca="1">((100/F106)*D110)/100</f>
        <v>1</v>
      </c>
      <c r="F110" s="399"/>
      <c r="G110" s="399"/>
      <c r="H110" s="399"/>
      <c r="I110" s="401"/>
      <c r="J110" s="20" t="s">
        <v>20</v>
      </c>
      <c r="K110" s="24">
        <f ca="1">F106</f>
        <v>7</v>
      </c>
    </row>
    <row r="111" spans="2:11" ht="15.75" x14ac:dyDescent="0.25">
      <c r="B111" s="403" t="s">
        <v>21</v>
      </c>
      <c r="C111" s="404"/>
      <c r="D111" s="25">
        <v>8</v>
      </c>
      <c r="E111" s="23">
        <f ca="1">((100/(D106+E106+F106))*D111)/100</f>
        <v>1</v>
      </c>
      <c r="F111" s="399"/>
      <c r="G111" s="399"/>
      <c r="H111" s="399"/>
      <c r="I111" s="401"/>
      <c r="J111" s="20" t="s">
        <v>22</v>
      </c>
      <c r="K111" s="26">
        <f ca="1">(IF(C106&gt;1,(F106/(C106+2)),F106/4))</f>
        <v>1.75</v>
      </c>
    </row>
    <row r="112" spans="2:11" ht="15.75" x14ac:dyDescent="0.25">
      <c r="B112" s="395" t="s">
        <v>23</v>
      </c>
      <c r="C112" s="396" t="s">
        <v>42</v>
      </c>
      <c r="D112" s="22">
        <v>7</v>
      </c>
      <c r="E112" s="23">
        <f ca="1">((100/F106)*D112)/100</f>
        <v>1</v>
      </c>
      <c r="F112" s="399"/>
      <c r="G112" s="399"/>
      <c r="H112" s="399"/>
      <c r="I112" s="401"/>
      <c r="J112" s="20" t="s">
        <v>24</v>
      </c>
      <c r="K112" s="26">
        <f ca="1">(IF(C106&gt;1,(F106/(C106+2)+K111),F106/4+K111))</f>
        <v>3.5</v>
      </c>
    </row>
    <row r="113" spans="2:11" ht="15.75" x14ac:dyDescent="0.25">
      <c r="B113" s="395" t="s">
        <v>25</v>
      </c>
      <c r="C113" s="396" t="s">
        <v>42</v>
      </c>
      <c r="D113" s="22">
        <v>7</v>
      </c>
      <c r="E113" s="23">
        <f ca="1">((100/F106)*D113)/100</f>
        <v>1</v>
      </c>
      <c r="F113" s="399"/>
      <c r="G113" s="399"/>
      <c r="H113" s="399"/>
      <c r="I113" s="401"/>
      <c r="J113" s="20" t="s">
        <v>26</v>
      </c>
      <c r="K113" s="26">
        <f>(IF(C106&gt;1,(F106/(C106+2)+K112),0))</f>
        <v>0</v>
      </c>
    </row>
    <row r="114" spans="2:11" ht="15.75" x14ac:dyDescent="0.25">
      <c r="B114" s="395" t="s">
        <v>27</v>
      </c>
      <c r="C114" s="396" t="s">
        <v>43</v>
      </c>
      <c r="D114" s="22">
        <v>7</v>
      </c>
      <c r="E114" s="23">
        <f ca="1">((100/(F106))*D114)/100</f>
        <v>1</v>
      </c>
      <c r="F114" s="399"/>
      <c r="G114" s="399"/>
      <c r="H114" s="399"/>
      <c r="I114" s="401"/>
      <c r="J114" s="20" t="s">
        <v>28</v>
      </c>
      <c r="K114" s="26">
        <f>(IF(C106&gt;2,(F106/(C106+2)+K113),0))</f>
        <v>0</v>
      </c>
    </row>
    <row r="115" spans="2:11" ht="15.75" x14ac:dyDescent="0.25">
      <c r="B115" s="395" t="s">
        <v>29</v>
      </c>
      <c r="C115" s="396" t="s">
        <v>29</v>
      </c>
      <c r="D115" s="22">
        <v>7</v>
      </c>
      <c r="E115" s="23">
        <f ca="1">((100/F106)*D115)/100</f>
        <v>1</v>
      </c>
      <c r="F115" s="399"/>
      <c r="G115" s="399"/>
      <c r="H115" s="399"/>
      <c r="I115" s="401"/>
      <c r="J115" s="20" t="s">
        <v>30</v>
      </c>
      <c r="K115" s="27">
        <f>(IF(C106&gt;3,(F106/(C106+2)+K114),0))</f>
        <v>0</v>
      </c>
    </row>
    <row r="116" spans="2:11" ht="15.75" x14ac:dyDescent="0.25">
      <c r="B116" s="395" t="s">
        <v>31</v>
      </c>
      <c r="C116" s="396"/>
      <c r="D116" s="22">
        <v>7</v>
      </c>
      <c r="E116" s="23">
        <f ca="1">((100/F106)*D116)/100</f>
        <v>1</v>
      </c>
      <c r="F116" s="399"/>
      <c r="G116" s="399"/>
      <c r="H116" s="399"/>
      <c r="I116" s="401"/>
      <c r="J116" s="20" t="s">
        <v>32</v>
      </c>
      <c r="K116" s="26">
        <f>(IF(C106&gt;4,(F106/(C106+2)+K115),0))</f>
        <v>0</v>
      </c>
    </row>
    <row r="117" spans="2:11" ht="15.75" x14ac:dyDescent="0.25">
      <c r="B117" s="395" t="s">
        <v>33</v>
      </c>
      <c r="C117" s="396" t="s">
        <v>33</v>
      </c>
      <c r="D117" s="22">
        <v>7</v>
      </c>
      <c r="E117" s="23">
        <f ca="1">((100/(F106))*D117)/100</f>
        <v>1</v>
      </c>
      <c r="F117" s="399"/>
      <c r="G117" s="399"/>
      <c r="H117" s="399"/>
      <c r="I117" s="401"/>
      <c r="J117" s="20" t="s">
        <v>34</v>
      </c>
      <c r="K117" s="26">
        <f ca="1">(IF(C106=1,(F106/(C106+3)+K112),IF(C106=0,(F106/4+K112),IF(C106&gt;1,0))))</f>
        <v>5.25</v>
      </c>
    </row>
    <row r="118" spans="2:11" ht="16.5" thickBot="1" x14ac:dyDescent="0.3">
      <c r="B118" s="397" t="s">
        <v>35</v>
      </c>
      <c r="C118" s="398"/>
      <c r="D118" s="28">
        <v>7</v>
      </c>
      <c r="E118" s="29">
        <f ca="1">((100/(F106))*D118)/100</f>
        <v>1</v>
      </c>
      <c r="F118" s="400"/>
      <c r="G118" s="400"/>
      <c r="H118" s="400"/>
      <c r="I118" s="402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25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25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05:C105"/>
    <mergeCell ref="D105:I105"/>
    <mergeCell ref="B107:C107"/>
    <mergeCell ref="D107:I107"/>
    <mergeCell ref="B108:C108"/>
    <mergeCell ref="F108:G108"/>
    <mergeCell ref="H108:I108"/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VSJC</cp:lastModifiedBy>
  <cp:lastPrinted>2025-07-17T13:20:34Z</cp:lastPrinted>
  <dcterms:created xsi:type="dcterms:W3CDTF">2023-05-19T08:34:56Z</dcterms:created>
  <dcterms:modified xsi:type="dcterms:W3CDTF">2025-07-17T13:21:21Z</dcterms:modified>
</cp:coreProperties>
</file>