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July 25\Axis\Update\14765 - Celestria\"/>
    </mc:Choice>
  </mc:AlternateContent>
  <xr:revisionPtr revIDLastSave="0" documentId="13_ncr:1_{BA254EEC-79FC-4DF4-8696-CF34938702A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1" l="1"/>
  <c r="J164" i="1"/>
  <c r="J171" i="1" l="1"/>
  <c r="E213" i="1" l="1"/>
  <c r="D213" i="1"/>
  <c r="E211" i="1"/>
  <c r="D211" i="1"/>
  <c r="E210" i="1"/>
  <c r="D210" i="1"/>
  <c r="F210" i="1" s="1"/>
  <c r="H210" i="1" s="1"/>
  <c r="E209" i="1"/>
  <c r="D209" i="1"/>
  <c r="A209" i="1"/>
  <c r="A210" i="1" s="1"/>
  <c r="A211" i="1" s="1"/>
  <c r="E208" i="1"/>
  <c r="D208" i="1"/>
  <c r="E195" i="1"/>
  <c r="D195" i="1"/>
  <c r="E193" i="1"/>
  <c r="D193" i="1"/>
  <c r="E192" i="1"/>
  <c r="D192" i="1"/>
  <c r="E191" i="1"/>
  <c r="D191" i="1"/>
  <c r="A191" i="1"/>
  <c r="A192" i="1" s="1"/>
  <c r="A193" i="1" s="1"/>
  <c r="E190" i="1"/>
  <c r="D190" i="1"/>
  <c r="A240" i="1"/>
  <c r="A241" i="1" s="1"/>
  <c r="A242" i="1" s="1"/>
  <c r="A243" i="1" s="1"/>
  <c r="A244" i="1" s="1"/>
  <c r="A245" i="1" s="1"/>
  <c r="A246" i="1" s="1"/>
  <c r="A247" i="1" s="1"/>
  <c r="A248" i="1" s="1"/>
  <c r="F193" i="1" l="1"/>
  <c r="H193" i="1" s="1"/>
  <c r="F211" i="1"/>
  <c r="H211" i="1" s="1"/>
  <c r="A249" i="1"/>
  <c r="A250" i="1" s="1"/>
  <c r="A252" i="1" s="1"/>
  <c r="F192" i="1"/>
  <c r="H192" i="1" s="1"/>
  <c r="F195" i="1"/>
  <c r="H195" i="1" s="1"/>
  <c r="F213" i="1"/>
  <c r="H213" i="1" s="1"/>
  <c r="F190" i="1"/>
  <c r="H190" i="1" s="1"/>
  <c r="F209" i="1"/>
  <c r="H209" i="1" s="1"/>
  <c r="F191" i="1"/>
  <c r="H191" i="1" s="1"/>
  <c r="F208" i="1"/>
  <c r="H208" i="1" s="1"/>
  <c r="I162" i="1"/>
  <c r="E206" i="1"/>
  <c r="D206" i="1"/>
  <c r="E205" i="1"/>
  <c r="D205" i="1"/>
  <c r="E204" i="1"/>
  <c r="D204" i="1"/>
  <c r="E203" i="1"/>
  <c r="D203" i="1"/>
  <c r="E202" i="1"/>
  <c r="D202" i="1"/>
  <c r="A202" i="1"/>
  <c r="A203" i="1" s="1"/>
  <c r="A204" i="1" s="1"/>
  <c r="A205" i="1" s="1"/>
  <c r="A206" i="1" s="1"/>
  <c r="E201" i="1"/>
  <c r="D201" i="1"/>
  <c r="E188" i="1"/>
  <c r="D188" i="1"/>
  <c r="E187" i="1"/>
  <c r="D187" i="1"/>
  <c r="E186" i="1"/>
  <c r="D186" i="1"/>
  <c r="E185" i="1"/>
  <c r="D185" i="1"/>
  <c r="E184" i="1"/>
  <c r="D184" i="1"/>
  <c r="A184" i="1"/>
  <c r="A185" i="1" s="1"/>
  <c r="A186" i="1" s="1"/>
  <c r="A187" i="1" s="1"/>
  <c r="A188" i="1" s="1"/>
  <c r="E183" i="1"/>
  <c r="D183" i="1"/>
  <c r="E236" i="1"/>
  <c r="D236" i="1"/>
  <c r="A236" i="1"/>
  <c r="A237" i="1" s="1"/>
  <c r="E235" i="1"/>
  <c r="D235" i="1"/>
  <c r="E233" i="1"/>
  <c r="D233" i="1"/>
  <c r="E232" i="1"/>
  <c r="D232" i="1"/>
  <c r="A232" i="1"/>
  <c r="A233" i="1" s="1"/>
  <c r="E231" i="1"/>
  <c r="D231" i="1"/>
  <c r="E224" i="1"/>
  <c r="D224" i="1"/>
  <c r="E223" i="1"/>
  <c r="D223" i="1"/>
  <c r="E221" i="1"/>
  <c r="D221" i="1"/>
  <c r="E220" i="1"/>
  <c r="D220" i="1"/>
  <c r="E219" i="1"/>
  <c r="D219" i="1"/>
  <c r="A224" i="1"/>
  <c r="A225" i="1" s="1"/>
  <c r="E177" i="1"/>
  <c r="D177" i="1"/>
  <c r="E175" i="1"/>
  <c r="D175" i="1"/>
  <c r="E174" i="1"/>
  <c r="D174" i="1"/>
  <c r="E173" i="1"/>
  <c r="D173" i="1"/>
  <c r="E172" i="1"/>
  <c r="D172" i="1"/>
  <c r="E170" i="1"/>
  <c r="D170" i="1"/>
  <c r="E169" i="1"/>
  <c r="D169" i="1"/>
  <c r="E168" i="1"/>
  <c r="D168" i="1"/>
  <c r="E167" i="1"/>
  <c r="D167" i="1"/>
  <c r="E166" i="1"/>
  <c r="D166" i="1"/>
  <c r="E165" i="1"/>
  <c r="D165" i="1"/>
  <c r="A173" i="1"/>
  <c r="A174" i="1" s="1"/>
  <c r="A175" i="1" s="1"/>
  <c r="A220" i="1"/>
  <c r="A221" i="1" s="1"/>
  <c r="F172" i="1" l="1"/>
  <c r="H172" i="1" s="1"/>
  <c r="F177" i="1"/>
  <c r="H177" i="1" s="1"/>
  <c r="F186" i="1"/>
  <c r="H186" i="1" s="1"/>
  <c r="F174" i="1"/>
  <c r="H174" i="1" s="1"/>
  <c r="F188" i="1"/>
  <c r="H188" i="1" s="1"/>
  <c r="F185" i="1"/>
  <c r="H185" i="1" s="1"/>
  <c r="F187" i="1"/>
  <c r="H187" i="1" s="1"/>
  <c r="F203" i="1"/>
  <c r="H203" i="1" s="1"/>
  <c r="F205" i="1"/>
  <c r="H205" i="1" s="1"/>
  <c r="F204" i="1"/>
  <c r="H204" i="1" s="1"/>
  <c r="F206" i="1"/>
  <c r="H206" i="1" s="1"/>
  <c r="F236" i="1"/>
  <c r="H236" i="1" s="1"/>
  <c r="F173" i="1"/>
  <c r="H173" i="1" s="1"/>
  <c r="F175" i="1"/>
  <c r="H175" i="1" s="1"/>
  <c r="F183" i="1"/>
  <c r="H183" i="1" s="1"/>
  <c r="F184" i="1"/>
  <c r="H184" i="1" s="1"/>
  <c r="F223" i="1"/>
  <c r="H223" i="1" s="1"/>
  <c r="F233" i="1"/>
  <c r="H233" i="1" s="1"/>
  <c r="F201" i="1"/>
  <c r="H201" i="1" s="1"/>
  <c r="C141" i="1"/>
  <c r="C140" i="1"/>
  <c r="C143" i="1"/>
  <c r="F232" i="1"/>
  <c r="H232" i="1" s="1"/>
  <c r="C142" i="1"/>
  <c r="C144" i="1"/>
  <c r="F224" i="1"/>
  <c r="H224" i="1" s="1"/>
  <c r="F202" i="1"/>
  <c r="H202" i="1" s="1"/>
  <c r="F231" i="1"/>
  <c r="F235" i="1"/>
  <c r="H235" i="1" s="1"/>
  <c r="F170" i="1"/>
  <c r="H170" i="1" s="1"/>
  <c r="J170" i="1" s="1"/>
  <c r="F169" i="1"/>
  <c r="H169" i="1" s="1"/>
  <c r="N169" i="1" l="1"/>
  <c r="J169" i="1"/>
  <c r="E142" i="1"/>
  <c r="G141" i="1"/>
  <c r="C145" i="1"/>
  <c r="H231" i="1"/>
  <c r="G144" i="1" s="1"/>
  <c r="E144" i="1"/>
  <c r="E141" i="1"/>
  <c r="G142" i="1"/>
  <c r="E45" i="1"/>
  <c r="F152" i="1" l="1"/>
  <c r="H152" i="1"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66" i="1"/>
  <c r="B241" i="1"/>
  <c r="B240" i="1"/>
  <c r="F221" i="1"/>
  <c r="H221" i="1" s="1"/>
  <c r="F220" i="1"/>
  <c r="H220" i="1" s="1"/>
  <c r="F219" i="1"/>
  <c r="F168" i="1"/>
  <c r="H168" i="1" s="1"/>
  <c r="J168" i="1" s="1"/>
  <c r="F167" i="1"/>
  <c r="H167" i="1" s="1"/>
  <c r="J167" i="1" s="1"/>
  <c r="F166" i="1"/>
  <c r="H166" i="1" s="1"/>
  <c r="J166" i="1" s="1"/>
  <c r="A166" i="1"/>
  <c r="A167" i="1" s="1"/>
  <c r="A168" i="1" s="1"/>
  <c r="A169" i="1" s="1"/>
  <c r="A170" i="1" s="1"/>
  <c r="F165" i="1"/>
  <c r="F155" i="1"/>
  <c r="H155" i="1" s="1"/>
  <c r="F154" i="1"/>
  <c r="H154" i="1" s="1"/>
  <c r="F153" i="1"/>
  <c r="H153" i="1" s="1"/>
  <c r="A153" i="1"/>
  <c r="A154" i="1" s="1"/>
  <c r="A155" i="1" s="1"/>
  <c r="C146" i="1"/>
  <c r="F132" i="1"/>
  <c r="C106" i="1"/>
  <c r="C92" i="1"/>
  <c r="C78" i="1"/>
  <c r="B79" i="1" s="1"/>
  <c r="D72" i="1"/>
  <c r="D65" i="1"/>
  <c r="G58" i="1"/>
  <c r="C58" i="1"/>
  <c r="K56" i="1"/>
  <c r="G53" i="1"/>
  <c r="C53" i="1"/>
  <c r="E46" i="1"/>
  <c r="E47" i="1" s="1"/>
  <c r="S35" i="1"/>
  <c r="E33" i="1"/>
  <c r="E30" i="1"/>
  <c r="E28" i="1"/>
  <c r="C18" i="1"/>
  <c r="I17" i="1"/>
  <c r="Z13" i="1"/>
  <c r="E8" i="1"/>
  <c r="E3" i="1"/>
  <c r="I251" i="1" s="1"/>
  <c r="H107" i="1"/>
  <c r="H93" i="1"/>
  <c r="E42" i="7" l="1"/>
  <c r="C54" i="1"/>
  <c r="H219" i="1"/>
  <c r="G143" i="1" s="1"/>
  <c r="E143" i="1"/>
  <c r="H165" i="1"/>
  <c r="E140" i="1"/>
  <c r="J84" i="1"/>
  <c r="J85" i="1"/>
  <c r="B107" i="1"/>
  <c r="J113" i="1" s="1"/>
  <c r="I42" i="7"/>
  <c r="H42" i="7" s="1"/>
  <c r="L42" i="7"/>
  <c r="K42" i="7" s="1"/>
  <c r="J90" i="1"/>
  <c r="J92" i="1" s="1"/>
  <c r="D101" i="1"/>
  <c r="D100" i="1"/>
  <c r="D105" i="1"/>
  <c r="D99" i="1"/>
  <c r="J93" i="1"/>
  <c r="D104" i="1"/>
  <c r="J95" i="1"/>
  <c r="C96" i="1" s="1"/>
  <c r="D98" i="1"/>
  <c r="D103" i="1"/>
  <c r="J94" i="1"/>
  <c r="D102" i="1"/>
  <c r="D116" i="1"/>
  <c r="J108" i="1"/>
  <c r="J104" i="1"/>
  <c r="J106" i="1" s="1"/>
  <c r="J107" i="1"/>
  <c r="D114" i="1"/>
  <c r="D119" i="1"/>
  <c r="D113" i="1"/>
  <c r="D118" i="1"/>
  <c r="D112" i="1"/>
  <c r="D115" i="1"/>
  <c r="J109" i="1"/>
  <c r="C110" i="1" s="1"/>
  <c r="D110" i="1" s="1"/>
  <c r="D117" i="1"/>
  <c r="D42" i="7"/>
  <c r="L56" i="1"/>
  <c r="B93" i="1"/>
  <c r="J86" i="1"/>
  <c r="J87" i="1"/>
  <c r="I54" i="1"/>
  <c r="H79" i="1"/>
  <c r="D87" i="1" l="1"/>
  <c r="D89" i="1"/>
  <c r="D88" i="1"/>
  <c r="J79" i="1"/>
  <c r="D86" i="1"/>
  <c r="J80" i="1"/>
  <c r="D91" i="1"/>
  <c r="J76" i="1"/>
  <c r="J78" i="1" s="1"/>
  <c r="D90" i="1"/>
  <c r="D85" i="1"/>
  <c r="D84" i="1"/>
  <c r="J82" i="1"/>
  <c r="J83" i="1" s="1"/>
  <c r="J88" i="1" s="1"/>
  <c r="J89" i="1" s="1"/>
  <c r="J81" i="1"/>
  <c r="G140" i="1"/>
  <c r="G145" i="1" s="1"/>
  <c r="G146" i="1" s="1"/>
  <c r="N165" i="1"/>
  <c r="J165" i="1"/>
  <c r="E145" i="1"/>
  <c r="E146" i="1" s="1"/>
  <c r="J115" i="1"/>
  <c r="J114" i="1"/>
  <c r="D44" i="7"/>
  <c r="E44" i="7"/>
  <c r="J112" i="1"/>
  <c r="J110" i="1"/>
  <c r="J111" i="1" s="1"/>
  <c r="J116" i="1" s="1"/>
  <c r="J117" i="1" s="1"/>
  <c r="C111" i="1" s="1"/>
  <c r="G110" i="1" s="1"/>
  <c r="E82" i="1"/>
  <c r="D83" i="1"/>
  <c r="G82" i="1"/>
  <c r="D76" i="1" s="1"/>
  <c r="D82" i="1"/>
  <c r="D96" i="1"/>
  <c r="J99" i="1"/>
  <c r="J96" i="1"/>
  <c r="J97" i="1" s="1"/>
  <c r="J102" i="1" s="1"/>
  <c r="J103" i="1" s="1"/>
  <c r="C97" i="1" s="1"/>
  <c r="J101" i="1"/>
  <c r="J98" i="1"/>
  <c r="J100" i="1"/>
  <c r="D111" i="1" l="1"/>
  <c r="I105" i="1" s="1"/>
  <c r="I106" i="1" s="1"/>
  <c r="J105" i="1"/>
  <c r="E110" i="1"/>
  <c r="I77" i="1"/>
  <c r="I78" i="1" s="1"/>
  <c r="J77" i="1"/>
  <c r="E96" i="1"/>
  <c r="D97" i="1"/>
  <c r="I91" i="1" s="1"/>
  <c r="J91" i="1"/>
  <c r="G96" i="1"/>
  <c r="D77" i="1"/>
  <c r="F77" i="1"/>
  <c r="I104" i="1" l="1"/>
  <c r="C108" i="1" s="1"/>
  <c r="I76" i="1"/>
  <c r="C80" i="1" s="1"/>
  <c r="I92" i="1"/>
  <c r="I90" i="1" s="1"/>
  <c r="C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C61" authorId="1" shapeId="0" xr:uid="{00000000-0006-0000-0000-000005000000}">
      <text>
        <r>
          <rPr>
            <b/>
            <sz val="9"/>
            <color indexed="81"/>
            <rFont val="Tahoma"/>
            <family val="2"/>
          </rPr>
          <t>SACHIN:</t>
        </r>
        <r>
          <rPr>
            <sz val="9"/>
            <color indexed="81"/>
            <rFont val="Tahoma"/>
            <family val="2"/>
          </rPr>
          <t xml:space="preserve">
Height from AMSL</t>
        </r>
      </text>
    </comment>
    <comment ref="D65"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8"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<sst xmlns="http://schemas.openxmlformats.org/spreadsheetml/2006/main" count="751" uniqueCount="425">
  <si>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</si>
  <si>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</si>
  <si>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</si>
  <si>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</si>
  <si>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</si>
  <si>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</si>
  <si>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</si>
  <si>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</si>
  <si>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</si>
  <si>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</si>
  <si>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</si>
  <si>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</si>
  <si>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</si>
  <si>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</si>
  <si>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</si>
  <si>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</si>
  <si>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</si>
  <si>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</si>
  <si>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</si>
  <si>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</si>
  <si>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</si>
  <si>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</si>
  <si>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</si>
  <si>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</si>
  <si>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</si>
  <si>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</si>
  <si>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</si>
  <si>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</si>
  <si>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</si>
  <si>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</si>
  <si>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</si>
  <si>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</si>
  <si>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</si>
  <si>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</si>
  <si>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</si>
  <si>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</si>
  <si>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</si>
  <si>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</si>
  <si>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</si>
  <si>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</si>
  <si>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</si>
  <si>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</si>
  <si>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</si>
  <si>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</si>
  <si>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</si>
  <si>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</si>
  <si>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</si>
  <si>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</si>
  <si>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</si>
  <si>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</si>
  <si>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</si>
  <si>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</si>
  <si>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</si>
  <si>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</si>
  <si>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</si>
  <si>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</si>
  <si>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</si>
  <si>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</si>
  <si>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</si>
  <si>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</si>
  <si>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</si>
  <si>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</si>
  <si>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</si>
  <si>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</si>
  <si>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</si>
  <si>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</si>
  <si>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</si>
  <si>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</si>
  <si>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</si>
  <si>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</si>
  <si>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</si>
  <si>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</si>
  <si>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</si>
  <si>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</si>
  <si>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</si>
  <si>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</si>
  <si>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</si>
  <si>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</si>
  <si>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</si>
  <si>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</si>
  <si>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</si>
  <si>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</si>
  <si>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</si>
  <si>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</si>
  <si>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</si>
  <si>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</si>
  <si>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</si>
  <si>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</si>
  <si>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</si>
  <si>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</si>
  <si>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</si>
  <si>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</si>
  <si>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</si>
  <si>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</si>
  <si>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</si>
  <si>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</si>
  <si>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</si>
  <si>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</si>
  <si>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</si>
  <si>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</si>
  <si>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</si>
  <si>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</si>
  <si>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</si>
  <si>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</si>
  <si>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</si>
  <si>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</si>
  <si>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</si>
  <si>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</si>
  <si>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</si>
  <si>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</si>
  <si>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</si>
  <si>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</si>
  <si>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</si>
  <si>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</si>
  <si>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</si>
  <si>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</si>
  <si>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</si>
  <si>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</si>
  <si>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</si>
  <si>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</si>
  <si>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</si>
  <si>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</si>
  <si>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</si>
  <si>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</si>
  <si>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</si>
  <si>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</si>
  <si>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</si>
  <si>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</si>
  <si>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</si>
  <si>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</si>
  <si>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</si>
  <si>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</si>
  <si>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</si>
  <si>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</si>
  <si>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</si>
  <si>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</si>
  <si>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</si>
  <si>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</si>
  <si>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</si>
  <si>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</si>
  <si>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</si>
  <si>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</si>
  <si>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</si>
  <si>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</si>
  <si>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</si>
  <si>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</si>
  <si>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</si>
  <si>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</si>
  <si>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</si>
  <si>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</si>
  <si>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</si>
  <si>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</si>
  <si>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</si>
  <si>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</si>
  <si>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</si>
  <si>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</si>
  <si>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</si>
  <si>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</si>
  <si>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</si>
  <si>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</si>
  <si>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</si>
  <si>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</si>
  <si>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</si>
  <si>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</si>
  <si>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</si>
  <si>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</si>
  <si>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</si>
  <si>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</si>
  <si>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</si>
  <si>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</si>
  <si>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</si>
  <si>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</si>
  <si>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</si>
  <si>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</si>
  <si>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</si>
  <si>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</si>
  <si>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</si>
  <si>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</si>
  <si>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</si>
  <si>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</si>
  <si>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</si>
  <si>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</si>
  <si>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</si>
  <si>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</si>
  <si>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</si>
  <si>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</si>
  <si>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</si>
  <si>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</si>
  <si>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</si>
  <si>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</si>
  <si>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</si>
  <si>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</si>
  <si>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</si>
  <si>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</si>
  <si>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</si>
  <si>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</si>
  <si>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</si>
  <si>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</si>
  <si>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</si>
  <si>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</si>
  <si>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</si>
  <si>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</si>
  <si>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</si>
  <si>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</si>
  <si>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</si>
  <si>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</si>
  <si>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</si>
  <si>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</si>
  <si>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</si>
  <si>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</si>
  <si>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</si>
  <si>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</si>
  <si>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</si>
  <si>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</si>
  <si>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</si>
  <si>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</si>
  <si>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</si>
  <si>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</si>
  <si>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</si>
  <si>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</si>
  <si>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</si>
  <si>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</si>
  <si>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</si>
  <si>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</si>
  <si>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</si>
  <si>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</si>
  <si>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</si>
  <si>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</si>
  <si>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</si>
  <si>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</si>
  <si>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</si>
  <si>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</si>
  <si>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</si>
  <si>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</si>
  <si>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</si>
  <si>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</si>
  <si>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</si>
  <si>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</si>
  <si>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</si>
  <si>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</si>
  <si>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</si>
  <si>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</si>
  <si>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</si>
  <si>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</si>
  <si>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</si>
  <si>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</si>
  <si>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</si>
  <si>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</si>
  <si>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</si>
  <si>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</si>
  <si>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</si>
  <si>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</si>
  <si>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</si>
  <si>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</si>
  <si>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</si>
  <si>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</si>
  <si>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</si>
  <si>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</si>
  <si>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</si>
  <si>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</si>
  <si>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</si>
  <si>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</si>
  <si>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</si>
  <si>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</si>
  <si>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</si>
  <si>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</si>
  <si>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</si>
  <si>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</si>
  <si>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</si>
  <si>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</si>
  <si>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</si>
  <si>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</si>
  <si>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</si>
  <si>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</si>
  <si>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</si>
  <si>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</si>
  <si>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</si>
  <si>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</si>
  <si>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</si>
  <si>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</si>
  <si>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</si>
  <si>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</si>
  <si>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</si>
  <si>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</si>
  <si>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</si>
  <si>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</si>
  <si>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</si>
  <si>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</si>
  <si>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</si>
  <si>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</si>
  <si>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</si>
  <si>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</si>
  <si>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</si>
  <si>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</si>
  <si>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</si>
  <si>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</si>
  <si>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</si>
  <si>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</si>
  <si>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</si>
  <si>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</si>
  <si>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</si>
  <si>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</si>
  <si>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</si>
  <si>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</si>
  <si>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</si>
  <si>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</si>
  <si>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</si>
  <si>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</si>
  <si>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</si>
  <si>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</si>
  <si>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</si>
  <si>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</si>
  <si>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</si>
  <si>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</si>
  <si>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</si>
  <si>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</si>
  <si>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</si>
  <si>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</si>
  <si>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</si>
  <si>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</si>
  <si>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</si>
  <si>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</si>
  <si>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</si>
  <si>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</si>
  <si>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</si>
  <si>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</si>
  <si>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</si>
  <si>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</si>
  <si>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</si>
  <si>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</si>
  <si>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</si>
  <si>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</si>
  <si>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</si>
  <si>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</si>
  <si>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</si>
  <si>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</si>
  <si>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</si>
  <si>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</si>
  <si>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</si>
  <si>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</si>
  <si>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</si>
  <si>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</si>
  <si>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</si>
  <si>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</si>
  <si>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</si>
  <si>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</si>
  <si>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</si>
  <si>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</si>
  <si>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</si>
  <si>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</si>
  <si>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</si>
  <si>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</si>
  <si>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</si>
  <si>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Bhagwati Developers</t>
  </si>
  <si>
    <t>Celestria</t>
  </si>
  <si>
    <t>Mr. Sandeep Patel 7777094407</t>
  </si>
  <si>
    <t>Plot No</t>
  </si>
  <si>
    <t>KR-1</t>
  </si>
  <si>
    <t>Airoli</t>
  </si>
  <si>
    <t>TTC Industrial Area</t>
  </si>
  <si>
    <t>Airoli Knowledge Park Road</t>
  </si>
  <si>
    <t xml:space="preserve">Newa Bhakti Park </t>
  </si>
  <si>
    <t>19.171333,72.989858</t>
  </si>
  <si>
    <t>https://maps.app.goo.gl/vtkoTsmY6k77yikW8</t>
  </si>
  <si>
    <t>Other Plot</t>
  </si>
  <si>
    <t>30M Wide Road</t>
  </si>
  <si>
    <t>Newa Bhakti Phase 1 Road</t>
  </si>
  <si>
    <t>Open Plot</t>
  </si>
  <si>
    <t>As per RERA - 30/06/2030</t>
  </si>
  <si>
    <r>
      <t xml:space="preserve">Proposed Amenities :                                                                                                                                                                                                                         </t>
    </r>
    <r>
      <rPr>
        <b/>
        <sz val="12"/>
        <color theme="1"/>
        <rFont val="Times New Roman"/>
        <family val="1"/>
      </rPr>
      <t xml:space="preserve">                                               </t>
    </r>
  </si>
  <si>
    <t>https://newprojectsonline.com/bhagwati-celestria-airoli-new-launch/#amenities</t>
  </si>
  <si>
    <t>Wing A</t>
  </si>
  <si>
    <t>EE/Dn. II/MHP/SPA/I/85279/ of 2024</t>
  </si>
  <si>
    <t>Wing A, B, C, D &amp; E</t>
  </si>
  <si>
    <t>05 Wings</t>
  </si>
  <si>
    <t>Wing A to E = G + 1st to 45th Floor</t>
  </si>
  <si>
    <t>Wing D &amp; E = G + 1st to 45th Floor</t>
  </si>
  <si>
    <t>Mr. Jagdish 8454086332</t>
  </si>
  <si>
    <t>Plot IT - 6</t>
  </si>
  <si>
    <t>Plot No OS - 5 / Plot No. OD - 5/1</t>
  </si>
  <si>
    <t>Ground Floor For Double Heighted Entrance Lobby, Meter Room &amp; Parking</t>
  </si>
  <si>
    <t>1st to 4th Floor For Parking</t>
  </si>
  <si>
    <t xml:space="preserve">5th Floor For Amenity </t>
  </si>
  <si>
    <t>6th, 8th to 11th, 13th to 16th, 18th to 21st, 23rd to 26th, 28th to 31st, 33rd to 36th, 38th to 41st, 43rd, 44th &amp; 45th Floor</t>
  </si>
  <si>
    <t>3BHK</t>
  </si>
  <si>
    <t>2BHK</t>
  </si>
  <si>
    <t>7th, 12th, 17th, 22nd, 27th, 32nd, 37th &amp; 42nd Floor For Part Refuge Area</t>
  </si>
  <si>
    <t>Refuge Area</t>
  </si>
  <si>
    <t>Deck + Utility Area</t>
  </si>
  <si>
    <t>Wing D</t>
  </si>
  <si>
    <t>4BHK</t>
  </si>
  <si>
    <t>Wing E</t>
  </si>
  <si>
    <t>Wing A to E = Work not yet Started.</t>
  </si>
  <si>
    <t>We considered Gross carpet area = Net carpet + Deck + Utility Area.</t>
  </si>
  <si>
    <t>Wing B</t>
  </si>
  <si>
    <t>Wing C</t>
  </si>
  <si>
    <t>Flats - 920</t>
  </si>
  <si>
    <t>2.7 KM from Digha Gaon Railway Station</t>
  </si>
  <si>
    <t>RERA Name &amp; No.</t>
  </si>
  <si>
    <t xml:space="preserve">Total BUA = 105551.84 Sq.mt
Wing A to E = G + 1st to 45th Floor
</t>
  </si>
  <si>
    <t xml:space="preserve">CRZ Noc No
</t>
  </si>
  <si>
    <t>MIDC/ROMHP/TTC/I-67396</t>
  </si>
  <si>
    <t>Open Plot (CRZ Area)</t>
  </si>
  <si>
    <t>5th Floor For Amenity Area</t>
  </si>
  <si>
    <t>-</t>
  </si>
  <si>
    <t>Remark No. 10:</t>
  </si>
  <si>
    <t>Building Consist on
Old RERA Portal</t>
  </si>
  <si>
    <t>Building Consist on
New RERA Portal</t>
  </si>
  <si>
    <t>Celestria
(P51700055856)</t>
  </si>
  <si>
    <t>As per New RERA Portal, In the project Celestria Consist of Building No.1 (Wing A &amp; B),  Building No.2 (Wing A &amp; B)
As per Old RERA Portal, In the project Celestria Consist of Wing A to E
As per latest approved layout plan dtd.21/11/2024, Consist of Wing A to E</t>
  </si>
  <si>
    <t>Remark No.11 is solved. as per conformation of bank official on mail, We have considered Old RERA Portal for Celestria project.</t>
  </si>
  <si>
    <t>Bldg No.1 
(Wing A &amp; B),
Bldg No.2 
(Wing A &amp; B)</t>
  </si>
  <si>
    <t>Children's Play Area, Gymnasium, Garden, Multi Purpose Court, Indoor Games, Vastu Compliant, Club House etc.</t>
  </si>
  <si>
    <t>SNCR/WEST/B/030624/937476</t>
  </si>
  <si>
    <t>Building 1 (Wing A, B, C, D &amp; E)</t>
  </si>
  <si>
    <t>SWC/14/521/20240529/985471</t>
  </si>
  <si>
    <t>Building 1 (Wing A to E) = G + 1st to 45th Floor (Height - 146.85 Mtr)</t>
  </si>
  <si>
    <t xml:space="preserve">Please check for Environment Clearance Certificate.
</t>
  </si>
  <si>
    <t>Site Elevation = 5.99M (AMSL)
Permissible Top Elevation = 160.10M (AMSL)</t>
  </si>
  <si>
    <t>Building 1</t>
  </si>
  <si>
    <t>Approved Plans, CC, CRZ Noc, Airport Noc, Fire Noc</t>
  </si>
  <si>
    <t>Tushar Mohite</t>
  </si>
  <si>
    <t>High tension lines are passing nearby project Celestria.</t>
  </si>
  <si>
    <t>Kunal Kadam</t>
  </si>
  <si>
    <t xml:space="preserve">We have received CRZ Noc on mail by bank official, (NOC attached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</si>
</sst>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27" fillId="0" borderId="0" xfId="10"/>
    <xf numFmtId="0" fontId="7" fillId="0" borderId="1" xfId="1" applyFont="1" applyBorder="1" applyAlignment="1" applyProtection="1">
      <alignment vertical="top" wrapText="1"/>
      <protection locked="0"/>
    </xf>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center" wrapText="1"/>
      <protection locked="0"/>
    </xf>
    <xf numFmtId="9" fontId="10" fillId="0" borderId="16" xfId="8"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0" fontId="25" fillId="2" borderId="15" xfId="0" applyFont="1" applyFill="1" applyBorder="1"/>
    <xf numFmtId="0" fontId="26" fillId="0" borderId="9" xfId="0" applyFont="1" applyBorder="1"/>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8" fillId="0" borderId="35"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6"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9" fontId="7" fillId="0" borderId="1" xfId="8" applyFont="1" applyFill="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16"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8" fillId="0" borderId="16"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3" fillId="0" borderId="16" xfId="1" applyFont="1" applyBorder="1" applyAlignment="1" applyProtection="1">
      <alignment horizontal="center" vertical="top"/>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8" xfId="1" applyFont="1" applyBorder="1" applyAlignment="1" applyProtection="1">
      <alignment horizontal="center" vertical="top" wrapText="1"/>
      <protection locked="0"/>
    </xf>
    <xf numFmtId="0" fontId="12" fillId="0" borderId="9" xfId="1" applyFont="1" applyBorder="1" applyAlignment="1" applyProtection="1">
      <alignment horizontal="center"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1" fontId="8" fillId="6" borderId="8" xfId="1" applyNumberFormat="1" applyFont="1" applyFill="1" applyBorder="1" applyAlignment="1" applyProtection="1">
      <alignment horizontal="center" vertical="top" wrapText="1"/>
      <protection locked="0"/>
    </xf>
    <xf numFmtId="1" fontId="8" fillId="6" borderId="21" xfId="1" applyNumberFormat="1" applyFont="1" applyFill="1" applyBorder="1" applyAlignment="1" applyProtection="1">
      <alignment horizontal="center" vertical="top" wrapText="1"/>
      <protection locked="0"/>
    </xf>
    <xf numFmtId="1" fontId="8" fillId="6" borderId="9" xfId="1" applyNumberFormat="1" applyFont="1" applyFill="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1" fontId="8" fillId="3" borderId="1" xfId="1" applyNumberFormat="1" applyFont="1" applyFill="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8" fillId="0" borderId="37" xfId="1" applyFont="1" applyBorder="1" applyAlignment="1" applyProtection="1">
      <alignment horizontal="left" vertical="top" wrapText="1"/>
      <protection locked="0"/>
    </xf>
    <xf numFmtId="0" fontId="8" fillId="0" borderId="30" xfId="1" applyFont="1" applyBorder="1" applyAlignment="1" applyProtection="1">
      <alignment horizontal="left" vertical="top" wrapText="1"/>
      <protection locked="0"/>
    </xf>
    <xf numFmtId="0" fontId="8" fillId="0" borderId="31" xfId="1" applyFont="1" applyBorder="1" applyAlignment="1" applyProtection="1">
      <alignment horizontal="left" vertical="top" wrapText="1"/>
      <protection locked="0"/>
    </xf>
    <xf numFmtId="9" fontId="7" fillId="0" borderId="5" xfId="8" applyFont="1" applyFill="1" applyBorder="1" applyAlignment="1" applyProtection="1">
      <alignment horizontal="center" vertical="center" wrapText="1"/>
      <protection locked="0"/>
    </xf>
    <xf numFmtId="9" fontId="7" fillId="0" borderId="7" xfId="8" applyFont="1" applyFill="1" applyBorder="1" applyAlignment="1" applyProtection="1">
      <alignment horizontal="center" vertical="center" wrapText="1"/>
      <protection locked="0"/>
    </xf>
    <xf numFmtId="9" fontId="7" fillId="0" borderId="38" xfId="8" applyFont="1" applyFill="1" applyBorder="1" applyAlignment="1" applyProtection="1">
      <alignment horizontal="center" vertical="center"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8</xdr:col>
      <xdr:colOff>696982</xdr:colOff>
      <xdr:row>63</xdr:row>
      <xdr:rowOff>165653</xdr:rowOff>
    </xdr:from>
    <xdr:to>
      <xdr:col>13</xdr:col>
      <xdr:colOff>625957</xdr:colOff>
      <xdr:row>73</xdr:row>
      <xdr:rowOff>72430</xdr:rowOff>
    </xdr:to>
    <xdr:pic>
      <xdr:nvPicPr>
        <xdr:cNvPr id="2" name="Picture 1">
          <a:extLst>
            <a:ext uri="{FF2B5EF4-FFF2-40B4-BE49-F238E27FC236}">
              <a16:creationId xmlns:a16="http://schemas.microsoft.com/office/drawing/2014/main" id="{9C1B607B-7FB1-4097-9471-ED1D4214AF2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16612" y="13881653"/>
          <a:ext cx="4318758" cy="1497038"/>
        </a:xfrm>
        <a:prstGeom prst="rect">
          <a:avLst/>
        </a:prstGeom>
        <a:ln>
          <a:solidFill>
            <a:schemeClr val="tx1"/>
          </a:solidFill>
        </a:ln>
      </xdr:spPr>
    </xdr:pic>
    <xdr:clientData/>
  </xdr:twoCellAnchor>
  <xdr:twoCellAnchor editAs="oneCell">
    <xdr:from>
      <xdr:col>9</xdr:col>
      <xdr:colOff>347868</xdr:colOff>
      <xdr:row>51</xdr:row>
      <xdr:rowOff>84896</xdr:rowOff>
    </xdr:from>
    <xdr:to>
      <xdr:col>13</xdr:col>
      <xdr:colOff>720136</xdr:colOff>
      <xdr:row>60</xdr:row>
      <xdr:rowOff>157712</xdr:rowOff>
    </xdr:to>
    <xdr:pic>
      <xdr:nvPicPr>
        <xdr:cNvPr id="3" name="Picture 2">
          <a:extLst>
            <a:ext uri="{FF2B5EF4-FFF2-40B4-BE49-F238E27FC236}">
              <a16:creationId xmlns:a16="http://schemas.microsoft.com/office/drawing/2014/main" id="{F4BF63E6-A793-4A9F-8419-D5B3E9CB42A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827064" y="12575070"/>
          <a:ext cx="3602485" cy="1687925"/>
        </a:xfrm>
        <a:prstGeom prst="rect">
          <a:avLst/>
        </a:prstGeom>
        <a:ln>
          <a:solidFill>
            <a:schemeClr val="tx1"/>
          </a:solidFill>
        </a:ln>
      </xdr:spPr>
    </xdr:pic>
    <xdr:clientData/>
  </xdr:twoCellAnchor>
  <xdr:twoCellAnchor editAs="oneCell">
    <xdr:from>
      <xdr:col>8</xdr:col>
      <xdr:colOff>180975</xdr:colOff>
      <xdr:row>44</xdr:row>
      <xdr:rowOff>38100</xdr:rowOff>
    </xdr:from>
    <xdr:to>
      <xdr:col>11</xdr:col>
      <xdr:colOff>418736</xdr:colOff>
      <xdr:row>50</xdr:row>
      <xdr:rowOff>237950</xdr:rowOff>
    </xdr:to>
    <xdr:pic>
      <xdr:nvPicPr>
        <xdr:cNvPr id="4" name="Picture 3">
          <a:extLst>
            <a:ext uri="{FF2B5EF4-FFF2-40B4-BE49-F238E27FC236}">
              <a16:creationId xmlns:a16="http://schemas.microsoft.com/office/drawing/2014/main" id="{503D7A0A-4163-4378-9CB1-D43FBD80555B}"/>
            </a:ext>
          </a:extLst>
        </xdr:cNvPr>
        <xdr:cNvPicPr>
          <a:picLocks noChangeAspect="1"/>
        </xdr:cNvPicPr>
      </xdr:nvPicPr>
      <xdr:blipFill>
        <a:blip xmlns:r="http://schemas.openxmlformats.org/officeDocument/2006/relationships" r:embed="rId3"/>
        <a:stretch>
          <a:fillRect/>
        </a:stretch>
      </xdr:blipFill>
      <xdr:spPr>
        <a:xfrm>
          <a:off x="6496050" y="9267825"/>
          <a:ext cx="2914286" cy="1400000"/>
        </a:xfrm>
        <a:prstGeom prst="rect">
          <a:avLst/>
        </a:prstGeom>
        <a:ln>
          <a:solidFill>
            <a:schemeClr val="tx1"/>
          </a:solidFill>
        </a:ln>
      </xdr:spPr>
    </xdr:pic>
    <xdr:clientData/>
  </xdr:twoCellAnchor>
  <xdr:twoCellAnchor>
    <xdr:from>
      <xdr:col>0</xdr:col>
      <xdr:colOff>105564</xdr:colOff>
      <xdr:row>348</xdr:row>
      <xdr:rowOff>110684</xdr:rowOff>
    </xdr:from>
    <xdr:to>
      <xdr:col>7</xdr:col>
      <xdr:colOff>531591</xdr:colOff>
      <xdr:row>359</xdr:row>
      <xdr:rowOff>5792</xdr:rowOff>
    </xdr:to>
    <xdr:grpSp>
      <xdr:nvGrpSpPr>
        <xdr:cNvPr id="30" name="Group 29">
          <a:extLst>
            <a:ext uri="{FF2B5EF4-FFF2-40B4-BE49-F238E27FC236}">
              <a16:creationId xmlns:a16="http://schemas.microsoft.com/office/drawing/2014/main" id="{95F2E35E-BD37-411A-8C31-AD2B28601F51}"/>
            </a:ext>
          </a:extLst>
        </xdr:cNvPr>
        <xdr:cNvGrpSpPr/>
      </xdr:nvGrpSpPr>
      <xdr:grpSpPr>
        <a:xfrm>
          <a:off x="105564" y="62457524"/>
          <a:ext cx="6186747" cy="2074428"/>
          <a:chOff x="104775" y="1214410"/>
          <a:chExt cx="6858000" cy="1756317"/>
        </a:xfrm>
      </xdr:grpSpPr>
      <xdr:pic>
        <xdr:nvPicPr>
          <xdr:cNvPr id="35" name="Picture 34">
            <a:extLst>
              <a:ext uri="{FF2B5EF4-FFF2-40B4-BE49-F238E27FC236}">
                <a16:creationId xmlns:a16="http://schemas.microsoft.com/office/drawing/2014/main" id="{B3E6AB88-BD15-4824-B2AE-CA64BA510798}"/>
              </a:ext>
            </a:extLst>
          </xdr:cNvPr>
          <xdr:cNvPicPr>
            <a:picLocks noChangeAspect="1"/>
          </xdr:cNvPicPr>
        </xdr:nvPicPr>
        <xdr:blipFill>
          <a:blip xmlns:r="http://schemas.openxmlformats.org/officeDocument/2006/relationships" r:embed="rId4"/>
          <a:stretch>
            <a:fillRect/>
          </a:stretch>
        </xdr:blipFill>
        <xdr:spPr>
          <a:xfrm>
            <a:off x="104775" y="1214410"/>
            <a:ext cx="6858000" cy="1756317"/>
          </a:xfrm>
          <a:prstGeom prst="rect">
            <a:avLst/>
          </a:prstGeom>
          <a:ln>
            <a:solidFill>
              <a:schemeClr val="tx1"/>
            </a:solidFill>
          </a:ln>
        </xdr:spPr>
      </xdr:pic>
      <xdr:sp macro="" textlink="">
        <xdr:nvSpPr>
          <xdr:cNvPr id="36" name="Rectangle 35">
            <a:extLst>
              <a:ext uri="{FF2B5EF4-FFF2-40B4-BE49-F238E27FC236}">
                <a16:creationId xmlns:a16="http://schemas.microsoft.com/office/drawing/2014/main" id="{121B8857-B043-498B-AE16-C945B971CC2E}"/>
              </a:ext>
            </a:extLst>
          </xdr:cNvPr>
          <xdr:cNvSpPr/>
        </xdr:nvSpPr>
        <xdr:spPr>
          <a:xfrm>
            <a:off x="2762250" y="1593850"/>
            <a:ext cx="812800" cy="514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7" name="Rectangle 36">
            <a:extLst>
              <a:ext uri="{FF2B5EF4-FFF2-40B4-BE49-F238E27FC236}">
                <a16:creationId xmlns:a16="http://schemas.microsoft.com/office/drawing/2014/main" id="{4E56AC66-FD44-4E81-BBA7-218359E8F6CB}"/>
              </a:ext>
            </a:extLst>
          </xdr:cNvPr>
          <xdr:cNvSpPr/>
        </xdr:nvSpPr>
        <xdr:spPr>
          <a:xfrm>
            <a:off x="1892300" y="1670050"/>
            <a:ext cx="812800" cy="514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8" name="Rectangle 37">
            <a:extLst>
              <a:ext uri="{FF2B5EF4-FFF2-40B4-BE49-F238E27FC236}">
                <a16:creationId xmlns:a16="http://schemas.microsoft.com/office/drawing/2014/main" id="{20887BE5-CF6B-417C-B35C-05D9EF9754BD}"/>
              </a:ext>
            </a:extLst>
          </xdr:cNvPr>
          <xdr:cNvSpPr/>
        </xdr:nvSpPr>
        <xdr:spPr>
          <a:xfrm>
            <a:off x="1035050" y="1800000"/>
            <a:ext cx="812800" cy="5143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Rectangle 38">
            <a:extLst>
              <a:ext uri="{FF2B5EF4-FFF2-40B4-BE49-F238E27FC236}">
                <a16:creationId xmlns:a16="http://schemas.microsoft.com/office/drawing/2014/main" id="{E3DD860D-F7A7-4858-87BC-B30719DD0005}"/>
              </a:ext>
            </a:extLst>
          </xdr:cNvPr>
          <xdr:cNvSpPr/>
        </xdr:nvSpPr>
        <xdr:spPr>
          <a:xfrm>
            <a:off x="342900" y="1458977"/>
            <a:ext cx="571500" cy="64922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0" name="Rectangle 39">
            <a:extLst>
              <a:ext uri="{FF2B5EF4-FFF2-40B4-BE49-F238E27FC236}">
                <a16:creationId xmlns:a16="http://schemas.microsoft.com/office/drawing/2014/main" id="{064489CD-9B50-4B0B-BFCD-7685A87E6E4D}"/>
              </a:ext>
            </a:extLst>
          </xdr:cNvPr>
          <xdr:cNvSpPr/>
        </xdr:nvSpPr>
        <xdr:spPr>
          <a:xfrm>
            <a:off x="342899" y="2114550"/>
            <a:ext cx="571501" cy="5905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1" name="TextBox 126">
            <a:extLst>
              <a:ext uri="{FF2B5EF4-FFF2-40B4-BE49-F238E27FC236}">
                <a16:creationId xmlns:a16="http://schemas.microsoft.com/office/drawing/2014/main" id="{7056E285-1D36-4178-A18B-33911298A2A4}"/>
              </a:ext>
            </a:extLst>
          </xdr:cNvPr>
          <xdr:cNvSpPr txBox="1"/>
        </xdr:nvSpPr>
        <xdr:spPr>
          <a:xfrm>
            <a:off x="2834478" y="1386483"/>
            <a:ext cx="799964" cy="2857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Wing A</a:t>
            </a:r>
            <a:endParaRPr lang="en-IN" sz="1200" b="1"/>
          </a:p>
        </xdr:txBody>
      </xdr:sp>
      <xdr:sp macro="" textlink="">
        <xdr:nvSpPr>
          <xdr:cNvPr id="42" name="TextBox 195">
            <a:extLst>
              <a:ext uri="{FF2B5EF4-FFF2-40B4-BE49-F238E27FC236}">
                <a16:creationId xmlns:a16="http://schemas.microsoft.com/office/drawing/2014/main" id="{8BB8D4C2-70D9-401F-BACD-C1D8A003D14C}"/>
              </a:ext>
            </a:extLst>
          </xdr:cNvPr>
          <xdr:cNvSpPr txBox="1"/>
        </xdr:nvSpPr>
        <xdr:spPr>
          <a:xfrm>
            <a:off x="1918011" y="1494695"/>
            <a:ext cx="776749" cy="2857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Wing B</a:t>
            </a:r>
            <a:endParaRPr lang="en-IN" sz="1200" b="1"/>
          </a:p>
        </xdr:txBody>
      </xdr:sp>
      <xdr:sp macro="" textlink="">
        <xdr:nvSpPr>
          <xdr:cNvPr id="43" name="TextBox 196">
            <a:extLst>
              <a:ext uri="{FF2B5EF4-FFF2-40B4-BE49-F238E27FC236}">
                <a16:creationId xmlns:a16="http://schemas.microsoft.com/office/drawing/2014/main" id="{4D3BF4C3-63A9-4AB9-A68A-09717D740BD0}"/>
              </a:ext>
            </a:extLst>
          </xdr:cNvPr>
          <xdr:cNvSpPr txBox="1"/>
        </xdr:nvSpPr>
        <xdr:spPr>
          <a:xfrm>
            <a:off x="1078388" y="2253996"/>
            <a:ext cx="744253" cy="285753"/>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Wing C</a:t>
            </a:r>
            <a:endParaRPr lang="en-IN" sz="1200" b="1"/>
          </a:p>
        </xdr:txBody>
      </xdr:sp>
      <xdr:sp macro="" textlink="">
        <xdr:nvSpPr>
          <xdr:cNvPr id="44" name="TextBox 197">
            <a:extLst>
              <a:ext uri="{FF2B5EF4-FFF2-40B4-BE49-F238E27FC236}">
                <a16:creationId xmlns:a16="http://schemas.microsoft.com/office/drawing/2014/main" id="{9FE977F5-FFE0-480C-9514-4902BE4DA823}"/>
              </a:ext>
            </a:extLst>
          </xdr:cNvPr>
          <xdr:cNvSpPr txBox="1"/>
        </xdr:nvSpPr>
        <xdr:spPr>
          <a:xfrm>
            <a:off x="243193" y="1400706"/>
            <a:ext cx="836226" cy="28575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Wing E</a:t>
            </a:r>
            <a:endParaRPr lang="en-IN" sz="1200" b="1"/>
          </a:p>
        </xdr:txBody>
      </xdr:sp>
      <xdr:sp macro="" textlink="">
        <xdr:nvSpPr>
          <xdr:cNvPr id="45" name="TextBox 198">
            <a:extLst>
              <a:ext uri="{FF2B5EF4-FFF2-40B4-BE49-F238E27FC236}">
                <a16:creationId xmlns:a16="http://schemas.microsoft.com/office/drawing/2014/main" id="{A10DC97B-1D63-4413-98D8-1AB2135A64F0}"/>
              </a:ext>
            </a:extLst>
          </xdr:cNvPr>
          <xdr:cNvSpPr txBox="1"/>
        </xdr:nvSpPr>
        <xdr:spPr>
          <a:xfrm>
            <a:off x="292092" y="2679155"/>
            <a:ext cx="780819" cy="173726"/>
          </a:xfrm>
          <a:prstGeom prst="rect">
            <a:avLst/>
          </a:prstGeom>
          <a:noFill/>
          <a:ln>
            <a:no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Wing D</a:t>
            </a:r>
            <a:endParaRPr lang="en-IN" sz="1200" b="1"/>
          </a:p>
        </xdr:txBody>
      </xdr:sp>
      <xdr:sp macro="" textlink="">
        <xdr:nvSpPr>
          <xdr:cNvPr id="46" name="Arrow: Down 45">
            <a:extLst>
              <a:ext uri="{FF2B5EF4-FFF2-40B4-BE49-F238E27FC236}">
                <a16:creationId xmlns:a16="http://schemas.microsoft.com/office/drawing/2014/main" id="{6BC721A5-0AC4-4320-9ACA-C4B4CB3FFC3B}"/>
              </a:ext>
            </a:extLst>
          </xdr:cNvPr>
          <xdr:cNvSpPr/>
        </xdr:nvSpPr>
        <xdr:spPr>
          <a:xfrm rot="10800000">
            <a:off x="4165400" y="2323875"/>
            <a:ext cx="177798" cy="2349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7" name="TextBox 128">
            <a:extLst>
              <a:ext uri="{FF2B5EF4-FFF2-40B4-BE49-F238E27FC236}">
                <a16:creationId xmlns:a16="http://schemas.microsoft.com/office/drawing/2014/main" id="{30B663FD-9F7A-4133-8669-790299F091D2}"/>
              </a:ext>
            </a:extLst>
          </xdr:cNvPr>
          <xdr:cNvSpPr txBox="1"/>
        </xdr:nvSpPr>
        <xdr:spPr>
          <a:xfrm>
            <a:off x="4111471" y="2512413"/>
            <a:ext cx="28565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N</a:t>
            </a:r>
            <a:endParaRPr lang="en-IN" sz="1200" b="1"/>
          </a:p>
        </xdr:txBody>
      </xdr:sp>
    </xdr:grpSp>
    <xdr:clientData/>
  </xdr:twoCellAnchor>
  <xdr:twoCellAnchor>
    <xdr:from>
      <xdr:col>0</xdr:col>
      <xdr:colOff>237822</xdr:colOff>
      <xdr:row>359</xdr:row>
      <xdr:rowOff>120138</xdr:rowOff>
    </xdr:from>
    <xdr:to>
      <xdr:col>7</xdr:col>
      <xdr:colOff>529334</xdr:colOff>
      <xdr:row>371</xdr:row>
      <xdr:rowOff>70025</xdr:rowOff>
    </xdr:to>
    <xdr:grpSp>
      <xdr:nvGrpSpPr>
        <xdr:cNvPr id="31" name="Group 30">
          <a:extLst>
            <a:ext uri="{FF2B5EF4-FFF2-40B4-BE49-F238E27FC236}">
              <a16:creationId xmlns:a16="http://schemas.microsoft.com/office/drawing/2014/main" id="{6212185B-9940-4CDB-864B-6B13C39EF139}"/>
            </a:ext>
          </a:extLst>
        </xdr:cNvPr>
        <xdr:cNvGrpSpPr/>
      </xdr:nvGrpSpPr>
      <xdr:grpSpPr>
        <a:xfrm>
          <a:off x="237822" y="64646298"/>
          <a:ext cx="6052232" cy="2327327"/>
          <a:chOff x="209550" y="3352800"/>
          <a:chExt cx="6648450" cy="2438400"/>
        </a:xfrm>
      </xdr:grpSpPr>
      <xdr:pic>
        <xdr:nvPicPr>
          <xdr:cNvPr id="32" name="Picture 31">
            <a:extLst>
              <a:ext uri="{FF2B5EF4-FFF2-40B4-BE49-F238E27FC236}">
                <a16:creationId xmlns:a16="http://schemas.microsoft.com/office/drawing/2014/main" id="{75C701EB-1FEB-47AA-BA03-B0970562031A}"/>
              </a:ext>
            </a:extLst>
          </xdr:cNvPr>
          <xdr:cNvPicPr>
            <a:picLocks noChangeAspect="1"/>
          </xdr:cNvPicPr>
        </xdr:nvPicPr>
        <xdr:blipFill>
          <a:blip xmlns:r="http://schemas.openxmlformats.org/officeDocument/2006/relationships" r:embed="rId5"/>
          <a:stretch>
            <a:fillRect/>
          </a:stretch>
        </xdr:blipFill>
        <xdr:spPr>
          <a:xfrm>
            <a:off x="209550" y="3352800"/>
            <a:ext cx="6648450" cy="2438400"/>
          </a:xfrm>
          <a:prstGeom prst="rect">
            <a:avLst/>
          </a:prstGeom>
          <a:ln>
            <a:solidFill>
              <a:schemeClr val="tx1"/>
            </a:solidFill>
          </a:ln>
        </xdr:spPr>
      </xdr:pic>
      <xdr:sp macro="" textlink="">
        <xdr:nvSpPr>
          <xdr:cNvPr id="33" name="Arrow: Down 32">
            <a:extLst>
              <a:ext uri="{FF2B5EF4-FFF2-40B4-BE49-F238E27FC236}">
                <a16:creationId xmlns:a16="http://schemas.microsoft.com/office/drawing/2014/main" id="{BE941FEB-70D8-4B48-AA0C-7A1C0DD10256}"/>
              </a:ext>
            </a:extLst>
          </xdr:cNvPr>
          <xdr:cNvSpPr/>
        </xdr:nvSpPr>
        <xdr:spPr>
          <a:xfrm rot="10800000">
            <a:off x="5791000" y="4938805"/>
            <a:ext cx="177798" cy="2349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202">
            <a:extLst>
              <a:ext uri="{FF2B5EF4-FFF2-40B4-BE49-F238E27FC236}">
                <a16:creationId xmlns:a16="http://schemas.microsoft.com/office/drawing/2014/main" id="{A105B178-EED9-4253-89A5-1390530A1FFD}"/>
              </a:ext>
            </a:extLst>
          </xdr:cNvPr>
          <xdr:cNvSpPr txBox="1"/>
        </xdr:nvSpPr>
        <xdr:spPr>
          <a:xfrm>
            <a:off x="5737071" y="5127343"/>
            <a:ext cx="285656"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t>N</a:t>
            </a:r>
            <a:endParaRPr lang="en-IN" sz="1200" b="1"/>
          </a:p>
        </xdr:txBody>
      </xdr:sp>
    </xdr:grpSp>
    <xdr:clientData/>
  </xdr:twoCellAnchor>
  <xdr:twoCellAnchor editAs="oneCell">
    <xdr:from>
      <xdr:col>1</xdr:col>
      <xdr:colOff>648763</xdr:colOff>
      <xdr:row>401</xdr:row>
      <xdr:rowOff>103531</xdr:rowOff>
    </xdr:from>
    <xdr:to>
      <xdr:col>5</xdr:col>
      <xdr:colOff>600075</xdr:colOff>
      <xdr:row>419</xdr:row>
      <xdr:rowOff>26376</xdr:rowOff>
    </xdr:to>
    <xdr:pic>
      <xdr:nvPicPr>
        <xdr:cNvPr id="51" name="Picture 50">
          <a:extLst>
            <a:ext uri="{FF2B5EF4-FFF2-40B4-BE49-F238E27FC236}">
              <a16:creationId xmlns:a16="http://schemas.microsoft.com/office/drawing/2014/main" id="{7D0AB4C1-E79F-4A81-A4FC-44C799D2A455}"/>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410763" y="66187981"/>
          <a:ext cx="3294587" cy="3523294"/>
        </a:xfrm>
        <a:prstGeom prst="rect">
          <a:avLst/>
        </a:prstGeom>
        <a:ln>
          <a:solidFill>
            <a:schemeClr val="tx1"/>
          </a:solidFill>
        </a:ln>
      </xdr:spPr>
    </xdr:pic>
    <xdr:clientData/>
  </xdr:twoCellAnchor>
  <xdr:twoCellAnchor editAs="oneCell">
    <xdr:from>
      <xdr:col>0</xdr:col>
      <xdr:colOff>450395</xdr:colOff>
      <xdr:row>308</xdr:row>
      <xdr:rowOff>124607</xdr:rowOff>
    </xdr:from>
    <xdr:to>
      <xdr:col>7</xdr:col>
      <xdr:colOff>373380</xdr:colOff>
      <xdr:row>344</xdr:row>
      <xdr:rowOff>106676</xdr:rowOff>
    </xdr:to>
    <xdr:pic>
      <xdr:nvPicPr>
        <xdr:cNvPr id="70" name="Picture 69">
          <a:extLst>
            <a:ext uri="{FF2B5EF4-FFF2-40B4-BE49-F238E27FC236}">
              <a16:creationId xmlns:a16="http://schemas.microsoft.com/office/drawing/2014/main" id="{F28C97DA-A389-46D5-8353-C9D1C3C8C9E4}"/>
            </a:ext>
          </a:extLst>
        </xdr:cNvPr>
        <xdr:cNvPicPr>
          <a:picLocks noChangeAspect="1"/>
        </xdr:cNvPicPr>
      </xdr:nvPicPr>
      <xdr:blipFill>
        <a:blip xmlns:r="http://schemas.openxmlformats.org/officeDocument/2006/relationships" r:embed="rId7"/>
        <a:stretch>
          <a:fillRect/>
        </a:stretch>
      </xdr:blipFill>
      <xdr:spPr>
        <a:xfrm>
          <a:off x="450395" y="54546647"/>
          <a:ext cx="5683705" cy="7114389"/>
        </a:xfrm>
        <a:prstGeom prst="rect">
          <a:avLst/>
        </a:prstGeom>
        <a:ln>
          <a:solidFill>
            <a:schemeClr val="tx1"/>
          </a:solidFill>
        </a:ln>
      </xdr:spPr>
    </xdr:pic>
    <xdr:clientData/>
  </xdr:twoCellAnchor>
  <xdr:twoCellAnchor editAs="oneCell">
    <xdr:from>
      <xdr:col>8</xdr:col>
      <xdr:colOff>429867</xdr:colOff>
      <xdr:row>17</xdr:row>
      <xdr:rowOff>91523</xdr:rowOff>
    </xdr:from>
    <xdr:to>
      <xdr:col>12</xdr:col>
      <xdr:colOff>734179</xdr:colOff>
      <xdr:row>23</xdr:row>
      <xdr:rowOff>253248</xdr:rowOff>
    </xdr:to>
    <xdr:pic>
      <xdr:nvPicPr>
        <xdr:cNvPr id="71" name="Picture 70">
          <a:extLst>
            <a:ext uri="{FF2B5EF4-FFF2-40B4-BE49-F238E27FC236}">
              <a16:creationId xmlns:a16="http://schemas.microsoft.com/office/drawing/2014/main" id="{3A78B3C0-C268-4C3C-B8BF-E7BEDCC958C9}"/>
            </a:ext>
          </a:extLst>
        </xdr:cNvPr>
        <xdr:cNvPicPr>
          <a:picLocks noChangeAspect="1"/>
        </xdr:cNvPicPr>
      </xdr:nvPicPr>
      <xdr:blipFill>
        <a:blip xmlns:r="http://schemas.openxmlformats.org/officeDocument/2006/relationships" r:embed="rId8"/>
        <a:stretch>
          <a:fillRect/>
        </a:stretch>
      </xdr:blipFill>
      <xdr:spPr>
        <a:xfrm>
          <a:off x="6749497" y="3454262"/>
          <a:ext cx="3907247" cy="1594616"/>
        </a:xfrm>
        <a:prstGeom prst="rect">
          <a:avLst/>
        </a:prstGeom>
        <a:ln>
          <a:solidFill>
            <a:schemeClr val="tx1"/>
          </a:solidFill>
        </a:ln>
      </xdr:spPr>
    </xdr:pic>
    <xdr:clientData/>
  </xdr:twoCellAnchor>
  <xdr:twoCellAnchor editAs="oneCell">
    <xdr:from>
      <xdr:col>9</xdr:col>
      <xdr:colOff>648820</xdr:colOff>
      <xdr:row>156</xdr:row>
      <xdr:rowOff>463363</xdr:rowOff>
    </xdr:from>
    <xdr:to>
      <xdr:col>16</xdr:col>
      <xdr:colOff>159845</xdr:colOff>
      <xdr:row>161</xdr:row>
      <xdr:rowOff>16941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9"/>
        <a:stretch>
          <a:fillRect/>
        </a:stretch>
      </xdr:blipFill>
      <xdr:spPr>
        <a:xfrm>
          <a:off x="8125945" y="22513738"/>
          <a:ext cx="5168875" cy="953753"/>
        </a:xfrm>
        <a:prstGeom prst="rect">
          <a:avLst/>
        </a:prstGeom>
      </xdr:spPr>
    </xdr:pic>
    <xdr:clientData/>
  </xdr:twoCellAnchor>
  <xdr:twoCellAnchor>
    <xdr:from>
      <xdr:col>0</xdr:col>
      <xdr:colOff>342900</xdr:colOff>
      <xdr:row>386</xdr:row>
      <xdr:rowOff>47625</xdr:rowOff>
    </xdr:from>
    <xdr:to>
      <xdr:col>7</xdr:col>
      <xdr:colOff>300405</xdr:colOff>
      <xdr:row>400</xdr:row>
      <xdr:rowOff>190500</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342900" y="69923025"/>
          <a:ext cx="5718225" cy="2916555"/>
          <a:chOff x="342900" y="72015212"/>
          <a:chExt cx="5539983" cy="2925831"/>
        </a:xfrm>
      </xdr:grpSpPr>
      <xdr:grpSp>
        <xdr:nvGrpSpPr>
          <xdr:cNvPr id="14" name="Group 13">
            <a:extLst>
              <a:ext uri="{FF2B5EF4-FFF2-40B4-BE49-F238E27FC236}">
                <a16:creationId xmlns:a16="http://schemas.microsoft.com/office/drawing/2014/main" id="{00000000-0008-0000-0000-00000E000000}"/>
              </a:ext>
            </a:extLst>
          </xdr:cNvPr>
          <xdr:cNvGrpSpPr/>
        </xdr:nvGrpSpPr>
        <xdr:grpSpPr>
          <a:xfrm>
            <a:off x="342900" y="72015212"/>
            <a:ext cx="5539983" cy="2862606"/>
            <a:chOff x="342900" y="71712260"/>
            <a:chExt cx="5540620" cy="2849227"/>
          </a:xfrm>
        </xdr:grpSpPr>
        <xdr:pic>
          <xdr:nvPicPr>
            <xdr:cNvPr id="48" name="Picture 47">
              <a:extLst>
                <a:ext uri="{FF2B5EF4-FFF2-40B4-BE49-F238E27FC236}">
                  <a16:creationId xmlns:a16="http://schemas.microsoft.com/office/drawing/2014/main" id="{4ADC9C73-4A4A-442F-8E82-F7A5F41F1648}"/>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42900" y="71712260"/>
              <a:ext cx="5540620" cy="2849227"/>
            </a:xfrm>
            <a:prstGeom prst="rect">
              <a:avLst/>
            </a:prstGeom>
            <a:ln>
              <a:solidFill>
                <a:schemeClr val="tx1"/>
              </a:solidFill>
            </a:ln>
          </xdr:spPr>
        </xdr:pic>
        <xdr:sp macro="" textlink="">
          <xdr:nvSpPr>
            <xdr:cNvPr id="49" name="Rectangle 48">
              <a:extLst>
                <a:ext uri="{FF2B5EF4-FFF2-40B4-BE49-F238E27FC236}">
                  <a16:creationId xmlns:a16="http://schemas.microsoft.com/office/drawing/2014/main" id="{7C669A42-AE3C-4381-AC7E-27F56A00F90B}"/>
                </a:ext>
              </a:extLst>
            </xdr:cNvPr>
            <xdr:cNvSpPr/>
          </xdr:nvSpPr>
          <xdr:spPr>
            <a:xfrm rot="21306268">
              <a:off x="901216" y="72591299"/>
              <a:ext cx="4085448" cy="796534"/>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0" name="TextBox 134">
              <a:extLst>
                <a:ext uri="{FF2B5EF4-FFF2-40B4-BE49-F238E27FC236}">
                  <a16:creationId xmlns:a16="http://schemas.microsoft.com/office/drawing/2014/main" id="{937CF759-E612-495D-ADCB-DDE6FB69D93C}"/>
                </a:ext>
              </a:extLst>
            </xdr:cNvPr>
            <xdr:cNvSpPr txBox="1"/>
          </xdr:nvSpPr>
          <xdr:spPr>
            <a:xfrm>
              <a:off x="1273421" y="72775392"/>
              <a:ext cx="1960757" cy="29880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latin typeface="Times New Roman" panose="02020603050405020304" pitchFamily="18" charset="0"/>
                  <a:cs typeface="Times New Roman" panose="02020603050405020304" pitchFamily="18" charset="0"/>
                </a:rPr>
                <a:t>Bhagwati Celestria</a:t>
              </a:r>
              <a:endParaRPr lang="en-IN" sz="1400" b="1">
                <a:solidFill>
                  <a:srgbClr val="FFFF00"/>
                </a:solidFill>
                <a:latin typeface="Times New Roman" panose="02020603050405020304" pitchFamily="18" charset="0"/>
                <a:cs typeface="Times New Roman" panose="02020603050405020304" pitchFamily="18" charset="0"/>
              </a:endParaRPr>
            </a:p>
          </xdr:txBody>
        </xdr:sp>
        <xdr:sp macro="" textlink="">
          <xdr:nvSpPr>
            <xdr:cNvPr id="67" name="TextBox 134">
              <a:extLst>
                <a:ext uri="{FF2B5EF4-FFF2-40B4-BE49-F238E27FC236}">
                  <a16:creationId xmlns:a16="http://schemas.microsoft.com/office/drawing/2014/main" id="{937CF759-E612-495D-ADCB-DDE6FB69D93C}"/>
                </a:ext>
              </a:extLst>
            </xdr:cNvPr>
            <xdr:cNvSpPr txBox="1"/>
          </xdr:nvSpPr>
          <xdr:spPr>
            <a:xfrm>
              <a:off x="2052076" y="73830612"/>
              <a:ext cx="1960757" cy="29880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chemeClr val="bg1"/>
                  </a:solidFill>
                  <a:latin typeface="Times New Roman" panose="02020603050405020304" pitchFamily="18" charset="0"/>
                  <a:cs typeface="Times New Roman" panose="02020603050405020304" pitchFamily="18" charset="0"/>
                </a:rPr>
                <a:t>CRZ </a:t>
              </a:r>
              <a:r>
                <a:rPr lang="en-US" sz="1400" b="1" baseline="0">
                  <a:solidFill>
                    <a:schemeClr val="bg1"/>
                  </a:solidFill>
                  <a:latin typeface="Times New Roman" panose="02020603050405020304" pitchFamily="18" charset="0"/>
                  <a:cs typeface="Times New Roman" panose="02020603050405020304" pitchFamily="18" charset="0"/>
                </a:rPr>
                <a:t> Area</a:t>
              </a:r>
              <a:endParaRPr lang="en-IN" sz="1400" b="1">
                <a:solidFill>
                  <a:schemeClr val="bg1"/>
                </a:solidFill>
                <a:latin typeface="Times New Roman" panose="02020603050405020304" pitchFamily="18" charset="0"/>
                <a:cs typeface="Times New Roman" panose="02020603050405020304" pitchFamily="18" charset="0"/>
              </a:endParaRPr>
            </a:p>
          </xdr:txBody>
        </xdr:sp>
      </xdr:grpSp>
      <xdr:sp macro="" textlink="">
        <xdr:nvSpPr>
          <xdr:cNvPr id="16" name="Freeform 15">
            <a:extLst>
              <a:ext uri="{FF2B5EF4-FFF2-40B4-BE49-F238E27FC236}">
                <a16:creationId xmlns:a16="http://schemas.microsoft.com/office/drawing/2014/main" id="{00000000-0008-0000-0000-000010000000}"/>
              </a:ext>
            </a:extLst>
          </xdr:cNvPr>
          <xdr:cNvSpPr/>
        </xdr:nvSpPr>
        <xdr:spPr>
          <a:xfrm>
            <a:off x="2062370" y="73657239"/>
            <a:ext cx="2004391" cy="119269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2" name="Freeform 51">
            <a:extLst>
              <a:ext uri="{FF2B5EF4-FFF2-40B4-BE49-F238E27FC236}">
                <a16:creationId xmlns:a16="http://schemas.microsoft.com/office/drawing/2014/main" id="{00000000-0008-0000-0000-000034000000}"/>
              </a:ext>
            </a:extLst>
          </xdr:cNvPr>
          <xdr:cNvSpPr/>
        </xdr:nvSpPr>
        <xdr:spPr>
          <a:xfrm>
            <a:off x="2973456" y="73748347"/>
            <a:ext cx="2004391" cy="119269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3" name="Freeform 52">
            <a:extLst>
              <a:ext uri="{FF2B5EF4-FFF2-40B4-BE49-F238E27FC236}">
                <a16:creationId xmlns:a16="http://schemas.microsoft.com/office/drawing/2014/main" id="{00000000-0008-0000-0000-000035000000}"/>
              </a:ext>
            </a:extLst>
          </xdr:cNvPr>
          <xdr:cNvSpPr/>
        </xdr:nvSpPr>
        <xdr:spPr>
          <a:xfrm>
            <a:off x="2575892" y="73665521"/>
            <a:ext cx="2004391" cy="119269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Freeform 59">
            <a:extLst>
              <a:ext uri="{FF2B5EF4-FFF2-40B4-BE49-F238E27FC236}">
                <a16:creationId xmlns:a16="http://schemas.microsoft.com/office/drawing/2014/main" id="{00000000-0008-0000-0000-00003C000000}"/>
              </a:ext>
            </a:extLst>
          </xdr:cNvPr>
          <xdr:cNvSpPr/>
        </xdr:nvSpPr>
        <xdr:spPr>
          <a:xfrm>
            <a:off x="1374913" y="73723500"/>
            <a:ext cx="2004391" cy="119269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1" name="Freeform 60">
            <a:extLst>
              <a:ext uri="{FF2B5EF4-FFF2-40B4-BE49-F238E27FC236}">
                <a16:creationId xmlns:a16="http://schemas.microsoft.com/office/drawing/2014/main" id="{00000000-0008-0000-0000-00003D000000}"/>
              </a:ext>
            </a:extLst>
          </xdr:cNvPr>
          <xdr:cNvSpPr/>
        </xdr:nvSpPr>
        <xdr:spPr>
          <a:xfrm>
            <a:off x="836543" y="73831173"/>
            <a:ext cx="1830457" cy="1043609"/>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2" name="Freeform 61">
            <a:extLst>
              <a:ext uri="{FF2B5EF4-FFF2-40B4-BE49-F238E27FC236}">
                <a16:creationId xmlns:a16="http://schemas.microsoft.com/office/drawing/2014/main" id="{00000000-0008-0000-0000-00003E000000}"/>
              </a:ext>
            </a:extLst>
          </xdr:cNvPr>
          <xdr:cNvSpPr/>
        </xdr:nvSpPr>
        <xdr:spPr>
          <a:xfrm>
            <a:off x="380999" y="73773195"/>
            <a:ext cx="1830457" cy="1043609"/>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8" name="Freeform 67">
            <a:extLst>
              <a:ext uri="{FF2B5EF4-FFF2-40B4-BE49-F238E27FC236}">
                <a16:creationId xmlns:a16="http://schemas.microsoft.com/office/drawing/2014/main" id="{00000000-0008-0000-0000-000044000000}"/>
              </a:ext>
            </a:extLst>
          </xdr:cNvPr>
          <xdr:cNvSpPr/>
        </xdr:nvSpPr>
        <xdr:spPr>
          <a:xfrm>
            <a:off x="3627783" y="74129348"/>
            <a:ext cx="1333500" cy="74543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5</xdr:col>
      <xdr:colOff>82826</xdr:colOff>
      <xdr:row>398</xdr:row>
      <xdr:rowOff>91109</xdr:rowOff>
    </xdr:from>
    <xdr:to>
      <xdr:col>6</xdr:col>
      <xdr:colOff>190500</xdr:colOff>
      <xdr:row>400</xdr:row>
      <xdr:rowOff>124240</xdr:rowOff>
    </xdr:to>
    <xdr:sp macro="" textlink="">
      <xdr:nvSpPr>
        <xdr:cNvPr id="69" name="Freeform 68">
          <a:extLst>
            <a:ext uri="{FF2B5EF4-FFF2-40B4-BE49-F238E27FC236}">
              <a16:creationId xmlns:a16="http://schemas.microsoft.com/office/drawing/2014/main" id="{00000000-0008-0000-0000-000045000000}"/>
            </a:ext>
          </a:extLst>
        </xdr:cNvPr>
        <xdr:cNvSpPr/>
      </xdr:nvSpPr>
      <xdr:spPr>
        <a:xfrm>
          <a:off x="4182717" y="74444087"/>
          <a:ext cx="853109" cy="430696"/>
        </a:xfrm>
        <a:custGeom>
          <a:avLst/>
          <a:gdLst>
            <a:gd name="connsiteX0" fmla="*/ 2004391 w 2004391"/>
            <a:gd name="connsiteY0" fmla="*/ 0 h 1192696"/>
            <a:gd name="connsiteX1" fmla="*/ 0 w 2004391"/>
            <a:gd name="connsiteY1" fmla="*/ 1192696 h 1192696"/>
          </a:gdLst>
          <a:ahLst/>
          <a:cxnLst>
            <a:cxn ang="0">
              <a:pos x="connsiteX0" y="connsiteY0"/>
            </a:cxn>
            <a:cxn ang="0">
              <a:pos x="connsiteX1" y="connsiteY1"/>
            </a:cxn>
          </a:cxnLst>
          <a:rect l="l" t="t" r="r" b="b"/>
          <a:pathLst>
            <a:path w="2004391" h="1192696">
              <a:moveTo>
                <a:pt x="2004391" y="0"/>
              </a:moveTo>
              <a:lnTo>
                <a:pt x="0" y="1192696"/>
              </a:lnTo>
            </a:path>
          </a:pathLst>
        </a:cu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16510</xdr:colOff>
      <xdr:row>264</xdr:row>
      <xdr:rowOff>66040</xdr:rowOff>
    </xdr:from>
    <xdr:to>
      <xdr:col>16</xdr:col>
      <xdr:colOff>559854</xdr:colOff>
      <xdr:row>293</xdr:row>
      <xdr:rowOff>8923</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7727950" y="45778420"/>
          <a:ext cx="6357404" cy="5680743"/>
          <a:chOff x="69850" y="47066200"/>
          <a:chExt cx="6451384" cy="5645183"/>
        </a:xfrm>
      </xdr:grpSpPr>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123456" y="50911383"/>
            <a:ext cx="2397778" cy="1800000"/>
          </a:xfrm>
          <a:prstGeom prst="rect">
            <a:avLst/>
          </a:prstGeom>
          <a:ln>
            <a:solidFill>
              <a:schemeClr val="tx1"/>
            </a:solidFill>
          </a:ln>
        </xdr:spPr>
      </xdr:pic>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69850" y="50911383"/>
            <a:ext cx="2397778" cy="1800000"/>
          </a:xfrm>
          <a:prstGeom prst="rect">
            <a:avLst/>
          </a:prstGeom>
          <a:ln>
            <a:solidFill>
              <a:schemeClr val="tx1"/>
            </a:solidFill>
          </a:ln>
        </xdr:spPr>
      </xdr:pic>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621245" y="50911383"/>
            <a:ext cx="1348594" cy="1800000"/>
          </a:xfrm>
          <a:prstGeom prst="rect">
            <a:avLst/>
          </a:prstGeom>
          <a:ln>
            <a:solidFill>
              <a:schemeClr val="tx1"/>
            </a:solidFill>
          </a:ln>
        </xdr:spPr>
      </xdr:pic>
      <xdr:pic>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22911" y="48983048"/>
            <a:ext cx="2397778" cy="1800000"/>
          </a:xfrm>
          <a:prstGeom prst="rect">
            <a:avLst/>
          </a:prstGeom>
          <a:ln>
            <a:solidFill>
              <a:schemeClr val="tx1"/>
            </a:solidFill>
          </a:ln>
        </xdr:spPr>
      </xdr:pic>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871516" y="48983048"/>
            <a:ext cx="2397778" cy="1800000"/>
          </a:xfrm>
          <a:prstGeom prst="rect">
            <a:avLst/>
          </a:prstGeom>
          <a:ln>
            <a:solidFill>
              <a:schemeClr val="tx1"/>
            </a:solidFill>
          </a:ln>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22911" y="47066200"/>
            <a:ext cx="2397778" cy="1800000"/>
          </a:xfrm>
          <a:prstGeom prst="rect">
            <a:avLst/>
          </a:prstGeom>
          <a:ln>
            <a:solidFill>
              <a:schemeClr val="tx1"/>
            </a:solidFill>
          </a:ln>
        </xdr:spPr>
      </xdr:pic>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871516" y="47067239"/>
            <a:ext cx="2397778" cy="1800000"/>
          </a:xfrm>
          <a:prstGeom prst="rect">
            <a:avLst/>
          </a:prstGeom>
          <a:ln>
            <a:solidFill>
              <a:schemeClr val="tx1"/>
            </a:solidFill>
          </a:ln>
        </xdr:spPr>
      </xdr:pic>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587750" y="47307500"/>
            <a:ext cx="2152650" cy="10795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a:off x="3606800" y="47415450"/>
            <a:ext cx="2152650" cy="10795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65" name="Straight Connector 64">
            <a:extLst>
              <a:ext uri="{FF2B5EF4-FFF2-40B4-BE49-F238E27FC236}">
                <a16:creationId xmlns:a16="http://schemas.microsoft.com/office/drawing/2014/main" id="{00000000-0008-0000-0000-000041000000}"/>
              </a:ext>
            </a:extLst>
          </xdr:cNvPr>
          <xdr:cNvCxnSpPr/>
        </xdr:nvCxnSpPr>
        <xdr:spPr>
          <a:xfrm>
            <a:off x="3657600" y="47523400"/>
            <a:ext cx="2152650" cy="10795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66" name="Straight Connector 65">
            <a:extLst>
              <a:ext uri="{FF2B5EF4-FFF2-40B4-BE49-F238E27FC236}">
                <a16:creationId xmlns:a16="http://schemas.microsoft.com/office/drawing/2014/main" id="{00000000-0008-0000-0000-000042000000}"/>
              </a:ext>
            </a:extLst>
          </xdr:cNvPr>
          <xdr:cNvCxnSpPr/>
        </xdr:nvCxnSpPr>
        <xdr:spPr>
          <a:xfrm flipV="1">
            <a:off x="2205016" y="49218850"/>
            <a:ext cx="1058884" cy="215048"/>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2" name="Straight Connector 71">
            <a:extLst>
              <a:ext uri="{FF2B5EF4-FFF2-40B4-BE49-F238E27FC236}">
                <a16:creationId xmlns:a16="http://schemas.microsoft.com/office/drawing/2014/main" id="{00000000-0008-0000-0000-000048000000}"/>
              </a:ext>
            </a:extLst>
          </xdr:cNvPr>
          <xdr:cNvCxnSpPr/>
        </xdr:nvCxnSpPr>
        <xdr:spPr>
          <a:xfrm flipV="1">
            <a:off x="2228850" y="49314100"/>
            <a:ext cx="1035050" cy="19685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3" name="Straight Connector 72">
            <a:extLst>
              <a:ext uri="{FF2B5EF4-FFF2-40B4-BE49-F238E27FC236}">
                <a16:creationId xmlns:a16="http://schemas.microsoft.com/office/drawing/2014/main" id="{00000000-0008-0000-0000-000049000000}"/>
              </a:ext>
            </a:extLst>
          </xdr:cNvPr>
          <xdr:cNvCxnSpPr/>
        </xdr:nvCxnSpPr>
        <xdr:spPr>
          <a:xfrm flipV="1">
            <a:off x="2228850" y="49415700"/>
            <a:ext cx="1016000" cy="16510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4" name="Straight Connector 73">
            <a:extLst>
              <a:ext uri="{FF2B5EF4-FFF2-40B4-BE49-F238E27FC236}">
                <a16:creationId xmlns:a16="http://schemas.microsoft.com/office/drawing/2014/main" id="{00000000-0008-0000-0000-00004A000000}"/>
              </a:ext>
            </a:extLst>
          </xdr:cNvPr>
          <xdr:cNvCxnSpPr/>
        </xdr:nvCxnSpPr>
        <xdr:spPr>
          <a:xfrm flipV="1">
            <a:off x="1530350" y="49466500"/>
            <a:ext cx="590550" cy="19050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5" name="Straight Connector 74">
            <a:extLst>
              <a:ext uri="{FF2B5EF4-FFF2-40B4-BE49-F238E27FC236}">
                <a16:creationId xmlns:a16="http://schemas.microsoft.com/office/drawing/2014/main" id="{00000000-0008-0000-0000-00004B000000}"/>
              </a:ext>
            </a:extLst>
          </xdr:cNvPr>
          <xdr:cNvCxnSpPr/>
        </xdr:nvCxnSpPr>
        <xdr:spPr>
          <a:xfrm flipV="1">
            <a:off x="1543050" y="49523650"/>
            <a:ext cx="590550" cy="19050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76" name="Straight Connector 75">
            <a:extLst>
              <a:ext uri="{FF2B5EF4-FFF2-40B4-BE49-F238E27FC236}">
                <a16:creationId xmlns:a16="http://schemas.microsoft.com/office/drawing/2014/main" id="{00000000-0008-0000-0000-00004C000000}"/>
              </a:ext>
            </a:extLst>
          </xdr:cNvPr>
          <xdr:cNvCxnSpPr/>
        </xdr:nvCxnSpPr>
        <xdr:spPr>
          <a:xfrm flipV="1">
            <a:off x="1562100" y="49568100"/>
            <a:ext cx="590550" cy="190500"/>
          </a:xfrm>
          <a:prstGeom prst="line">
            <a:avLst/>
          </a:prstGeom>
          <a:ln w="19050">
            <a:solidFill>
              <a:srgbClr val="FF0000"/>
            </a:solidFill>
          </a:ln>
        </xdr:spPr>
        <xdr:style>
          <a:lnRef idx="1">
            <a:schemeClr val="dk1"/>
          </a:lnRef>
          <a:fillRef idx="0">
            <a:schemeClr val="dk1"/>
          </a:fillRef>
          <a:effectRef idx="0">
            <a:schemeClr val="dk1"/>
          </a:effectRef>
          <a:fontRef idx="minor">
            <a:schemeClr val="tx1"/>
          </a:fontRef>
        </xdr:style>
      </xdr:cxnSp>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4146811" y="47072550"/>
            <a:ext cx="1200906"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050" b="0" cap="none" spc="0">
                <a:ln w="0"/>
                <a:solidFill>
                  <a:sysClr val="windowText" lastClr="000000"/>
                </a:solidFill>
                <a:effectLst>
                  <a:outerShdw blurRad="38100" dist="25400" dir="5400000" algn="ctr" rotWithShape="0">
                    <a:srgbClr val="6E747A">
                      <a:alpha val="43000"/>
                    </a:srgbClr>
                  </a:outerShdw>
                </a:effectLst>
              </a:rPr>
              <a:t>High Tension Lines</a:t>
            </a:r>
          </a:p>
        </xdr:txBody>
      </xdr:sp>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1500166" y="49078298"/>
            <a:ext cx="1200906"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050" b="0" cap="none" spc="0">
                <a:ln w="0"/>
                <a:solidFill>
                  <a:sysClr val="windowText" lastClr="000000"/>
                </a:solidFill>
                <a:effectLst>
                  <a:outerShdw blurRad="38100" dist="25400" dir="5400000" algn="ctr" rotWithShape="0">
                    <a:srgbClr val="6E747A">
                      <a:alpha val="43000"/>
                    </a:srgbClr>
                  </a:outerShdw>
                </a:effectLst>
              </a:rPr>
              <a:t>High Tension Lines</a:t>
            </a:r>
          </a:p>
        </xdr:txBody>
      </xdr:sp>
    </xdr:grpSp>
    <xdr:clientData/>
  </xdr:twoCellAnchor>
  <xdr:twoCellAnchor>
    <xdr:from>
      <xdr:col>0</xdr:col>
      <xdr:colOff>205740</xdr:colOff>
      <xdr:row>267</xdr:row>
      <xdr:rowOff>38100</xdr:rowOff>
    </xdr:from>
    <xdr:to>
      <xdr:col>7</xdr:col>
      <xdr:colOff>472440</xdr:colOff>
      <xdr:row>301</xdr:row>
      <xdr:rowOff>20256</xdr:rowOff>
    </xdr:to>
    <xdr:grpSp>
      <xdr:nvGrpSpPr>
        <xdr:cNvPr id="5" name="Group 4">
          <a:extLst>
            <a:ext uri="{FF2B5EF4-FFF2-40B4-BE49-F238E27FC236}">
              <a16:creationId xmlns:a16="http://schemas.microsoft.com/office/drawing/2014/main" id="{F5E01D29-076B-FFC6-B365-0BAD2CD72A1B}"/>
            </a:ext>
          </a:extLst>
        </xdr:cNvPr>
        <xdr:cNvGrpSpPr/>
      </xdr:nvGrpSpPr>
      <xdr:grpSpPr>
        <a:xfrm>
          <a:off x="205740" y="46337220"/>
          <a:ext cx="6027420" cy="6718236"/>
          <a:chOff x="-1186874" y="245845"/>
          <a:chExt cx="6873748" cy="7167816"/>
        </a:xfrm>
      </xdr:grpSpPr>
      <xdr:pic>
        <xdr:nvPicPr>
          <xdr:cNvPr id="7" name="Picture 6">
            <a:extLst>
              <a:ext uri="{FF2B5EF4-FFF2-40B4-BE49-F238E27FC236}">
                <a16:creationId xmlns:a16="http://schemas.microsoft.com/office/drawing/2014/main" id="{32C4B606-0AEC-89E7-D197-2FA634D0319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329984" y="2883454"/>
            <a:ext cx="3356889" cy="2520000"/>
          </a:xfrm>
          <a:prstGeom prst="rect">
            <a:avLst/>
          </a:prstGeom>
          <a:ln>
            <a:solidFill>
              <a:schemeClr val="tx1"/>
            </a:solidFill>
          </a:ln>
        </xdr:spPr>
      </xdr:pic>
      <xdr:pic>
        <xdr:nvPicPr>
          <xdr:cNvPr id="8" name="Picture 7">
            <a:extLst>
              <a:ext uri="{FF2B5EF4-FFF2-40B4-BE49-F238E27FC236}">
                <a16:creationId xmlns:a16="http://schemas.microsoft.com/office/drawing/2014/main" id="{F96343F4-5986-9DC6-85E4-77303A7E8F1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77955" y="2883454"/>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F3EF55EC-6E67-02C9-A461-BFAEF686DF8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329985" y="245845"/>
            <a:ext cx="3356889"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1C3F59F9-E224-F581-B9D0-5CCDD828111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77954" y="245845"/>
            <a:ext cx="3356889" cy="2520000"/>
          </a:xfrm>
          <a:prstGeom prst="rect">
            <a:avLst/>
          </a:prstGeom>
          <a:ln>
            <a:solidFill>
              <a:schemeClr val="tx1"/>
            </a:solidFill>
          </a:ln>
        </xdr:spPr>
      </xdr:pic>
      <xdr:grpSp>
        <xdr:nvGrpSpPr>
          <xdr:cNvPr id="11" name="Group 10">
            <a:extLst>
              <a:ext uri="{FF2B5EF4-FFF2-40B4-BE49-F238E27FC236}">
                <a16:creationId xmlns:a16="http://schemas.microsoft.com/office/drawing/2014/main" id="{B296B558-40E9-F85F-FB96-A84449CB446B}"/>
              </a:ext>
            </a:extLst>
          </xdr:cNvPr>
          <xdr:cNvGrpSpPr/>
        </xdr:nvGrpSpPr>
        <xdr:grpSpPr>
          <a:xfrm>
            <a:off x="-1017498" y="5613661"/>
            <a:ext cx="6432363" cy="1800000"/>
            <a:chOff x="-1017498" y="5613661"/>
            <a:chExt cx="6432363" cy="1800000"/>
          </a:xfrm>
        </xdr:grpSpPr>
        <xdr:pic>
          <xdr:nvPicPr>
            <xdr:cNvPr id="81" name="Picture 80">
              <a:extLst>
                <a:ext uri="{FF2B5EF4-FFF2-40B4-BE49-F238E27FC236}">
                  <a16:creationId xmlns:a16="http://schemas.microsoft.com/office/drawing/2014/main" id="{574ED88F-6489-390B-C4F0-E3308A351BF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531330" y="5613661"/>
              <a:ext cx="1348594" cy="1800000"/>
            </a:xfrm>
            <a:prstGeom prst="rect">
              <a:avLst/>
            </a:prstGeom>
            <a:ln>
              <a:solidFill>
                <a:schemeClr val="tx1"/>
              </a:solidFill>
            </a:ln>
          </xdr:spPr>
        </xdr:pic>
        <xdr:pic>
          <xdr:nvPicPr>
            <xdr:cNvPr id="82" name="Picture 81">
              <a:extLst>
                <a:ext uri="{FF2B5EF4-FFF2-40B4-BE49-F238E27FC236}">
                  <a16:creationId xmlns:a16="http://schemas.microsoft.com/office/drawing/2014/main" id="{403CB742-B7FB-16E7-4FAB-1D4761B10218}"/>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017087" y="5613661"/>
              <a:ext cx="2397778" cy="1800000"/>
            </a:xfrm>
            <a:prstGeom prst="rect">
              <a:avLst/>
            </a:prstGeom>
            <a:ln>
              <a:solidFill>
                <a:schemeClr val="tx1"/>
              </a:solidFill>
            </a:ln>
          </xdr:spPr>
        </xdr:pic>
        <xdr:pic>
          <xdr:nvPicPr>
            <xdr:cNvPr id="83" name="Picture 82">
              <a:extLst>
                <a:ext uri="{FF2B5EF4-FFF2-40B4-BE49-F238E27FC236}">
                  <a16:creationId xmlns:a16="http://schemas.microsoft.com/office/drawing/2014/main" id="{2DE3226D-1112-B029-5007-6AFD50D74CCE}"/>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17498" y="5613661"/>
              <a:ext cx="2397778" cy="1800000"/>
            </a:xfrm>
            <a:prstGeom prst="rect">
              <a:avLst/>
            </a:prstGeom>
            <a:ln>
              <a:solidFill>
                <a:schemeClr val="tx1"/>
              </a:solidFill>
            </a:ln>
          </xdr:spPr>
        </xdr:pic>
      </xdr:grpSp>
      <xdr:cxnSp macro="">
        <xdr:nvCxnSpPr>
          <xdr:cNvPr id="12" name="Straight Connector 11">
            <a:extLst>
              <a:ext uri="{FF2B5EF4-FFF2-40B4-BE49-F238E27FC236}">
                <a16:creationId xmlns:a16="http://schemas.microsoft.com/office/drawing/2014/main" id="{39A48523-E095-4688-A989-0F1495E12EFA}"/>
              </a:ext>
            </a:extLst>
          </xdr:cNvPr>
          <xdr:cNvCxnSpPr>
            <a:cxnSpLocks/>
          </xdr:cNvCxnSpPr>
        </xdr:nvCxnSpPr>
        <xdr:spPr>
          <a:xfrm>
            <a:off x="2329984" y="3538524"/>
            <a:ext cx="384043" cy="52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A5400C3-CFEE-CB5D-B687-E8624A07E0BF}"/>
              </a:ext>
            </a:extLst>
          </xdr:cNvPr>
          <xdr:cNvCxnSpPr>
            <a:cxnSpLocks/>
          </xdr:cNvCxnSpPr>
        </xdr:nvCxnSpPr>
        <xdr:spPr>
          <a:xfrm>
            <a:off x="2821902" y="3694776"/>
            <a:ext cx="934758" cy="18380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AFB770E9-94AB-8DC8-D7C2-7C857DC7AFC4}"/>
              </a:ext>
            </a:extLst>
          </xdr:cNvPr>
          <xdr:cNvCxnSpPr>
            <a:cxnSpLocks/>
          </xdr:cNvCxnSpPr>
        </xdr:nvCxnSpPr>
        <xdr:spPr>
          <a:xfrm>
            <a:off x="2837578" y="3724604"/>
            <a:ext cx="886697" cy="19588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1EA4EC03-516A-01B4-AAD3-9664EF5FF180}"/>
              </a:ext>
            </a:extLst>
          </xdr:cNvPr>
          <xdr:cNvCxnSpPr>
            <a:cxnSpLocks/>
          </xdr:cNvCxnSpPr>
        </xdr:nvCxnSpPr>
        <xdr:spPr>
          <a:xfrm>
            <a:off x="2837578" y="3771399"/>
            <a:ext cx="869552" cy="1789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5F923B74-9B53-8B3F-2337-FE753974961F}"/>
              </a:ext>
            </a:extLst>
          </xdr:cNvPr>
          <xdr:cNvCxnSpPr>
            <a:cxnSpLocks/>
          </xdr:cNvCxnSpPr>
        </xdr:nvCxnSpPr>
        <xdr:spPr>
          <a:xfrm>
            <a:off x="-1128852" y="3081020"/>
            <a:ext cx="1707972" cy="3429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5B9AE61-C618-D147-270E-E6CE4FFF9383}"/>
              </a:ext>
            </a:extLst>
          </xdr:cNvPr>
          <xdr:cNvCxnSpPr>
            <a:cxnSpLocks/>
          </xdr:cNvCxnSpPr>
        </xdr:nvCxnSpPr>
        <xdr:spPr>
          <a:xfrm>
            <a:off x="-1186874" y="3156296"/>
            <a:ext cx="1735514" cy="32858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9D08BFEE-02A1-E25F-2910-5685B24D8FF2}"/>
              </a:ext>
            </a:extLst>
          </xdr:cNvPr>
          <xdr:cNvCxnSpPr>
            <a:cxnSpLocks/>
          </xdr:cNvCxnSpPr>
        </xdr:nvCxnSpPr>
        <xdr:spPr>
          <a:xfrm>
            <a:off x="-1082040" y="3373296"/>
            <a:ext cx="1681480" cy="24620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1420B450-CDC6-A079-1999-8497BFD90CCA}"/>
              </a:ext>
            </a:extLst>
          </xdr:cNvPr>
          <xdr:cNvCxnSpPr>
            <a:cxnSpLocks/>
          </xdr:cNvCxnSpPr>
        </xdr:nvCxnSpPr>
        <xdr:spPr>
          <a:xfrm>
            <a:off x="683358" y="3402500"/>
            <a:ext cx="810162" cy="1278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86E1A929-13AA-0D08-280B-5518009969A1}"/>
              </a:ext>
            </a:extLst>
          </xdr:cNvPr>
          <xdr:cNvCxnSpPr>
            <a:cxnSpLocks/>
          </xdr:cNvCxnSpPr>
        </xdr:nvCxnSpPr>
        <xdr:spPr>
          <a:xfrm>
            <a:off x="625336" y="3477776"/>
            <a:ext cx="905994" cy="14172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501541E8-DF44-B525-F14C-90028974E8E2}"/>
              </a:ext>
            </a:extLst>
          </xdr:cNvPr>
          <xdr:cNvCxnSpPr>
            <a:cxnSpLocks/>
          </xdr:cNvCxnSpPr>
        </xdr:nvCxnSpPr>
        <xdr:spPr>
          <a:xfrm>
            <a:off x="637142" y="3619500"/>
            <a:ext cx="940198" cy="7527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TextBox 72">
            <a:extLst>
              <a:ext uri="{FF2B5EF4-FFF2-40B4-BE49-F238E27FC236}">
                <a16:creationId xmlns:a16="http://schemas.microsoft.com/office/drawing/2014/main" id="{CF4622B3-D735-C1B8-F69E-9C445693A2B1}"/>
              </a:ext>
            </a:extLst>
          </xdr:cNvPr>
          <xdr:cNvSpPr txBox="1"/>
        </xdr:nvSpPr>
        <xdr:spPr>
          <a:xfrm>
            <a:off x="2554353" y="3252470"/>
            <a:ext cx="1724748" cy="3323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High Tension Line</a:t>
            </a:r>
            <a:endParaRPr lang="en-IN" sz="1400" b="1">
              <a:solidFill>
                <a:srgbClr val="FF0000"/>
              </a:solidFill>
            </a:endParaRPr>
          </a:p>
        </xdr:txBody>
      </xdr:sp>
      <xdr:sp macro="" textlink="">
        <xdr:nvSpPr>
          <xdr:cNvPr id="28" name="TextBox 73">
            <a:extLst>
              <a:ext uri="{FF2B5EF4-FFF2-40B4-BE49-F238E27FC236}">
                <a16:creationId xmlns:a16="http://schemas.microsoft.com/office/drawing/2014/main" id="{D80AA270-A6B8-11D5-7A77-DB424E14E5BC}"/>
              </a:ext>
            </a:extLst>
          </xdr:cNvPr>
          <xdr:cNvSpPr txBox="1"/>
        </xdr:nvSpPr>
        <xdr:spPr>
          <a:xfrm>
            <a:off x="-190762" y="2990243"/>
            <a:ext cx="1689082" cy="3323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High Tension Line</a:t>
            </a:r>
            <a:endParaRPr lang="en-IN" sz="1400" b="1">
              <a:solidFill>
                <a:srgbClr val="FF0000"/>
              </a:solidFill>
            </a:endParaRPr>
          </a:p>
        </xdr:txBody>
      </xdr:sp>
      <xdr:cxnSp macro="">
        <xdr:nvCxnSpPr>
          <xdr:cNvPr id="29" name="Straight Connector 28">
            <a:extLst>
              <a:ext uri="{FF2B5EF4-FFF2-40B4-BE49-F238E27FC236}">
                <a16:creationId xmlns:a16="http://schemas.microsoft.com/office/drawing/2014/main" id="{FB4B82D4-2FD9-A970-4320-D8F8B3B1D4FC}"/>
              </a:ext>
            </a:extLst>
          </xdr:cNvPr>
          <xdr:cNvCxnSpPr>
            <a:cxnSpLocks/>
          </xdr:cNvCxnSpPr>
        </xdr:nvCxnSpPr>
        <xdr:spPr>
          <a:xfrm>
            <a:off x="2329983" y="3656133"/>
            <a:ext cx="384043" cy="52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a:extLst>
              <a:ext uri="{FF2B5EF4-FFF2-40B4-BE49-F238E27FC236}">
                <a16:creationId xmlns:a16="http://schemas.microsoft.com/office/drawing/2014/main" id="{F092F3BF-7139-06FB-DB10-388972546748}"/>
              </a:ext>
            </a:extLst>
          </xdr:cNvPr>
          <xdr:cNvCxnSpPr>
            <a:cxnSpLocks/>
          </xdr:cNvCxnSpPr>
        </xdr:nvCxnSpPr>
        <xdr:spPr>
          <a:xfrm>
            <a:off x="2362334" y="3768392"/>
            <a:ext cx="384043" cy="52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0" name="Straight Connector 79">
            <a:extLst>
              <a:ext uri="{FF2B5EF4-FFF2-40B4-BE49-F238E27FC236}">
                <a16:creationId xmlns:a16="http://schemas.microsoft.com/office/drawing/2014/main" id="{40D9FA27-A4AD-893E-FF45-B5D4EF44F826}"/>
              </a:ext>
            </a:extLst>
          </xdr:cNvPr>
          <xdr:cNvCxnSpPr>
            <a:cxnSpLocks/>
          </xdr:cNvCxnSpPr>
        </xdr:nvCxnSpPr>
        <xdr:spPr>
          <a:xfrm>
            <a:off x="2338555" y="3713096"/>
            <a:ext cx="384043" cy="5240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515471</xdr:colOff>
      <xdr:row>14</xdr:row>
      <xdr:rowOff>156883</xdr:rowOff>
    </xdr:from>
    <xdr:to>
      <xdr:col>5</xdr:col>
      <xdr:colOff>65777</xdr:colOff>
      <xdr:row>34</xdr:row>
      <xdr:rowOff>62151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15471" y="2835089"/>
          <a:ext cx="5601482" cy="3715268"/>
        </a:xfrm>
        <a:prstGeom prst="rect">
          <a:avLst/>
        </a:prstGeom>
      </xdr:spPr>
    </xdr:pic>
    <xdr:clientData/>
  </xdr:twoCellAnchor>
  <xdr:twoCellAnchor editAs="oneCell">
    <xdr:from>
      <xdr:col>2</xdr:col>
      <xdr:colOff>874058</xdr:colOff>
      <xdr:row>16</xdr:row>
      <xdr:rowOff>33619</xdr:rowOff>
    </xdr:from>
    <xdr:to>
      <xdr:col>9</xdr:col>
      <xdr:colOff>427988</xdr:colOff>
      <xdr:row>40</xdr:row>
      <xdr:rowOff>72362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935940" y="3092825"/>
          <a:ext cx="7487695" cy="4610743"/>
        </a:xfrm>
        <a:prstGeom prst="rect">
          <a:avLst/>
        </a:prstGeom>
      </xdr:spPr>
    </xdr:pic>
    <xdr:clientData/>
  </xdr:twoCellAnchor>
  <xdr:twoCellAnchor editAs="oneCell">
    <xdr:from>
      <xdr:col>9</xdr:col>
      <xdr:colOff>212913</xdr:colOff>
      <xdr:row>34</xdr:row>
      <xdr:rowOff>44825</xdr:rowOff>
    </xdr:from>
    <xdr:to>
      <xdr:col>19</xdr:col>
      <xdr:colOff>101652</xdr:colOff>
      <xdr:row>57</xdr:row>
      <xdr:rowOff>64489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0208560" y="6533031"/>
          <a:ext cx="5715798" cy="4401164"/>
        </a:xfrm>
        <a:prstGeom prst="rect">
          <a:avLst/>
        </a:prstGeom>
      </xdr:spPr>
    </xdr:pic>
    <xdr:clientData/>
  </xdr:twoCellAnchor>
  <xdr:twoCellAnchor editAs="oneCell">
    <xdr:from>
      <xdr:col>7</xdr:col>
      <xdr:colOff>750793</xdr:colOff>
      <xdr:row>16</xdr:row>
      <xdr:rowOff>156883</xdr:rowOff>
    </xdr:from>
    <xdr:to>
      <xdr:col>15</xdr:col>
      <xdr:colOff>432104</xdr:colOff>
      <xdr:row>35</xdr:row>
      <xdr:rowOff>138336</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9065558" y="3216089"/>
          <a:ext cx="4858428" cy="3600953"/>
        </a:xfrm>
        <a:prstGeom prst="rect">
          <a:avLst/>
        </a:prstGeom>
      </xdr:spPr>
    </xdr:pic>
    <xdr:clientData/>
  </xdr:twoCellAnchor>
  <xdr:twoCellAnchor editAs="oneCell">
    <xdr:from>
      <xdr:col>8</xdr:col>
      <xdr:colOff>246528</xdr:colOff>
      <xdr:row>15</xdr:row>
      <xdr:rowOff>123265</xdr:rowOff>
    </xdr:from>
    <xdr:to>
      <xdr:col>18</xdr:col>
      <xdr:colOff>163846</xdr:colOff>
      <xdr:row>40</xdr:row>
      <xdr:rowOff>19140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9659469" y="2991971"/>
          <a:ext cx="5744377" cy="4658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newprojectsonline.com/bhagwati-celestria-airoli-new-launch/" TargetMode="External"/><Relationship Id="rId1" Type="http://schemas.openxmlformats.org/officeDocument/2006/relationships/hyperlink" Target="https://maps.app.goo.gl/vtkoTsmY6k77yikW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85"/>
  <sheetViews>
    <sheetView tabSelected="1" view="pageBreakPreview" topLeftCell="A337" zoomScaleNormal="100" zoomScaleSheetLayoutView="100" zoomScalePageLayoutView="85" workbookViewId="0">
      <selection activeCell="M345" sqref="M345:M346"/>
    </sheetView>
  </sheetViews>
  <sheetFormatPr defaultColWidth="9.21875" defaultRowHeight="15.6" x14ac:dyDescent="0.3"/>
  <cols>
    <col min="1" max="1" width="11.44140625" style="40" customWidth="1"/>
    <col min="2" max="2" width="12" style="40" customWidth="1"/>
    <col min="3" max="3" width="12.77734375" style="40" customWidth="1"/>
    <col min="4" max="4" width="13.77734375" style="40" customWidth="1"/>
    <col min="5" max="5" width="11.77734375" style="40" customWidth="1"/>
    <col min="6" max="6" width="11.21875" style="40" customWidth="1"/>
    <col min="7" max="8" width="11" style="40" customWidth="1"/>
    <col min="9" max="9" width="17.44140625" style="21" customWidth="1"/>
    <col min="10" max="10" width="11.44140625" style="21" customWidth="1"/>
    <col min="11" max="11" width="11.21875" style="21" bestFit="1" customWidth="1"/>
    <col min="12" max="12" width="13.77734375" style="21" bestFit="1" customWidth="1"/>
    <col min="13" max="13" width="11.77734375" style="21" customWidth="1"/>
    <col min="14" max="14" width="12.5546875" style="21" customWidth="1"/>
    <col min="15" max="15" width="12.21875" style="21" customWidth="1"/>
    <col min="16" max="16" width="11.77734375" style="21" customWidth="1"/>
    <col min="17" max="18" width="9.21875" style="21"/>
    <col min="19" max="19" width="10.77734375" style="21" bestFit="1" customWidth="1"/>
    <col min="20" max="20" width="10.77734375" style="21" customWidth="1"/>
    <col min="21"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26" ht="46.5" customHeight="1" x14ac:dyDescent="0.3">
      <c r="A1" s="222" t="s">
        <v>160</v>
      </c>
      <c r="B1" s="222"/>
      <c r="C1" s="222"/>
      <c r="D1" s="222"/>
      <c r="E1" s="222"/>
      <c r="F1" s="222"/>
      <c r="G1" s="222"/>
      <c r="H1" s="222"/>
    </row>
    <row r="2" spans="1:26" ht="16.5" customHeight="1" x14ac:dyDescent="0.3">
      <c r="A2" s="223" t="s">
        <v>0</v>
      </c>
      <c r="B2" s="223"/>
      <c r="C2" s="223"/>
      <c r="D2" s="223"/>
      <c r="E2" s="223"/>
      <c r="F2" s="223"/>
      <c r="G2" s="223"/>
      <c r="H2" s="223"/>
    </row>
    <row r="3" spans="1:26" x14ac:dyDescent="0.3">
      <c r="A3" s="216" t="s">
        <v>1</v>
      </c>
      <c r="B3" s="216"/>
      <c r="C3" s="216"/>
      <c r="D3" s="216"/>
      <c r="E3" s="216" t="str">
        <f ca="1">TEXT(TODAY(),"DD/MM/YYYY")</f>
        <v>21/08/2025</v>
      </c>
      <c r="F3" s="216"/>
      <c r="G3" s="216"/>
      <c r="H3" s="216"/>
      <c r="K3" s="53" t="s">
        <v>232</v>
      </c>
      <c r="L3" s="51" t="s">
        <v>230</v>
      </c>
      <c r="M3" s="51" t="s">
        <v>235</v>
      </c>
      <c r="N3" s="51" t="s">
        <v>233</v>
      </c>
      <c r="O3" s="51" t="s">
        <v>351</v>
      </c>
      <c r="P3" s="51" t="s">
        <v>236</v>
      </c>
    </row>
    <row r="4" spans="1:26" ht="15" customHeight="1" x14ac:dyDescent="0.3">
      <c r="A4" s="216" t="s">
        <v>229</v>
      </c>
      <c r="B4" s="216"/>
      <c r="C4" s="216"/>
      <c r="D4" s="216"/>
      <c r="E4" s="197" t="s">
        <v>230</v>
      </c>
      <c r="F4" s="197"/>
      <c r="G4" s="197"/>
      <c r="H4" s="197"/>
      <c r="K4" s="50" t="s">
        <v>231</v>
      </c>
      <c r="L4" s="51" t="s">
        <v>167</v>
      </c>
      <c r="M4" s="51" t="s">
        <v>240</v>
      </c>
      <c r="N4" s="51" t="s">
        <v>242</v>
      </c>
      <c r="O4" s="51" t="s">
        <v>337</v>
      </c>
      <c r="P4" s="51"/>
    </row>
    <row r="5" spans="1:26" ht="15" customHeight="1" x14ac:dyDescent="0.3">
      <c r="A5" s="216" t="s">
        <v>2</v>
      </c>
      <c r="B5" s="216"/>
      <c r="C5" s="216"/>
      <c r="D5" s="216"/>
      <c r="E5" s="197" t="s">
        <v>238</v>
      </c>
      <c r="F5" s="197"/>
      <c r="G5" s="197"/>
      <c r="H5" s="197"/>
      <c r="K5" s="50"/>
      <c r="L5" s="51" t="s">
        <v>237</v>
      </c>
      <c r="M5" s="51" t="s">
        <v>241</v>
      </c>
      <c r="N5" s="51" t="s">
        <v>243</v>
      </c>
      <c r="O5" s="51" t="s">
        <v>338</v>
      </c>
      <c r="P5" s="51"/>
    </row>
    <row r="6" spans="1:26" x14ac:dyDescent="0.3">
      <c r="A6" s="216" t="s">
        <v>3</v>
      </c>
      <c r="B6" s="216"/>
      <c r="C6" s="216"/>
      <c r="D6" s="216"/>
      <c r="E6" s="224">
        <v>45856</v>
      </c>
      <c r="F6" s="216"/>
      <c r="G6" s="216"/>
      <c r="H6" s="216"/>
      <c r="K6" s="50"/>
      <c r="L6" s="51" t="s">
        <v>238</v>
      </c>
      <c r="M6" s="51" t="s">
        <v>349</v>
      </c>
      <c r="N6" s="51"/>
      <c r="O6" s="51" t="s">
        <v>339</v>
      </c>
      <c r="P6" s="51"/>
    </row>
    <row r="7" spans="1:26" ht="16.5" customHeight="1" x14ac:dyDescent="0.3">
      <c r="A7" s="216" t="s">
        <v>4</v>
      </c>
      <c r="B7" s="216"/>
      <c r="C7" s="216"/>
      <c r="D7" s="216"/>
      <c r="E7" s="216" t="s">
        <v>353</v>
      </c>
      <c r="F7" s="216"/>
      <c r="G7" s="216"/>
      <c r="H7" s="216"/>
      <c r="K7" s="50"/>
      <c r="L7" s="51" t="s">
        <v>239</v>
      </c>
      <c r="M7" s="51"/>
      <c r="N7" s="51"/>
      <c r="O7" s="51" t="s">
        <v>339</v>
      </c>
      <c r="P7" s="51"/>
    </row>
    <row r="8" spans="1:26" ht="15" customHeight="1" x14ac:dyDescent="0.3">
      <c r="A8" s="216" t="s">
        <v>5</v>
      </c>
      <c r="B8" s="216"/>
      <c r="C8" s="216"/>
      <c r="D8" s="216"/>
      <c r="E8" s="216" t="str">
        <f>E7</f>
        <v>Bhagwati Developers</v>
      </c>
      <c r="F8" s="216"/>
      <c r="G8" s="216"/>
      <c r="H8" s="216"/>
      <c r="K8" s="50"/>
      <c r="L8" s="51"/>
      <c r="M8" s="51"/>
      <c r="N8" s="51"/>
      <c r="O8" s="51" t="s">
        <v>340</v>
      </c>
      <c r="P8" s="51"/>
    </row>
    <row r="9" spans="1:26" x14ac:dyDescent="0.3">
      <c r="A9" s="216" t="s">
        <v>6</v>
      </c>
      <c r="B9" s="216"/>
      <c r="C9" s="216"/>
      <c r="D9" s="216"/>
      <c r="E9" s="112" t="s">
        <v>354</v>
      </c>
      <c r="F9" s="112"/>
      <c r="G9" s="112"/>
      <c r="H9" s="112"/>
      <c r="K9" s="50"/>
      <c r="L9" s="51"/>
      <c r="M9" s="51"/>
      <c r="N9" s="51"/>
      <c r="O9" s="51" t="s">
        <v>341</v>
      </c>
      <c r="P9" s="51"/>
    </row>
    <row r="10" spans="1:26" x14ac:dyDescent="0.3">
      <c r="A10" s="216" t="s">
        <v>163</v>
      </c>
      <c r="B10" s="216"/>
      <c r="C10" s="216"/>
      <c r="D10" s="216"/>
      <c r="E10" s="216" t="s">
        <v>355</v>
      </c>
      <c r="F10" s="216"/>
      <c r="G10" s="216"/>
      <c r="H10" s="216"/>
      <c r="K10" s="50"/>
      <c r="L10" s="51"/>
      <c r="M10" s="51"/>
      <c r="N10" s="51"/>
      <c r="O10" s="51" t="s">
        <v>342</v>
      </c>
      <c r="P10" s="51"/>
    </row>
    <row r="11" spans="1:26" x14ac:dyDescent="0.3">
      <c r="A11" s="216" t="s">
        <v>164</v>
      </c>
      <c r="B11" s="216"/>
      <c r="C11" s="216"/>
      <c r="D11" s="216"/>
      <c r="E11" s="216" t="s">
        <v>377</v>
      </c>
      <c r="F11" s="216"/>
      <c r="G11" s="216"/>
      <c r="H11" s="216"/>
      <c r="O11" s="51" t="s">
        <v>343</v>
      </c>
    </row>
    <row r="12" spans="1:26" x14ac:dyDescent="0.3">
      <c r="A12" s="216" t="s">
        <v>7</v>
      </c>
      <c r="B12" s="216"/>
      <c r="C12" s="216"/>
      <c r="D12" s="216"/>
      <c r="E12" s="145" t="s">
        <v>414</v>
      </c>
      <c r="F12" s="216"/>
      <c r="G12" s="216"/>
      <c r="H12" s="216"/>
    </row>
    <row r="13" spans="1:26" x14ac:dyDescent="0.3">
      <c r="A13" s="197" t="s">
        <v>168</v>
      </c>
      <c r="B13" s="197"/>
      <c r="C13" s="197"/>
      <c r="D13" s="197"/>
      <c r="E13" s="216" t="s">
        <v>27</v>
      </c>
      <c r="F13" s="216"/>
      <c r="G13" s="216"/>
      <c r="H13" s="216"/>
      <c r="S13" s="51" t="s">
        <v>176</v>
      </c>
      <c r="T13" s="51" t="s">
        <v>185</v>
      </c>
      <c r="U13" s="51" t="s">
        <v>169</v>
      </c>
      <c r="V13" s="51" t="s">
        <v>190</v>
      </c>
      <c r="W13" s="51" t="s">
        <v>208</v>
      </c>
      <c r="X13"/>
      <c r="Y13" t="s">
        <v>190</v>
      </c>
      <c r="Z13" t="e">
        <f ca="1">OFFSET($S$13,1,MATCH($G22,$S$13:$W$13,0)-1,15,1)</f>
        <v>#VALUE!</v>
      </c>
    </row>
    <row r="14" spans="1:26" ht="32.25" customHeight="1" x14ac:dyDescent="0.3">
      <c r="A14" s="127" t="s">
        <v>275</v>
      </c>
      <c r="B14" s="127"/>
      <c r="C14" s="127"/>
      <c r="D14" s="127"/>
      <c r="E14" s="220" t="s">
        <v>420</v>
      </c>
      <c r="F14" s="220"/>
      <c r="G14" s="220"/>
      <c r="H14" s="220"/>
      <c r="S14" s="51" t="s">
        <v>176</v>
      </c>
      <c r="T14" s="51" t="s">
        <v>183</v>
      </c>
      <c r="U14" s="51" t="s">
        <v>205</v>
      </c>
      <c r="V14" s="51" t="s">
        <v>191</v>
      </c>
      <c r="W14" s="51" t="s">
        <v>209</v>
      </c>
      <c r="X14"/>
      <c r="Y14"/>
      <c r="Z14"/>
    </row>
    <row r="15" spans="1:26" ht="33.75" customHeight="1" x14ac:dyDescent="0.3">
      <c r="A15" s="262" t="s">
        <v>398</v>
      </c>
      <c r="B15" s="263"/>
      <c r="C15" s="263"/>
      <c r="D15" s="264"/>
      <c r="E15" s="90" t="s">
        <v>408</v>
      </c>
      <c r="F15" s="90"/>
      <c r="G15" s="90"/>
      <c r="H15" s="90"/>
      <c r="S15" s="51"/>
      <c r="T15" s="51"/>
      <c r="U15" s="51"/>
      <c r="V15" s="51"/>
      <c r="W15" s="51"/>
      <c r="X15"/>
      <c r="Y15"/>
      <c r="Z15"/>
    </row>
    <row r="16" spans="1:26" ht="33.75" customHeight="1" x14ac:dyDescent="0.3">
      <c r="A16" s="265"/>
      <c r="B16" s="266"/>
      <c r="C16" s="266"/>
      <c r="D16" s="267"/>
      <c r="E16" s="274" t="s">
        <v>406</v>
      </c>
      <c r="F16" s="275"/>
      <c r="G16" s="274" t="s">
        <v>407</v>
      </c>
      <c r="H16" s="275"/>
      <c r="S16" s="51"/>
      <c r="T16" s="51"/>
      <c r="U16" s="51"/>
      <c r="V16" s="51"/>
      <c r="W16" s="51"/>
      <c r="X16"/>
      <c r="Y16"/>
      <c r="Z16"/>
    </row>
    <row r="17" spans="1:26" ht="65.25" customHeight="1" x14ac:dyDescent="0.3">
      <c r="A17" s="268"/>
      <c r="B17" s="269"/>
      <c r="C17" s="269"/>
      <c r="D17" s="270"/>
      <c r="E17" s="258" t="s">
        <v>373</v>
      </c>
      <c r="F17" s="259"/>
      <c r="G17" s="260" t="s">
        <v>411</v>
      </c>
      <c r="H17" s="261"/>
      <c r="I17" s="235" t="e">
        <f ca="1">OFFSET($D$5,1,MATCH($J13,$D$5:$H$5,0)-1,15,1)</f>
        <v>#N/A</v>
      </c>
      <c r="J17" s="236"/>
      <c r="K17" s="236"/>
      <c r="L17" s="236"/>
      <c r="M17" s="236"/>
      <c r="N17" s="236"/>
      <c r="O17" s="236"/>
      <c r="P17" s="236"/>
      <c r="S17" s="51" t="s">
        <v>177</v>
      </c>
      <c r="T17" s="51" t="s">
        <v>184</v>
      </c>
      <c r="U17" s="51" t="s">
        <v>206</v>
      </c>
      <c r="V17" s="51" t="s">
        <v>192</v>
      </c>
      <c r="W17" s="51" t="s">
        <v>222</v>
      </c>
      <c r="X17"/>
      <c r="Y17"/>
      <c r="Z17"/>
    </row>
    <row r="18" spans="1:26" ht="34.5" customHeight="1" x14ac:dyDescent="0.3">
      <c r="A18" s="215" t="s">
        <v>8</v>
      </c>
      <c r="B18" s="215"/>
      <c r="C18" s="215" t="str">
        <f>CONCATENATE((IF(OR(E9="",E9="NA"),"",E9)),", ",(IF(OR(A19="",A19="NA"),"",A19)),".",(IF(OR(C19="",C19="NA"),"",C19)),", near ",(IF(OR(C24="",C24="NA"),"",C24)),", ",(IF(OR(C21="",C21="NA"),"",C21)),", ",(IF(OR(C20="",C20="NA"),"",C20)),", ",(IF(OR(G21="",G21="NA"),"",G21)),", ",(IF(OR(C22="",C22="NA"),"",C22)),", ",(IF(OR(C23="",C23="NA"),"",C23)),", ",(IF(OR(G22="",G22="NA"),"",G22))," - ",(IF(OR(G23="",G23="NA"),"",G23)),".")</f>
        <v>Celestria, Plot No.KR-1, near Newa Bhakti Park , Airoli Knowledge Park Road, TTC Industrial Area, Airoli, Airoli, Thane, Thane - 400708.</v>
      </c>
      <c r="D18" s="215"/>
      <c r="E18" s="215"/>
      <c r="F18" s="215"/>
      <c r="G18" s="215"/>
      <c r="H18" s="215"/>
      <c r="S18" s="51" t="s">
        <v>178</v>
      </c>
      <c r="T18" s="51" t="s">
        <v>186</v>
      </c>
      <c r="U18" s="51" t="s">
        <v>207</v>
      </c>
      <c r="V18" s="51" t="s">
        <v>193</v>
      </c>
      <c r="W18" s="51" t="s">
        <v>210</v>
      </c>
      <c r="X18"/>
      <c r="Y18"/>
      <c r="Z18"/>
    </row>
    <row r="19" spans="1:26" x14ac:dyDescent="0.3">
      <c r="A19" s="220" t="s">
        <v>356</v>
      </c>
      <c r="B19" s="220"/>
      <c r="C19" s="220" t="s">
        <v>357</v>
      </c>
      <c r="D19" s="220"/>
      <c r="E19" s="220"/>
      <c r="F19" s="220"/>
      <c r="G19" s="220"/>
      <c r="H19" s="220"/>
      <c r="S19" s="51" t="s">
        <v>179</v>
      </c>
      <c r="T19" s="51" t="s">
        <v>187</v>
      </c>
      <c r="U19" s="51" t="s">
        <v>169</v>
      </c>
      <c r="V19" s="51" t="s">
        <v>194</v>
      </c>
      <c r="W19" s="51" t="s">
        <v>211</v>
      </c>
      <c r="X19"/>
      <c r="Y19"/>
      <c r="Z19"/>
    </row>
    <row r="20" spans="1:26" ht="15.75" customHeight="1" x14ac:dyDescent="0.3">
      <c r="A20" s="145" t="s">
        <v>158</v>
      </c>
      <c r="B20" s="145"/>
      <c r="C20" s="145" t="s">
        <v>359</v>
      </c>
      <c r="D20" s="145"/>
      <c r="E20" s="145"/>
      <c r="F20" s="145"/>
      <c r="G20" s="145"/>
      <c r="H20" s="145"/>
      <c r="S20" s="51" t="s">
        <v>180</v>
      </c>
      <c r="T20" s="51" t="s">
        <v>185</v>
      </c>
      <c r="U20" s="51"/>
      <c r="V20" s="51" t="s">
        <v>195</v>
      </c>
      <c r="W20" s="51" t="s">
        <v>212</v>
      </c>
      <c r="X20"/>
      <c r="Y20"/>
      <c r="Z20"/>
    </row>
    <row r="21" spans="1:26" ht="15.75" customHeight="1" x14ac:dyDescent="0.3">
      <c r="A21" s="215" t="s">
        <v>9</v>
      </c>
      <c r="B21" s="215"/>
      <c r="C21" s="216" t="s">
        <v>360</v>
      </c>
      <c r="D21" s="216"/>
      <c r="E21" s="215" t="s">
        <v>68</v>
      </c>
      <c r="F21" s="215"/>
      <c r="G21" s="145" t="s">
        <v>358</v>
      </c>
      <c r="H21" s="145"/>
      <c r="S21" s="51" t="s">
        <v>181</v>
      </c>
      <c r="T21" s="51" t="s">
        <v>188</v>
      </c>
      <c r="U21" s="51"/>
      <c r="V21" s="51" t="s">
        <v>196</v>
      </c>
      <c r="W21" s="51" t="s">
        <v>213</v>
      </c>
      <c r="X21"/>
      <c r="Y21"/>
      <c r="Z21"/>
    </row>
    <row r="22" spans="1:26" x14ac:dyDescent="0.3">
      <c r="A22" s="127" t="s">
        <v>11</v>
      </c>
      <c r="B22" s="127"/>
      <c r="C22" s="145" t="s">
        <v>358</v>
      </c>
      <c r="D22" s="145"/>
      <c r="E22" s="215" t="s">
        <v>10</v>
      </c>
      <c r="F22" s="215"/>
      <c r="G22" s="221" t="s">
        <v>176</v>
      </c>
      <c r="H22" s="221"/>
      <c r="S22" s="51" t="s">
        <v>182</v>
      </c>
      <c r="T22" s="51" t="s">
        <v>189</v>
      </c>
      <c r="U22" s="51"/>
      <c r="V22" s="51" t="s">
        <v>197</v>
      </c>
      <c r="W22" s="51" t="s">
        <v>214</v>
      </c>
      <c r="X22"/>
      <c r="Y22"/>
      <c r="Z22"/>
    </row>
    <row r="23" spans="1:26" x14ac:dyDescent="0.3">
      <c r="A23" s="127" t="s">
        <v>69</v>
      </c>
      <c r="B23" s="127"/>
      <c r="C23" s="220" t="s">
        <v>176</v>
      </c>
      <c r="D23" s="220"/>
      <c r="E23" s="215" t="s">
        <v>12</v>
      </c>
      <c r="F23" s="215"/>
      <c r="G23" s="145">
        <v>400708</v>
      </c>
      <c r="H23" s="145"/>
      <c r="S23" s="51"/>
      <c r="T23" s="51"/>
      <c r="U23" s="51"/>
      <c r="V23" s="51" t="s">
        <v>198</v>
      </c>
      <c r="W23" s="51" t="s">
        <v>215</v>
      </c>
      <c r="X23"/>
      <c r="Y23"/>
      <c r="Z23"/>
    </row>
    <row r="24" spans="1:26" ht="32.25" customHeight="1" x14ac:dyDescent="0.3">
      <c r="A24" s="127" t="s">
        <v>118</v>
      </c>
      <c r="B24" s="127"/>
      <c r="C24" s="145" t="s">
        <v>361</v>
      </c>
      <c r="D24" s="145"/>
      <c r="E24" s="215" t="s">
        <v>13</v>
      </c>
      <c r="F24" s="215"/>
      <c r="G24" s="220" t="s">
        <v>397</v>
      </c>
      <c r="H24" s="220"/>
      <c r="S24" s="51"/>
      <c r="T24" s="51"/>
      <c r="U24" s="51"/>
      <c r="V24" s="51" t="s">
        <v>199</v>
      </c>
      <c r="W24" s="51" t="s">
        <v>216</v>
      </c>
      <c r="X24"/>
      <c r="Y24"/>
      <c r="Z24"/>
    </row>
    <row r="25" spans="1:26" ht="15" customHeight="1" x14ac:dyDescent="0.3">
      <c r="A25" s="215" t="s">
        <v>71</v>
      </c>
      <c r="B25" s="215"/>
      <c r="C25" s="215"/>
      <c r="D25" s="215"/>
      <c r="E25" s="216" t="s">
        <v>14</v>
      </c>
      <c r="F25" s="216"/>
      <c r="G25" s="216"/>
      <c r="H25" s="216"/>
      <c r="S25" s="51"/>
      <c r="T25" s="51"/>
      <c r="U25" s="51"/>
      <c r="V25" s="51" t="s">
        <v>200</v>
      </c>
      <c r="W25" s="51" t="s">
        <v>217</v>
      </c>
      <c r="X25"/>
      <c r="Y25"/>
      <c r="Z25"/>
    </row>
    <row r="26" spans="1:26" ht="18.75" customHeight="1" x14ac:dyDescent="0.3">
      <c r="A26" s="215"/>
      <c r="B26" s="215"/>
      <c r="C26" s="215"/>
      <c r="D26" s="215"/>
      <c r="E26" s="216"/>
      <c r="F26" s="216"/>
      <c r="G26" s="216"/>
      <c r="H26" s="216"/>
      <c r="S26" s="51"/>
      <c r="T26" s="51"/>
      <c r="U26" s="51"/>
      <c r="V26" s="51" t="s">
        <v>201</v>
      </c>
      <c r="W26" s="51" t="s">
        <v>218</v>
      </c>
      <c r="X26"/>
      <c r="Y26"/>
      <c r="Z26"/>
    </row>
    <row r="27" spans="1:26" ht="15" customHeight="1" x14ac:dyDescent="0.3">
      <c r="A27" s="215" t="s">
        <v>15</v>
      </c>
      <c r="B27" s="215"/>
      <c r="C27" s="215"/>
      <c r="D27" s="215"/>
      <c r="E27" s="145" t="s">
        <v>16</v>
      </c>
      <c r="F27" s="145"/>
      <c r="G27" s="145"/>
      <c r="H27" s="145"/>
      <c r="S27" s="51"/>
      <c r="T27" s="51"/>
      <c r="U27" s="51"/>
      <c r="V27" s="51" t="s">
        <v>202</v>
      </c>
      <c r="W27" s="51" t="s">
        <v>219</v>
      </c>
      <c r="X27"/>
      <c r="Y27"/>
      <c r="Z27"/>
    </row>
    <row r="28" spans="1:26" ht="15" customHeight="1" x14ac:dyDescent="0.3">
      <c r="A28" s="127" t="s">
        <v>17</v>
      </c>
      <c r="B28" s="127"/>
      <c r="C28" s="127"/>
      <c r="D28" s="127"/>
      <c r="E28" s="145" t="str">
        <f>IF(AND(G22="Mumbai"),"Upper Class","Middle Class")</f>
        <v>Middle Class</v>
      </c>
      <c r="F28" s="145"/>
      <c r="G28" s="145"/>
      <c r="H28" s="145"/>
      <c r="S28" s="51"/>
      <c r="T28" s="51"/>
      <c r="U28" s="51"/>
      <c r="V28" s="51" t="s">
        <v>203</v>
      </c>
      <c r="W28" s="51" t="s">
        <v>220</v>
      </c>
      <c r="X28"/>
      <c r="Y28"/>
      <c r="Z28"/>
    </row>
    <row r="29" spans="1:26" x14ac:dyDescent="0.3">
      <c r="A29" s="127" t="s">
        <v>18</v>
      </c>
      <c r="B29" s="127"/>
      <c r="C29" s="127"/>
      <c r="D29" s="127"/>
      <c r="E29" s="145" t="s">
        <v>19</v>
      </c>
      <c r="F29" s="145"/>
      <c r="G29" s="145"/>
      <c r="H29" s="145"/>
      <c r="S29" s="51"/>
      <c r="T29" s="51"/>
      <c r="U29" s="51"/>
      <c r="V29" s="51" t="s">
        <v>204</v>
      </c>
      <c r="W29" s="51" t="s">
        <v>221</v>
      </c>
      <c r="X29"/>
      <c r="Y29"/>
      <c r="Z29"/>
    </row>
    <row r="30" spans="1:26" ht="15.75" customHeight="1" x14ac:dyDescent="0.3">
      <c r="A30" s="127" t="s">
        <v>20</v>
      </c>
      <c r="B30" s="127"/>
      <c r="C30" s="127"/>
      <c r="D30" s="127"/>
      <c r="E30" s="145" t="str">
        <f>IF(AND(G22="Mumbai"),"Developed","Developing")</f>
        <v>Developing</v>
      </c>
      <c r="F30" s="145"/>
      <c r="G30" s="145"/>
      <c r="H30" s="145"/>
    </row>
    <row r="31" spans="1:26" x14ac:dyDescent="0.3">
      <c r="A31" s="127" t="s">
        <v>21</v>
      </c>
      <c r="B31" s="127"/>
      <c r="C31" s="127"/>
      <c r="D31" s="127"/>
      <c r="E31" s="145" t="s">
        <v>22</v>
      </c>
      <c r="F31" s="145"/>
      <c r="G31" s="145"/>
      <c r="H31" s="145"/>
    </row>
    <row r="32" spans="1:26" ht="15.75" customHeight="1" x14ac:dyDescent="0.3">
      <c r="A32" s="127" t="s">
        <v>76</v>
      </c>
      <c r="B32" s="127"/>
      <c r="C32" s="127"/>
      <c r="D32" s="127"/>
      <c r="E32" s="145" t="s">
        <v>77</v>
      </c>
      <c r="F32" s="145"/>
      <c r="G32" s="145"/>
      <c r="H32" s="145"/>
    </row>
    <row r="33" spans="1:19" ht="15" customHeight="1" x14ac:dyDescent="0.3">
      <c r="A33" s="127" t="s">
        <v>29</v>
      </c>
      <c r="B33" s="127"/>
      <c r="C33" s="127"/>
      <c r="D33" s="127"/>
      <c r="E33" s="145"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3" s="145"/>
      <c r="G33" s="145"/>
      <c r="H33" s="145"/>
    </row>
    <row r="34" spans="1:19" ht="15.75" customHeight="1" x14ac:dyDescent="0.3">
      <c r="A34" s="127" t="s">
        <v>88</v>
      </c>
      <c r="B34" s="127"/>
      <c r="C34" s="127"/>
      <c r="D34" s="127"/>
      <c r="E34" s="145" t="s">
        <v>30</v>
      </c>
      <c r="F34" s="145"/>
      <c r="G34" s="145"/>
      <c r="H34" s="145"/>
    </row>
    <row r="35" spans="1:19" s="22" customFormat="1" x14ac:dyDescent="0.3">
      <c r="A35" s="219" t="s">
        <v>89</v>
      </c>
      <c r="B35" s="219"/>
      <c r="C35" s="218" t="s">
        <v>170</v>
      </c>
      <c r="D35" s="218"/>
      <c r="E35" s="218"/>
      <c r="F35" s="218" t="s">
        <v>28</v>
      </c>
      <c r="G35" s="218"/>
      <c r="H35" s="218"/>
      <c r="S35" s="22" t="e">
        <f ca="1">OFFSET($S$13,1,MATCH($G22,$S$13:$W$13,0)-1,15,1)</f>
        <v>#VALUE!</v>
      </c>
    </row>
    <row r="36" spans="1:19" s="22" customFormat="1" x14ac:dyDescent="0.3">
      <c r="A36" s="168" t="s">
        <v>23</v>
      </c>
      <c r="B36" s="168" t="s">
        <v>27</v>
      </c>
      <c r="C36" s="217" t="s">
        <v>365</v>
      </c>
      <c r="D36" s="217"/>
      <c r="E36" s="217"/>
      <c r="F36" s="217" t="s">
        <v>360</v>
      </c>
      <c r="G36" s="217"/>
      <c r="H36" s="217"/>
    </row>
    <row r="37" spans="1:19" x14ac:dyDescent="0.3">
      <c r="A37" s="168" t="s">
        <v>24</v>
      </c>
      <c r="B37" s="168" t="s">
        <v>27</v>
      </c>
      <c r="C37" s="217" t="s">
        <v>364</v>
      </c>
      <c r="D37" s="217"/>
      <c r="E37" s="217"/>
      <c r="F37" s="217" t="s">
        <v>367</v>
      </c>
      <c r="G37" s="217"/>
      <c r="H37" s="217"/>
    </row>
    <row r="38" spans="1:19" s="22" customFormat="1" x14ac:dyDescent="0.3">
      <c r="A38" s="168" t="s">
        <v>26</v>
      </c>
      <c r="B38" s="168" t="s">
        <v>27</v>
      </c>
      <c r="C38" s="169" t="s">
        <v>378</v>
      </c>
      <c r="D38" s="170"/>
      <c r="E38" s="171"/>
      <c r="F38" s="169" t="s">
        <v>366</v>
      </c>
      <c r="G38" s="170"/>
      <c r="H38" s="171"/>
    </row>
    <row r="39" spans="1:19" x14ac:dyDescent="0.3">
      <c r="A39" s="168" t="s">
        <v>25</v>
      </c>
      <c r="B39" s="168" t="s">
        <v>27</v>
      </c>
      <c r="C39" s="169" t="s">
        <v>379</v>
      </c>
      <c r="D39" s="170"/>
      <c r="E39" s="171"/>
      <c r="F39" s="169" t="s">
        <v>402</v>
      </c>
      <c r="G39" s="170"/>
      <c r="H39" s="171"/>
    </row>
    <row r="40" spans="1:19" x14ac:dyDescent="0.3">
      <c r="A40" s="127" t="s">
        <v>276</v>
      </c>
      <c r="B40" s="127"/>
      <c r="C40" s="127"/>
      <c r="D40" s="127"/>
      <c r="E40" s="127"/>
      <c r="F40" s="127"/>
      <c r="G40" s="127"/>
      <c r="H40" s="127"/>
    </row>
    <row r="41" spans="1:19" ht="15.75" customHeight="1" x14ac:dyDescent="0.3">
      <c r="A41" s="127" t="s">
        <v>161</v>
      </c>
      <c r="B41" s="127"/>
      <c r="C41" s="173" t="s">
        <v>362</v>
      </c>
      <c r="D41" s="173"/>
      <c r="E41" s="173"/>
      <c r="F41" s="173"/>
      <c r="G41" s="173"/>
      <c r="H41" s="173"/>
    </row>
    <row r="42" spans="1:19" x14ac:dyDescent="0.3">
      <c r="A42" s="127" t="s">
        <v>157</v>
      </c>
      <c r="B42" s="127"/>
      <c r="C42" s="144" t="s">
        <v>363</v>
      </c>
      <c r="D42" s="145"/>
      <c r="E42" s="145"/>
      <c r="F42" s="145"/>
      <c r="G42" s="145"/>
      <c r="H42" s="145"/>
    </row>
    <row r="43" spans="1:19" x14ac:dyDescent="0.3">
      <c r="A43" s="173" t="s">
        <v>31</v>
      </c>
      <c r="B43" s="173"/>
      <c r="C43" s="173"/>
      <c r="D43" s="173"/>
      <c r="E43" s="173"/>
      <c r="F43" s="173"/>
      <c r="G43" s="173"/>
      <c r="H43" s="173"/>
    </row>
    <row r="44" spans="1:19" x14ac:dyDescent="0.3">
      <c r="A44" s="127" t="s">
        <v>32</v>
      </c>
      <c r="B44" s="127"/>
      <c r="C44" s="127"/>
      <c r="D44" s="127"/>
      <c r="E44" s="172">
        <v>22216</v>
      </c>
      <c r="F44" s="172"/>
      <c r="G44" s="172"/>
      <c r="H44" s="172"/>
    </row>
    <row r="45" spans="1:19" x14ac:dyDescent="0.3">
      <c r="A45" s="127" t="s">
        <v>33</v>
      </c>
      <c r="B45" s="127"/>
      <c r="C45" s="127"/>
      <c r="D45" s="127"/>
      <c r="E45" s="245">
        <f>22216/E44</f>
        <v>1</v>
      </c>
      <c r="F45" s="245"/>
      <c r="G45" s="245"/>
      <c r="H45" s="245"/>
    </row>
    <row r="46" spans="1:19" x14ac:dyDescent="0.3">
      <c r="A46" s="127" t="s">
        <v>34</v>
      </c>
      <c r="B46" s="127"/>
      <c r="C46" s="127"/>
      <c r="D46" s="127"/>
      <c r="E46" s="196">
        <f>E48/E44-E45</f>
        <v>3.7511293662225418</v>
      </c>
      <c r="F46" s="196"/>
      <c r="G46" s="196"/>
      <c r="H46" s="196"/>
    </row>
    <row r="47" spans="1:19" x14ac:dyDescent="0.3">
      <c r="A47" s="127" t="s">
        <v>35</v>
      </c>
      <c r="B47" s="127"/>
      <c r="C47" s="127"/>
      <c r="D47" s="127"/>
      <c r="E47" s="196">
        <f>E45+E46</f>
        <v>4.7511293662225418</v>
      </c>
      <c r="F47" s="196"/>
      <c r="G47" s="196"/>
      <c r="H47" s="196"/>
    </row>
    <row r="48" spans="1:19" x14ac:dyDescent="0.3">
      <c r="A48" s="127" t="s">
        <v>87</v>
      </c>
      <c r="B48" s="127"/>
      <c r="C48" s="127"/>
      <c r="D48" s="127"/>
      <c r="E48" s="196">
        <v>105551.09</v>
      </c>
      <c r="F48" s="196"/>
      <c r="G48" s="196"/>
      <c r="H48" s="196"/>
    </row>
    <row r="49" spans="1:24" x14ac:dyDescent="0.3">
      <c r="A49" s="216" t="s">
        <v>36</v>
      </c>
      <c r="B49" s="216"/>
      <c r="C49" s="216"/>
      <c r="D49" s="216"/>
      <c r="E49" s="197" t="s">
        <v>374</v>
      </c>
      <c r="F49" s="197"/>
      <c r="G49" s="197"/>
      <c r="H49" s="197"/>
    </row>
    <row r="50" spans="1:24" x14ac:dyDescent="0.3">
      <c r="A50" s="173" t="s">
        <v>37</v>
      </c>
      <c r="B50" s="173"/>
      <c r="C50" s="173"/>
      <c r="D50" s="173"/>
      <c r="E50" s="173"/>
      <c r="F50" s="173"/>
      <c r="G50" s="173"/>
      <c r="H50" s="173"/>
    </row>
    <row r="51" spans="1:24" ht="33.75" customHeight="1" x14ac:dyDescent="0.3">
      <c r="A51" s="180" t="s">
        <v>147</v>
      </c>
      <c r="B51" s="181"/>
      <c r="C51" s="202" t="s">
        <v>265</v>
      </c>
      <c r="D51" s="203"/>
      <c r="E51" s="203"/>
      <c r="F51" s="203"/>
      <c r="G51" s="203"/>
      <c r="H51" s="204"/>
      <c r="R51" t="s">
        <v>249</v>
      </c>
      <c r="S51" s="54" t="s">
        <v>169</v>
      </c>
      <c r="T51" s="54" t="s">
        <v>176</v>
      </c>
      <c r="U51" s="54" t="s">
        <v>190</v>
      </c>
      <c r="V51" s="54" t="s">
        <v>185</v>
      </c>
    </row>
    <row r="52" spans="1:24" ht="15.75" customHeight="1" x14ac:dyDescent="0.3">
      <c r="A52" s="180" t="s">
        <v>38</v>
      </c>
      <c r="B52" s="181"/>
      <c r="C52" s="175" t="s">
        <v>372</v>
      </c>
      <c r="D52" s="176"/>
      <c r="E52" s="177"/>
      <c r="F52" s="81" t="s">
        <v>39</v>
      </c>
      <c r="G52" s="178">
        <v>45617</v>
      </c>
      <c r="H52" s="179"/>
      <c r="R52"/>
      <c r="S52" s="54" t="s">
        <v>250</v>
      </c>
      <c r="T52" s="54" t="s">
        <v>255</v>
      </c>
      <c r="U52" s="54" t="s">
        <v>266</v>
      </c>
      <c r="V52" s="54" t="s">
        <v>271</v>
      </c>
    </row>
    <row r="53" spans="1:24" x14ac:dyDescent="0.3">
      <c r="A53" s="180" t="s">
        <v>40</v>
      </c>
      <c r="B53" s="181"/>
      <c r="C53" s="175" t="str">
        <f>C52</f>
        <v>EE/Dn. II/MHP/SPA/I/85279/ of 2024</v>
      </c>
      <c r="D53" s="176"/>
      <c r="E53" s="177"/>
      <c r="F53" s="81" t="s">
        <v>39</v>
      </c>
      <c r="G53" s="178">
        <f>G52</f>
        <v>45617</v>
      </c>
      <c r="H53" s="179"/>
      <c r="R53"/>
      <c r="S53" s="54" t="s">
        <v>251</v>
      </c>
      <c r="T53" s="54" t="s">
        <v>352</v>
      </c>
      <c r="U53" s="54" t="s">
        <v>264</v>
      </c>
      <c r="V53" s="54" t="s">
        <v>272</v>
      </c>
    </row>
    <row r="54" spans="1:24" s="23" customFormat="1" ht="15.75" customHeight="1" x14ac:dyDescent="0.3">
      <c r="A54" s="191" t="s">
        <v>150</v>
      </c>
      <c r="B54" s="192"/>
      <c r="C54" s="175" t="str">
        <f>C53</f>
        <v>EE/Dn. II/MHP/SPA/I/85279/ of 2024</v>
      </c>
      <c r="D54" s="176"/>
      <c r="E54" s="177"/>
      <c r="F54" s="81" t="s">
        <v>39</v>
      </c>
      <c r="G54" s="178">
        <v>45617</v>
      </c>
      <c r="H54" s="179"/>
      <c r="I54" s="22" t="str">
        <f ca="1">IF(G54&gt;EDATE(E3,-48),"NO REMARK","CC REMARK FOR CC")</f>
        <v>NO REMARK</v>
      </c>
      <c r="J54" s="78"/>
      <c r="R54"/>
      <c r="S54" s="54" t="s">
        <v>252</v>
      </c>
      <c r="T54" s="54" t="s">
        <v>257</v>
      </c>
      <c r="U54" s="54" t="s">
        <v>254</v>
      </c>
      <c r="V54" s="54" t="s">
        <v>273</v>
      </c>
    </row>
    <row r="55" spans="1:24" s="23" customFormat="1" ht="33" customHeight="1" x14ac:dyDescent="0.3">
      <c r="A55" s="193"/>
      <c r="B55" s="194"/>
      <c r="C55" s="175" t="s">
        <v>399</v>
      </c>
      <c r="D55" s="176"/>
      <c r="E55" s="176"/>
      <c r="F55" s="176"/>
      <c r="G55" s="176"/>
      <c r="H55" s="177"/>
      <c r="R55"/>
      <c r="S55" s="54" t="s">
        <v>253</v>
      </c>
      <c r="T55" s="54" t="s">
        <v>260</v>
      </c>
      <c r="U55" s="54" t="s">
        <v>267</v>
      </c>
      <c r="V55" s="72" t="s">
        <v>345</v>
      </c>
    </row>
    <row r="56" spans="1:24" s="23" customFormat="1" x14ac:dyDescent="0.3">
      <c r="A56" s="184" t="s">
        <v>277</v>
      </c>
      <c r="B56" s="185"/>
      <c r="C56" s="188" t="s">
        <v>415</v>
      </c>
      <c r="D56" s="189"/>
      <c r="E56" s="190"/>
      <c r="F56" s="86" t="s">
        <v>39</v>
      </c>
      <c r="G56" s="252">
        <v>45610</v>
      </c>
      <c r="H56" s="253"/>
      <c r="K56" s="79">
        <f>EDATE(G54,-48)</f>
        <v>44156</v>
      </c>
      <c r="L56" s="23" t="str">
        <f ca="1">IF(G54&gt;EDATE(E3,-48),"NO REMARK","CC REMARK FOR CC")</f>
        <v>NO REMARK</v>
      </c>
      <c r="R56"/>
      <c r="S56" s="54" t="s">
        <v>252</v>
      </c>
      <c r="T56" s="54" t="s">
        <v>257</v>
      </c>
      <c r="U56" s="54" t="s">
        <v>254</v>
      </c>
      <c r="V56" s="54" t="s">
        <v>273</v>
      </c>
    </row>
    <row r="57" spans="1:24" s="23" customFormat="1" x14ac:dyDescent="0.3">
      <c r="A57" s="186"/>
      <c r="B57" s="187"/>
      <c r="C57" s="121" t="s">
        <v>416</v>
      </c>
      <c r="D57" s="122"/>
      <c r="E57" s="122"/>
      <c r="F57" s="122"/>
      <c r="G57" s="122"/>
      <c r="H57" s="123"/>
      <c r="R57"/>
      <c r="S57" s="54" t="s">
        <v>254</v>
      </c>
      <c r="T57" s="54" t="s">
        <v>258</v>
      </c>
      <c r="U57" s="54" t="s">
        <v>268</v>
      </c>
      <c r="V57" s="73"/>
      <c r="W57" s="21"/>
      <c r="X57" s="21"/>
    </row>
    <row r="58" spans="1:24" s="23" customFormat="1" ht="34.5" hidden="1" customHeight="1" x14ac:dyDescent="0.3">
      <c r="A58" s="247" t="s">
        <v>278</v>
      </c>
      <c r="B58" s="248"/>
      <c r="C58" s="180" t="str">
        <f>C57</f>
        <v>Building 1 (Wing A to E) = G + 1st to 45th Floor (Height - 146.85 Mtr)</v>
      </c>
      <c r="D58" s="198"/>
      <c r="E58" s="181"/>
      <c r="F58" s="18" t="s">
        <v>39</v>
      </c>
      <c r="G58" s="182">
        <f>G57</f>
        <v>0</v>
      </c>
      <c r="H58" s="183"/>
      <c r="R58"/>
      <c r="S58" s="73"/>
      <c r="T58" s="54" t="s">
        <v>259</v>
      </c>
      <c r="U58" s="54" t="s">
        <v>269</v>
      </c>
      <c r="V58" s="73"/>
      <c r="W58" s="21"/>
      <c r="X58" s="21"/>
    </row>
    <row r="59" spans="1:24" s="23" customFormat="1" ht="41.25" hidden="1" customHeight="1" x14ac:dyDescent="0.3">
      <c r="A59" s="249"/>
      <c r="B59" s="250"/>
      <c r="C59" s="180"/>
      <c r="D59" s="198"/>
      <c r="E59" s="198"/>
      <c r="F59" s="198"/>
      <c r="G59" s="198"/>
      <c r="H59" s="181"/>
      <c r="R59"/>
      <c r="S59" s="73"/>
      <c r="T59" s="54" t="s">
        <v>261</v>
      </c>
      <c r="U59" s="54" t="s">
        <v>270</v>
      </c>
      <c r="V59" s="73"/>
      <c r="W59" s="21"/>
      <c r="X59" s="21"/>
    </row>
    <row r="60" spans="1:24" s="23" customFormat="1" ht="15.75" customHeight="1" x14ac:dyDescent="0.3">
      <c r="A60" s="184" t="s">
        <v>347</v>
      </c>
      <c r="B60" s="185"/>
      <c r="C60" s="188" t="s">
        <v>413</v>
      </c>
      <c r="D60" s="189"/>
      <c r="E60" s="190"/>
      <c r="F60" s="18" t="s">
        <v>39</v>
      </c>
      <c r="G60" s="182">
        <v>45385</v>
      </c>
      <c r="H60" s="183"/>
      <c r="R60"/>
      <c r="S60" s="73"/>
      <c r="T60" s="54" t="s">
        <v>262</v>
      </c>
      <c r="U60" s="73" t="s">
        <v>292</v>
      </c>
      <c r="V60" s="73"/>
      <c r="W60" s="21"/>
      <c r="X60" s="21"/>
    </row>
    <row r="61" spans="1:24" s="23" customFormat="1" ht="45" customHeight="1" x14ac:dyDescent="0.3">
      <c r="A61" s="186"/>
      <c r="B61" s="187"/>
      <c r="C61" s="145" t="s">
        <v>418</v>
      </c>
      <c r="D61" s="145"/>
      <c r="E61" s="145"/>
      <c r="F61" s="18" t="s">
        <v>348</v>
      </c>
      <c r="G61" s="182">
        <v>48305</v>
      </c>
      <c r="H61" s="183"/>
      <c r="I61" s="23">
        <f>160.1-5.99</f>
        <v>154.10999999999999</v>
      </c>
      <c r="R61"/>
      <c r="S61" s="73"/>
      <c r="T61" s="54" t="s">
        <v>263</v>
      </c>
      <c r="U61" s="73"/>
      <c r="V61" s="73"/>
      <c r="W61" s="21"/>
      <c r="X61" s="21"/>
    </row>
    <row r="62" spans="1:24" x14ac:dyDescent="0.3">
      <c r="A62" s="184" t="s">
        <v>400</v>
      </c>
      <c r="B62" s="185"/>
      <c r="C62" s="188" t="s">
        <v>401</v>
      </c>
      <c r="D62" s="189"/>
      <c r="E62" s="190"/>
      <c r="F62" s="86" t="s">
        <v>39</v>
      </c>
      <c r="G62" s="252">
        <v>45495</v>
      </c>
      <c r="H62" s="253"/>
      <c r="R62"/>
      <c r="S62" s="73"/>
      <c r="T62" s="54" t="s">
        <v>265</v>
      </c>
      <c r="U62" s="73"/>
      <c r="V62" s="73"/>
    </row>
    <row r="63" spans="1:24" x14ac:dyDescent="0.3">
      <c r="A63" s="238" t="s">
        <v>41</v>
      </c>
      <c r="B63" s="239"/>
      <c r="C63" s="238" t="s">
        <v>101</v>
      </c>
      <c r="D63" s="240"/>
      <c r="E63" s="239"/>
      <c r="F63" s="43" t="s">
        <v>39</v>
      </c>
      <c r="G63" s="241" t="s">
        <v>27</v>
      </c>
      <c r="H63" s="242"/>
      <c r="R63"/>
    </row>
    <row r="64" spans="1:24" x14ac:dyDescent="0.3">
      <c r="A64" s="214" t="s">
        <v>43</v>
      </c>
      <c r="B64" s="214"/>
      <c r="C64" s="214"/>
      <c r="D64" s="214"/>
      <c r="E64" s="214"/>
      <c r="F64" s="214"/>
      <c r="G64" s="214"/>
      <c r="H64" s="214"/>
      <c r="I64" s="24"/>
      <c r="R64"/>
    </row>
    <row r="65" spans="1:19" x14ac:dyDescent="0.3">
      <c r="A65" s="215" t="s">
        <v>86</v>
      </c>
      <c r="B65" s="215"/>
      <c r="C65" s="215"/>
      <c r="D65" s="127">
        <f>E48</f>
        <v>105551.09</v>
      </c>
      <c r="E65" s="127"/>
      <c r="F65" s="127"/>
      <c r="G65" s="127"/>
      <c r="H65" s="127"/>
      <c r="R65"/>
    </row>
    <row r="66" spans="1:19" ht="15.75" customHeight="1" x14ac:dyDescent="0.3">
      <c r="A66" s="145" t="s">
        <v>44</v>
      </c>
      <c r="B66" s="216"/>
      <c r="C66" s="216"/>
      <c r="D66" s="216" t="s">
        <v>396</v>
      </c>
      <c r="E66" s="216"/>
      <c r="F66" s="216"/>
      <c r="G66" s="216"/>
      <c r="H66" s="216"/>
      <c r="R66"/>
    </row>
    <row r="67" spans="1:19" ht="15.75" customHeight="1" x14ac:dyDescent="0.3">
      <c r="A67" s="184" t="s">
        <v>45</v>
      </c>
      <c r="B67" s="201"/>
      <c r="C67" s="185"/>
      <c r="D67" s="199" t="s">
        <v>375</v>
      </c>
      <c r="E67" s="200"/>
      <c r="F67" s="200"/>
      <c r="G67" s="200"/>
      <c r="H67" s="200"/>
      <c r="R67"/>
    </row>
    <row r="68" spans="1:19" ht="15.75" customHeight="1" x14ac:dyDescent="0.3">
      <c r="A68" s="184" t="s">
        <v>84</v>
      </c>
      <c r="B68" s="201"/>
      <c r="C68" s="201"/>
      <c r="D68" s="208" t="s">
        <v>375</v>
      </c>
      <c r="E68" s="209"/>
      <c r="F68" s="209"/>
      <c r="G68" s="209"/>
      <c r="H68" s="210"/>
      <c r="S68"/>
    </row>
    <row r="69" spans="1:19" ht="15.75" hidden="1" customHeight="1" x14ac:dyDescent="0.3">
      <c r="A69" s="205"/>
      <c r="B69" s="206"/>
      <c r="C69" s="206"/>
      <c r="D69" s="211" t="s">
        <v>376</v>
      </c>
      <c r="E69" s="212"/>
      <c r="F69" s="212"/>
      <c r="G69" s="212"/>
      <c r="H69" s="213"/>
      <c r="J69" s="25"/>
      <c r="K69" s="24"/>
      <c r="N69" s="24"/>
      <c r="S69"/>
    </row>
    <row r="70" spans="1:19" ht="15.75" hidden="1" customHeight="1" x14ac:dyDescent="0.3">
      <c r="A70" s="186"/>
      <c r="B70" s="207"/>
      <c r="C70" s="207"/>
      <c r="D70" s="211" t="s">
        <v>165</v>
      </c>
      <c r="E70" s="212"/>
      <c r="F70" s="212"/>
      <c r="G70" s="212"/>
      <c r="H70" s="213"/>
      <c r="N70" s="24"/>
      <c r="S70"/>
    </row>
    <row r="71" spans="1:19" ht="15.75" customHeight="1" x14ac:dyDescent="0.3">
      <c r="A71" s="127" t="s">
        <v>42</v>
      </c>
      <c r="B71" s="127"/>
      <c r="C71" s="127"/>
      <c r="D71" s="174" t="s">
        <v>368</v>
      </c>
      <c r="E71" s="174"/>
      <c r="F71" s="174"/>
      <c r="G71" s="174"/>
      <c r="H71" s="174"/>
      <c r="J71" s="26"/>
      <c r="K71" s="26"/>
      <c r="S71"/>
    </row>
    <row r="72" spans="1:19" x14ac:dyDescent="0.3">
      <c r="A72" s="127" t="s">
        <v>82</v>
      </c>
      <c r="B72" s="127"/>
      <c r="C72" s="127"/>
      <c r="D72" s="195" t="str">
        <f>(IF(G63="NA","60 Years After Completion",IF(G63&lt;&gt;"NA",""&amp;60-ROUNDDOWN((E3-G63)/360,0)&amp;" Years"," ")))</f>
        <v>60 Years After Completion</v>
      </c>
      <c r="E72" s="195"/>
      <c r="F72" s="195"/>
      <c r="G72" s="195"/>
      <c r="H72" s="195"/>
      <c r="I72" s="80" t="s">
        <v>370</v>
      </c>
      <c r="S72"/>
    </row>
    <row r="73" spans="1:19" x14ac:dyDescent="0.3">
      <c r="A73" s="127" t="s">
        <v>83</v>
      </c>
      <c r="B73" s="127"/>
      <c r="C73" s="127"/>
      <c r="D73" s="215" t="s">
        <v>22</v>
      </c>
      <c r="E73" s="215"/>
      <c r="F73" s="215"/>
      <c r="G73" s="215"/>
      <c r="H73" s="215"/>
      <c r="I73" s="27"/>
      <c r="J73" s="27"/>
      <c r="K73" s="27"/>
      <c r="L73" s="27"/>
      <c r="M73" s="27"/>
      <c r="N73" s="27"/>
    </row>
    <row r="74" spans="1:19" ht="36" customHeight="1" x14ac:dyDescent="0.3">
      <c r="A74" s="197" t="s">
        <v>369</v>
      </c>
      <c r="B74" s="197"/>
      <c r="C74" s="197"/>
      <c r="D74" s="145" t="s">
        <v>412</v>
      </c>
      <c r="E74" s="215"/>
      <c r="F74" s="215"/>
      <c r="G74" s="215"/>
      <c r="H74" s="215"/>
      <c r="J74" s="26"/>
      <c r="S74"/>
    </row>
    <row r="75" spans="1:19" ht="16.2" thickBot="1" x14ac:dyDescent="0.35">
      <c r="A75" s="215" t="s">
        <v>144</v>
      </c>
      <c r="B75" s="215"/>
      <c r="C75" s="215"/>
      <c r="D75" s="215" t="s">
        <v>27</v>
      </c>
      <c r="E75" s="215"/>
      <c r="F75" s="215"/>
      <c r="G75" s="215"/>
      <c r="H75" s="215"/>
      <c r="S75"/>
    </row>
    <row r="76" spans="1:19" ht="15.75" customHeight="1" x14ac:dyDescent="0.3">
      <c r="A76" s="127" t="s">
        <v>81</v>
      </c>
      <c r="B76" s="127"/>
      <c r="C76" s="127"/>
      <c r="D76" s="145" t="str">
        <f ca="1">(IF(G82&gt;95%,"Nothing",IF(G82&gt;0%,"Cement, Aggregate, Steel, etc",IF(G82=0%,"Work not yet Started"))))</f>
        <v>Work not yet Started</v>
      </c>
      <c r="E76" s="145"/>
      <c r="F76" s="145"/>
      <c r="G76" s="145"/>
      <c r="H76" s="145"/>
      <c r="I76" s="87" t="str">
        <f ca="1">IF(D91=100%,"All work Completed. Possession granted to the Building.",IF(D90=100%,"All work Completed, Waiting for OC",I77&amp;""&amp;I78&amp;""&amp;J77&amp;""&amp;J76&amp;" "&amp;J78))</f>
        <v xml:space="preserve">Work not yet Started. </v>
      </c>
      <c r="J76" s="46"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c>
      <c r="S76"/>
    </row>
    <row r="77" spans="1:19" ht="16.2" thickBot="1" x14ac:dyDescent="0.35">
      <c r="A77" s="282" t="s">
        <v>114</v>
      </c>
      <c r="B77" s="282"/>
      <c r="C77" s="282"/>
      <c r="D77" s="283" t="str">
        <f ca="1">(IF(D76="Nothing","Yes",IF(D76="Cement, Aggregate, Steel, etc","Under Construction",IF(D76="Work not yet Started","Work not yet Started"))))</f>
        <v>Work not yet Started</v>
      </c>
      <c r="E77" s="283"/>
      <c r="F77" s="283" t="str">
        <f ca="1">(IF(D76="Nothing","Yes",IF(D76="Cement, Aggregate, Steel, etc","Under Construction",IF(D76="Work not yet Started","Work not yet Started"))))</f>
        <v>Work not yet Started</v>
      </c>
      <c r="G77" s="283"/>
      <c r="H77" s="283"/>
      <c r="I77" s="88" t="str">
        <f ca="1">IF(D82=100%,"Excavation","")&amp;IF(D83=100%,", Plinth","")&amp;IF(D84=100%,", RCC Slab","")&amp;IF(D85=100%,", Brickwork","")&amp;IF(D86=100%,", Internal Plaster","")&amp;IF(D87=100%,", External Plaster","")&amp;IF(D88=100%,", Flooring","")&amp;IF(D89=100%,", Painting","")&amp;IF(D90=100%,", Building common Amenities","")</f>
        <v/>
      </c>
      <c r="J77" s="48" t="str">
        <f>(IF(C82=0,"Work not yet Started.",IF(D82=25%,"Piling work in process",IF(D82=50%,"Excavation work in process",IF(D82=100%,"","0")))))&amp;(IF(C83=0%,"",IF(C83=J82,", Footing work is process",IF(C83=J83,", Footing work Completed",IF(C83=J84,", 1st Basement Completed",IF(C83=J85,", 1st &amp; 2nd Basement Completed",IF(C83=J86,", 1st to 3rd Basement Completed",IF(C83=J87,", 1st to 4th Basement Completed",IF(C83=J88,", Plinth work is process",IF(C83=J89,"","0"))))))))))</f>
        <v>Work not yet Started.</v>
      </c>
      <c r="S77"/>
    </row>
    <row r="78" spans="1:19" x14ac:dyDescent="0.3">
      <c r="A78" s="284" t="s">
        <v>136</v>
      </c>
      <c r="B78" s="285"/>
      <c r="C78" s="285" t="str">
        <f>D68</f>
        <v>Wing A to E = G + 1st to 45th Floor</v>
      </c>
      <c r="D78" s="285"/>
      <c r="E78" s="285"/>
      <c r="F78" s="285"/>
      <c r="G78" s="285"/>
      <c r="H78" s="286"/>
      <c r="I78" s="88" t="str">
        <f ca="1">IF(I77&lt;&gt;""," Completed","")</f>
        <v/>
      </c>
      <c r="J78" s="48" t="str">
        <f ca="1">IF(J76&lt;&gt;"","Completed","")</f>
        <v/>
      </c>
      <c r="S78"/>
    </row>
    <row r="79" spans="1:19" ht="15.75" customHeight="1" x14ac:dyDescent="0.3">
      <c r="A79" s="16" t="s">
        <v>138</v>
      </c>
      <c r="B79" s="49">
        <f>IF(AND(ISNUMBER(SEARCH("1B",C78))),1,IF(AND(ISNUMBER(SEARCH("2B",C78))),2,IF(AND(ISNUMBER(SEARCH("3B",C78))),3,IF(AND(ISNUMBER(SEARCH("4B",C78))),4,IF(ISNUMBER(SEARCH("5B",C78)),5,0)))))</f>
        <v>0</v>
      </c>
      <c r="C79" s="49" t="s">
        <v>67</v>
      </c>
      <c r="D79" s="49">
        <v>1</v>
      </c>
      <c r="E79" s="49" t="s">
        <v>66</v>
      </c>
      <c r="F79" s="82">
        <v>0</v>
      </c>
      <c r="G79" s="44" t="s">
        <v>75</v>
      </c>
      <c r="H79" s="17">
        <f ca="1">--TRIM(RIGHT(SUBSTITUTE(LEFT(C78,_xlfn.AGGREGATE(16,6,FIND({0,1,2,3,4,5,6,7,8,9},C78,ROW(INDIRECT("1:"&amp;LEN(C78)))),1))," ",REPT(" ",LEN(C78))),LEN(C78)))</f>
        <v>45</v>
      </c>
      <c r="I79" s="13" t="s">
        <v>137</v>
      </c>
      <c r="J79" s="28">
        <f ca="1">H79*25%</f>
        <v>11.25</v>
      </c>
      <c r="S79"/>
    </row>
    <row r="80" spans="1:19" x14ac:dyDescent="0.3">
      <c r="A80" s="111" t="s">
        <v>85</v>
      </c>
      <c r="B80" s="112"/>
      <c r="C80" s="113" t="str">
        <f ca="1">I76</f>
        <v xml:space="preserve">Work not yet Started. </v>
      </c>
      <c r="D80" s="113"/>
      <c r="E80" s="113"/>
      <c r="F80" s="113"/>
      <c r="G80" s="113"/>
      <c r="H80" s="114"/>
      <c r="I80" s="13" t="s">
        <v>96</v>
      </c>
      <c r="J80" s="29">
        <f ca="1">H79*50%</f>
        <v>22.5</v>
      </c>
    </row>
    <row r="81" spans="1:19" x14ac:dyDescent="0.3">
      <c r="A81" s="89" t="s">
        <v>46</v>
      </c>
      <c r="B81" s="90"/>
      <c r="C81" s="75" t="s">
        <v>135</v>
      </c>
      <c r="D81" s="75" t="s">
        <v>78</v>
      </c>
      <c r="E81" s="90" t="s">
        <v>80</v>
      </c>
      <c r="F81" s="90"/>
      <c r="G81" s="90" t="s">
        <v>79</v>
      </c>
      <c r="H81" s="115"/>
      <c r="I81" s="13" t="s">
        <v>97</v>
      </c>
      <c r="J81" s="29">
        <f ca="1">H79</f>
        <v>45</v>
      </c>
      <c r="S81"/>
    </row>
    <row r="82" spans="1:19" ht="15.75" customHeight="1" x14ac:dyDescent="0.3">
      <c r="A82" s="89" t="s">
        <v>124</v>
      </c>
      <c r="B82" s="90"/>
      <c r="C82" s="75">
        <v>0</v>
      </c>
      <c r="D82" s="19">
        <f ca="1">((100/H79)*C82)/100</f>
        <v>0</v>
      </c>
      <c r="E82" s="167">
        <f ca="1">(((C83/H79*10)+(40/(D79+F79+H79)*C84)+(7.5/(H79)*C85)+(7.5/(H79)*C86)+(10/H79*C87)+(10/H79*C88)+(5/H79*C89)+(5/H79*C90)+(5/H79*C91))/100)</f>
        <v>0</v>
      </c>
      <c r="F82" s="167"/>
      <c r="G82" s="167">
        <f ca="1">((((C82/H79)*20)+((C83/H79)*25)+(30/(H79+F79+D79)*C84)+(5/H79*C85)+(5/H79*C86)+(5/H79*C87)+(5/H79*C88)+(0/H79*C89)+(0/H79*C90)+(5/H79*C91))/100)</f>
        <v>0</v>
      </c>
      <c r="H82" s="287"/>
      <c r="I82" s="13" t="s">
        <v>98</v>
      </c>
      <c r="J82" s="30">
        <f ca="1">(IF(B79&gt;1,(H79/(B79+2)),H79/4))</f>
        <v>11.25</v>
      </c>
      <c r="S82"/>
    </row>
    <row r="83" spans="1:19" ht="15.75" customHeight="1" x14ac:dyDescent="0.3">
      <c r="A83" s="89" t="s">
        <v>47</v>
      </c>
      <c r="B83" s="90"/>
      <c r="C83" s="75">
        <v>0</v>
      </c>
      <c r="D83" s="19">
        <f ca="1">((100/H79)*C83)/100</f>
        <v>0</v>
      </c>
      <c r="E83" s="167"/>
      <c r="F83" s="167"/>
      <c r="G83" s="167"/>
      <c r="H83" s="287"/>
      <c r="I83" s="13" t="s">
        <v>99</v>
      </c>
      <c r="J83" s="30">
        <f ca="1">(IF(B79&gt;1,(H79/(B79+2)+J82),H79/4+J82))</f>
        <v>22.5</v>
      </c>
    </row>
    <row r="84" spans="1:19" ht="15.75" customHeight="1" x14ac:dyDescent="0.3">
      <c r="A84" s="89" t="s">
        <v>125</v>
      </c>
      <c r="B84" s="90"/>
      <c r="C84" s="75">
        <v>0</v>
      </c>
      <c r="D84" s="19">
        <f ca="1">((100/(D79+F79+H79))*C84)/100</f>
        <v>0</v>
      </c>
      <c r="E84" s="167"/>
      <c r="F84" s="167"/>
      <c r="G84" s="167"/>
      <c r="H84" s="287"/>
      <c r="I84" s="13" t="s">
        <v>142</v>
      </c>
      <c r="J84" s="30">
        <f>(IF(B79&gt;1,(H79/(B79+2)+J83),0))</f>
        <v>0</v>
      </c>
    </row>
    <row r="85" spans="1:19" ht="15" customHeight="1" x14ac:dyDescent="0.3">
      <c r="A85" s="89" t="s">
        <v>132</v>
      </c>
      <c r="B85" s="90" t="s">
        <v>126</v>
      </c>
      <c r="C85" s="75">
        <v>0</v>
      </c>
      <c r="D85" s="19">
        <f ca="1">((100/H79)*C85)/100</f>
        <v>0</v>
      </c>
      <c r="E85" s="167"/>
      <c r="F85" s="167"/>
      <c r="G85" s="167"/>
      <c r="H85" s="287"/>
      <c r="I85" s="13" t="s">
        <v>139</v>
      </c>
      <c r="J85" s="30">
        <f>(IF(B79&gt;2,(H79/(B79+2)+J84),0))</f>
        <v>0</v>
      </c>
    </row>
    <row r="86" spans="1:19" ht="15.75" customHeight="1" x14ac:dyDescent="0.3">
      <c r="A86" s="89" t="s">
        <v>133</v>
      </c>
      <c r="B86" s="90" t="s">
        <v>126</v>
      </c>
      <c r="C86" s="75">
        <v>0</v>
      </c>
      <c r="D86" s="19">
        <f ca="1">((100/H79)*C86)/100</f>
        <v>0</v>
      </c>
      <c r="E86" s="167"/>
      <c r="F86" s="167"/>
      <c r="G86" s="167"/>
      <c r="H86" s="287"/>
      <c r="I86" s="13" t="s">
        <v>140</v>
      </c>
      <c r="J86" s="31">
        <f>(IF(B79&gt;3,(H79/(B79+2)+J85),0))</f>
        <v>0</v>
      </c>
    </row>
    <row r="87" spans="1:19" ht="15.75" customHeight="1" x14ac:dyDescent="0.3">
      <c r="A87" s="89" t="s">
        <v>131</v>
      </c>
      <c r="B87" s="90" t="s">
        <v>128</v>
      </c>
      <c r="C87" s="75">
        <v>0</v>
      </c>
      <c r="D87" s="19">
        <f ca="1">((100/(H79))*C87)/100</f>
        <v>0</v>
      </c>
      <c r="E87" s="167"/>
      <c r="F87" s="167"/>
      <c r="G87" s="167"/>
      <c r="H87" s="287"/>
      <c r="I87" s="13" t="s">
        <v>141</v>
      </c>
      <c r="J87" s="30">
        <f>(IF(B79&gt;4,(H79/(B79+2)+J86),0))</f>
        <v>0</v>
      </c>
    </row>
    <row r="88" spans="1:19" ht="15.75" customHeight="1" x14ac:dyDescent="0.3">
      <c r="A88" s="89" t="s">
        <v>127</v>
      </c>
      <c r="B88" s="90" t="s">
        <v>127</v>
      </c>
      <c r="C88" s="75">
        <v>0</v>
      </c>
      <c r="D88" s="19">
        <f ca="1">((100/H79)*C88)/100</f>
        <v>0</v>
      </c>
      <c r="E88" s="167"/>
      <c r="F88" s="167"/>
      <c r="G88" s="167"/>
      <c r="H88" s="287"/>
      <c r="I88" s="13" t="s">
        <v>143</v>
      </c>
      <c r="J88" s="30">
        <f ca="1">(IF(B79=1,(H79/(B79+3)+J83),IF(B79=0,(H79/4+J83),IF(B79&gt;1,0))))</f>
        <v>33.75</v>
      </c>
    </row>
    <row r="89" spans="1:19" ht="16.2" thickBot="1" x14ac:dyDescent="0.35">
      <c r="A89" s="89" t="s">
        <v>134</v>
      </c>
      <c r="B89" s="90"/>
      <c r="C89" s="75">
        <v>0</v>
      </c>
      <c r="D89" s="19">
        <f ca="1">((100/H79)*C89)/100</f>
        <v>0</v>
      </c>
      <c r="E89" s="167"/>
      <c r="F89" s="167"/>
      <c r="G89" s="167"/>
      <c r="H89" s="287"/>
      <c r="I89" s="15" t="s">
        <v>100</v>
      </c>
      <c r="J89" s="32">
        <f ca="1">(IF(B79&gt;1.5,(H79/(B79+2)+J83+MAX(0,J84-J83)+MAX(0,J85-J84)+MAX(0,J86-J85)+MAX(0,J87-J86)+MAX(0,J88-J87)),IF(B79=1,(H79/(B79+3)+J88),IF(B79=0,H79/4+J88))))</f>
        <v>45</v>
      </c>
    </row>
    <row r="90" spans="1:19" ht="15.75" customHeight="1" x14ac:dyDescent="0.3">
      <c r="A90" s="89" t="s">
        <v>129</v>
      </c>
      <c r="B90" s="90" t="s">
        <v>129</v>
      </c>
      <c r="C90" s="75">
        <v>0</v>
      </c>
      <c r="D90" s="19">
        <f ca="1">((100/(H79))*C90)/100</f>
        <v>0</v>
      </c>
      <c r="E90" s="167"/>
      <c r="F90" s="167"/>
      <c r="G90" s="167"/>
      <c r="H90" s="287"/>
      <c r="I90" s="87" t="str">
        <f ca="1">IF(D105=100%,"All work Completed. Possession granted to the Building.",IF(D104=100%,"All work Completed, Waiting for OC",I91&amp;""&amp;I92&amp;""&amp;J91&amp;""&amp;J90&amp;" "&amp;J92))</f>
        <v xml:space="preserve">Excavation, Plinth Completed </v>
      </c>
      <c r="J90" s="46"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0"/>
    </row>
    <row r="91" spans="1:19" ht="16.2" thickBot="1" x14ac:dyDescent="0.35">
      <c r="A91" s="94" t="s">
        <v>130</v>
      </c>
      <c r="B91" s="95"/>
      <c r="C91" s="74">
        <v>0</v>
      </c>
      <c r="D91" s="20">
        <f ca="1">((100/(H79))*C91)/100</f>
        <v>0</v>
      </c>
      <c r="E91" s="288"/>
      <c r="F91" s="288"/>
      <c r="G91" s="288"/>
      <c r="H91" s="289"/>
      <c r="I91" s="88" t="str">
        <f ca="1">IF(D96=100%,"Excavation","")&amp;IF(D97=100%,", Plinth","")&amp;IF(D98=100%,", RCC Slab","")&amp;IF(D99=100%,", Brickwork","")&amp;IF(D100=100%,", Internal Plaster","")&amp;IF(D101=100%,", External Plaster","")&amp;IF(D102=100%,", Flooring","")&amp;IF(D103=100%,", Painting","")&amp;IF(D104=100%,", Building common Amenities","")</f>
        <v>Excavation, Plinth</v>
      </c>
      <c r="J91" s="48" t="str">
        <f ca="1">(IF(C96=0,"Work not yet Started.",IF(D96=25%,"Piling work in process",IF(D96=50%,"Excavation work in process",IF(D96=100%,"","0")))))&amp;(IF(C97=0%,"",IF(C97=J96,", Footing work is process",IF(C97=J97,", Footing work Completed",IF(C97=J98,", 1st Basement Completed",IF(C97=J99,", 1st &amp; 2nd Basement Completed",IF(C97=J100,", 1st to 3rd Basement Completed",IF(C97=J101,", 1st to 4th Basement Completed",IF(C97=J102,", Plinth work is process",IF(C97=J103,"","0"))))))))))</f>
        <v/>
      </c>
      <c r="S91"/>
    </row>
    <row r="92" spans="1:19" hidden="1" x14ac:dyDescent="0.3">
      <c r="A92" s="150" t="s">
        <v>136</v>
      </c>
      <c r="B92" s="151"/>
      <c r="C92" s="152" t="str">
        <f>D69</f>
        <v>Wing D &amp; E = G + 1st to 45th Floor</v>
      </c>
      <c r="D92" s="153"/>
      <c r="E92" s="153"/>
      <c r="F92" s="153"/>
      <c r="G92" s="153"/>
      <c r="H92" s="154"/>
      <c r="I92" s="47" t="str">
        <f ca="1">IF(I91&lt;&gt;""," Completed","")</f>
        <v xml:space="preserve"> Completed</v>
      </c>
      <c r="J92" s="48" t="str">
        <f ca="1">IF(J90&lt;&gt;"","Completed","")</f>
        <v/>
      </c>
      <c r="S92"/>
    </row>
    <row r="93" spans="1:19" ht="15.75" hidden="1" customHeight="1" x14ac:dyDescent="0.3">
      <c r="A93" s="16" t="s">
        <v>138</v>
      </c>
      <c r="B93" s="49">
        <f>IF(AND(ISNUMBER(SEARCH("1B",C92))),1,IF(AND(ISNUMBER(SEARCH("2B",C92))),2,IF(AND(ISNUMBER(SEARCH("3B",C92))),3,IF(AND(ISNUMBER(SEARCH("4B",C92))),4,IF(ISNUMBER(SEARCH("5B",C92)),5,0)))))</f>
        <v>0</v>
      </c>
      <c r="C93" s="49" t="s">
        <v>67</v>
      </c>
      <c r="D93" s="49">
        <v>1</v>
      </c>
      <c r="E93" s="49" t="s">
        <v>66</v>
      </c>
      <c r="F93" s="14">
        <v>0</v>
      </c>
      <c r="G93" s="44" t="s">
        <v>75</v>
      </c>
      <c r="H93" s="17">
        <f ca="1">--TRIM(RIGHT(SUBSTITUTE(LEFT(C92,_xlfn.AGGREGATE(16,6,FIND({0,1,2,3,4,5,6,7,8,9},C92,ROW(INDIRECT("1:"&amp;LEN(C92)))),1))," ",REPT(" ",LEN(C92))),LEN(C92)))</f>
        <v>45</v>
      </c>
      <c r="I93" s="13" t="s">
        <v>137</v>
      </c>
      <c r="J93" s="28">
        <f ca="1">H93*25%</f>
        <v>11.25</v>
      </c>
      <c r="S93"/>
    </row>
    <row r="94" spans="1:19" hidden="1" x14ac:dyDescent="0.3">
      <c r="A94" s="111" t="s">
        <v>85</v>
      </c>
      <c r="B94" s="112"/>
      <c r="C94" s="113" t="str">
        <f ca="1">I90</f>
        <v xml:space="preserve">Excavation, Plinth Completed </v>
      </c>
      <c r="D94" s="113"/>
      <c r="E94" s="113"/>
      <c r="F94" s="113"/>
      <c r="G94" s="113"/>
      <c r="H94" s="114"/>
      <c r="I94" s="13" t="s">
        <v>96</v>
      </c>
      <c r="J94" s="29">
        <f ca="1">H93*50%</f>
        <v>22.5</v>
      </c>
    </row>
    <row r="95" spans="1:19" hidden="1" x14ac:dyDescent="0.3">
      <c r="A95" s="89" t="s">
        <v>46</v>
      </c>
      <c r="B95" s="90"/>
      <c r="C95" s="75" t="s">
        <v>135</v>
      </c>
      <c r="D95" s="75" t="s">
        <v>78</v>
      </c>
      <c r="E95" s="90" t="s">
        <v>80</v>
      </c>
      <c r="F95" s="90"/>
      <c r="G95" s="90" t="s">
        <v>79</v>
      </c>
      <c r="H95" s="115"/>
      <c r="I95" s="13" t="s">
        <v>97</v>
      </c>
      <c r="J95" s="29">
        <f ca="1">H93</f>
        <v>45</v>
      </c>
      <c r="S95"/>
    </row>
    <row r="96" spans="1:19" ht="15.75" hidden="1" customHeight="1" x14ac:dyDescent="0.3">
      <c r="A96" s="89" t="s">
        <v>124</v>
      </c>
      <c r="B96" s="90"/>
      <c r="C96" s="57">
        <f ca="1">J95</f>
        <v>45</v>
      </c>
      <c r="D96" s="19">
        <f ca="1">((100/H93)*C96)/100</f>
        <v>1</v>
      </c>
      <c r="E96" s="100">
        <f ca="1">(((C97/H93*10)+(40/(D93+F93+H93)*C98)+(7.5/(H93)*C99)+(7.5/(H93)*C100)+(10/H93*C101)+(10/H93*C102)+(5/H93*C103)+(5/H93*C104)+(5/H93*C105))/100)</f>
        <v>0.1</v>
      </c>
      <c r="F96" s="101"/>
      <c r="G96" s="100">
        <f ca="1">((((C96/H93)*20)+((C97/H93)*25)+(30/(H93+F93+D93)*C98)+(5/H93*C99)+(5/H93*C100)+(5/H93*C101)+(5/H93*C102)+(0/H93*C103)+(0/H93*C104)+(5/H93*C105))/100)</f>
        <v>0.45</v>
      </c>
      <c r="H96" s="116"/>
      <c r="I96" s="13" t="s">
        <v>98</v>
      </c>
      <c r="J96" s="30">
        <f ca="1">(IF(B93&gt;1,(H93/(B93+2)),H93/4))</f>
        <v>11.25</v>
      </c>
      <c r="S96"/>
    </row>
    <row r="97" spans="1:19" ht="15.75" hidden="1" customHeight="1" x14ac:dyDescent="0.3">
      <c r="A97" s="89" t="s">
        <v>47</v>
      </c>
      <c r="B97" s="90"/>
      <c r="C97" s="75">
        <f ca="1">J103</f>
        <v>45</v>
      </c>
      <c r="D97" s="19">
        <f ca="1">((100/H93)*C97)/100</f>
        <v>1</v>
      </c>
      <c r="E97" s="102"/>
      <c r="F97" s="103"/>
      <c r="G97" s="102"/>
      <c r="H97" s="117"/>
      <c r="I97" s="13" t="s">
        <v>99</v>
      </c>
      <c r="J97" s="30">
        <f ca="1">(IF(B93&gt;1,(H93/(B93+2)+J96),H93/4+J96))</f>
        <v>22.5</v>
      </c>
    </row>
    <row r="98" spans="1:19" ht="15.75" hidden="1" customHeight="1" x14ac:dyDescent="0.3">
      <c r="A98" s="89" t="s">
        <v>125</v>
      </c>
      <c r="B98" s="90"/>
      <c r="C98" s="75">
        <v>0</v>
      </c>
      <c r="D98" s="19">
        <f ca="1">((100/(D93+F93+H93))*C98)/100</f>
        <v>0</v>
      </c>
      <c r="E98" s="102"/>
      <c r="F98" s="103"/>
      <c r="G98" s="102"/>
      <c r="H98" s="117"/>
      <c r="I98" s="13" t="s">
        <v>142</v>
      </c>
      <c r="J98" s="30">
        <f>(IF(B93&gt;1,(H93/(B93+2)+J97),0))</f>
        <v>0</v>
      </c>
    </row>
    <row r="99" spans="1:19" ht="15" hidden="1" customHeight="1" x14ac:dyDescent="0.3">
      <c r="A99" s="89" t="s">
        <v>132</v>
      </c>
      <c r="B99" s="90" t="s">
        <v>126</v>
      </c>
      <c r="C99" s="75">
        <v>0</v>
      </c>
      <c r="D99" s="19">
        <f ca="1">((100/H93)*C99)/100</f>
        <v>0</v>
      </c>
      <c r="E99" s="102"/>
      <c r="F99" s="103"/>
      <c r="G99" s="102"/>
      <c r="H99" s="117"/>
      <c r="I99" s="13" t="s">
        <v>139</v>
      </c>
      <c r="J99" s="30">
        <f>(IF(B93&gt;2,(H93/(B93+2)+J98),0))</f>
        <v>0</v>
      </c>
    </row>
    <row r="100" spans="1:19" ht="15.75" hidden="1" customHeight="1" x14ac:dyDescent="0.3">
      <c r="A100" s="89" t="s">
        <v>133</v>
      </c>
      <c r="B100" s="90" t="s">
        <v>126</v>
      </c>
      <c r="C100" s="75">
        <v>0</v>
      </c>
      <c r="D100" s="19">
        <f ca="1">((100/H93)*C100)/100</f>
        <v>0</v>
      </c>
      <c r="E100" s="102"/>
      <c r="F100" s="103"/>
      <c r="G100" s="102"/>
      <c r="H100" s="117"/>
      <c r="I100" s="13" t="s">
        <v>140</v>
      </c>
      <c r="J100" s="31">
        <f>(IF(B93&gt;3,(H93/(B93+2)+J99),0))</f>
        <v>0</v>
      </c>
    </row>
    <row r="101" spans="1:19" ht="15.75" hidden="1" customHeight="1" x14ac:dyDescent="0.3">
      <c r="A101" s="89" t="s">
        <v>131</v>
      </c>
      <c r="B101" s="90" t="s">
        <v>128</v>
      </c>
      <c r="C101" s="75">
        <v>0</v>
      </c>
      <c r="D101" s="19">
        <f ca="1">((100/(H93))*C101)/100</f>
        <v>0</v>
      </c>
      <c r="E101" s="102"/>
      <c r="F101" s="103"/>
      <c r="G101" s="102"/>
      <c r="H101" s="117"/>
      <c r="I101" s="13" t="s">
        <v>141</v>
      </c>
      <c r="J101" s="30">
        <f>(IF(B93&gt;4,(H93/(B93+2)+J100),0))</f>
        <v>0</v>
      </c>
    </row>
    <row r="102" spans="1:19" ht="15.75" hidden="1" customHeight="1" x14ac:dyDescent="0.3">
      <c r="A102" s="89" t="s">
        <v>127</v>
      </c>
      <c r="B102" s="90" t="s">
        <v>127</v>
      </c>
      <c r="C102" s="75">
        <v>0</v>
      </c>
      <c r="D102" s="19">
        <f ca="1">((100/H93)*C102)/100</f>
        <v>0</v>
      </c>
      <c r="E102" s="102"/>
      <c r="F102" s="103"/>
      <c r="G102" s="102"/>
      <c r="H102" s="117"/>
      <c r="I102" s="13" t="s">
        <v>143</v>
      </c>
      <c r="J102" s="30">
        <f ca="1">(IF(B93=1,(H93/(B93+3)+J97),IF(B93=0,(H93/4+J97),IF(B93&gt;1,0))))</f>
        <v>33.75</v>
      </c>
    </row>
    <row r="103" spans="1:19" ht="16.2" hidden="1" thickBot="1" x14ac:dyDescent="0.35">
      <c r="A103" s="89" t="s">
        <v>134</v>
      </c>
      <c r="B103" s="90"/>
      <c r="C103" s="75">
        <v>0</v>
      </c>
      <c r="D103" s="19">
        <f ca="1">((100/H93)*C103)/100</f>
        <v>0</v>
      </c>
      <c r="E103" s="102"/>
      <c r="F103" s="103"/>
      <c r="G103" s="102"/>
      <c r="H103" s="117"/>
      <c r="I103" s="15" t="s">
        <v>100</v>
      </c>
      <c r="J103" s="32">
        <f ca="1">(IF(B93&gt;1.5,(H93/(B93+2)+J97+MAX(0,J98-J97)+MAX(0,J99-J98)+MAX(0,J100-J99)+MAX(0,J101-J100)+MAX(0,J102-J101)),IF(B93=1,(H93/(B93+3)+J102),IF(B93=0,H93/4+J102))))</f>
        <v>45</v>
      </c>
    </row>
    <row r="104" spans="1:19" ht="15.75" hidden="1" customHeight="1" x14ac:dyDescent="0.3">
      <c r="A104" s="89" t="s">
        <v>129</v>
      </c>
      <c r="B104" s="90" t="s">
        <v>129</v>
      </c>
      <c r="C104" s="75">
        <v>0</v>
      </c>
      <c r="D104" s="19">
        <f ca="1">((100/(H93))*C104)/100</f>
        <v>0</v>
      </c>
      <c r="E104" s="102"/>
      <c r="F104" s="103"/>
      <c r="G104" s="102"/>
      <c r="H104" s="117"/>
      <c r="I104" s="45" t="str">
        <f ca="1">IF(D119=100%,"All work Completed. Possession granted to the Building.",IF(D118=100%,"All work Completed, Waiting for OC",I105&amp;""&amp;I106&amp;""&amp;J105&amp;""&amp;J104&amp;" "&amp;J106))</f>
        <v xml:space="preserve">Excavation, Plinth Completed </v>
      </c>
      <c r="J104" s="46"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4"/>
    </row>
    <row r="105" spans="1:19" ht="16.2" hidden="1" thickBot="1" x14ac:dyDescent="0.35">
      <c r="A105" s="94" t="s">
        <v>130</v>
      </c>
      <c r="B105" s="95"/>
      <c r="C105" s="74">
        <v>0</v>
      </c>
      <c r="D105" s="20">
        <f ca="1">((100/(H93))*C105)/100</f>
        <v>0</v>
      </c>
      <c r="E105" s="104"/>
      <c r="F105" s="105"/>
      <c r="G105" s="104"/>
      <c r="H105" s="118"/>
      <c r="I105" s="47" t="str">
        <f ca="1">IF(D110=100%,"Excavation","")&amp;IF(D111=100%,", Plinth","")&amp;IF(D112=100%,", RCC Slab","")&amp;IF(D113=100%,", Brickwork","")&amp;IF(D114=100%,", Internal Plaster","")&amp;IF(D115=100%,", External Plaster","")&amp;IF(D116=100%,", Flooring","")&amp;IF(D117=100%,", Painting","")&amp;IF(D118=100%,", Building common Amenities","")</f>
        <v>Excavation, Plinth</v>
      </c>
      <c r="J105" s="48" t="str">
        <f ca="1">(IF(C110=0,"Work not yet Started.",IF(D110=25%,"Piling work in process",IF(D110=50%,"Excavation work in process",IF(D110=100%,"","0")))))&amp;(IF(C111=0%,"",IF(C111=J110,", Footing work is process",IF(C111=J111,", Footing work Completed",IF(C111=J112,", 1st Basement Completed",IF(C111=J113,", 1st &amp; 2nd Basement Completed",IF(C111=J114,", 1st to 3rd Basement Completed",IF(C111=J115,", 1st to 4th Basement Completed",IF(C111=J116,", Plinth work is process",IF(C111=J117,"","0"))))))))))</f>
        <v/>
      </c>
      <c r="S105"/>
    </row>
    <row r="106" spans="1:19" hidden="1" x14ac:dyDescent="0.3">
      <c r="A106" s="106" t="s">
        <v>136</v>
      </c>
      <c r="B106" s="107"/>
      <c r="C106" s="108" t="str">
        <f>D70</f>
        <v>C Wing = 1B + G + 1st to 20th Floor</v>
      </c>
      <c r="D106" s="109"/>
      <c r="E106" s="109"/>
      <c r="F106" s="109"/>
      <c r="G106" s="109"/>
      <c r="H106" s="110"/>
      <c r="I106" s="47" t="str">
        <f ca="1">IF(I105&lt;&gt;""," Completed","")</f>
        <v xml:space="preserve"> Completed</v>
      </c>
      <c r="J106" s="48" t="str">
        <f ca="1">IF(J104&lt;&gt;"","Completed","")</f>
        <v/>
      </c>
      <c r="S106"/>
    </row>
    <row r="107" spans="1:19" ht="15.75" hidden="1" customHeight="1" x14ac:dyDescent="0.3">
      <c r="A107" s="16" t="s">
        <v>138</v>
      </c>
      <c r="B107" s="49">
        <f>IF(AND(ISNUMBER(SEARCH("1B",C106))),1,IF(AND(ISNUMBER(SEARCH("2B",C106))),2,IF(AND(ISNUMBER(SEARCH("3B",C106))),3,IF(AND(ISNUMBER(SEARCH("4B",C106))),4,IF(ISNUMBER(SEARCH("5B",C106)),5,0)))))</f>
        <v>1</v>
      </c>
      <c r="C107" s="49" t="s">
        <v>67</v>
      </c>
      <c r="D107" s="49">
        <v>1</v>
      </c>
      <c r="E107" s="49" t="s">
        <v>66</v>
      </c>
      <c r="F107" s="14">
        <v>0</v>
      </c>
      <c r="G107" s="44" t="s">
        <v>75</v>
      </c>
      <c r="H107" s="17">
        <f ca="1">--TRIM(RIGHT(SUBSTITUTE(LEFT(C106,_xlfn.AGGREGATE(16,6,FIND({0,1,2,3,4,5,6,7,8,9},C106,ROW(INDIRECT("1:"&amp;LEN(C106)))),1))," ",REPT(" ",LEN(C106))),LEN(C106)))</f>
        <v>20</v>
      </c>
      <c r="I107" s="13" t="s">
        <v>137</v>
      </c>
      <c r="J107" s="28">
        <f ca="1">H107*25%</f>
        <v>5</v>
      </c>
      <c r="S107"/>
    </row>
    <row r="108" spans="1:19" hidden="1" x14ac:dyDescent="0.3">
      <c r="A108" s="111" t="s">
        <v>85</v>
      </c>
      <c r="B108" s="112"/>
      <c r="C108" s="113" t="str">
        <f ca="1">I104</f>
        <v xml:space="preserve">Excavation, Plinth Completed </v>
      </c>
      <c r="D108" s="113"/>
      <c r="E108" s="113"/>
      <c r="F108" s="113"/>
      <c r="G108" s="113"/>
      <c r="H108" s="114"/>
      <c r="I108" s="13" t="s">
        <v>96</v>
      </c>
      <c r="J108" s="29">
        <f ca="1">H107*50%</f>
        <v>10</v>
      </c>
    </row>
    <row r="109" spans="1:19" hidden="1" x14ac:dyDescent="0.3">
      <c r="A109" s="89" t="s">
        <v>46</v>
      </c>
      <c r="B109" s="90"/>
      <c r="C109" s="75" t="s">
        <v>135</v>
      </c>
      <c r="D109" s="75" t="s">
        <v>78</v>
      </c>
      <c r="E109" s="90" t="s">
        <v>80</v>
      </c>
      <c r="F109" s="90"/>
      <c r="G109" s="90" t="s">
        <v>79</v>
      </c>
      <c r="H109" s="115"/>
      <c r="I109" s="13" t="s">
        <v>97</v>
      </c>
      <c r="J109" s="29">
        <f ca="1">H107</f>
        <v>20</v>
      </c>
      <c r="S109"/>
    </row>
    <row r="110" spans="1:19" ht="15.75" hidden="1" customHeight="1" x14ac:dyDescent="0.3">
      <c r="A110" s="89" t="s">
        <v>124</v>
      </c>
      <c r="B110" s="90"/>
      <c r="C110" s="57">
        <f ca="1">J109</f>
        <v>20</v>
      </c>
      <c r="D110" s="19">
        <f ca="1">((100/H107)*C110)/100</f>
        <v>1</v>
      </c>
      <c r="E110" s="100">
        <f ca="1">(((C111/H107*10)+(40/(D107+F107+H107)*C112)+(7.5/(H107)*C113)+(7.5/(H107)*C114)+(10/H107*C115)+(10/H107*C116)+(5/H107*C117)+(5/H107*C118)+(5/H107*C119))/100)</f>
        <v>0.1</v>
      </c>
      <c r="F110" s="101"/>
      <c r="G110" s="100">
        <f ca="1">((((C110/H107)*20)+((C111/H107)*25)+(30/(H107+F107+D107)*C112)+(5/H107*C113)+(5/H107*C114)+(5/H107*C115)+(5/H107*C116)+(0/H107*C117)+(0/H107*C118)+(5/H107*C119))/100)</f>
        <v>0.45</v>
      </c>
      <c r="H110" s="116"/>
      <c r="I110" s="13" t="s">
        <v>98</v>
      </c>
      <c r="J110" s="30">
        <f ca="1">(IF(B107&gt;1,(H107/(B107+2)),H107/4))</f>
        <v>5</v>
      </c>
      <c r="S110"/>
    </row>
    <row r="111" spans="1:19" ht="15.75" hidden="1" customHeight="1" x14ac:dyDescent="0.3">
      <c r="A111" s="89" t="s">
        <v>47</v>
      </c>
      <c r="B111" s="90"/>
      <c r="C111" s="75">
        <f ca="1">J117</f>
        <v>20</v>
      </c>
      <c r="D111" s="19">
        <f ca="1">((100/H107)*C111)/100</f>
        <v>1</v>
      </c>
      <c r="E111" s="102"/>
      <c r="F111" s="103"/>
      <c r="G111" s="102"/>
      <c r="H111" s="117"/>
      <c r="I111" s="13" t="s">
        <v>99</v>
      </c>
      <c r="J111" s="30">
        <f ca="1">(IF(B107&gt;1,(H107/(B107+2)+J110),H107/4+J110))</f>
        <v>10</v>
      </c>
    </row>
    <row r="112" spans="1:19" ht="15.75" hidden="1" customHeight="1" x14ac:dyDescent="0.3">
      <c r="A112" s="89" t="s">
        <v>125</v>
      </c>
      <c r="B112" s="90"/>
      <c r="C112" s="75">
        <v>0</v>
      </c>
      <c r="D112" s="19">
        <f ca="1">((100/(D107+F107+H107))*C112)/100</f>
        <v>0</v>
      </c>
      <c r="E112" s="102"/>
      <c r="F112" s="103"/>
      <c r="G112" s="102"/>
      <c r="H112" s="117"/>
      <c r="I112" s="13" t="s">
        <v>142</v>
      </c>
      <c r="J112" s="30">
        <f>(IF(B107&gt;1,(H107/(B107+2)+J111),0))</f>
        <v>0</v>
      </c>
    </row>
    <row r="113" spans="1:22" ht="15" hidden="1" customHeight="1" x14ac:dyDescent="0.3">
      <c r="A113" s="89" t="s">
        <v>132</v>
      </c>
      <c r="B113" s="90" t="s">
        <v>126</v>
      </c>
      <c r="C113" s="75">
        <v>0</v>
      </c>
      <c r="D113" s="19">
        <f ca="1">((100/H107)*C113)/100</f>
        <v>0</v>
      </c>
      <c r="E113" s="102"/>
      <c r="F113" s="103"/>
      <c r="G113" s="102"/>
      <c r="H113" s="117"/>
      <c r="I113" s="13" t="s">
        <v>139</v>
      </c>
      <c r="J113" s="30">
        <f>(IF(B107&gt;2,(H107/(B107+2)+J112),0))</f>
        <v>0</v>
      </c>
    </row>
    <row r="114" spans="1:22" ht="15.75" hidden="1" customHeight="1" x14ac:dyDescent="0.3">
      <c r="A114" s="89" t="s">
        <v>133</v>
      </c>
      <c r="B114" s="90" t="s">
        <v>126</v>
      </c>
      <c r="C114" s="75">
        <v>0</v>
      </c>
      <c r="D114" s="19">
        <f ca="1">((100/H107)*C114)/100</f>
        <v>0</v>
      </c>
      <c r="E114" s="102"/>
      <c r="F114" s="103"/>
      <c r="G114" s="102"/>
      <c r="H114" s="117"/>
      <c r="I114" s="13" t="s">
        <v>140</v>
      </c>
      <c r="J114" s="31">
        <f>(IF(B107&gt;3,(H107/(B107+2)+J113),0))</f>
        <v>0</v>
      </c>
    </row>
    <row r="115" spans="1:22" ht="15.75" hidden="1" customHeight="1" x14ac:dyDescent="0.3">
      <c r="A115" s="89" t="s">
        <v>131</v>
      </c>
      <c r="B115" s="90" t="s">
        <v>128</v>
      </c>
      <c r="C115" s="75">
        <v>0</v>
      </c>
      <c r="D115" s="19">
        <f ca="1">((100/(H107))*C115)/100</f>
        <v>0</v>
      </c>
      <c r="E115" s="102"/>
      <c r="F115" s="103"/>
      <c r="G115" s="102"/>
      <c r="H115" s="117"/>
      <c r="I115" s="13" t="s">
        <v>141</v>
      </c>
      <c r="J115" s="30">
        <f>(IF(B107&gt;4,(H107/(B107+2)+J114),0))</f>
        <v>0</v>
      </c>
    </row>
    <row r="116" spans="1:22" ht="15.75" hidden="1" customHeight="1" x14ac:dyDescent="0.3">
      <c r="A116" s="89" t="s">
        <v>127</v>
      </c>
      <c r="B116" s="90" t="s">
        <v>127</v>
      </c>
      <c r="C116" s="75">
        <v>0</v>
      </c>
      <c r="D116" s="19">
        <f ca="1">((100/H107)*C116)/100</f>
        <v>0</v>
      </c>
      <c r="E116" s="102"/>
      <c r="F116" s="103"/>
      <c r="G116" s="102"/>
      <c r="H116" s="117"/>
      <c r="I116" s="13" t="s">
        <v>143</v>
      </c>
      <c r="J116" s="30">
        <f ca="1">(IF(B107=1,(H107/(B107+3)+J111),IF(B107=0,(H107/4+J111),IF(B107&gt;1,0))))</f>
        <v>15</v>
      </c>
    </row>
    <row r="117" spans="1:22" ht="16.2" hidden="1" thickBot="1" x14ac:dyDescent="0.35">
      <c r="A117" s="89" t="s">
        <v>134</v>
      </c>
      <c r="B117" s="90"/>
      <c r="C117" s="75">
        <v>0</v>
      </c>
      <c r="D117" s="19">
        <f ca="1">((100/H107)*C117)/100</f>
        <v>0</v>
      </c>
      <c r="E117" s="102"/>
      <c r="F117" s="103"/>
      <c r="G117" s="102"/>
      <c r="H117" s="117"/>
      <c r="I117" s="15" t="s">
        <v>100</v>
      </c>
      <c r="J117" s="32">
        <f ca="1">(IF(B107&gt;1.5,(H107/(B107+2)+J111+MAX(0,J112-J111)+MAX(0,J113-J112)+MAX(0,J114-J113)+MAX(0,J115-J114)+MAX(0,J116-J115)),IF(B107=1,(H107/(B107+3)+J116),IF(B107=0,H107/4+J116))))</f>
        <v>20</v>
      </c>
    </row>
    <row r="118" spans="1:22" hidden="1" x14ac:dyDescent="0.3">
      <c r="A118" s="89" t="s">
        <v>129</v>
      </c>
      <c r="B118" s="90" t="s">
        <v>129</v>
      </c>
      <c r="C118" s="75">
        <v>0</v>
      </c>
      <c r="D118" s="19">
        <f ca="1">((100/(H107))*C118)/100</f>
        <v>0</v>
      </c>
      <c r="E118" s="102"/>
      <c r="F118" s="103"/>
      <c r="G118" s="102"/>
      <c r="H118" s="117"/>
      <c r="R118" t="s">
        <v>249</v>
      </c>
      <c r="S118" t="s">
        <v>169</v>
      </c>
      <c r="T118" t="s">
        <v>176</v>
      </c>
      <c r="U118" t="s">
        <v>190</v>
      </c>
      <c r="V118" t="s">
        <v>185</v>
      </c>
    </row>
    <row r="119" spans="1:22" ht="16.2" hidden="1" thickBot="1" x14ac:dyDescent="0.35">
      <c r="A119" s="94" t="s">
        <v>130</v>
      </c>
      <c r="B119" s="95"/>
      <c r="C119" s="74">
        <v>0</v>
      </c>
      <c r="D119" s="20">
        <f ca="1">((100/(H107))*C119)/100</f>
        <v>0</v>
      </c>
      <c r="E119" s="104"/>
      <c r="F119" s="105"/>
      <c r="G119" s="104"/>
      <c r="H119" s="118"/>
      <c r="R119"/>
      <c r="S119">
        <v>800000</v>
      </c>
      <c r="T119">
        <v>150000</v>
      </c>
      <c r="U119">
        <v>100000</v>
      </c>
      <c r="V119">
        <v>100000</v>
      </c>
    </row>
    <row r="120" spans="1:22" x14ac:dyDescent="0.3">
      <c r="A120" s="234" t="s">
        <v>152</v>
      </c>
      <c r="B120" s="234"/>
      <c r="C120" s="234"/>
      <c r="D120" s="234"/>
      <c r="E120" s="234"/>
      <c r="F120" s="251" t="s">
        <v>156</v>
      </c>
      <c r="G120" s="251"/>
      <c r="H120" s="251"/>
      <c r="R120"/>
      <c r="S120">
        <v>900000</v>
      </c>
      <c r="T120">
        <v>200000</v>
      </c>
      <c r="U120">
        <v>150000</v>
      </c>
      <c r="V120">
        <v>150000</v>
      </c>
    </row>
    <row r="121" spans="1:22" x14ac:dyDescent="0.3">
      <c r="A121" s="127" t="s">
        <v>154</v>
      </c>
      <c r="B121" s="127"/>
      <c r="C121" s="127"/>
      <c r="D121" s="127"/>
      <c r="E121" s="127"/>
      <c r="F121" s="160">
        <v>14000</v>
      </c>
      <c r="G121" s="160"/>
      <c r="H121" s="160"/>
      <c r="R121"/>
      <c r="S121">
        <v>1000000</v>
      </c>
      <c r="T121">
        <v>250000</v>
      </c>
      <c r="U121">
        <v>200000</v>
      </c>
      <c r="V121">
        <v>200000</v>
      </c>
    </row>
    <row r="122" spans="1:22" s="33" customFormat="1" hidden="1" x14ac:dyDescent="0.3">
      <c r="A122" s="127" t="s">
        <v>153</v>
      </c>
      <c r="B122" s="127"/>
      <c r="C122" s="127"/>
      <c r="D122" s="127"/>
      <c r="E122" s="127"/>
      <c r="F122" s="160"/>
      <c r="G122" s="160"/>
      <c r="H122" s="160"/>
      <c r="R122"/>
      <c r="S122">
        <v>1100000</v>
      </c>
      <c r="T122">
        <v>300000</v>
      </c>
      <c r="U122">
        <v>250000</v>
      </c>
      <c r="V122" s="23">
        <v>250000</v>
      </c>
    </row>
    <row r="123" spans="1:22" s="33" customFormat="1" hidden="1" x14ac:dyDescent="0.3">
      <c r="A123" s="127" t="s">
        <v>155</v>
      </c>
      <c r="B123" s="127"/>
      <c r="C123" s="127"/>
      <c r="D123" s="127"/>
      <c r="E123" s="127"/>
      <c r="F123" s="160"/>
      <c r="G123" s="160"/>
      <c r="H123" s="160"/>
      <c r="R123"/>
      <c r="S123">
        <v>1200000</v>
      </c>
      <c r="T123">
        <v>350000</v>
      </c>
      <c r="U123">
        <v>300000</v>
      </c>
      <c r="V123">
        <v>300000</v>
      </c>
    </row>
    <row r="124" spans="1:22" s="33" customFormat="1" hidden="1" x14ac:dyDescent="0.3">
      <c r="A124" s="127" t="s">
        <v>172</v>
      </c>
      <c r="B124" s="127"/>
      <c r="C124" s="127"/>
      <c r="D124" s="127"/>
      <c r="E124" s="127"/>
      <c r="F124" s="160"/>
      <c r="G124" s="160"/>
      <c r="H124" s="160"/>
      <c r="R124"/>
      <c r="S124">
        <v>1300000</v>
      </c>
      <c r="T124">
        <v>400000</v>
      </c>
      <c r="U124">
        <v>350000</v>
      </c>
      <c r="V124" s="23">
        <v>400000</v>
      </c>
    </row>
    <row r="125" spans="1:22" s="33" customFormat="1" hidden="1" x14ac:dyDescent="0.3">
      <c r="A125" s="127" t="s">
        <v>90</v>
      </c>
      <c r="B125" s="127"/>
      <c r="C125" s="127"/>
      <c r="D125" s="127"/>
      <c r="E125" s="127"/>
      <c r="F125" s="160"/>
      <c r="G125" s="160"/>
      <c r="H125" s="160"/>
      <c r="R125"/>
      <c r="S125">
        <v>1400000</v>
      </c>
      <c r="T125">
        <v>500000</v>
      </c>
      <c r="U125">
        <v>400000</v>
      </c>
      <c r="V125"/>
    </row>
    <row r="126" spans="1:22" s="33" customFormat="1" hidden="1" x14ac:dyDescent="0.3">
      <c r="A126" s="127" t="s">
        <v>91</v>
      </c>
      <c r="B126" s="127"/>
      <c r="C126" s="127"/>
      <c r="D126" s="127"/>
      <c r="E126" s="127"/>
      <c r="F126" s="160"/>
      <c r="G126" s="160"/>
      <c r="H126" s="160"/>
      <c r="R126"/>
      <c r="S126">
        <v>1500000</v>
      </c>
      <c r="T126">
        <v>600000</v>
      </c>
      <c r="U126">
        <v>500000</v>
      </c>
      <c r="V126" s="23"/>
    </row>
    <row r="127" spans="1:22" s="33" customFormat="1" hidden="1" x14ac:dyDescent="0.3">
      <c r="A127" s="127" t="s">
        <v>92</v>
      </c>
      <c r="B127" s="127"/>
      <c r="C127" s="127"/>
      <c r="D127" s="127"/>
      <c r="E127" s="127"/>
      <c r="F127" s="160"/>
      <c r="G127" s="160"/>
      <c r="H127" s="160"/>
      <c r="R127"/>
      <c r="S127">
        <v>1600000</v>
      </c>
      <c r="T127">
        <v>700000</v>
      </c>
      <c r="U127">
        <v>600000</v>
      </c>
      <c r="V127"/>
    </row>
    <row r="128" spans="1:22" s="33" customFormat="1" hidden="1" x14ac:dyDescent="0.3">
      <c r="A128" s="127" t="s">
        <v>93</v>
      </c>
      <c r="B128" s="127"/>
      <c r="C128" s="127"/>
      <c r="D128" s="127"/>
      <c r="E128" s="127"/>
      <c r="F128" s="160"/>
      <c r="G128" s="160"/>
      <c r="H128" s="160"/>
      <c r="R128"/>
      <c r="S128">
        <v>1700000</v>
      </c>
      <c r="T128">
        <v>800000</v>
      </c>
      <c r="U128"/>
      <c r="V128" s="23"/>
    </row>
    <row r="129" spans="1:22" hidden="1" x14ac:dyDescent="0.3">
      <c r="A129" s="127" t="s">
        <v>94</v>
      </c>
      <c r="B129" s="127"/>
      <c r="C129" s="127"/>
      <c r="D129" s="127"/>
      <c r="E129" s="127"/>
      <c r="F129" s="160"/>
      <c r="G129" s="160"/>
      <c r="H129" s="160"/>
      <c r="R129"/>
      <c r="S129">
        <v>1800000</v>
      </c>
      <c r="T129">
        <v>900000</v>
      </c>
      <c r="U129"/>
    </row>
    <row r="130" spans="1:22" s="34" customFormat="1" hidden="1" x14ac:dyDescent="0.3">
      <c r="A130" s="127" t="s">
        <v>95</v>
      </c>
      <c r="B130" s="127"/>
      <c r="C130" s="127"/>
      <c r="D130" s="127"/>
      <c r="E130" s="127"/>
      <c r="F130" s="160"/>
      <c r="G130" s="160"/>
      <c r="H130" s="160"/>
      <c r="R130" s="21"/>
      <c r="S130" s="21"/>
      <c r="T130">
        <v>1000000</v>
      </c>
      <c r="U130"/>
      <c r="V130" s="21"/>
    </row>
    <row r="131" spans="1:22" s="35" customFormat="1" ht="15.75" customHeight="1" x14ac:dyDescent="0.3">
      <c r="A131" s="127" t="s">
        <v>48</v>
      </c>
      <c r="B131" s="127"/>
      <c r="C131" s="127"/>
      <c r="D131" s="127"/>
      <c r="E131" s="127"/>
      <c r="F131" s="160">
        <v>500000</v>
      </c>
      <c r="G131" s="160"/>
      <c r="H131" s="160"/>
      <c r="R131"/>
      <c r="S131" s="21"/>
      <c r="T131"/>
      <c r="U131"/>
      <c r="V131" s="21"/>
    </row>
    <row r="132" spans="1:22" s="35" customFormat="1" ht="15.75" customHeight="1" x14ac:dyDescent="0.3">
      <c r="A132" s="173" t="s">
        <v>49</v>
      </c>
      <c r="B132" s="173"/>
      <c r="C132" s="173"/>
      <c r="D132" s="173"/>
      <c r="E132" s="173"/>
      <c r="F132" s="160">
        <f>F121*0.8</f>
        <v>11200</v>
      </c>
      <c r="G132" s="160"/>
      <c r="H132" s="160"/>
      <c r="R132"/>
      <c r="S132" s="21"/>
      <c r="T132"/>
      <c r="U132" s="21"/>
      <c r="V132" s="21"/>
    </row>
    <row r="133" spans="1:22" s="35" customFormat="1" hidden="1" x14ac:dyDescent="0.3">
      <c r="A133" s="134" t="s">
        <v>70</v>
      </c>
      <c r="B133" s="134"/>
      <c r="C133" s="134"/>
      <c r="D133" s="134"/>
      <c r="E133" s="134"/>
      <c r="F133" s="134"/>
      <c r="G133" s="134"/>
      <c r="H133" s="134"/>
      <c r="R133"/>
      <c r="S133" s="21"/>
      <c r="T133"/>
      <c r="U133" s="21"/>
      <c r="V133" s="21"/>
    </row>
    <row r="134" spans="1:22" s="35" customFormat="1" hidden="1" x14ac:dyDescent="0.3">
      <c r="A134" s="137" t="s">
        <v>50</v>
      </c>
      <c r="B134" s="137"/>
      <c r="C134" s="135" t="s">
        <v>73</v>
      </c>
      <c r="D134" s="135"/>
      <c r="E134" s="136" t="s">
        <v>51</v>
      </c>
      <c r="F134" s="136"/>
      <c r="G134" s="137" t="s">
        <v>52</v>
      </c>
      <c r="H134" s="137"/>
      <c r="R134"/>
      <c r="S134" s="21"/>
      <c r="T134"/>
      <c r="U134" s="21"/>
      <c r="V134" s="21"/>
    </row>
    <row r="135" spans="1:22" s="35" customFormat="1" hidden="1" x14ac:dyDescent="0.3">
      <c r="A135" s="138"/>
      <c r="B135" s="138"/>
      <c r="C135" s="131"/>
      <c r="D135" s="131"/>
      <c r="E135" s="132"/>
      <c r="F135" s="132"/>
      <c r="G135" s="133"/>
      <c r="H135" s="133"/>
      <c r="R135"/>
      <c r="S135" s="21"/>
      <c r="T135"/>
      <c r="U135" s="21"/>
      <c r="V135" s="21"/>
    </row>
    <row r="136" spans="1:22" s="35" customFormat="1" hidden="1" x14ac:dyDescent="0.3">
      <c r="A136" s="138"/>
      <c r="B136" s="138"/>
      <c r="C136" s="131"/>
      <c r="D136" s="131"/>
      <c r="E136" s="132"/>
      <c r="F136" s="132"/>
      <c r="G136" s="133"/>
      <c r="H136" s="133"/>
      <c r="T136"/>
    </row>
    <row r="137" spans="1:22" s="35" customFormat="1" ht="15.75" hidden="1" customHeight="1" x14ac:dyDescent="0.3">
      <c r="A137" s="134" t="s">
        <v>146</v>
      </c>
      <c r="B137" s="134"/>
      <c r="C137" s="135"/>
      <c r="D137" s="135"/>
      <c r="E137" s="136"/>
      <c r="F137" s="136"/>
      <c r="G137" s="137"/>
      <c r="H137" s="137"/>
      <c r="T137"/>
    </row>
    <row r="138" spans="1:22" s="35" customFormat="1" x14ac:dyDescent="0.3">
      <c r="A138" s="134" t="s">
        <v>65</v>
      </c>
      <c r="B138" s="134"/>
      <c r="C138" s="134"/>
      <c r="D138" s="134"/>
      <c r="E138" s="134"/>
      <c r="F138" s="134"/>
      <c r="G138" s="134"/>
      <c r="H138" s="134"/>
      <c r="T138"/>
    </row>
    <row r="139" spans="1:22" s="35" customFormat="1" x14ac:dyDescent="0.3">
      <c r="A139" s="137" t="s">
        <v>50</v>
      </c>
      <c r="B139" s="137"/>
      <c r="C139" s="135" t="s">
        <v>73</v>
      </c>
      <c r="D139" s="135"/>
      <c r="E139" s="136" t="s">
        <v>51</v>
      </c>
      <c r="F139" s="136"/>
      <c r="G139" s="137" t="s">
        <v>52</v>
      </c>
      <c r="H139" s="137"/>
      <c r="T139"/>
    </row>
    <row r="140" spans="1:22" s="35" customFormat="1" x14ac:dyDescent="0.3">
      <c r="A140" s="138" t="s">
        <v>371</v>
      </c>
      <c r="B140" s="138"/>
      <c r="C140" s="139">
        <f>COUNT(D165:D170)*32+COUNT(D172:D175,D177)*8</f>
        <v>232</v>
      </c>
      <c r="D140" s="139"/>
      <c r="E140" s="139">
        <f t="shared" ref="E140" si="0">SUM(F165:F170)*32+SUM(F172:F175,F177)*8</f>
        <v>185193.97415999998</v>
      </c>
      <c r="F140" s="139"/>
      <c r="G140" s="139">
        <f t="shared" ref="G140" si="1">SUM(H165:H170)*32+SUM(H172:H175,H177)*8</f>
        <v>277790.96123999998</v>
      </c>
      <c r="H140" s="139"/>
      <c r="T140"/>
    </row>
    <row r="141" spans="1:22" s="35" customFormat="1" x14ac:dyDescent="0.3">
      <c r="A141" s="138" t="s">
        <v>394</v>
      </c>
      <c r="B141" s="138"/>
      <c r="C141" s="139">
        <f>COUNT(D183:D188)*32+COUNT(D190:D193,D195)*8</f>
        <v>232</v>
      </c>
      <c r="D141" s="139"/>
      <c r="E141" s="139">
        <f t="shared" ref="E141" si="2">SUM(F183:F188)*32+SUM(F190:F193,F195)*8</f>
        <v>185193.97415999998</v>
      </c>
      <c r="F141" s="139"/>
      <c r="G141" s="139">
        <f t="shared" ref="G141" si="3">SUM(H183:H188)*32+SUM(H190:H193,H195)*8</f>
        <v>277790.96123999998</v>
      </c>
      <c r="H141" s="139"/>
      <c r="T141"/>
    </row>
    <row r="142" spans="1:22" s="35" customFormat="1" x14ac:dyDescent="0.3">
      <c r="A142" s="138" t="s">
        <v>395</v>
      </c>
      <c r="B142" s="138"/>
      <c r="C142" s="139">
        <f>COUNT(D201:D206)*32+COUNT(D208:D211,D213)*8</f>
        <v>232</v>
      </c>
      <c r="D142" s="139"/>
      <c r="E142" s="139">
        <f t="shared" ref="E142" si="4">SUM(F201:F206)*32+SUM(F208:F211,F213)*8</f>
        <v>185193.97415999998</v>
      </c>
      <c r="F142" s="139"/>
      <c r="G142" s="139">
        <f t="shared" ref="G142" si="5">SUM(H201:H206)*32+SUM(H208:H211,H213)*8</f>
        <v>277790.96123999998</v>
      </c>
      <c r="H142" s="139"/>
      <c r="T142"/>
    </row>
    <row r="143" spans="1:22" s="35" customFormat="1" x14ac:dyDescent="0.3">
      <c r="A143" s="138" t="s">
        <v>389</v>
      </c>
      <c r="B143" s="138"/>
      <c r="C143" s="139">
        <f>COUNT(D219:D221)*32+COUNT(D223:D224)*8</f>
        <v>112</v>
      </c>
      <c r="D143" s="139"/>
      <c r="E143" s="139">
        <f t="shared" ref="E143" si="6">SUM(F219:F221)*32+SUM(F223:F224)*8</f>
        <v>140881.61730239997</v>
      </c>
      <c r="F143" s="139"/>
      <c r="G143" s="139">
        <f t="shared" ref="G143" si="7">SUM(H219:H221)*32+SUM(H223:H224)*8</f>
        <v>211322.42595359997</v>
      </c>
      <c r="H143" s="139"/>
      <c r="T143"/>
    </row>
    <row r="144" spans="1:22" s="35" customFormat="1" x14ac:dyDescent="0.3">
      <c r="A144" s="138" t="s">
        <v>391</v>
      </c>
      <c r="B144" s="138"/>
      <c r="C144" s="139">
        <f>COUNT(D231:D233)*32+COUNT(D235:D236)*8</f>
        <v>112</v>
      </c>
      <c r="D144" s="139"/>
      <c r="E144" s="139">
        <f t="shared" ref="E144" si="8">SUM(F231:F233)*32+SUM(F235:F236)*8</f>
        <v>140881.61730239997</v>
      </c>
      <c r="F144" s="139"/>
      <c r="G144" s="139">
        <f t="shared" ref="G144" si="9">SUM(H231:H233)*32+SUM(H235:H236)*8</f>
        <v>211322.42595359997</v>
      </c>
      <c r="H144" s="139"/>
      <c r="T144"/>
    </row>
    <row r="145" spans="1:20" s="34" customFormat="1" x14ac:dyDescent="0.3">
      <c r="A145" s="128" t="s">
        <v>146</v>
      </c>
      <c r="B145" s="128"/>
      <c r="C145" s="129">
        <f>SUM(C140:D144)</f>
        <v>920</v>
      </c>
      <c r="D145" s="130"/>
      <c r="E145" s="129">
        <f t="shared" ref="E145" si="10">SUM(E140:F144)</f>
        <v>837345.15708479984</v>
      </c>
      <c r="F145" s="130"/>
      <c r="G145" s="129">
        <f t="shared" ref="G145" si="11">SUM(G140:H144)</f>
        <v>1256017.7356272</v>
      </c>
      <c r="H145" s="130"/>
      <c r="T145" s="35"/>
    </row>
    <row r="146" spans="1:20" hidden="1" x14ac:dyDescent="0.3">
      <c r="A146" s="165" t="s">
        <v>162</v>
      </c>
      <c r="B146" s="166"/>
      <c r="C146" s="229">
        <f>C137+C145</f>
        <v>920</v>
      </c>
      <c r="D146" s="229"/>
      <c r="E146" s="140">
        <f>E137+E145</f>
        <v>837345.15708479984</v>
      </c>
      <c r="F146" s="140"/>
      <c r="G146" s="163">
        <f>G137+G145</f>
        <v>1256017.7356272</v>
      </c>
      <c r="H146" s="164"/>
      <c r="T146" s="35"/>
    </row>
    <row r="147" spans="1:20" x14ac:dyDescent="0.3">
      <c r="A147" s="223" t="s">
        <v>350</v>
      </c>
      <c r="B147" s="223"/>
      <c r="C147" s="223"/>
      <c r="D147" s="223"/>
      <c r="E147" s="223"/>
      <c r="F147" s="223"/>
      <c r="G147" s="223"/>
      <c r="H147" s="223"/>
      <c r="T147" s="35"/>
    </row>
    <row r="148" spans="1:20" s="37" customFormat="1" x14ac:dyDescent="0.3">
      <c r="A148" s="237" t="s">
        <v>171</v>
      </c>
      <c r="B148" s="237"/>
      <c r="C148" s="237"/>
      <c r="D148" s="237"/>
      <c r="E148" s="237"/>
      <c r="F148" s="237"/>
      <c r="G148" s="237"/>
      <c r="H148" s="237"/>
      <c r="T148" s="35"/>
    </row>
    <row r="149" spans="1:20" s="37" customFormat="1" ht="46.8" hidden="1" x14ac:dyDescent="0.3">
      <c r="A149" s="96" t="s">
        <v>116</v>
      </c>
      <c r="B149" s="146" t="s">
        <v>173</v>
      </c>
      <c r="C149" s="96" t="s">
        <v>53</v>
      </c>
      <c r="D149" s="146" t="s">
        <v>228</v>
      </c>
      <c r="E149" s="158" t="s">
        <v>151</v>
      </c>
      <c r="F149" s="96" t="s">
        <v>54</v>
      </c>
      <c r="G149" s="148" t="s">
        <v>55</v>
      </c>
      <c r="H149" s="62" t="s">
        <v>145</v>
      </c>
      <c r="J149" s="36"/>
      <c r="T149" s="35"/>
    </row>
    <row r="150" spans="1:20" s="37" customFormat="1" ht="15.75" hidden="1" customHeight="1" x14ac:dyDescent="0.3">
      <c r="A150" s="97"/>
      <c r="B150" s="147"/>
      <c r="C150" s="97"/>
      <c r="D150" s="147"/>
      <c r="E150" s="159"/>
      <c r="F150" s="97"/>
      <c r="G150" s="149"/>
      <c r="H150" s="52">
        <v>0.45</v>
      </c>
      <c r="I150" s="36"/>
      <c r="L150" s="120"/>
      <c r="M150" s="120"/>
      <c r="N150" s="36"/>
      <c r="T150" s="35"/>
    </row>
    <row r="151" spans="1:20" s="37" customFormat="1" ht="15.75" hidden="1" customHeight="1" x14ac:dyDescent="0.3">
      <c r="A151" s="155" t="s">
        <v>115</v>
      </c>
      <c r="B151" s="156"/>
      <c r="C151" s="156"/>
      <c r="D151" s="156"/>
      <c r="E151" s="156"/>
      <c r="F151" s="156"/>
      <c r="G151" s="156"/>
      <c r="H151" s="157"/>
      <c r="I151" s="36"/>
      <c r="L151" s="120"/>
      <c r="M151" s="120"/>
      <c r="N151" s="36"/>
      <c r="T151" s="34"/>
    </row>
    <row r="152" spans="1:20" s="37" customFormat="1" ht="15.75" hidden="1" customHeight="1" x14ac:dyDescent="0.3">
      <c r="A152" s="161">
        <v>1</v>
      </c>
      <c r="B152" s="162"/>
      <c r="C152" s="42"/>
      <c r="D152" s="42">
        <v>0</v>
      </c>
      <c r="E152" s="42">
        <v>0</v>
      </c>
      <c r="F152" s="42">
        <f>D152+(IF(E152&lt;201,E152,IF(E152&lt;301,E152/2,E152/3)))</f>
        <v>0</v>
      </c>
      <c r="G152" s="42">
        <v>0</v>
      </c>
      <c r="H152" s="42">
        <f>(F152+(IF(G152&lt;101,G152,IF(G152&lt;201,G152/2,IF(G152&lt;=301,G152/3,G152/4)))))*(($H$150)+1)</f>
        <v>0</v>
      </c>
      <c r="I152" s="36"/>
      <c r="L152" s="120"/>
      <c r="M152" s="120"/>
      <c r="N152" s="36"/>
      <c r="T152" s="21"/>
    </row>
    <row r="153" spans="1:20" s="37" customFormat="1" ht="15.75" hidden="1" customHeight="1" x14ac:dyDescent="0.3">
      <c r="A153" s="161">
        <f>A152+1</f>
        <v>2</v>
      </c>
      <c r="B153" s="162"/>
      <c r="C153" s="42"/>
      <c r="D153" s="42"/>
      <c r="E153" s="42">
        <v>0</v>
      </c>
      <c r="F153" s="42">
        <f>D153+(IF(E153&lt;201,E153,IF(E153&lt;301,E153/2,E153/3)))</f>
        <v>0</v>
      </c>
      <c r="G153" s="42">
        <v>0</v>
      </c>
      <c r="H153" s="42">
        <f>(F153+(IF(G153&lt;101,G153,IF(G153&lt;201,G153/2,IF(G153&lt;=301,G153/3,G153/4)))))*(($H$150)+1)</f>
        <v>0</v>
      </c>
      <c r="I153" s="36"/>
      <c r="L153" s="120"/>
      <c r="M153" s="120"/>
      <c r="N153" s="36"/>
      <c r="T153" s="21"/>
    </row>
    <row r="154" spans="1:20" s="37" customFormat="1" hidden="1" x14ac:dyDescent="0.3">
      <c r="A154" s="161">
        <f>A153+1</f>
        <v>3</v>
      </c>
      <c r="B154" s="162"/>
      <c r="C154" s="42"/>
      <c r="D154" s="42"/>
      <c r="E154" s="42">
        <v>0</v>
      </c>
      <c r="F154" s="42">
        <f>D154+(IF(E154&lt;201,E154,IF(E154&lt;301,E154/2,E154/3)))</f>
        <v>0</v>
      </c>
      <c r="G154" s="42">
        <v>0</v>
      </c>
      <c r="H154" s="42">
        <f>(F154+(IF(G154&lt;101,G154,IF(G154&lt;201,G154/2,IF(G154&lt;=301,G154/3,G154/4)))))*(($H$150)+1)</f>
        <v>0</v>
      </c>
      <c r="I154" s="36"/>
      <c r="N154" s="36"/>
    </row>
    <row r="155" spans="1:20" ht="47.25" hidden="1" customHeight="1" x14ac:dyDescent="0.3">
      <c r="A155" s="161">
        <f>A154+1</f>
        <v>4</v>
      </c>
      <c r="B155" s="162"/>
      <c r="C155" s="42"/>
      <c r="D155" s="42"/>
      <c r="E155" s="42">
        <v>0</v>
      </c>
      <c r="F155" s="42">
        <f>D155+(IF(E155&lt;201,E155,IF(E155&lt;301,E155/2,E155/3)))</f>
        <v>0</v>
      </c>
      <c r="G155" s="42">
        <v>0</v>
      </c>
      <c r="H155" s="42">
        <f>(F155+(IF(G155&lt;101,G155,IF(G155&lt;201,G155/2,IF(G155&lt;=301,G155/3,G155/4)))))*(($H$150)+1)</f>
        <v>0</v>
      </c>
      <c r="I155" s="83">
        <v>10.763999999999999</v>
      </c>
      <c r="T155" s="37"/>
    </row>
    <row r="156" spans="1:20" s="37" customFormat="1" hidden="1" x14ac:dyDescent="0.3">
      <c r="A156" s="161"/>
      <c r="B156" s="254"/>
      <c r="C156" s="254"/>
      <c r="D156" s="254"/>
      <c r="E156" s="254"/>
      <c r="F156" s="254"/>
      <c r="G156" s="254"/>
      <c r="H156" s="162"/>
      <c r="I156" s="36"/>
    </row>
    <row r="157" spans="1:20" s="37" customFormat="1" ht="46.8" x14ac:dyDescent="0.3">
      <c r="A157" s="243" t="s">
        <v>117</v>
      </c>
      <c r="B157" s="98" t="s">
        <v>174</v>
      </c>
      <c r="C157" s="96" t="s">
        <v>53</v>
      </c>
      <c r="D157" s="98" t="s">
        <v>228</v>
      </c>
      <c r="E157" s="98" t="s">
        <v>388</v>
      </c>
      <c r="F157" s="96" t="s">
        <v>54</v>
      </c>
      <c r="G157" s="148" t="s">
        <v>55</v>
      </c>
      <c r="H157" s="61" t="s">
        <v>145</v>
      </c>
      <c r="J157" s="36"/>
    </row>
    <row r="158" spans="1:20" s="37" customFormat="1" x14ac:dyDescent="0.3">
      <c r="A158" s="244"/>
      <c r="B158" s="99"/>
      <c r="C158" s="97"/>
      <c r="D158" s="99"/>
      <c r="E158" s="99"/>
      <c r="F158" s="97"/>
      <c r="G158" s="149"/>
      <c r="H158" s="84">
        <v>0.5</v>
      </c>
      <c r="J158" s="36"/>
    </row>
    <row r="159" spans="1:20" s="37" customFormat="1" x14ac:dyDescent="0.3">
      <c r="A159" s="271" t="s">
        <v>419</v>
      </c>
      <c r="B159" s="272"/>
      <c r="C159" s="272"/>
      <c r="D159" s="272"/>
      <c r="E159" s="272"/>
      <c r="F159" s="272"/>
      <c r="G159" s="272"/>
      <c r="H159" s="273"/>
      <c r="J159" s="36"/>
    </row>
    <row r="160" spans="1:20" s="37" customFormat="1" x14ac:dyDescent="0.3">
      <c r="A160" s="255" t="s">
        <v>371</v>
      </c>
      <c r="B160" s="256"/>
      <c r="C160" s="256"/>
      <c r="D160" s="256"/>
      <c r="E160" s="256"/>
      <c r="F160" s="256"/>
      <c r="G160" s="256"/>
      <c r="H160" s="257"/>
      <c r="I160" s="37">
        <v>4</v>
      </c>
      <c r="J160" s="36"/>
    </row>
    <row r="161" spans="1:20" s="37" customFormat="1" x14ac:dyDescent="0.3">
      <c r="A161" s="155" t="s">
        <v>380</v>
      </c>
      <c r="B161" s="156"/>
      <c r="C161" s="156"/>
      <c r="D161" s="156"/>
      <c r="E161" s="156"/>
      <c r="F161" s="156"/>
      <c r="G161" s="156"/>
      <c r="H161" s="157"/>
      <c r="I161" s="37">
        <v>1</v>
      </c>
      <c r="J161" s="36"/>
    </row>
    <row r="162" spans="1:20" s="37" customFormat="1" x14ac:dyDescent="0.3">
      <c r="A162" s="155" t="s">
        <v>381</v>
      </c>
      <c r="B162" s="156"/>
      <c r="C162" s="156"/>
      <c r="D162" s="156"/>
      <c r="E162" s="156"/>
      <c r="F162" s="156"/>
      <c r="G162" s="156"/>
      <c r="H162" s="157"/>
      <c r="I162" s="37">
        <f>1+4+4+4+4+4+4+4+3</f>
        <v>32</v>
      </c>
    </row>
    <row r="163" spans="1:20" s="37" customFormat="1" ht="15.75" customHeight="1" x14ac:dyDescent="0.3">
      <c r="A163" s="155" t="s">
        <v>403</v>
      </c>
      <c r="B163" s="156"/>
      <c r="C163" s="156"/>
      <c r="D163" s="156"/>
      <c r="E163" s="156"/>
      <c r="F163" s="156"/>
      <c r="G163" s="156"/>
      <c r="H163" s="157"/>
      <c r="I163" s="36"/>
      <c r="L163" s="120"/>
      <c r="M163" s="120"/>
      <c r="N163" s="36"/>
    </row>
    <row r="164" spans="1:20" s="37" customFormat="1" ht="30.75" customHeight="1" x14ac:dyDescent="0.3">
      <c r="A164" s="155" t="s">
        <v>383</v>
      </c>
      <c r="B164" s="156"/>
      <c r="C164" s="156"/>
      <c r="D164" s="156"/>
      <c r="E164" s="156"/>
      <c r="F164" s="156"/>
      <c r="G164" s="156"/>
      <c r="H164" s="157"/>
      <c r="I164" s="36"/>
      <c r="J164" s="120">
        <f>14000</f>
        <v>14000</v>
      </c>
      <c r="K164" s="120"/>
      <c r="N164" s="36"/>
    </row>
    <row r="165" spans="1:20" s="37" customFormat="1" ht="15.75" customHeight="1" x14ac:dyDescent="0.3">
      <c r="A165" s="161">
        <v>1</v>
      </c>
      <c r="B165" s="162"/>
      <c r="C165" s="42" t="s">
        <v>384</v>
      </c>
      <c r="D165" s="83">
        <f>(3.35*5.17+2.6*2.75+3.12*3.95+4.25*(2.75+3.27)+1.38*(2.28+2.28+2.28)+2.2*3.05+0.9*(1.35+0.9+1.38)+2.47*1.6)*10.764</f>
        <v>922.97747879999986</v>
      </c>
      <c r="E165" s="83">
        <f>(2.6+3.35*1.5)*10.764</f>
        <v>82.075499999999991</v>
      </c>
      <c r="F165" s="42">
        <f t="shared" ref="F165:F170" si="12">D165+E165</f>
        <v>1005.0529787999999</v>
      </c>
      <c r="G165" s="42">
        <v>0</v>
      </c>
      <c r="H165" s="42">
        <f t="shared" ref="H165:H170" si="13">F165*(($H$158)+1)+(IF(G165&lt;101,G165,IF(G165&lt;201,G165/2,IF(G165&lt;=301,G165/3,G165/4))))</f>
        <v>1507.5794681999998</v>
      </c>
      <c r="I165" s="36"/>
      <c r="J165" s="120">
        <f>$J$164*H165</f>
        <v>21106112.554799996</v>
      </c>
      <c r="K165" s="120"/>
      <c r="N165" s="37">
        <f>22700000/H165</f>
        <v>15057.249371472968</v>
      </c>
    </row>
    <row r="166" spans="1:20" s="37" customFormat="1" ht="15.75" customHeight="1" x14ac:dyDescent="0.3">
      <c r="A166" s="161">
        <f>A165+1</f>
        <v>2</v>
      </c>
      <c r="B166" s="162"/>
      <c r="C166" s="42" t="s">
        <v>385</v>
      </c>
      <c r="D166" s="83">
        <f>(3.05*5.17+2.12*2.9+3.05*(3.35+4.35)+1.38*(2.28+2.28)+4.95*0.9+3.2+1.6*1.35)*10.764</f>
        <v>662.08610519999991</v>
      </c>
      <c r="E166" s="83">
        <f>(2.12*1.2+3.05*1.5)*10.764</f>
        <v>76.62891599999999</v>
      </c>
      <c r="F166" s="42">
        <f t="shared" si="12"/>
        <v>738.71502119999991</v>
      </c>
      <c r="G166" s="42">
        <v>0</v>
      </c>
      <c r="H166" s="42">
        <f t="shared" si="13"/>
        <v>1108.0725318</v>
      </c>
      <c r="I166" s="36"/>
      <c r="J166" s="120">
        <f t="shared" ref="J166:J169" si="14">$J$164*H166</f>
        <v>15513015.4452</v>
      </c>
      <c r="K166" s="120"/>
      <c r="L166" s="120"/>
      <c r="M166" s="120"/>
      <c r="T166" s="21"/>
    </row>
    <row r="167" spans="1:20" s="37" customFormat="1" ht="15.75" customHeight="1" x14ac:dyDescent="0.3">
      <c r="A167" s="119">
        <f>A166+1</f>
        <v>3</v>
      </c>
      <c r="B167" s="119"/>
      <c r="C167" s="42" t="s">
        <v>385</v>
      </c>
      <c r="D167" s="83">
        <f>(3.05*5.17+2.12*2.9+3.05*(3.35+4.35)+1.38*(2.28+2.28)+4.95*0.9+3.2+1.6*1.35)*10.764</f>
        <v>662.08610519999991</v>
      </c>
      <c r="E167" s="83">
        <f>(2.12*1.2+3.05*1.5)*10.764</f>
        <v>76.62891599999999</v>
      </c>
      <c r="F167" s="42">
        <f t="shared" si="12"/>
        <v>738.71502119999991</v>
      </c>
      <c r="G167" s="42">
        <v>0</v>
      </c>
      <c r="H167" s="42">
        <f t="shared" si="13"/>
        <v>1108.0725318</v>
      </c>
      <c r="I167" s="36"/>
      <c r="J167" s="120">
        <f t="shared" si="14"/>
        <v>15513015.4452</v>
      </c>
      <c r="K167" s="120"/>
      <c r="L167" s="120"/>
      <c r="M167" s="120"/>
      <c r="T167" s="21"/>
    </row>
    <row r="168" spans="1:20" s="37" customFormat="1" ht="15.75" customHeight="1" x14ac:dyDescent="0.3">
      <c r="A168" s="119">
        <f>A167+1</f>
        <v>4</v>
      </c>
      <c r="B168" s="119"/>
      <c r="C168" s="42" t="s">
        <v>384</v>
      </c>
      <c r="D168" s="83">
        <f>(3.35*5.17+2.6*2.75+3.12*3.95+4.25*(2.75+3.27)+1.38*(2.28+2.28+2.28)+2.2*3.05+0.9*(1.35+0.9+1.38)+2.47*1.6)*10.764</f>
        <v>922.97747879999986</v>
      </c>
      <c r="E168" s="83">
        <f>(2.6+3.35*1.5)*10.764</f>
        <v>82.075499999999991</v>
      </c>
      <c r="F168" s="42">
        <f t="shared" si="12"/>
        <v>1005.0529787999999</v>
      </c>
      <c r="G168" s="42">
        <v>0</v>
      </c>
      <c r="H168" s="42">
        <f t="shared" si="13"/>
        <v>1507.5794681999998</v>
      </c>
      <c r="I168" s="36"/>
      <c r="J168" s="120">
        <f t="shared" si="14"/>
        <v>21106112.554799996</v>
      </c>
      <c r="K168" s="120"/>
      <c r="L168" s="120"/>
      <c r="M168" s="120"/>
      <c r="T168" s="21"/>
    </row>
    <row r="169" spans="1:20" s="37" customFormat="1" x14ac:dyDescent="0.3">
      <c r="A169" s="119">
        <f>A168+1</f>
        <v>5</v>
      </c>
      <c r="B169" s="119"/>
      <c r="C169" s="42" t="s">
        <v>385</v>
      </c>
      <c r="D169" s="83">
        <f>(3.05*4.4+2.75*2.15+3.1*(3.4+3.5)+1.35*(2.1+2.3)+3.95*0.9+1.45*3.2+1.95)*10.764</f>
        <v>611.47592999999995</v>
      </c>
      <c r="E169" s="83">
        <f>(2.15)*10.764</f>
        <v>23.142599999999998</v>
      </c>
      <c r="F169" s="42">
        <f t="shared" si="12"/>
        <v>634.61852999999996</v>
      </c>
      <c r="G169" s="42">
        <v>0</v>
      </c>
      <c r="H169" s="42">
        <f t="shared" si="13"/>
        <v>951.92779499999995</v>
      </c>
      <c r="I169" s="36">
        <v>8</v>
      </c>
      <c r="J169" s="120">
        <f t="shared" si="14"/>
        <v>13326989.129999999</v>
      </c>
      <c r="K169" s="120"/>
      <c r="L169" s="120"/>
      <c r="M169" s="120"/>
      <c r="N169" s="37">
        <f>15000000/H169</f>
        <v>15757.497657687369</v>
      </c>
    </row>
    <row r="170" spans="1:20" s="37" customFormat="1" x14ac:dyDescent="0.3">
      <c r="A170" s="119">
        <f>A169+1</f>
        <v>6</v>
      </c>
      <c r="B170" s="119"/>
      <c r="C170" s="42" t="s">
        <v>385</v>
      </c>
      <c r="D170" s="83">
        <f>(3.05*4.4+2.75*2.15+3.1*(3.4+3.5)+1.35*(2.1+2.3)+3.95*0.9+1.45*3.2+1.95)*10.764</f>
        <v>611.47592999999995</v>
      </c>
      <c r="E170" s="83">
        <f>(2.15)*10.764</f>
        <v>23.142599999999998</v>
      </c>
      <c r="F170" s="42">
        <f t="shared" si="12"/>
        <v>634.61852999999996</v>
      </c>
      <c r="G170" s="42">
        <v>0</v>
      </c>
      <c r="H170" s="42">
        <f t="shared" si="13"/>
        <v>951.92779499999995</v>
      </c>
      <c r="I170" s="36"/>
      <c r="J170" s="120">
        <f>$J$164*H170</f>
        <v>13326989.129999999</v>
      </c>
      <c r="K170" s="120"/>
      <c r="N170" s="36"/>
    </row>
    <row r="171" spans="1:20" s="37" customFormat="1" x14ac:dyDescent="0.3">
      <c r="A171" s="228" t="s">
        <v>386</v>
      </c>
      <c r="B171" s="228"/>
      <c r="C171" s="228"/>
      <c r="D171" s="228"/>
      <c r="E171" s="228"/>
      <c r="F171" s="228"/>
      <c r="G171" s="228"/>
      <c r="H171" s="228"/>
      <c r="I171" s="36"/>
      <c r="J171" s="120">
        <f t="shared" ref="J171" si="15">$J$164*H171</f>
        <v>0</v>
      </c>
      <c r="K171" s="120"/>
      <c r="N171" s="36"/>
    </row>
    <row r="172" spans="1:20" s="37" customFormat="1" x14ac:dyDescent="0.3">
      <c r="A172" s="119">
        <v>1</v>
      </c>
      <c r="B172" s="119"/>
      <c r="C172" s="42" t="s">
        <v>384</v>
      </c>
      <c r="D172" s="83">
        <f>(3.35*5.17+2.6*2.75+3.12*3.95+4.25*(2.75+3.27)+1.38*(2.28+2.28+2.28)+2.2*3.05+0.9*(1.35+0.9+1.38)+2.47*1.6)*10.764</f>
        <v>922.97747879999986</v>
      </c>
      <c r="E172" s="83">
        <f>(2.6+3.35*1.5)*10.764</f>
        <v>82.075499999999991</v>
      </c>
      <c r="F172" s="42">
        <f>D172+E172</f>
        <v>1005.0529787999999</v>
      </c>
      <c r="G172" s="42">
        <v>0</v>
      </c>
      <c r="H172" s="42">
        <f>F172*(($H$158)+1)+(IF(G172&lt;101,G172,IF(G172&lt;201,G172/2,IF(G172&lt;=301,G172/3,G172/4))))</f>
        <v>1507.5794681999998</v>
      </c>
      <c r="I172" s="36"/>
      <c r="N172" s="36"/>
    </row>
    <row r="173" spans="1:20" s="37" customFormat="1" x14ac:dyDescent="0.3">
      <c r="A173" s="119">
        <f>A172+1</f>
        <v>2</v>
      </c>
      <c r="B173" s="119"/>
      <c r="C173" s="42" t="s">
        <v>385</v>
      </c>
      <c r="D173" s="83">
        <f>(3.05*5.17+2.12*2.9+3.05*(3.35+4.35)+1.38*(2.28+2.28)+4.95*0.9+3.2+1.6*1.35)*10.764</f>
        <v>662.08610519999991</v>
      </c>
      <c r="E173" s="83">
        <f>(2.12*1.2+3.05*1.5)*10.764</f>
        <v>76.62891599999999</v>
      </c>
      <c r="F173" s="42">
        <f>D173+E173</f>
        <v>738.71502119999991</v>
      </c>
      <c r="G173" s="42">
        <v>0</v>
      </c>
      <c r="H173" s="42">
        <f>F173*(($H$158)+1)+(IF(G173&lt;101,G173,IF(G173&lt;201,G173/2,IF(G173&lt;=301,G173/3,G173/4))))</f>
        <v>1108.0725318</v>
      </c>
      <c r="I173" s="36"/>
      <c r="N173" s="36"/>
    </row>
    <row r="174" spans="1:20" s="37" customFormat="1" x14ac:dyDescent="0.3">
      <c r="A174" s="119">
        <f>A173+1</f>
        <v>3</v>
      </c>
      <c r="B174" s="119"/>
      <c r="C174" s="42" t="s">
        <v>385</v>
      </c>
      <c r="D174" s="83">
        <f>(3.05*5.17+2.12*2.9+3.05*(3.35+4.35)+1.38*(2.28+2.28)+4.95*0.9+3.2+1.6*1.35)*10.764</f>
        <v>662.08610519999991</v>
      </c>
      <c r="E174" s="83">
        <f>(2.12*1.2+3.05*1.5)*10.764</f>
        <v>76.62891599999999</v>
      </c>
      <c r="F174" s="42">
        <f>D174+E174</f>
        <v>738.71502119999991</v>
      </c>
      <c r="G174" s="42">
        <v>0</v>
      </c>
      <c r="H174" s="42">
        <f>F174*(($H$158)+1)+(IF(G174&lt;101,G174,IF(G174&lt;201,G174/2,IF(G174&lt;=301,G174/3,G174/4))))</f>
        <v>1108.0725318</v>
      </c>
      <c r="I174" s="36"/>
      <c r="N174" s="36"/>
    </row>
    <row r="175" spans="1:20" s="37" customFormat="1" x14ac:dyDescent="0.3">
      <c r="A175" s="119">
        <f>A174+1</f>
        <v>4</v>
      </c>
      <c r="B175" s="119"/>
      <c r="C175" s="42" t="s">
        <v>384</v>
      </c>
      <c r="D175" s="83">
        <f>(3.35*5.17+2.6*2.75+3.12*3.95+4.25*(2.75+3.27)+1.38*(2.28+2.28+2.28)+2.2*3.05+0.9*(1.35+0.9+1.38)+2.47*1.6)*10.764</f>
        <v>922.97747879999986</v>
      </c>
      <c r="E175" s="83">
        <f>(2.6+3.35*1.5)*10.764</f>
        <v>82.075499999999991</v>
      </c>
      <c r="F175" s="42">
        <f>D175+E175</f>
        <v>1005.0529787999999</v>
      </c>
      <c r="G175" s="42">
        <v>0</v>
      </c>
      <c r="H175" s="42">
        <f>F175*(($H$158)+1)+(IF(G175&lt;101,G175,IF(G175&lt;201,G175/2,IF(G175&lt;=301,G175/3,G175/4))))</f>
        <v>1507.5794681999998</v>
      </c>
      <c r="I175" s="36"/>
      <c r="N175" s="36"/>
    </row>
    <row r="176" spans="1:20" s="37" customFormat="1" x14ac:dyDescent="0.3">
      <c r="A176" s="161" t="s">
        <v>404</v>
      </c>
      <c r="B176" s="162"/>
      <c r="C176" s="161" t="s">
        <v>387</v>
      </c>
      <c r="D176" s="254"/>
      <c r="E176" s="254"/>
      <c r="F176" s="254"/>
      <c r="G176" s="254"/>
      <c r="H176" s="162"/>
      <c r="J176" s="36"/>
    </row>
    <row r="177" spans="1:20" s="37" customFormat="1" x14ac:dyDescent="0.3">
      <c r="A177" s="161">
        <v>5</v>
      </c>
      <c r="B177" s="162"/>
      <c r="C177" s="42" t="s">
        <v>385</v>
      </c>
      <c r="D177" s="83">
        <f>(3.05*4.4+2.75*2.15+3.1*(3.4+3.5)+1.35*(2.1+2.3)+3.95*0.9+1.45*3.2+1.95)*10.764</f>
        <v>611.47592999999995</v>
      </c>
      <c r="E177" s="83">
        <f>(2.15)*10.764</f>
        <v>23.142599999999998</v>
      </c>
      <c r="F177" s="42">
        <f>D177+E177</f>
        <v>634.61852999999996</v>
      </c>
      <c r="G177" s="42">
        <v>0</v>
      </c>
      <c r="H177" s="42">
        <f>F177*(($H$158)+1)+(IF(G177&lt;101,G177,IF(G177&lt;201,G177/2,IF(G177&lt;=301,G177/3,G177/4))))</f>
        <v>951.92779499999995</v>
      </c>
      <c r="J177" s="36"/>
    </row>
    <row r="178" spans="1:20" s="37" customFormat="1" x14ac:dyDescent="0.3">
      <c r="A178" s="255" t="s">
        <v>394</v>
      </c>
      <c r="B178" s="256"/>
      <c r="C178" s="256"/>
      <c r="D178" s="256"/>
      <c r="E178" s="256"/>
      <c r="F178" s="256"/>
      <c r="G178" s="256"/>
      <c r="H178" s="257"/>
      <c r="J178" s="36"/>
    </row>
    <row r="179" spans="1:20" s="37" customFormat="1" x14ac:dyDescent="0.3">
      <c r="A179" s="155" t="s">
        <v>380</v>
      </c>
      <c r="B179" s="156"/>
      <c r="C179" s="156"/>
      <c r="D179" s="156"/>
      <c r="E179" s="156"/>
      <c r="F179" s="156"/>
      <c r="G179" s="156"/>
      <c r="H179" s="157"/>
      <c r="J179" s="36"/>
    </row>
    <row r="180" spans="1:20" s="37" customFormat="1" x14ac:dyDescent="0.3">
      <c r="A180" s="155" t="s">
        <v>381</v>
      </c>
      <c r="B180" s="156"/>
      <c r="C180" s="156"/>
      <c r="D180" s="156"/>
      <c r="E180" s="156"/>
      <c r="F180" s="156"/>
      <c r="G180" s="156"/>
      <c r="H180" s="157"/>
      <c r="I180" s="37">
        <v>32</v>
      </c>
      <c r="J180" s="36"/>
    </row>
    <row r="181" spans="1:20" s="37" customFormat="1" ht="15.75" customHeight="1" x14ac:dyDescent="0.3">
      <c r="A181" s="155" t="s">
        <v>382</v>
      </c>
      <c r="B181" s="156"/>
      <c r="C181" s="156"/>
      <c r="D181" s="156"/>
      <c r="E181" s="156"/>
      <c r="F181" s="156"/>
      <c r="G181" s="156"/>
      <c r="H181" s="157"/>
      <c r="I181" s="36"/>
      <c r="L181" s="120"/>
      <c r="M181" s="120"/>
      <c r="N181" s="36"/>
    </row>
    <row r="182" spans="1:20" s="37" customFormat="1" ht="34.5" customHeight="1" x14ac:dyDescent="0.3">
      <c r="A182" s="155" t="s">
        <v>383</v>
      </c>
      <c r="B182" s="156"/>
      <c r="C182" s="156"/>
      <c r="D182" s="156"/>
      <c r="E182" s="156"/>
      <c r="F182" s="156"/>
      <c r="G182" s="156"/>
      <c r="H182" s="157"/>
      <c r="I182" s="36"/>
      <c r="L182" s="120"/>
      <c r="M182" s="120"/>
      <c r="N182" s="36"/>
    </row>
    <row r="183" spans="1:20" s="37" customFormat="1" ht="15.75" customHeight="1" x14ac:dyDescent="0.3">
      <c r="A183" s="161">
        <v>1</v>
      </c>
      <c r="B183" s="162"/>
      <c r="C183" s="42" t="s">
        <v>384</v>
      </c>
      <c r="D183" s="83">
        <f>(3.35*5.17+2.6*2.75+3.12*3.95+4.25*(2.75+3.27)+1.38*(2.28+2.28+2.28)+2.2*3.05+0.9*(1.35+0.9+1.38)+2.47*1.6)*10.764</f>
        <v>922.97747879999986</v>
      </c>
      <c r="E183" s="83">
        <f>(2.6+3.35*1.5)*10.764</f>
        <v>82.075499999999991</v>
      </c>
      <c r="F183" s="42">
        <f t="shared" ref="F183:F188" si="16">D183+E183</f>
        <v>1005.0529787999999</v>
      </c>
      <c r="G183" s="42">
        <v>0</v>
      </c>
      <c r="H183" s="42">
        <f t="shared" ref="H183:H188" si="17">F183*(($H$158)+1)+(IF(G183&lt;101,G183,IF(G183&lt;201,G183/2,IF(G183&lt;=301,G183/3,G183/4))))</f>
        <v>1507.5794681999998</v>
      </c>
      <c r="I183" s="36"/>
      <c r="L183" s="120"/>
      <c r="M183" s="120"/>
      <c r="N183" s="36"/>
    </row>
    <row r="184" spans="1:20" s="37" customFormat="1" ht="15.75" customHeight="1" x14ac:dyDescent="0.3">
      <c r="A184" s="161">
        <f>A183+1</f>
        <v>2</v>
      </c>
      <c r="B184" s="162"/>
      <c r="C184" s="42" t="s">
        <v>385</v>
      </c>
      <c r="D184" s="83">
        <f>(3.05*5.17+2.12*2.9+3.05*(3.35+4.35)+1.38*(2.28+2.28)+4.95*0.9+3.2+1.6*1.35)*10.764</f>
        <v>662.08610519999991</v>
      </c>
      <c r="E184" s="83">
        <f>(2.12*1.2+3.05*1.5)*10.764</f>
        <v>76.62891599999999</v>
      </c>
      <c r="F184" s="42">
        <f t="shared" si="16"/>
        <v>738.71502119999991</v>
      </c>
      <c r="G184" s="42">
        <v>0</v>
      </c>
      <c r="H184" s="42">
        <f t="shared" si="17"/>
        <v>1108.0725318</v>
      </c>
      <c r="I184" s="36"/>
      <c r="L184" s="120"/>
      <c r="M184" s="120"/>
      <c r="N184" s="36"/>
      <c r="T184" s="21"/>
    </row>
    <row r="185" spans="1:20" s="37" customFormat="1" ht="15.75" customHeight="1" x14ac:dyDescent="0.3">
      <c r="A185" s="161">
        <f>A184+1</f>
        <v>3</v>
      </c>
      <c r="B185" s="162"/>
      <c r="C185" s="42" t="s">
        <v>385</v>
      </c>
      <c r="D185" s="83">
        <f>(3.05*5.17+2.12*2.9+3.05*(3.35+4.35)+1.38*(2.28+2.28)+4.95*0.9+3.2+1.6*1.35)*10.764</f>
        <v>662.08610519999991</v>
      </c>
      <c r="E185" s="83">
        <f>(2.12*1.2+3.05*1.5)*10.764</f>
        <v>76.62891599999999</v>
      </c>
      <c r="F185" s="42">
        <f t="shared" si="16"/>
        <v>738.71502119999991</v>
      </c>
      <c r="G185" s="42">
        <v>0</v>
      </c>
      <c r="H185" s="42">
        <f t="shared" si="17"/>
        <v>1108.0725318</v>
      </c>
      <c r="I185" s="36"/>
      <c r="L185" s="120"/>
      <c r="M185" s="120"/>
      <c r="N185" s="36"/>
      <c r="T185" s="21"/>
    </row>
    <row r="186" spans="1:20" s="37" customFormat="1" ht="15.75" customHeight="1" x14ac:dyDescent="0.3">
      <c r="A186" s="161">
        <f>A185+1</f>
        <v>4</v>
      </c>
      <c r="B186" s="162"/>
      <c r="C186" s="42" t="s">
        <v>384</v>
      </c>
      <c r="D186" s="83">
        <f>(3.35*5.17+2.6*2.75+3.12*3.95+4.25*(2.75+3.27)+1.38*(2.28+2.28+2.28)+2.2*3.05+0.9*(1.35+0.9+1.38)+2.47*1.6)*10.764</f>
        <v>922.97747879999986</v>
      </c>
      <c r="E186" s="83">
        <f>(2.6+3.35*1.5)*10.764</f>
        <v>82.075499999999991</v>
      </c>
      <c r="F186" s="42">
        <f t="shared" si="16"/>
        <v>1005.0529787999999</v>
      </c>
      <c r="G186" s="42">
        <v>0</v>
      </c>
      <c r="H186" s="42">
        <f t="shared" si="17"/>
        <v>1507.5794681999998</v>
      </c>
      <c r="I186" s="36"/>
      <c r="L186" s="120"/>
      <c r="M186" s="120"/>
      <c r="N186" s="36"/>
      <c r="T186" s="21"/>
    </row>
    <row r="187" spans="1:20" s="37" customFormat="1" x14ac:dyDescent="0.3">
      <c r="A187" s="161">
        <f>A186+1</f>
        <v>5</v>
      </c>
      <c r="B187" s="162"/>
      <c r="C187" s="42" t="s">
        <v>385</v>
      </c>
      <c r="D187" s="83">
        <f>(3.05*4.4+2.75*2.15+3.1*(3.4+3.5)+1.35*(2.1+2.3)+3.95*0.9+1.45*3.2+1.95)*10.764</f>
        <v>611.47592999999995</v>
      </c>
      <c r="E187" s="83">
        <f>(2.15)*10.764</f>
        <v>23.142599999999998</v>
      </c>
      <c r="F187" s="42">
        <f t="shared" si="16"/>
        <v>634.61852999999996</v>
      </c>
      <c r="G187" s="42">
        <v>0</v>
      </c>
      <c r="H187" s="42">
        <f t="shared" si="17"/>
        <v>951.92779499999995</v>
      </c>
      <c r="I187" s="36">
        <v>8</v>
      </c>
      <c r="L187" s="120"/>
      <c r="M187" s="120"/>
    </row>
    <row r="188" spans="1:20" s="37" customFormat="1" x14ac:dyDescent="0.3">
      <c r="A188" s="161">
        <f>A187+1</f>
        <v>6</v>
      </c>
      <c r="B188" s="162"/>
      <c r="C188" s="42" t="s">
        <v>385</v>
      </c>
      <c r="D188" s="83">
        <f>(3.05*4.4+2.75*2.15+3.1*(3.4+3.5)+1.35*(2.1+2.3)+3.95*0.9+1.45*3.2+1.95)*10.764</f>
        <v>611.47592999999995</v>
      </c>
      <c r="E188" s="83">
        <f>(2.15)*10.764</f>
        <v>23.142599999999998</v>
      </c>
      <c r="F188" s="42">
        <f t="shared" si="16"/>
        <v>634.61852999999996</v>
      </c>
      <c r="G188" s="42">
        <v>0</v>
      </c>
      <c r="H188" s="42">
        <f t="shared" si="17"/>
        <v>951.92779499999995</v>
      </c>
      <c r="I188" s="36"/>
      <c r="N188" s="36"/>
    </row>
    <row r="189" spans="1:20" s="37" customFormat="1" x14ac:dyDescent="0.3">
      <c r="A189" s="228" t="s">
        <v>386</v>
      </c>
      <c r="B189" s="228"/>
      <c r="C189" s="228"/>
      <c r="D189" s="228"/>
      <c r="E189" s="228"/>
      <c r="F189" s="228"/>
      <c r="G189" s="228"/>
      <c r="H189" s="228"/>
      <c r="I189" s="36"/>
      <c r="N189" s="36"/>
    </row>
    <row r="190" spans="1:20" s="37" customFormat="1" x14ac:dyDescent="0.3">
      <c r="A190" s="161">
        <v>1</v>
      </c>
      <c r="B190" s="162"/>
      <c r="C190" s="42" t="s">
        <v>384</v>
      </c>
      <c r="D190" s="83">
        <f>(3.35*5.17+2.6*2.75+3.12*3.95+4.25*(2.75+3.27)+1.38*(2.28+2.28+2.28)+2.2*3.05+0.9*(1.35+0.9+1.38)+2.47*1.6)*10.764</f>
        <v>922.97747879999986</v>
      </c>
      <c r="E190" s="83">
        <f>(2.6+3.35*1.5)*10.764</f>
        <v>82.075499999999991</v>
      </c>
      <c r="F190" s="42">
        <f>D190+E190</f>
        <v>1005.0529787999999</v>
      </c>
      <c r="G190" s="42">
        <v>0</v>
      </c>
      <c r="H190" s="42">
        <f>F190*(($H$158)+1)+(IF(G190&lt;101,G190,IF(G190&lt;201,G190/2,IF(G190&lt;=301,G190/3,G190/4))))</f>
        <v>1507.5794681999998</v>
      </c>
      <c r="I190" s="36"/>
      <c r="N190" s="36"/>
    </row>
    <row r="191" spans="1:20" s="37" customFormat="1" x14ac:dyDescent="0.3">
      <c r="A191" s="161">
        <f>A190+1</f>
        <v>2</v>
      </c>
      <c r="B191" s="162"/>
      <c r="C191" s="42" t="s">
        <v>385</v>
      </c>
      <c r="D191" s="83">
        <f>(3.05*5.17+2.12*2.9+3.05*(3.35+4.35)+1.38*(2.28+2.28)+4.95*0.9+3.2+1.6*1.35)*10.764</f>
        <v>662.08610519999991</v>
      </c>
      <c r="E191" s="83">
        <f>(2.12*1.2+3.05*1.5)*10.764</f>
        <v>76.62891599999999</v>
      </c>
      <c r="F191" s="42">
        <f>D191+E191</f>
        <v>738.71502119999991</v>
      </c>
      <c r="G191" s="42">
        <v>0</v>
      </c>
      <c r="H191" s="42">
        <f>F191*(($H$158)+1)+(IF(G191&lt;101,G191,IF(G191&lt;201,G191/2,IF(G191&lt;=301,G191/3,G191/4))))</f>
        <v>1108.0725318</v>
      </c>
      <c r="I191" s="36"/>
      <c r="N191" s="36"/>
    </row>
    <row r="192" spans="1:20" s="37" customFormat="1" x14ac:dyDescent="0.3">
      <c r="A192" s="161">
        <f>A191+1</f>
        <v>3</v>
      </c>
      <c r="B192" s="162"/>
      <c r="C192" s="42" t="s">
        <v>385</v>
      </c>
      <c r="D192" s="83">
        <f>(3.05*5.17+2.12*2.9+3.05*(3.35+4.35)+1.38*(2.28+2.28)+4.95*0.9+3.2+1.6*1.35)*10.764</f>
        <v>662.08610519999991</v>
      </c>
      <c r="E192" s="83">
        <f>(2.12*1.2+3.05*1.5)*10.764</f>
        <v>76.62891599999999</v>
      </c>
      <c r="F192" s="42">
        <f>D192+E192</f>
        <v>738.71502119999991</v>
      </c>
      <c r="G192" s="42">
        <v>0</v>
      </c>
      <c r="H192" s="42">
        <f>F192*(($H$158)+1)+(IF(G192&lt;101,G192,IF(G192&lt;201,G192/2,IF(G192&lt;=301,G192/3,G192/4))))</f>
        <v>1108.0725318</v>
      </c>
      <c r="I192" s="36"/>
      <c r="N192" s="36"/>
    </row>
    <row r="193" spans="1:20" s="37" customFormat="1" x14ac:dyDescent="0.3">
      <c r="A193" s="161">
        <f>A192+1</f>
        <v>4</v>
      </c>
      <c r="B193" s="162"/>
      <c r="C193" s="42" t="s">
        <v>384</v>
      </c>
      <c r="D193" s="83">
        <f>(3.35*5.17+2.6*2.75+3.12*3.95+4.25*(2.75+3.27)+1.38*(2.28+2.28+2.28)+2.2*3.05+0.9*(1.35+0.9+1.38)+2.47*1.6)*10.764</f>
        <v>922.97747879999986</v>
      </c>
      <c r="E193" s="83">
        <f>(2.6+3.35*1.5)*10.764</f>
        <v>82.075499999999991</v>
      </c>
      <c r="F193" s="42">
        <f>D193+E193</f>
        <v>1005.0529787999999</v>
      </c>
      <c r="G193" s="42">
        <v>0</v>
      </c>
      <c r="H193" s="42">
        <f>F193*(($H$158)+1)+(IF(G193&lt;101,G193,IF(G193&lt;201,G193/2,IF(G193&lt;=301,G193/3,G193/4))))</f>
        <v>1507.5794681999998</v>
      </c>
      <c r="I193" s="36"/>
      <c r="N193" s="36"/>
    </row>
    <row r="194" spans="1:20" s="37" customFormat="1" x14ac:dyDescent="0.3">
      <c r="A194" s="161" t="s">
        <v>404</v>
      </c>
      <c r="B194" s="162"/>
      <c r="C194" s="161" t="s">
        <v>387</v>
      </c>
      <c r="D194" s="254"/>
      <c r="E194" s="254"/>
      <c r="F194" s="254"/>
      <c r="G194" s="254"/>
      <c r="H194" s="162"/>
      <c r="J194" s="36"/>
    </row>
    <row r="195" spans="1:20" s="37" customFormat="1" x14ac:dyDescent="0.3">
      <c r="A195" s="161">
        <v>5</v>
      </c>
      <c r="B195" s="162"/>
      <c r="C195" s="42" t="s">
        <v>385</v>
      </c>
      <c r="D195" s="83">
        <f>(3.05*4.4+2.75*2.15+3.1*(3.4+3.5)+1.35*(2.1+2.3)+3.95*0.9+1.45*3.2+1.95)*10.764</f>
        <v>611.47592999999995</v>
      </c>
      <c r="E195" s="83">
        <f>(2.15)*10.764</f>
        <v>23.142599999999998</v>
      </c>
      <c r="F195" s="42">
        <f>D195+E195</f>
        <v>634.61852999999996</v>
      </c>
      <c r="G195" s="42">
        <v>0</v>
      </c>
      <c r="H195" s="42">
        <f>F195*(($H$158)+1)+(IF(G195&lt;101,G195,IF(G195&lt;201,G195/2,IF(G195&lt;=301,G195/3,G195/4))))</f>
        <v>951.92779499999995</v>
      </c>
      <c r="J195" s="36"/>
    </row>
    <row r="196" spans="1:20" s="37" customFormat="1" x14ac:dyDescent="0.3">
      <c r="A196" s="255" t="s">
        <v>395</v>
      </c>
      <c r="B196" s="256"/>
      <c r="C196" s="256"/>
      <c r="D196" s="256"/>
      <c r="E196" s="256"/>
      <c r="F196" s="256"/>
      <c r="G196" s="256"/>
      <c r="H196" s="257"/>
      <c r="J196" s="36"/>
    </row>
    <row r="197" spans="1:20" s="37" customFormat="1" x14ac:dyDescent="0.3">
      <c r="A197" s="155" t="s">
        <v>380</v>
      </c>
      <c r="B197" s="156"/>
      <c r="C197" s="156"/>
      <c r="D197" s="156"/>
      <c r="E197" s="156"/>
      <c r="F197" s="156"/>
      <c r="G197" s="156"/>
      <c r="H197" s="157"/>
      <c r="J197" s="36"/>
    </row>
    <row r="198" spans="1:20" s="37" customFormat="1" x14ac:dyDescent="0.3">
      <c r="A198" s="155" t="s">
        <v>381</v>
      </c>
      <c r="B198" s="156"/>
      <c r="C198" s="156"/>
      <c r="D198" s="156"/>
      <c r="E198" s="156"/>
      <c r="F198" s="156"/>
      <c r="G198" s="156"/>
      <c r="H198" s="157"/>
      <c r="I198" s="37">
        <v>32</v>
      </c>
      <c r="J198" s="36"/>
    </row>
    <row r="199" spans="1:20" s="37" customFormat="1" ht="15.75" customHeight="1" x14ac:dyDescent="0.3">
      <c r="A199" s="155" t="s">
        <v>382</v>
      </c>
      <c r="B199" s="156"/>
      <c r="C199" s="156"/>
      <c r="D199" s="156"/>
      <c r="E199" s="156"/>
      <c r="F199" s="156"/>
      <c r="G199" s="156"/>
      <c r="H199" s="157"/>
      <c r="I199" s="36"/>
      <c r="L199" s="120"/>
      <c r="M199" s="120"/>
      <c r="N199" s="36"/>
    </row>
    <row r="200" spans="1:20" s="37" customFormat="1" ht="32.25" customHeight="1" x14ac:dyDescent="0.3">
      <c r="A200" s="155" t="s">
        <v>383</v>
      </c>
      <c r="B200" s="156"/>
      <c r="C200" s="156"/>
      <c r="D200" s="156"/>
      <c r="E200" s="156"/>
      <c r="F200" s="156"/>
      <c r="G200" s="156"/>
      <c r="H200" s="157"/>
      <c r="I200" s="36"/>
      <c r="L200" s="120"/>
      <c r="M200" s="120"/>
      <c r="N200" s="36"/>
    </row>
    <row r="201" spans="1:20" s="37" customFormat="1" ht="15.75" customHeight="1" x14ac:dyDescent="0.3">
      <c r="A201" s="161">
        <v>1</v>
      </c>
      <c r="B201" s="162"/>
      <c r="C201" s="42" t="s">
        <v>384</v>
      </c>
      <c r="D201" s="83">
        <f>(3.35*5.17+2.6*2.75+3.12*3.95+4.25*(2.75+3.27)+1.38*(2.28+2.28+2.28)+2.2*3.05+0.9*(1.35+0.9+1.38)+2.47*1.6)*10.764</f>
        <v>922.97747879999986</v>
      </c>
      <c r="E201" s="83">
        <f>(2.6+3.35*1.5)*10.764</f>
        <v>82.075499999999991</v>
      </c>
      <c r="F201" s="42">
        <f t="shared" ref="F201:F206" si="18">D201+E201</f>
        <v>1005.0529787999999</v>
      </c>
      <c r="G201" s="42">
        <v>0</v>
      </c>
      <c r="H201" s="42">
        <f t="shared" ref="H201:H206" si="19">F201*(($H$158)+1)+(IF(G201&lt;101,G201,IF(G201&lt;201,G201/2,IF(G201&lt;=301,G201/3,G201/4))))</f>
        <v>1507.5794681999998</v>
      </c>
      <c r="I201" s="36"/>
      <c r="L201" s="120"/>
      <c r="M201" s="120"/>
      <c r="N201" s="36"/>
    </row>
    <row r="202" spans="1:20" s="37" customFormat="1" ht="15.75" customHeight="1" x14ac:dyDescent="0.3">
      <c r="A202" s="161">
        <f>A201+1</f>
        <v>2</v>
      </c>
      <c r="B202" s="162"/>
      <c r="C202" s="42" t="s">
        <v>385</v>
      </c>
      <c r="D202" s="83">
        <f>(3.05*5.17+2.12*2.9+3.05*(3.35+4.35)+1.38*(2.28+2.28)+4.95*0.9+3.2+1.6*1.35)*10.764</f>
        <v>662.08610519999991</v>
      </c>
      <c r="E202" s="83">
        <f>(2.12*1.2+3.05*1.5)*10.764</f>
        <v>76.62891599999999</v>
      </c>
      <c r="F202" s="42">
        <f t="shared" si="18"/>
        <v>738.71502119999991</v>
      </c>
      <c r="G202" s="42">
        <v>0</v>
      </c>
      <c r="H202" s="42">
        <f t="shared" si="19"/>
        <v>1108.0725318</v>
      </c>
      <c r="I202" s="36"/>
      <c r="L202" s="120"/>
      <c r="M202" s="120"/>
      <c r="N202" s="36"/>
      <c r="T202" s="21"/>
    </row>
    <row r="203" spans="1:20" s="37" customFormat="1" ht="15.75" customHeight="1" x14ac:dyDescent="0.3">
      <c r="A203" s="161">
        <f>A202+1</f>
        <v>3</v>
      </c>
      <c r="B203" s="162"/>
      <c r="C203" s="42" t="s">
        <v>385</v>
      </c>
      <c r="D203" s="83">
        <f>(3.05*5.17+2.12*2.9+3.05*(3.35+4.35)+1.38*(2.28+2.28)+4.95*0.9+3.2+1.6*1.35)*10.764</f>
        <v>662.08610519999991</v>
      </c>
      <c r="E203" s="83">
        <f>(2.12*1.2+3.05*1.5)*10.764</f>
        <v>76.62891599999999</v>
      </c>
      <c r="F203" s="42">
        <f t="shared" si="18"/>
        <v>738.71502119999991</v>
      </c>
      <c r="G203" s="42">
        <v>0</v>
      </c>
      <c r="H203" s="42">
        <f t="shared" si="19"/>
        <v>1108.0725318</v>
      </c>
      <c r="I203" s="36"/>
      <c r="L203" s="120"/>
      <c r="M203" s="120"/>
      <c r="N203" s="36"/>
      <c r="T203" s="21"/>
    </row>
    <row r="204" spans="1:20" s="37" customFormat="1" ht="15.75" customHeight="1" x14ac:dyDescent="0.3">
      <c r="A204" s="161">
        <f>A203+1</f>
        <v>4</v>
      </c>
      <c r="B204" s="162"/>
      <c r="C204" s="42" t="s">
        <v>384</v>
      </c>
      <c r="D204" s="83">
        <f>(3.35*5.17+2.6*2.75+3.12*3.95+4.25*(2.75+3.27)+1.38*(2.28+2.28+2.28)+2.2*3.05+0.9*(1.35+0.9+1.38)+2.47*1.6)*10.764</f>
        <v>922.97747879999986</v>
      </c>
      <c r="E204" s="83">
        <f>(2.6+3.35*1.5)*10.764</f>
        <v>82.075499999999991</v>
      </c>
      <c r="F204" s="42">
        <f t="shared" si="18"/>
        <v>1005.0529787999999</v>
      </c>
      <c r="G204" s="42">
        <v>0</v>
      </c>
      <c r="H204" s="42">
        <f t="shared" si="19"/>
        <v>1507.5794681999998</v>
      </c>
      <c r="I204" s="36"/>
      <c r="L204" s="120"/>
      <c r="M204" s="120"/>
      <c r="N204" s="36"/>
      <c r="T204" s="21"/>
    </row>
    <row r="205" spans="1:20" s="37" customFormat="1" x14ac:dyDescent="0.3">
      <c r="A205" s="161">
        <f>A204+1</f>
        <v>5</v>
      </c>
      <c r="B205" s="162"/>
      <c r="C205" s="42" t="s">
        <v>385</v>
      </c>
      <c r="D205" s="83">
        <f>(3.05*4.4+2.75*2.15+3.1*(3.4+3.5)+1.35*(2.1+2.3)+3.95*0.9+1.45*3.2+1.95)*10.764</f>
        <v>611.47592999999995</v>
      </c>
      <c r="E205" s="83">
        <f>(2.15)*10.764</f>
        <v>23.142599999999998</v>
      </c>
      <c r="F205" s="42">
        <f t="shared" si="18"/>
        <v>634.61852999999996</v>
      </c>
      <c r="G205" s="42">
        <v>0</v>
      </c>
      <c r="H205" s="42">
        <f t="shared" si="19"/>
        <v>951.92779499999995</v>
      </c>
      <c r="I205" s="36">
        <v>8</v>
      </c>
      <c r="L205" s="120"/>
      <c r="M205" s="120"/>
    </row>
    <row r="206" spans="1:20" s="37" customFormat="1" x14ac:dyDescent="0.3">
      <c r="A206" s="161">
        <f>A205+1</f>
        <v>6</v>
      </c>
      <c r="B206" s="162"/>
      <c r="C206" s="42" t="s">
        <v>385</v>
      </c>
      <c r="D206" s="83">
        <f>(3.05*4.4+2.75*2.15+3.1*(3.4+3.5)+1.35*(2.1+2.3)+3.95*0.9+1.45*3.2+1.95)*10.764</f>
        <v>611.47592999999995</v>
      </c>
      <c r="E206" s="83">
        <f>(2.15)*10.764</f>
        <v>23.142599999999998</v>
      </c>
      <c r="F206" s="42">
        <f t="shared" si="18"/>
        <v>634.61852999999996</v>
      </c>
      <c r="G206" s="42">
        <v>0</v>
      </c>
      <c r="H206" s="42">
        <f t="shared" si="19"/>
        <v>951.92779499999995</v>
      </c>
      <c r="I206" s="36"/>
      <c r="N206" s="36"/>
    </row>
    <row r="207" spans="1:20" s="37" customFormat="1" ht="15.75" customHeight="1" x14ac:dyDescent="0.3">
      <c r="A207" s="155" t="s">
        <v>386</v>
      </c>
      <c r="B207" s="156"/>
      <c r="C207" s="156"/>
      <c r="D207" s="156"/>
      <c r="E207" s="156"/>
      <c r="F207" s="156"/>
      <c r="G207" s="156"/>
      <c r="H207" s="157"/>
      <c r="I207" s="36"/>
      <c r="N207" s="36"/>
    </row>
    <row r="208" spans="1:20" s="37" customFormat="1" x14ac:dyDescent="0.3">
      <c r="A208" s="161">
        <v>1</v>
      </c>
      <c r="B208" s="162"/>
      <c r="C208" s="42" t="s">
        <v>384</v>
      </c>
      <c r="D208" s="83">
        <f>(3.35*5.17+2.6*2.75+3.12*3.95+4.25*(2.75+3.27)+1.38*(2.28+2.28+2.28)+2.2*3.05+0.9*(1.35+0.9+1.38)+2.47*1.6)*10.764</f>
        <v>922.97747879999986</v>
      </c>
      <c r="E208" s="83">
        <f>(2.6+3.35*1.5)*10.764</f>
        <v>82.075499999999991</v>
      </c>
      <c r="F208" s="42">
        <f>D208+E208</f>
        <v>1005.0529787999999</v>
      </c>
      <c r="G208" s="42">
        <v>0</v>
      </c>
      <c r="H208" s="42">
        <f>F208*(($H$158)+1)+(IF(G208&lt;101,G208,IF(G208&lt;201,G208/2,IF(G208&lt;=301,G208/3,G208/4))))</f>
        <v>1507.5794681999998</v>
      </c>
      <c r="I208" s="36"/>
      <c r="N208" s="36"/>
    </row>
    <row r="209" spans="1:14" s="37" customFormat="1" x14ac:dyDescent="0.3">
      <c r="A209" s="161">
        <f>A208+1</f>
        <v>2</v>
      </c>
      <c r="B209" s="162"/>
      <c r="C209" s="42" t="s">
        <v>385</v>
      </c>
      <c r="D209" s="83">
        <f>(3.05*5.17+2.12*2.9+3.05*(3.35+4.35)+1.38*(2.28+2.28)+4.95*0.9+3.2+1.6*1.35)*10.764</f>
        <v>662.08610519999991</v>
      </c>
      <c r="E209" s="83">
        <f>(2.12*1.2+3.05*1.5)*10.764</f>
        <v>76.62891599999999</v>
      </c>
      <c r="F209" s="42">
        <f>D209+E209</f>
        <v>738.71502119999991</v>
      </c>
      <c r="G209" s="42">
        <v>0</v>
      </c>
      <c r="H209" s="42">
        <f>F209*(($H$158)+1)+(IF(G209&lt;101,G209,IF(G209&lt;201,G209/2,IF(G209&lt;=301,G209/3,G209/4))))</f>
        <v>1108.0725318</v>
      </c>
      <c r="I209" s="36"/>
      <c r="N209" s="36"/>
    </row>
    <row r="210" spans="1:14" s="37" customFormat="1" x14ac:dyDescent="0.3">
      <c r="A210" s="161">
        <f>A209+1</f>
        <v>3</v>
      </c>
      <c r="B210" s="162"/>
      <c r="C210" s="42" t="s">
        <v>385</v>
      </c>
      <c r="D210" s="83">
        <f>(3.05*5.17+2.12*2.9+3.05*(3.35+4.35)+1.38*(2.28+2.28)+4.95*0.9+3.2+1.6*1.35)*10.764</f>
        <v>662.08610519999991</v>
      </c>
      <c r="E210" s="83">
        <f>(2.12*1.2+3.05*1.5)*10.764</f>
        <v>76.62891599999999</v>
      </c>
      <c r="F210" s="42">
        <f>D210+E210</f>
        <v>738.71502119999991</v>
      </c>
      <c r="G210" s="42">
        <v>0</v>
      </c>
      <c r="H210" s="42">
        <f>F210*(($H$158)+1)+(IF(G210&lt;101,G210,IF(G210&lt;201,G210/2,IF(G210&lt;=301,G210/3,G210/4))))</f>
        <v>1108.0725318</v>
      </c>
      <c r="I210" s="36"/>
      <c r="N210" s="36"/>
    </row>
    <row r="211" spans="1:14" s="37" customFormat="1" x14ac:dyDescent="0.3">
      <c r="A211" s="161">
        <f>A210+1</f>
        <v>4</v>
      </c>
      <c r="B211" s="162"/>
      <c r="C211" s="42" t="s">
        <v>384</v>
      </c>
      <c r="D211" s="83">
        <f>(3.35*5.17+2.6*2.75+3.12*3.95+4.25*(2.75+3.27)+1.38*(2.28+2.28+2.28)+2.2*3.05+0.9*(1.35+0.9+1.38)+2.47*1.6)*10.764</f>
        <v>922.97747879999986</v>
      </c>
      <c r="E211" s="83">
        <f>(2.6+3.35*1.5)*10.764</f>
        <v>82.075499999999991</v>
      </c>
      <c r="F211" s="42">
        <f>D211+E211</f>
        <v>1005.0529787999999</v>
      </c>
      <c r="G211" s="42">
        <v>0</v>
      </c>
      <c r="H211" s="42">
        <f>F211*(($H$158)+1)+(IF(G211&lt;101,G211,IF(G211&lt;201,G211/2,IF(G211&lt;=301,G211/3,G211/4))))</f>
        <v>1507.5794681999998</v>
      </c>
      <c r="I211" s="36"/>
      <c r="N211" s="36"/>
    </row>
    <row r="212" spans="1:14" s="37" customFormat="1" x14ac:dyDescent="0.3">
      <c r="A212" s="161" t="s">
        <v>404</v>
      </c>
      <c r="B212" s="162"/>
      <c r="C212" s="161" t="s">
        <v>387</v>
      </c>
      <c r="D212" s="254"/>
      <c r="E212" s="254"/>
      <c r="F212" s="254"/>
      <c r="G212" s="254"/>
      <c r="H212" s="162"/>
      <c r="J212" s="36"/>
    </row>
    <row r="213" spans="1:14" s="37" customFormat="1" x14ac:dyDescent="0.3">
      <c r="A213" s="161">
        <v>5</v>
      </c>
      <c r="B213" s="162"/>
      <c r="C213" s="42" t="s">
        <v>385</v>
      </c>
      <c r="D213" s="83">
        <f>(3.05*4.4+2.75*2.15+3.1*(3.4+3.5)+1.35*(2.1+2.3)+3.95*0.9+1.45*3.2+1.95)*10.764</f>
        <v>611.47592999999995</v>
      </c>
      <c r="E213" s="83">
        <f>(2.15)*10.764</f>
        <v>23.142599999999998</v>
      </c>
      <c r="F213" s="42">
        <f>D213+E213</f>
        <v>634.61852999999996</v>
      </c>
      <c r="G213" s="42">
        <v>0</v>
      </c>
      <c r="H213" s="42">
        <f>F213*(($H$158)+1)+(IF(G213&lt;101,G213,IF(G213&lt;201,G213/2,IF(G213&lt;=301,G213/3,G213/4))))</f>
        <v>951.92779499999995</v>
      </c>
      <c r="J213" s="36"/>
    </row>
    <row r="214" spans="1:14" s="37" customFormat="1" x14ac:dyDescent="0.3">
      <c r="A214" s="276" t="s">
        <v>389</v>
      </c>
      <c r="B214" s="276"/>
      <c r="C214" s="276"/>
      <c r="D214" s="276"/>
      <c r="E214" s="276"/>
      <c r="F214" s="276"/>
      <c r="G214" s="276"/>
      <c r="H214" s="276"/>
      <c r="J214" s="36"/>
    </row>
    <row r="215" spans="1:14" s="37" customFormat="1" x14ac:dyDescent="0.3">
      <c r="A215" s="228" t="s">
        <v>380</v>
      </c>
      <c r="B215" s="228"/>
      <c r="C215" s="228"/>
      <c r="D215" s="228"/>
      <c r="E215" s="228"/>
      <c r="F215" s="228"/>
      <c r="G215" s="228"/>
      <c r="H215" s="228"/>
      <c r="J215" s="36"/>
    </row>
    <row r="216" spans="1:14" s="37" customFormat="1" x14ac:dyDescent="0.3">
      <c r="A216" s="228" t="s">
        <v>381</v>
      </c>
      <c r="B216" s="228"/>
      <c r="C216" s="228"/>
      <c r="D216" s="228"/>
      <c r="E216" s="228"/>
      <c r="F216" s="228"/>
      <c r="G216" s="228"/>
      <c r="H216" s="228"/>
      <c r="I216" s="36">
        <v>32</v>
      </c>
      <c r="L216" s="120"/>
      <c r="M216" s="120"/>
    </row>
    <row r="217" spans="1:14" s="37" customFormat="1" x14ac:dyDescent="0.3">
      <c r="A217" s="228" t="s">
        <v>382</v>
      </c>
      <c r="B217" s="228"/>
      <c r="C217" s="228"/>
      <c r="D217" s="228"/>
      <c r="E217" s="228"/>
      <c r="F217" s="228"/>
      <c r="G217" s="228"/>
      <c r="H217" s="228"/>
      <c r="I217" s="36"/>
      <c r="N217" s="36"/>
    </row>
    <row r="218" spans="1:14" s="37" customFormat="1" ht="33.75" customHeight="1" x14ac:dyDescent="0.3">
      <c r="A218" s="228" t="s">
        <v>383</v>
      </c>
      <c r="B218" s="228"/>
      <c r="C218" s="228"/>
      <c r="D218" s="228"/>
      <c r="E218" s="228"/>
      <c r="F218" s="228"/>
      <c r="G218" s="228"/>
      <c r="H218" s="228"/>
      <c r="I218" s="36"/>
      <c r="N218" s="36"/>
    </row>
    <row r="219" spans="1:14" s="37" customFormat="1" x14ac:dyDescent="0.3">
      <c r="A219" s="161">
        <v>1</v>
      </c>
      <c r="B219" s="162"/>
      <c r="C219" s="42" t="s">
        <v>390</v>
      </c>
      <c r="D219" s="83">
        <f>(5.5*6.1+4*3.05+3.4*4.3+4.55*(3.3+3.65)+3.2*3.75+2.4*(1.5+1.55)+1.5*1.7+1.35*1.85+2.1*1.95+2.75*1.5+2.8*1.5+1.4*3.15+1.7*3.35+0.9*(1.55+5.95)+0.7*1.7+3.2*1.8)*10.764</f>
        <v>1642.4249399999994</v>
      </c>
      <c r="E219" s="83">
        <f>(5.3*1.8+3.05)*10.764</f>
        <v>135.51875999999999</v>
      </c>
      <c r="F219" s="42">
        <f>D219+E219</f>
        <v>1777.9436999999994</v>
      </c>
      <c r="G219" s="42">
        <v>0</v>
      </c>
      <c r="H219" s="42">
        <f>F219*(($H$158)+1)+(IF(G219&lt;101,G219,IF(G219&lt;201,G219/2,IF(G219&lt;=301,G219/3,G219/4))))</f>
        <v>2666.9155499999988</v>
      </c>
      <c r="I219" s="36"/>
      <c r="N219" s="36"/>
    </row>
    <row r="220" spans="1:14" s="37" customFormat="1" x14ac:dyDescent="0.3">
      <c r="A220" s="161">
        <f>A219+1</f>
        <v>2</v>
      </c>
      <c r="B220" s="162"/>
      <c r="C220" s="42" t="s">
        <v>384</v>
      </c>
      <c r="D220" s="83">
        <f>(3.2*5.9+2.2*3.35+3.1*3.35+3.05*(4.45+3.8)+1.35*2.15+1.35*(2.4+2.4)+0.9*(1.5+3.5)+1.35*2+1.35*1.45+1.2*2.75)*10.764</f>
        <v>900.27404999999999</v>
      </c>
      <c r="E220" s="83">
        <f>(3.2*1.55+2.2*1.2)*10.764</f>
        <v>81.806400000000011</v>
      </c>
      <c r="F220" s="42">
        <f>D220+E220</f>
        <v>982.08045000000004</v>
      </c>
      <c r="G220" s="42">
        <v>0</v>
      </c>
      <c r="H220" s="42">
        <f>F220*(($H$158)+1)+(IF(G220&lt;101,G220,IF(G220&lt;201,G220/2,IF(G220&lt;=301,G220/3,G220/4))))</f>
        <v>1473.1206750000001</v>
      </c>
      <c r="I220" s="36">
        <v>8</v>
      </c>
      <c r="L220" s="120"/>
      <c r="M220" s="120"/>
    </row>
    <row r="221" spans="1:14" s="37" customFormat="1" ht="15.75" customHeight="1" x14ac:dyDescent="0.3">
      <c r="A221" s="161">
        <f>A220+1</f>
        <v>3</v>
      </c>
      <c r="B221" s="162"/>
      <c r="C221" s="42" t="s">
        <v>384</v>
      </c>
      <c r="D221" s="83">
        <f>(3.35*5.17+2.45*3.05+2.75*4.25+3.28*(4.25+3.95)+1.38*(2.28+2.28+2.35)+0.9*(1.9+1.3+1.5)+1.7+1.45*1.5)*10.764</f>
        <v>872.05945320000001</v>
      </c>
      <c r="E221" s="83">
        <f>(3.35*1.5+2.45)*10.764</f>
        <v>80.460899999999995</v>
      </c>
      <c r="F221" s="42">
        <f>D221+E221</f>
        <v>952.52035320000005</v>
      </c>
      <c r="G221" s="42">
        <v>0</v>
      </c>
      <c r="H221" s="42">
        <f>F221*(($H$158)+1)+(IF(G221&lt;101,G221,IF(G221&lt;201,G221/2,IF(G221&lt;=301,G221/3,G221/4))))</f>
        <v>1428.7805298000001</v>
      </c>
      <c r="I221" s="36"/>
    </row>
    <row r="222" spans="1:14" s="37" customFormat="1" ht="15.75" customHeight="1" x14ac:dyDescent="0.3">
      <c r="A222" s="228" t="s">
        <v>386</v>
      </c>
      <c r="B222" s="228"/>
      <c r="C222" s="228"/>
      <c r="D222" s="228"/>
      <c r="E222" s="228"/>
      <c r="F222" s="228"/>
      <c r="G222" s="228"/>
      <c r="H222" s="228"/>
      <c r="I222" s="36"/>
    </row>
    <row r="223" spans="1:14" s="37" customFormat="1" ht="15.75" customHeight="1" x14ac:dyDescent="0.3">
      <c r="A223" s="161">
        <v>1</v>
      </c>
      <c r="B223" s="162"/>
      <c r="C223" s="42" t="s">
        <v>390</v>
      </c>
      <c r="D223" s="83">
        <f>(5.5*6.1+4*3.05+3.4*4.3+4.55*(3.3+3.65)+3.2*3.75+2.4*(1.5+1.55)+1.5*1.7+1.35*1.85+2.1*1.95+2.75*1.5+2.8*1.5+1.4*3.15+1.7*3.35+0.9*(1.55+5.95)+0.7*1.7+3.2*1.8)*10.764</f>
        <v>1642.4249399999994</v>
      </c>
      <c r="E223" s="83">
        <f>(5.3*1.8+3.05)*10.764</f>
        <v>135.51875999999999</v>
      </c>
      <c r="F223" s="42">
        <f>D223+E223</f>
        <v>1777.9436999999994</v>
      </c>
      <c r="G223" s="42">
        <v>0</v>
      </c>
      <c r="H223" s="42">
        <f>F223*(($H$158)+1)+(IF(G223&lt;101,G223,IF(G223&lt;201,G223/2,IF(G223&lt;=301,G223/3,G223/4))))</f>
        <v>2666.9155499999988</v>
      </c>
      <c r="I223" s="36"/>
    </row>
    <row r="224" spans="1:14" s="37" customFormat="1" x14ac:dyDescent="0.3">
      <c r="A224" s="161">
        <f>A223+1</f>
        <v>2</v>
      </c>
      <c r="B224" s="162"/>
      <c r="C224" s="42" t="s">
        <v>384</v>
      </c>
      <c r="D224" s="83">
        <f>(3.2*5.9+2.2*3.35+3.1*3.35+3.05*(4.45+3.8)+1.35*2.15+1.35*(2.4+2.4)+0.9*(1.5+3.5)+1.35*2+1.35*1.45+1.2*2.75)*10.764</f>
        <v>900.27404999999999</v>
      </c>
      <c r="E224" s="83">
        <f>(3.2*1.55+2.2*1.2)*10.764</f>
        <v>81.806400000000011</v>
      </c>
      <c r="F224" s="42">
        <f>D224+E224</f>
        <v>982.08045000000004</v>
      </c>
      <c r="G224" s="42">
        <v>0</v>
      </c>
      <c r="H224" s="42">
        <f>F224*(($H$158)+1)+(IF(G224&lt;101,G224,IF(G224&lt;201,G224/2,IF(G224&lt;=301,G224/3,G224/4))))</f>
        <v>1473.1206750000001</v>
      </c>
      <c r="J224" s="36"/>
    </row>
    <row r="225" spans="1:20" s="37" customFormat="1" x14ac:dyDescent="0.3">
      <c r="A225" s="161">
        <f>A224+1</f>
        <v>3</v>
      </c>
      <c r="B225" s="162"/>
      <c r="C225" s="161" t="s">
        <v>387</v>
      </c>
      <c r="D225" s="254"/>
      <c r="E225" s="254"/>
      <c r="F225" s="254"/>
      <c r="G225" s="254"/>
      <c r="H225" s="162"/>
      <c r="J225" s="36"/>
    </row>
    <row r="226" spans="1:20" s="37" customFormat="1" x14ac:dyDescent="0.3">
      <c r="A226" s="255" t="s">
        <v>391</v>
      </c>
      <c r="B226" s="256"/>
      <c r="C226" s="256"/>
      <c r="D226" s="256"/>
      <c r="E226" s="256"/>
      <c r="F226" s="256"/>
      <c r="G226" s="256"/>
      <c r="H226" s="257"/>
      <c r="J226" s="36"/>
    </row>
    <row r="227" spans="1:20" s="37" customFormat="1" x14ac:dyDescent="0.3">
      <c r="A227" s="155" t="s">
        <v>380</v>
      </c>
      <c r="B227" s="156"/>
      <c r="C227" s="156"/>
      <c r="D227" s="156"/>
      <c r="E227" s="156"/>
      <c r="F227" s="156"/>
      <c r="G227" s="156"/>
      <c r="H227" s="157"/>
      <c r="J227" s="36"/>
    </row>
    <row r="228" spans="1:20" s="37" customFormat="1" x14ac:dyDescent="0.3">
      <c r="A228" s="155" t="s">
        <v>381</v>
      </c>
      <c r="B228" s="156"/>
      <c r="C228" s="156"/>
      <c r="D228" s="156"/>
      <c r="E228" s="156"/>
      <c r="F228" s="156"/>
      <c r="G228" s="156"/>
      <c r="H228" s="157"/>
      <c r="I228" s="36">
        <v>32</v>
      </c>
      <c r="L228" s="120"/>
      <c r="M228" s="120"/>
    </row>
    <row r="229" spans="1:20" s="37" customFormat="1" x14ac:dyDescent="0.3">
      <c r="A229" s="155" t="s">
        <v>382</v>
      </c>
      <c r="B229" s="156"/>
      <c r="C229" s="156"/>
      <c r="D229" s="156"/>
      <c r="E229" s="156"/>
      <c r="F229" s="156"/>
      <c r="G229" s="156"/>
      <c r="H229" s="157"/>
      <c r="I229" s="36"/>
      <c r="N229" s="36"/>
    </row>
    <row r="230" spans="1:20" s="37" customFormat="1" ht="31.5" customHeight="1" x14ac:dyDescent="0.3">
      <c r="A230" s="155" t="s">
        <v>383</v>
      </c>
      <c r="B230" s="156"/>
      <c r="C230" s="156"/>
      <c r="D230" s="156"/>
      <c r="E230" s="156"/>
      <c r="F230" s="156"/>
      <c r="G230" s="156"/>
      <c r="H230" s="157"/>
      <c r="I230" s="36"/>
      <c r="N230" s="36"/>
    </row>
    <row r="231" spans="1:20" s="37" customFormat="1" x14ac:dyDescent="0.3">
      <c r="A231" s="161">
        <v>1</v>
      </c>
      <c r="B231" s="162"/>
      <c r="C231" s="42" t="s">
        <v>390</v>
      </c>
      <c r="D231" s="83">
        <f>(5.5*6.1+4*3.05+3.4*4.3+4.55*(3.3+3.65)+3.2*3.75+2.4*(1.5+1.55)+1.5*1.7+1.35*1.85+2.1*1.95+2.75*1.5+2.8*1.5+1.4*3.15+1.7*3.35+0.9*(1.55+5.95)+0.7*1.7+3.2*1.8)*10.764</f>
        <v>1642.4249399999994</v>
      </c>
      <c r="E231" s="83">
        <f>(5.3*1.8+3.05)*10.764</f>
        <v>135.51875999999999</v>
      </c>
      <c r="F231" s="42">
        <f>D231+E231</f>
        <v>1777.9436999999994</v>
      </c>
      <c r="G231" s="42">
        <v>0</v>
      </c>
      <c r="H231" s="42">
        <f>F231*(($H$158)+1)+(IF(G231&lt;101,G231,IF(G231&lt;201,G231/2,IF(G231&lt;=301,G231/3,G231/4))))</f>
        <v>2666.9155499999988</v>
      </c>
      <c r="I231" s="36"/>
      <c r="N231" s="36"/>
    </row>
    <row r="232" spans="1:20" s="37" customFormat="1" x14ac:dyDescent="0.3">
      <c r="A232" s="161">
        <f>A231+1</f>
        <v>2</v>
      </c>
      <c r="B232" s="162"/>
      <c r="C232" s="42" t="s">
        <v>384</v>
      </c>
      <c r="D232" s="83">
        <f>(3.2*5.9+2.2*3.35+3.1*3.35+3.05*(4.45+3.8)+1.35*2.15+1.35*(2.4+2.4)+0.9*(1.5+3.5)+1.35*2+1.35*1.45+1.2*2.75)*10.764</f>
        <v>900.27404999999999</v>
      </c>
      <c r="E232" s="83">
        <f>(3.2*1.55+2.2*1.2)*10.764</f>
        <v>81.806400000000011</v>
      </c>
      <c r="F232" s="42">
        <f>D232+E232</f>
        <v>982.08045000000004</v>
      </c>
      <c r="G232" s="42">
        <v>0</v>
      </c>
      <c r="H232" s="42">
        <f>F232*(($H$158)+1)+(IF(G232&lt;101,G232,IF(G232&lt;201,G232/2,IF(G232&lt;=301,G232/3,G232/4))))</f>
        <v>1473.1206750000001</v>
      </c>
      <c r="I232" s="36">
        <v>8</v>
      </c>
      <c r="L232" s="120"/>
      <c r="M232" s="120"/>
    </row>
    <row r="233" spans="1:20" s="37" customFormat="1" ht="15.75" customHeight="1" x14ac:dyDescent="0.3">
      <c r="A233" s="161">
        <f>A232+1</f>
        <v>3</v>
      </c>
      <c r="B233" s="162"/>
      <c r="C233" s="42" t="s">
        <v>384</v>
      </c>
      <c r="D233" s="83">
        <f>(3.35*5.17+2.45*3.05+2.75*4.25+3.28*(4.25+3.95)+1.38*(2.28+2.28+2.35)+0.9*(1.9+1.3+1.5)+1.7+1.45*1.5)*10.764</f>
        <v>872.05945320000001</v>
      </c>
      <c r="E233" s="83">
        <f>(3.35*1.5+2.45)*10.764</f>
        <v>80.460899999999995</v>
      </c>
      <c r="F233" s="42">
        <f>D233+E233</f>
        <v>952.52035320000005</v>
      </c>
      <c r="G233" s="42">
        <v>0</v>
      </c>
      <c r="H233" s="42">
        <f>F233*(($H$158)+1)+(IF(G233&lt;101,G233,IF(G233&lt;201,G233/2,IF(G233&lt;=301,G233/3,G233/4))))</f>
        <v>1428.7805298000001</v>
      </c>
      <c r="I233" s="36"/>
    </row>
    <row r="234" spans="1:20" s="37" customFormat="1" ht="15.75" customHeight="1" x14ac:dyDescent="0.3">
      <c r="A234" s="228" t="s">
        <v>386</v>
      </c>
      <c r="B234" s="228"/>
      <c r="C234" s="228"/>
      <c r="D234" s="228"/>
      <c r="E234" s="228"/>
      <c r="F234" s="228"/>
      <c r="G234" s="228"/>
      <c r="H234" s="228"/>
      <c r="I234" s="36"/>
    </row>
    <row r="235" spans="1:20" s="37" customFormat="1" ht="15.75" customHeight="1" x14ac:dyDescent="0.3">
      <c r="A235" s="161">
        <v>1</v>
      </c>
      <c r="B235" s="162"/>
      <c r="C235" s="42" t="s">
        <v>390</v>
      </c>
      <c r="D235" s="83">
        <f>(5.5*6.1+4*3.05+3.4*4.3+4.55*(3.3+3.65)+3.2*3.75+2.4*(1.5+1.55)+1.5*1.7+1.35*1.85+2.1*1.95+2.75*1.5+2.8*1.5+1.4*3.15+1.7*3.35+0.9*(1.55+5.95)+0.7*1.7+3.2*1.8)*10.764</f>
        <v>1642.4249399999994</v>
      </c>
      <c r="E235" s="83">
        <f>(5.3*1.8+3.05)*10.764</f>
        <v>135.51875999999999</v>
      </c>
      <c r="F235" s="42">
        <f>D235+E235</f>
        <v>1777.9436999999994</v>
      </c>
      <c r="G235" s="42">
        <v>0</v>
      </c>
      <c r="H235" s="42">
        <f>F235*(($H$158)+1)+(IF(G235&lt;101,G235,IF(G235&lt;201,G235/2,IF(G235&lt;=301,G235/3,G235/4))))</f>
        <v>2666.9155499999988</v>
      </c>
      <c r="I235" s="36"/>
    </row>
    <row r="236" spans="1:20" s="37" customFormat="1" ht="15.75" customHeight="1" x14ac:dyDescent="0.3">
      <c r="A236" s="161">
        <f>A235+1</f>
        <v>2</v>
      </c>
      <c r="B236" s="162"/>
      <c r="C236" s="42" t="s">
        <v>384</v>
      </c>
      <c r="D236" s="83">
        <f>(3.2*5.9+2.2*3.35+3.1*3.35+3.05*(4.45+3.8)+1.35*2.15+1.35*(2.4+2.4)+0.9*(1.5+3.5)+1.35*2+1.35*1.45+1.2*2.75)*10.764</f>
        <v>900.27404999999999</v>
      </c>
      <c r="E236" s="83">
        <f>(3.2*1.55+2.2*1.2)*10.764</f>
        <v>81.806400000000011</v>
      </c>
      <c r="F236" s="42">
        <f>D236+E236</f>
        <v>982.08045000000004</v>
      </c>
      <c r="G236" s="42">
        <v>0</v>
      </c>
      <c r="H236" s="42">
        <f>F236*(($H$158)+1)+(IF(G236&lt;101,G236,IF(G236&lt;201,G236/2,IF(G236&lt;=301,G236/3,G236/4))))</f>
        <v>1473.1206750000001</v>
      </c>
      <c r="I236" s="36"/>
    </row>
    <row r="237" spans="1:20" s="37" customFormat="1" ht="15.75" customHeight="1" x14ac:dyDescent="0.3">
      <c r="A237" s="161">
        <f>A236+1</f>
        <v>3</v>
      </c>
      <c r="B237" s="162"/>
      <c r="C237" s="161" t="s">
        <v>387</v>
      </c>
      <c r="D237" s="254"/>
      <c r="E237" s="254"/>
      <c r="F237" s="254"/>
      <c r="G237" s="254"/>
      <c r="H237" s="162"/>
      <c r="I237" s="36"/>
    </row>
    <row r="238" spans="1:20" s="35" customFormat="1" x14ac:dyDescent="0.3">
      <c r="A238" s="246" t="s">
        <v>63</v>
      </c>
      <c r="B238" s="246"/>
      <c r="C238" s="246"/>
      <c r="D238" s="246"/>
      <c r="E238" s="246"/>
      <c r="F238" s="246"/>
      <c r="G238" s="246"/>
      <c r="H238" s="246"/>
      <c r="T238" s="37"/>
    </row>
    <row r="239" spans="1:20" s="35" customFormat="1" x14ac:dyDescent="0.3">
      <c r="A239" s="85">
        <v>1</v>
      </c>
      <c r="B239" s="231" t="s">
        <v>392</v>
      </c>
      <c r="C239" s="232"/>
      <c r="D239" s="232"/>
      <c r="E239" s="232"/>
      <c r="F239" s="232"/>
      <c r="G239" s="232"/>
      <c r="H239" s="233"/>
      <c r="T239" s="37"/>
    </row>
    <row r="240" spans="1:20" s="35" customFormat="1" x14ac:dyDescent="0.3">
      <c r="A240" s="85">
        <f>A239+1</f>
        <v>2</v>
      </c>
      <c r="B240" s="124" t="str">
        <f>(IF(H157="Saleable area Loading :","We have considered Saleable area of Flats as per our Calculation.","We considered Saleable area of Flat as per Builder area Sheet."))</f>
        <v>We have considered Saleable area of Flats as per our Calculation.</v>
      </c>
      <c r="C240" s="125"/>
      <c r="D240" s="125"/>
      <c r="E240" s="125"/>
      <c r="F240" s="125"/>
      <c r="G240" s="125"/>
      <c r="H240" s="126"/>
      <c r="T240" s="37"/>
    </row>
    <row r="241" spans="1:20" s="35" customFormat="1" hidden="1" x14ac:dyDescent="0.3">
      <c r="A241" s="85">
        <f t="shared" ref="A241:A252" si="20">A240+1</f>
        <v>3</v>
      </c>
      <c r="B241" s="91" t="str">
        <f>(IF(H149="Saleable area Loading :","We have considered Saleable area of Commercial as per our Calculation.","We considered Saleable area of Commercial as per Builder area Sheet."))</f>
        <v>We have considered Saleable area of Commercial as per our Calculation.</v>
      </c>
      <c r="C241" s="92"/>
      <c r="D241" s="92"/>
      <c r="E241" s="92"/>
      <c r="F241" s="92"/>
      <c r="G241" s="92"/>
      <c r="H241" s="93"/>
      <c r="T241" s="37"/>
    </row>
    <row r="242" spans="1:20" s="35" customFormat="1" x14ac:dyDescent="0.3">
      <c r="A242" s="85">
        <f t="shared" si="20"/>
        <v>4</v>
      </c>
      <c r="B242" s="141" t="s">
        <v>119</v>
      </c>
      <c r="C242" s="142"/>
      <c r="D242" s="142"/>
      <c r="E242" s="142"/>
      <c r="F242" s="142"/>
      <c r="G242" s="142"/>
      <c r="H242" s="143"/>
    </row>
    <row r="243" spans="1:20" s="35" customFormat="1" x14ac:dyDescent="0.3">
      <c r="A243" s="85">
        <f t="shared" si="20"/>
        <v>5</v>
      </c>
      <c r="B243" s="231" t="s">
        <v>393</v>
      </c>
      <c r="C243" s="232"/>
      <c r="D243" s="232"/>
      <c r="E243" s="232"/>
      <c r="F243" s="232"/>
      <c r="G243" s="232"/>
      <c r="H243" s="233"/>
    </row>
    <row r="244" spans="1:20" s="35" customFormat="1" x14ac:dyDescent="0.3">
      <c r="A244" s="85">
        <f t="shared" si="20"/>
        <v>6</v>
      </c>
      <c r="B244" s="141" t="s">
        <v>148</v>
      </c>
      <c r="C244" s="142"/>
      <c r="D244" s="142"/>
      <c r="E244" s="142"/>
      <c r="F244" s="142"/>
      <c r="G244" s="142"/>
      <c r="H244" s="143"/>
    </row>
    <row r="245" spans="1:20" s="35" customFormat="1" x14ac:dyDescent="0.3">
      <c r="A245" s="85">
        <f t="shared" si="20"/>
        <v>7</v>
      </c>
      <c r="B245" s="141" t="s">
        <v>120</v>
      </c>
      <c r="C245" s="142"/>
      <c r="D245" s="142"/>
      <c r="E245" s="142"/>
      <c r="F245" s="142"/>
      <c r="G245" s="142"/>
      <c r="H245" s="143"/>
    </row>
    <row r="246" spans="1:20" s="35" customFormat="1" ht="32.25" customHeight="1" x14ac:dyDescent="0.3">
      <c r="A246" s="85">
        <f t="shared" si="20"/>
        <v>8</v>
      </c>
      <c r="B246" s="231" t="s">
        <v>149</v>
      </c>
      <c r="C246" s="232"/>
      <c r="D246" s="232"/>
      <c r="E246" s="232"/>
      <c r="F246" s="232"/>
      <c r="G246" s="232"/>
      <c r="H246" s="233"/>
    </row>
    <row r="247" spans="1:20" s="35" customFormat="1" x14ac:dyDescent="0.3">
      <c r="A247" s="85">
        <f>A246+1</f>
        <v>9</v>
      </c>
      <c r="B247" s="141" t="s">
        <v>121</v>
      </c>
      <c r="C247" s="142"/>
      <c r="D247" s="142"/>
      <c r="E247" s="142"/>
      <c r="F247" s="142"/>
      <c r="G247" s="142"/>
      <c r="H247" s="143"/>
    </row>
    <row r="248" spans="1:20" s="35" customFormat="1" x14ac:dyDescent="0.3">
      <c r="A248" s="85">
        <f t="shared" ref="A248:A250" si="21">A247+1</f>
        <v>10</v>
      </c>
      <c r="B248" s="124" t="s">
        <v>424</v>
      </c>
      <c r="C248" s="125"/>
      <c r="D248" s="125"/>
      <c r="E248" s="125"/>
      <c r="F248" s="125"/>
      <c r="G248" s="125"/>
      <c r="H248" s="126"/>
    </row>
    <row r="249" spans="1:20" s="35" customFormat="1" ht="66" hidden="1" customHeight="1" x14ac:dyDescent="0.3">
      <c r="A249" s="85">
        <f t="shared" si="21"/>
        <v>11</v>
      </c>
      <c r="B249" s="124" t="s">
        <v>409</v>
      </c>
      <c r="C249" s="125"/>
      <c r="D249" s="125"/>
      <c r="E249" s="125"/>
      <c r="F249" s="125"/>
      <c r="G249" s="125"/>
      <c r="H249" s="126"/>
    </row>
    <row r="250" spans="1:20" s="35" customFormat="1" ht="32.25" hidden="1" customHeight="1" x14ac:dyDescent="0.3">
      <c r="A250" s="85">
        <f t="shared" si="21"/>
        <v>12</v>
      </c>
      <c r="B250" s="124" t="s">
        <v>410</v>
      </c>
      <c r="C250" s="125"/>
      <c r="D250" s="125"/>
      <c r="E250" s="125"/>
      <c r="F250" s="125"/>
      <c r="G250" s="125"/>
      <c r="H250" s="126"/>
    </row>
    <row r="251" spans="1:20" x14ac:dyDescent="0.3">
      <c r="A251" s="85">
        <v>11</v>
      </c>
      <c r="B251" s="124" t="s">
        <v>417</v>
      </c>
      <c r="C251" s="125"/>
      <c r="D251" s="125"/>
      <c r="E251" s="125"/>
      <c r="F251" s="125"/>
      <c r="G251" s="125"/>
      <c r="H251" s="126"/>
      <c r="I251" s="91" t="str">
        <f ca="1">IF(G54&gt;EDATE(E3,-48),"NO REMARK FOR CC","REMARK FOR CC")</f>
        <v>NO REMARK FOR CC</v>
      </c>
      <c r="J251" s="92"/>
      <c r="K251" s="92"/>
      <c r="L251" s="92"/>
      <c r="M251" s="92"/>
      <c r="N251" s="92"/>
      <c r="O251" s="93"/>
      <c r="T251" s="35"/>
    </row>
    <row r="252" spans="1:20" hidden="1" x14ac:dyDescent="0.3">
      <c r="A252" s="85">
        <f t="shared" si="20"/>
        <v>12</v>
      </c>
      <c r="B252" s="91" t="s">
        <v>346</v>
      </c>
      <c r="C252" s="92"/>
      <c r="D252" s="92"/>
      <c r="E252" s="92"/>
      <c r="F252" s="92"/>
      <c r="G252" s="92"/>
      <c r="H252" s="93"/>
      <c r="T252" s="35"/>
    </row>
    <row r="253" spans="1:20" s="35" customFormat="1" x14ac:dyDescent="0.3">
      <c r="A253" s="85">
        <v>12</v>
      </c>
      <c r="B253" s="124" t="s">
        <v>422</v>
      </c>
      <c r="C253" s="125"/>
      <c r="D253" s="125"/>
      <c r="E253" s="125"/>
      <c r="F253" s="125"/>
      <c r="G253" s="125"/>
      <c r="H253" s="126"/>
    </row>
    <row r="254" spans="1:20" ht="15.75" customHeight="1" x14ac:dyDescent="0.3">
      <c r="A254" s="214" t="s">
        <v>56</v>
      </c>
      <c r="B254" s="214"/>
      <c r="C254" s="214"/>
      <c r="D254" s="214"/>
      <c r="E254" s="214"/>
      <c r="F254" s="214"/>
      <c r="G254" s="214"/>
      <c r="H254" s="214"/>
      <c r="T254" s="35"/>
    </row>
    <row r="255" spans="1:20" x14ac:dyDescent="0.3">
      <c r="A255" s="127" t="s">
        <v>57</v>
      </c>
      <c r="B255" s="127"/>
      <c r="C255" s="127"/>
      <c r="D255" s="127"/>
      <c r="E255" s="127"/>
      <c r="F255" s="127"/>
      <c r="G255" s="127"/>
      <c r="H255" s="127"/>
      <c r="T255" s="35"/>
    </row>
    <row r="256" spans="1:20" x14ac:dyDescent="0.3">
      <c r="A256" s="230" t="s">
        <v>58</v>
      </c>
      <c r="B256" s="230"/>
      <c r="C256" s="230"/>
      <c r="D256" s="230"/>
      <c r="E256" s="230"/>
      <c r="F256" s="230"/>
      <c r="G256" s="230"/>
      <c r="H256" s="230"/>
      <c r="T256" s="35"/>
    </row>
    <row r="257" spans="1:20" x14ac:dyDescent="0.3">
      <c r="A257" s="127" t="s">
        <v>59</v>
      </c>
      <c r="B257" s="127"/>
      <c r="C257" s="127"/>
      <c r="D257" s="127"/>
      <c r="E257" s="127"/>
      <c r="F257" s="127"/>
      <c r="G257" s="127"/>
      <c r="H257" s="127"/>
      <c r="T257" s="35"/>
    </row>
    <row r="258" spans="1:20" x14ac:dyDescent="0.3">
      <c r="A258" s="127" t="s">
        <v>60</v>
      </c>
      <c r="B258" s="127"/>
      <c r="C258" s="127"/>
      <c r="D258" s="127"/>
      <c r="E258" s="127"/>
      <c r="F258" s="127"/>
      <c r="G258" s="127"/>
      <c r="H258" s="127"/>
    </row>
    <row r="259" spans="1:20" x14ac:dyDescent="0.3">
      <c r="A259" s="127" t="s">
        <v>122</v>
      </c>
      <c r="B259" s="127"/>
      <c r="C259" s="127"/>
      <c r="D259" s="127"/>
      <c r="E259" s="127"/>
      <c r="F259" s="127"/>
      <c r="G259" s="127"/>
      <c r="H259" s="127"/>
    </row>
    <row r="260" spans="1:20" ht="32.4" customHeight="1" x14ac:dyDescent="0.3">
      <c r="A260" s="215" t="s">
        <v>123</v>
      </c>
      <c r="B260" s="215"/>
      <c r="C260" s="215"/>
      <c r="D260" s="215"/>
      <c r="E260" s="215"/>
      <c r="F260" s="215"/>
      <c r="G260" s="215"/>
      <c r="H260" s="215"/>
    </row>
    <row r="261" spans="1:20" x14ac:dyDescent="0.3">
      <c r="A261" s="226" t="s">
        <v>72</v>
      </c>
      <c r="B261" s="226"/>
      <c r="C261" s="226" t="s">
        <v>421</v>
      </c>
      <c r="D261" s="226"/>
      <c r="E261" s="226" t="s">
        <v>102</v>
      </c>
      <c r="F261" s="226"/>
      <c r="G261" s="227" t="s">
        <v>423</v>
      </c>
      <c r="H261" s="227"/>
    </row>
    <row r="262" spans="1:20" x14ac:dyDescent="0.3">
      <c r="A262" s="225" t="s">
        <v>74</v>
      </c>
      <c r="B262" s="225"/>
      <c r="C262" s="225"/>
      <c r="D262" s="225"/>
      <c r="E262" s="225"/>
      <c r="F262" s="225"/>
      <c r="G262" s="225"/>
      <c r="H262" s="225"/>
    </row>
    <row r="263" spans="1:20" x14ac:dyDescent="0.3">
      <c r="A263" s="225"/>
      <c r="B263" s="225"/>
      <c r="C263" s="225"/>
      <c r="D263" s="225"/>
      <c r="E263" s="225"/>
      <c r="F263" s="225"/>
      <c r="G263" s="225"/>
      <c r="H263" s="225"/>
    </row>
    <row r="264" spans="1:20" x14ac:dyDescent="0.3">
      <c r="A264" s="225"/>
      <c r="B264" s="225"/>
      <c r="C264" s="225"/>
      <c r="D264" s="225"/>
      <c r="E264" s="225"/>
      <c r="F264" s="225"/>
      <c r="G264" s="225"/>
      <c r="H264" s="225"/>
    </row>
    <row r="265" spans="1:20" x14ac:dyDescent="0.3">
      <c r="A265" s="225"/>
      <c r="B265" s="225"/>
      <c r="C265" s="225"/>
      <c r="D265" s="225"/>
      <c r="E265" s="225"/>
      <c r="F265" s="225"/>
      <c r="G265" s="225"/>
      <c r="H265" s="225"/>
    </row>
    <row r="266" spans="1:20" x14ac:dyDescent="0.3">
      <c r="A266" s="38" t="s">
        <v>61</v>
      </c>
      <c r="B266" s="39"/>
      <c r="C266" s="39"/>
      <c r="D266" s="38" t="str">
        <f>E9</f>
        <v>Celestria</v>
      </c>
      <c r="F266" s="39"/>
      <c r="G266" s="39"/>
      <c r="H266" s="39"/>
    </row>
    <row r="267" spans="1:20" ht="15" customHeight="1" x14ac:dyDescent="0.3">
      <c r="A267" s="39"/>
      <c r="B267" s="39"/>
      <c r="C267" s="39"/>
      <c r="D267" s="39"/>
      <c r="E267" s="39"/>
      <c r="F267" s="39"/>
      <c r="G267" s="39"/>
      <c r="H267" s="39"/>
    </row>
    <row r="268" spans="1:20" x14ac:dyDescent="0.3">
      <c r="A268" s="39"/>
      <c r="B268" s="39"/>
      <c r="C268" s="39"/>
      <c r="D268" s="39"/>
      <c r="E268" s="39"/>
      <c r="F268" s="39"/>
      <c r="G268" s="39"/>
      <c r="H268" s="39"/>
    </row>
    <row r="308" spans="1:1" x14ac:dyDescent="0.3">
      <c r="A308" s="41" t="s">
        <v>405</v>
      </c>
    </row>
    <row r="348" spans="1:1" x14ac:dyDescent="0.3">
      <c r="A348" s="41" t="s">
        <v>159</v>
      </c>
    </row>
    <row r="385" spans="1:1" x14ac:dyDescent="0.3">
      <c r="A385" s="41" t="s">
        <v>62</v>
      </c>
    </row>
  </sheetData>
  <mergeCells count="466">
    <mergeCell ref="L186:M186"/>
    <mergeCell ref="L187:M187"/>
    <mergeCell ref="A190:B190"/>
    <mergeCell ref="A193:B193"/>
    <mergeCell ref="A194:B194"/>
    <mergeCell ref="C194:H194"/>
    <mergeCell ref="B250:H250"/>
    <mergeCell ref="A204:B204"/>
    <mergeCell ref="A235:B235"/>
    <mergeCell ref="A236:B236"/>
    <mergeCell ref="A237:B237"/>
    <mergeCell ref="C237:H237"/>
    <mergeCell ref="L232:M232"/>
    <mergeCell ref="L228:M228"/>
    <mergeCell ref="L216:M216"/>
    <mergeCell ref="L204:M204"/>
    <mergeCell ref="L205:M205"/>
    <mergeCell ref="B253:H253"/>
    <mergeCell ref="A234:H234"/>
    <mergeCell ref="A203:B203"/>
    <mergeCell ref="C140:D140"/>
    <mergeCell ref="E140:F140"/>
    <mergeCell ref="G140:H140"/>
    <mergeCell ref="A141:B141"/>
    <mergeCell ref="C141:D141"/>
    <mergeCell ref="E141:F141"/>
    <mergeCell ref="G141:H141"/>
    <mergeCell ref="A144:B144"/>
    <mergeCell ref="C144:D144"/>
    <mergeCell ref="E144:F144"/>
    <mergeCell ref="G144:H144"/>
    <mergeCell ref="A198:H198"/>
    <mergeCell ref="A199:H199"/>
    <mergeCell ref="A201:B201"/>
    <mergeCell ref="A230:H230"/>
    <mergeCell ref="A214:H214"/>
    <mergeCell ref="A223:B223"/>
    <mergeCell ref="B251:H251"/>
    <mergeCell ref="A187:B187"/>
    <mergeCell ref="A188:B188"/>
    <mergeCell ref="A189:H189"/>
    <mergeCell ref="E17:F17"/>
    <mergeCell ref="G17:H17"/>
    <mergeCell ref="A15:D17"/>
    <mergeCell ref="E15:H15"/>
    <mergeCell ref="B249:H249"/>
    <mergeCell ref="J166:K166"/>
    <mergeCell ref="J167:K167"/>
    <mergeCell ref="J168:K168"/>
    <mergeCell ref="J169:K169"/>
    <mergeCell ref="J170:K170"/>
    <mergeCell ref="J171:K171"/>
    <mergeCell ref="A159:H159"/>
    <mergeCell ref="E16:F16"/>
    <mergeCell ref="G16:H16"/>
    <mergeCell ref="A62:B62"/>
    <mergeCell ref="C62:E62"/>
    <mergeCell ref="A212:B212"/>
    <mergeCell ref="C212:H212"/>
    <mergeCell ref="A205:B205"/>
    <mergeCell ref="A206:B206"/>
    <mergeCell ref="A207:H207"/>
    <mergeCell ref="A208:B208"/>
    <mergeCell ref="A213:B213"/>
    <mergeCell ref="A186:B186"/>
    <mergeCell ref="A195:B195"/>
    <mergeCell ref="A196:H196"/>
    <mergeCell ref="A197:H197"/>
    <mergeCell ref="A191:B191"/>
    <mergeCell ref="A192:B192"/>
    <mergeCell ref="L199:M199"/>
    <mergeCell ref="A202:B202"/>
    <mergeCell ref="L201:M201"/>
    <mergeCell ref="A209:B209"/>
    <mergeCell ref="A200:H200"/>
    <mergeCell ref="L200:M200"/>
    <mergeCell ref="L202:M202"/>
    <mergeCell ref="L203:M203"/>
    <mergeCell ref="A210:B210"/>
    <mergeCell ref="A211:B211"/>
    <mergeCell ref="L167:M167"/>
    <mergeCell ref="A231:B231"/>
    <mergeCell ref="A232:B232"/>
    <mergeCell ref="A233:B233"/>
    <mergeCell ref="A215:H215"/>
    <mergeCell ref="A216:H216"/>
    <mergeCell ref="A217:H217"/>
    <mergeCell ref="A224:B224"/>
    <mergeCell ref="A225:B225"/>
    <mergeCell ref="A222:H222"/>
    <mergeCell ref="A226:H226"/>
    <mergeCell ref="A178:H178"/>
    <mergeCell ref="A179:H179"/>
    <mergeCell ref="A180:H180"/>
    <mergeCell ref="A181:H181"/>
    <mergeCell ref="A182:H182"/>
    <mergeCell ref="L181:M181"/>
    <mergeCell ref="A227:H227"/>
    <mergeCell ref="A228:H228"/>
    <mergeCell ref="A229:H229"/>
    <mergeCell ref="C225:H225"/>
    <mergeCell ref="L220:M220"/>
    <mergeCell ref="A184:B184"/>
    <mergeCell ref="L182:M182"/>
    <mergeCell ref="A170:B170"/>
    <mergeCell ref="L168:M168"/>
    <mergeCell ref="A185:B185"/>
    <mergeCell ref="A171:H171"/>
    <mergeCell ref="L169:M169"/>
    <mergeCell ref="A172:B172"/>
    <mergeCell ref="A173:B173"/>
    <mergeCell ref="A174:B174"/>
    <mergeCell ref="A175:B175"/>
    <mergeCell ref="A176:B176"/>
    <mergeCell ref="A177:B177"/>
    <mergeCell ref="C176:H176"/>
    <mergeCell ref="L183:M183"/>
    <mergeCell ref="A169:B169"/>
    <mergeCell ref="L184:M184"/>
    <mergeCell ref="L185:M185"/>
    <mergeCell ref="G61:H61"/>
    <mergeCell ref="C58:E58"/>
    <mergeCell ref="A168:B168"/>
    <mergeCell ref="C78:H78"/>
    <mergeCell ref="A73:C73"/>
    <mergeCell ref="D73:H73"/>
    <mergeCell ref="C80:H80"/>
    <mergeCell ref="A74:C74"/>
    <mergeCell ref="D74:H74"/>
    <mergeCell ref="A77:C77"/>
    <mergeCell ref="D77:H77"/>
    <mergeCell ref="A76:C76"/>
    <mergeCell ref="A81:B81"/>
    <mergeCell ref="A162:H162"/>
    <mergeCell ref="A163:H163"/>
    <mergeCell ref="F123:H123"/>
    <mergeCell ref="A127:E127"/>
    <mergeCell ref="A156:H156"/>
    <mergeCell ref="A160:H160"/>
    <mergeCell ref="A161:H161"/>
    <mergeCell ref="A80:B80"/>
    <mergeCell ref="A140:B140"/>
    <mergeCell ref="G62:H62"/>
    <mergeCell ref="I251:O251"/>
    <mergeCell ref="E45:H45"/>
    <mergeCell ref="A45:D45"/>
    <mergeCell ref="A87:B87"/>
    <mergeCell ref="A52:B52"/>
    <mergeCell ref="D70:H70"/>
    <mergeCell ref="C54:E54"/>
    <mergeCell ref="A238:H238"/>
    <mergeCell ref="A75:C75"/>
    <mergeCell ref="D76:H76"/>
    <mergeCell ref="A82:B82"/>
    <mergeCell ref="G81:H81"/>
    <mergeCell ref="A90:B90"/>
    <mergeCell ref="A83:B83"/>
    <mergeCell ref="F157:F158"/>
    <mergeCell ref="A58:B59"/>
    <mergeCell ref="F120:H120"/>
    <mergeCell ref="F125:H125"/>
    <mergeCell ref="A165:B165"/>
    <mergeCell ref="A155:B155"/>
    <mergeCell ref="A154:B154"/>
    <mergeCell ref="A126:E126"/>
    <mergeCell ref="F126:H126"/>
    <mergeCell ref="A128:E128"/>
    <mergeCell ref="A255:H255"/>
    <mergeCell ref="E81:F81"/>
    <mergeCell ref="A88:B88"/>
    <mergeCell ref="I17:P17"/>
    <mergeCell ref="F130:H130"/>
    <mergeCell ref="F128:H128"/>
    <mergeCell ref="A148:H148"/>
    <mergeCell ref="G134:H134"/>
    <mergeCell ref="A129:E129"/>
    <mergeCell ref="A153:B153"/>
    <mergeCell ref="A63:B63"/>
    <mergeCell ref="C63:E63"/>
    <mergeCell ref="D65:H65"/>
    <mergeCell ref="F129:H129"/>
    <mergeCell ref="E134:F134"/>
    <mergeCell ref="A134:B134"/>
    <mergeCell ref="A136:B136"/>
    <mergeCell ref="C139:D139"/>
    <mergeCell ref="D75:H75"/>
    <mergeCell ref="D66:H66"/>
    <mergeCell ref="G63:H63"/>
    <mergeCell ref="A147:H147"/>
    <mergeCell ref="A157:A158"/>
    <mergeCell ref="B242:H242"/>
    <mergeCell ref="A259:H259"/>
    <mergeCell ref="A256:H256"/>
    <mergeCell ref="A219:B219"/>
    <mergeCell ref="A139:B139"/>
    <mergeCell ref="D157:D158"/>
    <mergeCell ref="E157:E158"/>
    <mergeCell ref="A100:B100"/>
    <mergeCell ref="A102:B102"/>
    <mergeCell ref="F121:H121"/>
    <mergeCell ref="G135:H135"/>
    <mergeCell ref="A105:B105"/>
    <mergeCell ref="F127:H127"/>
    <mergeCell ref="C134:D134"/>
    <mergeCell ref="C145:D145"/>
    <mergeCell ref="A164:H164"/>
    <mergeCell ref="B243:H243"/>
    <mergeCell ref="A123:E123"/>
    <mergeCell ref="A120:E120"/>
    <mergeCell ref="F124:H124"/>
    <mergeCell ref="A124:E124"/>
    <mergeCell ref="B246:H246"/>
    <mergeCell ref="G149:G150"/>
    <mergeCell ref="B239:H239"/>
    <mergeCell ref="B240:H240"/>
    <mergeCell ref="A262:H265"/>
    <mergeCell ref="A261:B261"/>
    <mergeCell ref="E261:F261"/>
    <mergeCell ref="C261:D261"/>
    <mergeCell ref="G261:H261"/>
    <mergeCell ref="A133:H133"/>
    <mergeCell ref="A131:E131"/>
    <mergeCell ref="F131:H131"/>
    <mergeCell ref="A132:E132"/>
    <mergeCell ref="F132:H132"/>
    <mergeCell ref="A218:H218"/>
    <mergeCell ref="A142:B142"/>
    <mergeCell ref="A135:B135"/>
    <mergeCell ref="A257:H257"/>
    <mergeCell ref="A138:H138"/>
    <mergeCell ref="A260:H260"/>
    <mergeCell ref="A258:H258"/>
    <mergeCell ref="A254:H254"/>
    <mergeCell ref="G139:H139"/>
    <mergeCell ref="B244:H244"/>
    <mergeCell ref="A183:B183"/>
    <mergeCell ref="C146:D146"/>
    <mergeCell ref="A220:B220"/>
    <mergeCell ref="A221:B2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1:D11"/>
    <mergeCell ref="E11:H11"/>
    <mergeCell ref="A25:D26"/>
    <mergeCell ref="E25:H26"/>
    <mergeCell ref="A18:B18"/>
    <mergeCell ref="C18:H18"/>
    <mergeCell ref="C19:H19"/>
    <mergeCell ref="A20:B20"/>
    <mergeCell ref="C20:H20"/>
    <mergeCell ref="A13:D13"/>
    <mergeCell ref="E13:H13"/>
    <mergeCell ref="A12:D12"/>
    <mergeCell ref="E12:H12"/>
    <mergeCell ref="A19:B19"/>
    <mergeCell ref="A14:D14"/>
    <mergeCell ref="A21:B21"/>
    <mergeCell ref="C21:D21"/>
    <mergeCell ref="E21:F21"/>
    <mergeCell ref="G21:H21"/>
    <mergeCell ref="A22:B22"/>
    <mergeCell ref="C22:D22"/>
    <mergeCell ref="E22:F22"/>
    <mergeCell ref="G22:H22"/>
    <mergeCell ref="A23:B23"/>
    <mergeCell ref="C23:D23"/>
    <mergeCell ref="E23:F23"/>
    <mergeCell ref="G23:H23"/>
    <mergeCell ref="A24:B24"/>
    <mergeCell ref="C24:D24"/>
    <mergeCell ref="E24:F24"/>
    <mergeCell ref="G24:H24"/>
    <mergeCell ref="E29:H29"/>
    <mergeCell ref="A28:D28"/>
    <mergeCell ref="E28:H28"/>
    <mergeCell ref="A27:D27"/>
    <mergeCell ref="E27:H27"/>
    <mergeCell ref="A32:D32"/>
    <mergeCell ref="E32:H32"/>
    <mergeCell ref="A29:D29"/>
    <mergeCell ref="C55:H55"/>
    <mergeCell ref="A38:B38"/>
    <mergeCell ref="C38:E38"/>
    <mergeCell ref="A33:D33"/>
    <mergeCell ref="E33:H33"/>
    <mergeCell ref="A34:D34"/>
    <mergeCell ref="E34:H34"/>
    <mergeCell ref="A30:D30"/>
    <mergeCell ref="E30:H30"/>
    <mergeCell ref="C35:E35"/>
    <mergeCell ref="F38:H38"/>
    <mergeCell ref="F35:H35"/>
    <mergeCell ref="A36:B36"/>
    <mergeCell ref="A35:B35"/>
    <mergeCell ref="C36:E36"/>
    <mergeCell ref="A37:B37"/>
    <mergeCell ref="C37:E37"/>
    <mergeCell ref="F36:H36"/>
    <mergeCell ref="F37:H37"/>
    <mergeCell ref="A31:D31"/>
    <mergeCell ref="E31:H31"/>
    <mergeCell ref="A42:B42"/>
    <mergeCell ref="A48:D48"/>
    <mergeCell ref="A49:D49"/>
    <mergeCell ref="C41:H41"/>
    <mergeCell ref="D72:H72"/>
    <mergeCell ref="A46:D46"/>
    <mergeCell ref="E46:H46"/>
    <mergeCell ref="E47:H47"/>
    <mergeCell ref="E48:H48"/>
    <mergeCell ref="E49:H49"/>
    <mergeCell ref="C59:H59"/>
    <mergeCell ref="A50:H50"/>
    <mergeCell ref="D67:H67"/>
    <mergeCell ref="A67:C67"/>
    <mergeCell ref="A47:D47"/>
    <mergeCell ref="A51:B51"/>
    <mergeCell ref="C51:H51"/>
    <mergeCell ref="A68:C70"/>
    <mergeCell ref="D68:H68"/>
    <mergeCell ref="D69:H69"/>
    <mergeCell ref="G54:H54"/>
    <mergeCell ref="A64:H64"/>
    <mergeCell ref="A65:C65"/>
    <mergeCell ref="A66:C66"/>
    <mergeCell ref="C56:E56"/>
    <mergeCell ref="A56:B57"/>
    <mergeCell ref="C61:E61"/>
    <mergeCell ref="G56:H56"/>
    <mergeCell ref="G143:H143"/>
    <mergeCell ref="A94:B94"/>
    <mergeCell ref="A78:B78"/>
    <mergeCell ref="A40:H40"/>
    <mergeCell ref="A39:B39"/>
    <mergeCell ref="C39:E39"/>
    <mergeCell ref="A44:D44"/>
    <mergeCell ref="E44:H44"/>
    <mergeCell ref="A43:H43"/>
    <mergeCell ref="A71:C71"/>
    <mergeCell ref="A72:C72"/>
    <mergeCell ref="D71:H71"/>
    <mergeCell ref="F39:H39"/>
    <mergeCell ref="C53:E53"/>
    <mergeCell ref="C52:E52"/>
    <mergeCell ref="G52:H52"/>
    <mergeCell ref="A53:B53"/>
    <mergeCell ref="G58:H58"/>
    <mergeCell ref="A60:B61"/>
    <mergeCell ref="C60:E60"/>
    <mergeCell ref="G60:H60"/>
    <mergeCell ref="G53:H53"/>
    <mergeCell ref="A54:B55"/>
    <mergeCell ref="A41:B41"/>
    <mergeCell ref="L166:M166"/>
    <mergeCell ref="L163:M163"/>
    <mergeCell ref="A166:B166"/>
    <mergeCell ref="G146:H146"/>
    <mergeCell ref="J164:K164"/>
    <mergeCell ref="A152:B152"/>
    <mergeCell ref="A146:B146"/>
    <mergeCell ref="E139:F139"/>
    <mergeCell ref="A84:B84"/>
    <mergeCell ref="E82:F91"/>
    <mergeCell ref="G82:H91"/>
    <mergeCell ref="A101:B101"/>
    <mergeCell ref="G95:H95"/>
    <mergeCell ref="A103:B103"/>
    <mergeCell ref="A104:B104"/>
    <mergeCell ref="A91:B91"/>
    <mergeCell ref="L153:M153"/>
    <mergeCell ref="L152:M152"/>
    <mergeCell ref="L151:M151"/>
    <mergeCell ref="L150:M150"/>
    <mergeCell ref="A89:B89"/>
    <mergeCell ref="C142:D142"/>
    <mergeCell ref="E142:F142"/>
    <mergeCell ref="G142:H142"/>
    <mergeCell ref="B247:H247"/>
    <mergeCell ref="B245:H245"/>
    <mergeCell ref="C42:H42"/>
    <mergeCell ref="F149:F150"/>
    <mergeCell ref="C135:D135"/>
    <mergeCell ref="E135:F135"/>
    <mergeCell ref="B149:B150"/>
    <mergeCell ref="A149:A150"/>
    <mergeCell ref="C157:C158"/>
    <mergeCell ref="G157:G158"/>
    <mergeCell ref="A121:E121"/>
    <mergeCell ref="A92:B92"/>
    <mergeCell ref="C92:H92"/>
    <mergeCell ref="A151:H151"/>
    <mergeCell ref="E149:E150"/>
    <mergeCell ref="A96:B96"/>
    <mergeCell ref="C94:H94"/>
    <mergeCell ref="A97:B97"/>
    <mergeCell ref="A98:B98"/>
    <mergeCell ref="G96:H105"/>
    <mergeCell ref="A99:B99"/>
    <mergeCell ref="F122:H122"/>
    <mergeCell ref="A122:E122"/>
    <mergeCell ref="D149:D150"/>
    <mergeCell ref="A113:B113"/>
    <mergeCell ref="A114:B114"/>
    <mergeCell ref="A167:B167"/>
    <mergeCell ref="J165:K165"/>
    <mergeCell ref="C57:H57"/>
    <mergeCell ref="A117:B117"/>
    <mergeCell ref="A118:B118"/>
    <mergeCell ref="B248:H248"/>
    <mergeCell ref="A125:E125"/>
    <mergeCell ref="A145:B145"/>
    <mergeCell ref="E145:F145"/>
    <mergeCell ref="A130:E130"/>
    <mergeCell ref="G145:H145"/>
    <mergeCell ref="C136:D136"/>
    <mergeCell ref="E136:F136"/>
    <mergeCell ref="G136:H136"/>
    <mergeCell ref="A137:B137"/>
    <mergeCell ref="C137:D137"/>
    <mergeCell ref="E137:F137"/>
    <mergeCell ref="G137:H137"/>
    <mergeCell ref="A143:B143"/>
    <mergeCell ref="C143:D143"/>
    <mergeCell ref="E143:F143"/>
    <mergeCell ref="E146:F146"/>
    <mergeCell ref="A115:B115"/>
    <mergeCell ref="A116:B116"/>
    <mergeCell ref="A86:B86"/>
    <mergeCell ref="A85:B85"/>
    <mergeCell ref="B252:H252"/>
    <mergeCell ref="A119:B119"/>
    <mergeCell ref="C149:C150"/>
    <mergeCell ref="B157:B158"/>
    <mergeCell ref="B241:H241"/>
    <mergeCell ref="A95:B95"/>
    <mergeCell ref="E95:F95"/>
    <mergeCell ref="E96:F105"/>
    <mergeCell ref="A106:B106"/>
    <mergeCell ref="C106:H106"/>
    <mergeCell ref="A108:B108"/>
    <mergeCell ref="C108:H108"/>
    <mergeCell ref="A109:B109"/>
    <mergeCell ref="E109:F109"/>
    <mergeCell ref="G109:H109"/>
    <mergeCell ref="A110:B110"/>
    <mergeCell ref="E110:F119"/>
    <mergeCell ref="G110:H119"/>
    <mergeCell ref="A111:B111"/>
    <mergeCell ref="A112:B112"/>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9:B19" xr:uid="{00000000-0002-0000-0000-000001000000}">
      <formula1>"CTS No,Survey No,Plot No,Gut No,FP No,"</formula1>
    </dataValidation>
    <dataValidation type="list" allowBlank="1" showInputMessage="1" showErrorMessage="1" sqref="G22:H22" xr:uid="{00000000-0002-0000-0000-000002000000}">
      <formula1>$S$13:$W$13</formula1>
    </dataValidation>
    <dataValidation type="list" allowBlank="1" showInputMessage="1" showErrorMessage="1" sqref="E149:E150" xr:uid="{00000000-0002-0000-0000-000003000000}">
      <formula1>"Attached Loft area,Attached Otla area,Attached Mezzanine area"</formula1>
    </dataValidation>
    <dataValidation type="list" allowBlank="1" showInputMessage="1" showErrorMessage="1" sqref="G261:H261" xr:uid="{00000000-0002-0000-0000-000004000000}">
      <formula1>"Kunal Kadam,Pranita Mhatre,Shruti Fule,Pooja Kawale,Gaurav Panchal,Shruti Tathare, Dipti Gothawade,Saurav Panse, Sachin Sawant"</formula1>
    </dataValidation>
    <dataValidation type="list" allowBlank="1" showInputMessage="1" showErrorMessage="1" sqref="F120:H120" xr:uid="{00000000-0002-0000-0000-000005000000}">
      <formula1>"On Saleable Area,On Builtup Area,On Carpet Area,On Plot Area"</formula1>
    </dataValidation>
    <dataValidation type="list" allowBlank="1" showInputMessage="1" showErrorMessage="1" sqref="B149:B150" xr:uid="{00000000-0002-0000-0000-000006000000}">
      <formula1>"Shop No. (Sale Plan),Sale / Rehab,Sale / Mhada"</formula1>
    </dataValidation>
    <dataValidation type="list" allowBlank="1" showInputMessage="1" showErrorMessage="1" sqref="B157:B158" xr:uid="{00000000-0002-0000-0000-000007000000}">
      <formula1>"Flat No. (Sale Plan),Sale / Rehab,Sale / Mhada"</formula1>
    </dataValidation>
    <dataValidation type="list" allowBlank="1" showInputMessage="1" showErrorMessage="1" sqref="C23:D23" xr:uid="{00000000-0002-0000-0000-000008000000}">
      <formula1>OFFSET($S$13,1,MATCH($G22,$S$13:$W$13,0)-1,15,1)</formula1>
    </dataValidation>
    <dataValidation type="list" allowBlank="1" showInputMessage="1" showErrorMessage="1" sqref="Y13" xr:uid="{00000000-0002-0000-0000-000009000000}">
      <formula1>$D$5:$H$5</formula1>
    </dataValidation>
    <dataValidation type="list" allowBlank="1" showInputMessage="1" showErrorMessage="1" sqref="E157:E158" xr:uid="{00000000-0002-0000-0000-00000A000000}">
      <formula1>"Deck + Utility Area,Balcony Area,Chajja Area,Cornice Area,AP Area,WS Area"</formula1>
    </dataValidation>
    <dataValidation type="list" allowBlank="1" showInputMessage="1" showErrorMessage="1" sqref="H150 H158"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51:H51" xr:uid="{00000000-0002-0000-0000-00000D000000}">
      <formula1>OFFSET($S$51,1,MATCH($G22,$S$51:$W$51,0)-1,15,1)</formula1>
    </dataValidation>
    <dataValidation type="list" allowBlank="1" showInputMessage="1" showErrorMessage="1" sqref="H149 H157" xr:uid="{00000000-0002-0000-0000-00000E000000}">
      <formula1>"Saleable area Loading :,Builder Saleable Area"</formula1>
    </dataValidation>
    <dataValidation type="list" allowBlank="1" showInputMessage="1" showErrorMessage="1" sqref="D149:D150 D157:D158" xr:uid="{00000000-0002-0000-0000-00000F000000}">
      <formula1>"Carpet area,RERA Carpet area"</formula1>
    </dataValidation>
    <dataValidation type="list" allowBlank="1" showInputMessage="1" showErrorMessage="1" sqref="F131:H131" xr:uid="{00000000-0002-0000-0000-000010000000}">
      <formula1>OFFSET($S$118,1,MATCH($G22,$S$118:$W$118,0)-1,15,1)</formula1>
    </dataValidation>
  </dataValidations>
  <hyperlinks>
    <hyperlink ref="C42" r:id="rId1" xr:uid="{00000000-0004-0000-0000-000000000000}"/>
    <hyperlink ref="I72" r:id="rId2" location="amenities" xr:uid="{00000000-0004-0000-0000-000001000000}"/>
  </hyperlinks>
  <printOptions horizontalCentered="1"/>
  <pageMargins left="0.39370078740157483" right="0.39370078740157483" top="0.82677165354330717" bottom="0.78740157480314965" header="0.15748031496062992" footer="0.19685039370078741"/>
  <pageSetup paperSize="9" fitToHeight="0" orientation="portrait" r:id="rId3"/>
  <headerFooter>
    <oddHeader>&amp;C&amp;G</oddHeader>
    <oddFooter>&amp;L&amp;"Times New Roman,Bold"&amp;12Ref No: &amp;F&amp;C&amp;G&amp;R&amp;"Times New Roman,Bold"&amp;12&amp;P</oddFooter>
  </headerFooter>
  <rowBreaks count="4" manualBreakCount="4">
    <brk id="265" max="7" man="1"/>
    <brk id="307" max="7" man="1"/>
    <brk id="347" max="16383" man="1"/>
    <brk id="384"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6" zoomScale="85" zoomScaleNormal="85" workbookViewId="0">
      <selection activeCell="B37" sqref="B37"/>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77" t="s">
        <v>103</v>
      </c>
      <c r="C3" s="277"/>
      <c r="D3" s="277"/>
      <c r="E3" s="277"/>
      <c r="F3" s="277"/>
      <c r="G3" s="277"/>
      <c r="H3" s="277"/>
    </row>
    <row r="4" spans="1:9" x14ac:dyDescent="0.3">
      <c r="A4" s="2"/>
      <c r="B4" s="3" t="s">
        <v>104</v>
      </c>
      <c r="C4" s="3" t="s">
        <v>105</v>
      </c>
      <c r="D4" s="3" t="s">
        <v>64</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50"/>
      <c r="C4" s="50" t="s">
        <v>10</v>
      </c>
      <c r="D4" s="51" t="s">
        <v>175</v>
      </c>
      <c r="E4" s="51" t="s">
        <v>185</v>
      </c>
      <c r="F4" s="51" t="s">
        <v>169</v>
      </c>
      <c r="G4" s="51" t="s">
        <v>190</v>
      </c>
      <c r="H4" s="51" t="s">
        <v>208</v>
      </c>
      <c r="J4" t="s">
        <v>190</v>
      </c>
      <c r="K4" t="s">
        <v>206</v>
      </c>
    </row>
    <row r="5" spans="2:11" x14ac:dyDescent="0.3">
      <c r="B5" s="50"/>
      <c r="C5" s="50"/>
      <c r="D5" s="51" t="s">
        <v>176</v>
      </c>
      <c r="E5" s="51" t="s">
        <v>183</v>
      </c>
      <c r="F5" s="51" t="s">
        <v>205</v>
      </c>
      <c r="G5" s="51" t="s">
        <v>191</v>
      </c>
      <c r="H5" s="51" t="s">
        <v>209</v>
      </c>
    </row>
    <row r="6" spans="2:11" x14ac:dyDescent="0.3">
      <c r="B6" s="50"/>
      <c r="C6" s="50"/>
      <c r="D6" s="51" t="s">
        <v>177</v>
      </c>
      <c r="E6" s="51" t="s">
        <v>184</v>
      </c>
      <c r="F6" s="51" t="s">
        <v>206</v>
      </c>
      <c r="G6" s="51" t="s">
        <v>192</v>
      </c>
      <c r="H6" s="51" t="s">
        <v>222</v>
      </c>
    </row>
    <row r="7" spans="2:11" x14ac:dyDescent="0.3">
      <c r="B7" s="50"/>
      <c r="C7" s="50"/>
      <c r="D7" s="51" t="s">
        <v>178</v>
      </c>
      <c r="E7" s="51" t="s">
        <v>186</v>
      </c>
      <c r="F7" s="51" t="s">
        <v>207</v>
      </c>
      <c r="G7" s="51" t="s">
        <v>193</v>
      </c>
      <c r="H7" s="51" t="s">
        <v>210</v>
      </c>
    </row>
    <row r="8" spans="2:11" x14ac:dyDescent="0.3">
      <c r="B8" s="50"/>
      <c r="C8" s="50"/>
      <c r="D8" s="51" t="s">
        <v>179</v>
      </c>
      <c r="E8" s="51" t="s">
        <v>187</v>
      </c>
      <c r="F8" s="51"/>
      <c r="G8" s="51" t="s">
        <v>194</v>
      </c>
      <c r="H8" s="51" t="s">
        <v>211</v>
      </c>
    </row>
    <row r="9" spans="2:11" x14ac:dyDescent="0.3">
      <c r="B9" s="50"/>
      <c r="C9" s="50"/>
      <c r="D9" s="51" t="s">
        <v>180</v>
      </c>
      <c r="E9" s="51" t="s">
        <v>185</v>
      </c>
      <c r="F9" s="51"/>
      <c r="G9" s="51" t="s">
        <v>195</v>
      </c>
      <c r="H9" s="51" t="s">
        <v>212</v>
      </c>
    </row>
    <row r="10" spans="2:11" x14ac:dyDescent="0.3">
      <c r="B10" s="50"/>
      <c r="C10" s="50"/>
      <c r="D10" s="51" t="s">
        <v>181</v>
      </c>
      <c r="E10" s="51" t="s">
        <v>188</v>
      </c>
      <c r="F10" s="51"/>
      <c r="G10" s="51" t="s">
        <v>196</v>
      </c>
      <c r="H10" s="51" t="s">
        <v>213</v>
      </c>
    </row>
    <row r="11" spans="2:11" x14ac:dyDescent="0.3">
      <c r="B11" s="50"/>
      <c r="C11" s="50"/>
      <c r="D11" s="51" t="s">
        <v>182</v>
      </c>
      <c r="E11" s="51" t="s">
        <v>189</v>
      </c>
      <c r="F11" s="51"/>
      <c r="G11" s="51" t="s">
        <v>197</v>
      </c>
      <c r="H11" s="51" t="s">
        <v>214</v>
      </c>
    </row>
    <row r="12" spans="2:11" x14ac:dyDescent="0.3">
      <c r="B12" s="50"/>
      <c r="C12" s="50"/>
      <c r="D12" s="51"/>
      <c r="E12" s="51"/>
      <c r="F12" s="51"/>
      <c r="G12" s="51" t="s">
        <v>198</v>
      </c>
      <c r="H12" s="51" t="s">
        <v>215</v>
      </c>
    </row>
    <row r="13" spans="2:11" x14ac:dyDescent="0.3">
      <c r="B13" s="50"/>
      <c r="C13" s="50"/>
      <c r="D13" s="51"/>
      <c r="E13" s="51"/>
      <c r="F13" s="51"/>
      <c r="G13" s="51" t="s">
        <v>199</v>
      </c>
      <c r="H13" s="51" t="s">
        <v>216</v>
      </c>
    </row>
    <row r="14" spans="2:11" x14ac:dyDescent="0.3">
      <c r="B14" s="50"/>
      <c r="C14" s="50"/>
      <c r="D14" s="51"/>
      <c r="E14" s="51"/>
      <c r="F14" s="51"/>
      <c r="G14" s="51" t="s">
        <v>200</v>
      </c>
      <c r="H14" s="51" t="s">
        <v>217</v>
      </c>
    </row>
    <row r="15" spans="2:11" x14ac:dyDescent="0.3">
      <c r="B15" s="50"/>
      <c r="C15" s="50"/>
      <c r="D15" s="51"/>
      <c r="E15" s="51"/>
      <c r="F15" s="51"/>
      <c r="G15" s="51" t="s">
        <v>201</v>
      </c>
      <c r="H15" s="51" t="s">
        <v>218</v>
      </c>
    </row>
    <row r="16" spans="2:11" x14ac:dyDescent="0.3">
      <c r="B16" s="50"/>
      <c r="C16" s="50"/>
      <c r="D16" s="51"/>
      <c r="E16" s="51"/>
      <c r="F16" s="51"/>
      <c r="G16" s="51" t="s">
        <v>202</v>
      </c>
      <c r="H16" s="51" t="s">
        <v>219</v>
      </c>
    </row>
    <row r="17" spans="2:8" x14ac:dyDescent="0.3">
      <c r="B17" s="50"/>
      <c r="C17" s="50"/>
      <c r="D17" s="51"/>
      <c r="E17" s="51"/>
      <c r="F17" s="51"/>
      <c r="G17" s="51" t="s">
        <v>203</v>
      </c>
      <c r="H17" s="51" t="s">
        <v>220</v>
      </c>
    </row>
    <row r="18" spans="2:8" x14ac:dyDescent="0.3">
      <c r="B18" s="50"/>
      <c r="C18" s="50"/>
      <c r="D18" s="51"/>
      <c r="E18" s="51"/>
      <c r="F18" s="51"/>
      <c r="G18" s="51" t="s">
        <v>204</v>
      </c>
      <c r="H18" s="51"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53" t="s">
        <v>232</v>
      </c>
      <c r="D34" s="51" t="s">
        <v>230</v>
      </c>
      <c r="E34" s="51" t="s">
        <v>235</v>
      </c>
      <c r="F34" s="51" t="s">
        <v>233</v>
      </c>
      <c r="G34" s="51" t="s">
        <v>234</v>
      </c>
      <c r="H34" s="51" t="s">
        <v>236</v>
      </c>
      <c r="J34" t="s">
        <v>190</v>
      </c>
      <c r="K34" t="s">
        <v>206</v>
      </c>
    </row>
    <row r="35" spans="3:11" x14ac:dyDescent="0.3">
      <c r="C35" s="50" t="s">
        <v>231</v>
      </c>
      <c r="D35" s="51" t="s">
        <v>167</v>
      </c>
      <c r="E35" s="51" t="s">
        <v>240</v>
      </c>
      <c r="F35" s="51" t="s">
        <v>242</v>
      </c>
      <c r="G35" s="51" t="s">
        <v>244</v>
      </c>
      <c r="H35" s="51"/>
    </row>
    <row r="36" spans="3:11" x14ac:dyDescent="0.3">
      <c r="C36" s="50"/>
      <c r="D36" s="51" t="s">
        <v>237</v>
      </c>
      <c r="E36" s="51" t="s">
        <v>241</v>
      </c>
      <c r="F36" s="51" t="s">
        <v>243</v>
      </c>
      <c r="G36" s="51" t="s">
        <v>245</v>
      </c>
      <c r="H36" s="51"/>
    </row>
    <row r="37" spans="3:11" x14ac:dyDescent="0.3">
      <c r="C37" s="50"/>
      <c r="D37" s="51" t="s">
        <v>238</v>
      </c>
      <c r="E37" s="51"/>
      <c r="F37" s="51"/>
      <c r="G37" s="51" t="s">
        <v>246</v>
      </c>
      <c r="H37" s="51"/>
    </row>
    <row r="38" spans="3:11" x14ac:dyDescent="0.3">
      <c r="C38" s="50"/>
      <c r="D38" s="51" t="s">
        <v>239</v>
      </c>
      <c r="E38" s="51"/>
      <c r="F38" s="51"/>
      <c r="G38" s="51" t="s">
        <v>246</v>
      </c>
      <c r="H38" s="51"/>
    </row>
    <row r="39" spans="3:11" x14ac:dyDescent="0.3">
      <c r="C39" s="50"/>
      <c r="D39" s="51"/>
      <c r="E39" s="51"/>
      <c r="F39" s="51"/>
      <c r="G39" s="51" t="s">
        <v>247</v>
      </c>
      <c r="H39" s="51"/>
    </row>
    <row r="40" spans="3:11" x14ac:dyDescent="0.3">
      <c r="C40" s="50"/>
      <c r="D40" s="51"/>
      <c r="E40" s="51"/>
      <c r="F40" s="51"/>
      <c r="G40" s="51" t="s">
        <v>248</v>
      </c>
      <c r="H40" s="51"/>
    </row>
    <row r="41" spans="3:11" x14ac:dyDescent="0.3">
      <c r="C41" s="50"/>
      <c r="D41" s="51"/>
      <c r="E41" s="51"/>
      <c r="F41" s="51"/>
      <c r="G41" s="51"/>
      <c r="H41" s="51"/>
    </row>
    <row r="43" spans="3:11" x14ac:dyDescent="0.3">
      <c r="C43" t="s">
        <v>249</v>
      </c>
    </row>
    <row r="44" spans="3:11" x14ac:dyDescent="0.3">
      <c r="C44" t="s">
        <v>169</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topLeftCell="A10" workbookViewId="0">
      <selection activeCell="C17" sqref="C17"/>
    </sheetView>
  </sheetViews>
  <sheetFormatPr defaultRowHeight="14.4" x14ac:dyDescent="0.3"/>
  <cols>
    <col min="2" max="2" width="3" bestFit="1" customWidth="1"/>
    <col min="3" max="3" width="155.21875" customWidth="1"/>
  </cols>
  <sheetData>
    <row r="2" spans="2:3" ht="15" customHeight="1" x14ac:dyDescent="0.3">
      <c r="B2" s="54">
        <v>1</v>
      </c>
      <c r="C2" s="56" t="s">
        <v>279</v>
      </c>
    </row>
    <row r="3" spans="2:3" x14ac:dyDescent="0.3">
      <c r="B3" s="54">
        <v>2</v>
      </c>
      <c r="C3" s="55" t="s">
        <v>280</v>
      </c>
    </row>
    <row r="4" spans="2:3" x14ac:dyDescent="0.3">
      <c r="B4" s="54">
        <v>3</v>
      </c>
      <c r="C4" s="54" t="s">
        <v>281</v>
      </c>
    </row>
    <row r="5" spans="2:3" x14ac:dyDescent="0.3">
      <c r="B5" s="54">
        <v>4</v>
      </c>
      <c r="C5" s="55" t="s">
        <v>282</v>
      </c>
    </row>
    <row r="6" spans="2:3" x14ac:dyDescent="0.3">
      <c r="B6" s="54">
        <v>5</v>
      </c>
      <c r="C6" s="54" t="s">
        <v>283</v>
      </c>
    </row>
    <row r="7" spans="2:3" x14ac:dyDescent="0.3">
      <c r="B7" s="54">
        <v>6</v>
      </c>
      <c r="C7" s="55" t="s">
        <v>284</v>
      </c>
    </row>
    <row r="8" spans="2:3" ht="72" x14ac:dyDescent="0.3">
      <c r="B8" s="54">
        <v>7</v>
      </c>
      <c r="C8" s="55" t="s">
        <v>285</v>
      </c>
    </row>
    <row r="9" spans="2:3" x14ac:dyDescent="0.3">
      <c r="B9" s="54">
        <v>8</v>
      </c>
      <c r="C9" s="54" t="s">
        <v>286</v>
      </c>
    </row>
    <row r="10" spans="2:3" x14ac:dyDescent="0.3">
      <c r="B10" s="54">
        <v>9</v>
      </c>
      <c r="C10" s="54" t="s">
        <v>287</v>
      </c>
    </row>
    <row r="11" spans="2:3" x14ac:dyDescent="0.3">
      <c r="B11" s="54">
        <v>10</v>
      </c>
      <c r="C11" s="54" t="s">
        <v>288</v>
      </c>
    </row>
    <row r="12" spans="2:3" x14ac:dyDescent="0.3">
      <c r="B12" s="54">
        <v>11</v>
      </c>
      <c r="C12" s="54" t="s">
        <v>289</v>
      </c>
    </row>
    <row r="13" spans="2:3" x14ac:dyDescent="0.3">
      <c r="B13" s="54">
        <v>12</v>
      </c>
      <c r="C13" s="54" t="s">
        <v>290</v>
      </c>
    </row>
    <row r="14" spans="2:3" x14ac:dyDescent="0.3">
      <c r="B14" s="54">
        <v>13</v>
      </c>
      <c r="C14" s="54" t="s">
        <v>291</v>
      </c>
    </row>
    <row r="15" spans="2:3" x14ac:dyDescent="0.3">
      <c r="B15" s="54">
        <v>14</v>
      </c>
      <c r="C15" s="54" t="s">
        <v>281</v>
      </c>
    </row>
    <row r="16" spans="2:3" x14ac:dyDescent="0.3">
      <c r="B16" s="54">
        <v>15</v>
      </c>
      <c r="C16" s="54" t="s">
        <v>293</v>
      </c>
    </row>
    <row r="17" spans="2:3" x14ac:dyDescent="0.3">
      <c r="B17" s="77">
        <v>16</v>
      </c>
      <c r="C17" s="60" t="s">
        <v>294</v>
      </c>
    </row>
    <row r="18" spans="2:3" x14ac:dyDescent="0.3">
      <c r="B18" s="59">
        <v>17</v>
      </c>
      <c r="C18" s="60" t="s">
        <v>295</v>
      </c>
    </row>
    <row r="19" spans="2:3" x14ac:dyDescent="0.3">
      <c r="B19" s="58">
        <v>18</v>
      </c>
      <c r="C19" s="54" t="s">
        <v>296</v>
      </c>
    </row>
    <row r="20" spans="2:3" x14ac:dyDescent="0.3">
      <c r="B20" s="59">
        <v>19</v>
      </c>
      <c r="C20" s="54" t="s">
        <v>332</v>
      </c>
    </row>
    <row r="21" spans="2:3" x14ac:dyDescent="0.3">
      <c r="B21" s="54">
        <v>20</v>
      </c>
      <c r="C21" s="54" t="s">
        <v>297</v>
      </c>
    </row>
    <row r="22" spans="2:3" x14ac:dyDescent="0.3">
      <c r="B22" s="59">
        <v>21</v>
      </c>
      <c r="C22" s="54" t="s">
        <v>296</v>
      </c>
    </row>
    <row r="23" spans="2:3" s="70" customFormat="1" ht="29.25" customHeight="1" x14ac:dyDescent="0.3">
      <c r="B23" s="69">
        <v>22</v>
      </c>
      <c r="C23" s="56" t="s">
        <v>324</v>
      </c>
    </row>
    <row r="24" spans="2:3" s="70" customFormat="1" ht="30.75" customHeight="1" x14ac:dyDescent="0.3">
      <c r="B24" s="71">
        <v>23</v>
      </c>
      <c r="C24" s="56" t="s">
        <v>325</v>
      </c>
    </row>
    <row r="25" spans="2:3" x14ac:dyDescent="0.3">
      <c r="B25" s="54">
        <v>24</v>
      </c>
      <c r="C25" s="54" t="s">
        <v>328</v>
      </c>
    </row>
    <row r="26" spans="2:3" x14ac:dyDescent="0.3">
      <c r="B26" s="59">
        <v>25</v>
      </c>
      <c r="C26" s="54" t="s">
        <v>326</v>
      </c>
    </row>
    <row r="27" spans="2:3" x14ac:dyDescent="0.3">
      <c r="B27" s="71">
        <v>26</v>
      </c>
      <c r="C27" s="54" t="s">
        <v>327</v>
      </c>
    </row>
    <row r="28" spans="2:3" x14ac:dyDescent="0.3">
      <c r="B28" s="59">
        <v>27</v>
      </c>
      <c r="C28" s="54" t="s">
        <v>329</v>
      </c>
    </row>
    <row r="29" spans="2:3" ht="43.2" x14ac:dyDescent="0.3">
      <c r="B29" s="76">
        <v>28</v>
      </c>
      <c r="C29" s="55" t="s">
        <v>330</v>
      </c>
    </row>
    <row r="30" spans="2:3" x14ac:dyDescent="0.3">
      <c r="B30" s="71">
        <v>29</v>
      </c>
      <c r="C30" s="54" t="s">
        <v>331</v>
      </c>
    </row>
    <row r="31" spans="2:3" ht="28.8" x14ac:dyDescent="0.3">
      <c r="B31" s="71">
        <v>30</v>
      </c>
      <c r="C31" s="55" t="s">
        <v>333</v>
      </c>
    </row>
    <row r="32" spans="2:3" x14ac:dyDescent="0.3">
      <c r="B32" s="71">
        <v>31</v>
      </c>
      <c r="C32" s="54" t="s">
        <v>334</v>
      </c>
    </row>
    <row r="33" spans="2:3" x14ac:dyDescent="0.3">
      <c r="B33" s="71">
        <v>32</v>
      </c>
      <c r="C33" s="54" t="s">
        <v>335</v>
      </c>
    </row>
    <row r="34" spans="2:3" ht="36.75" customHeight="1" x14ac:dyDescent="0.3">
      <c r="B34" s="71">
        <v>33</v>
      </c>
      <c r="C34" s="60" t="s">
        <v>336</v>
      </c>
    </row>
    <row r="35" spans="2:3" x14ac:dyDescent="0.3">
      <c r="B35" s="69">
        <v>34</v>
      </c>
      <c r="C35" s="54" t="s">
        <v>344</v>
      </c>
    </row>
    <row r="36" spans="2:3" ht="57.6" x14ac:dyDescent="0.3">
      <c r="B36" s="69">
        <v>35</v>
      </c>
      <c r="C36" s="55" t="s">
        <v>346</v>
      </c>
    </row>
    <row r="37" spans="2:3" x14ac:dyDescent="0.3">
      <c r="B37" s="54"/>
      <c r="C37" s="54"/>
    </row>
    <row r="38" spans="2:3" x14ac:dyDescent="0.3">
      <c r="B38" s="54"/>
      <c r="C38" s="54"/>
    </row>
    <row r="39" spans="2:3" x14ac:dyDescent="0.3">
      <c r="B39" s="54"/>
      <c r="C39" s="54"/>
    </row>
    <row r="40" spans="2:3" x14ac:dyDescent="0.3">
      <c r="B40" s="54"/>
      <c r="C40" s="54"/>
    </row>
    <row r="41" spans="2:3" x14ac:dyDescent="0.3">
      <c r="B41" s="54"/>
      <c r="C41" s="54"/>
    </row>
    <row r="42" spans="2:3" x14ac:dyDescent="0.3">
      <c r="B42" s="54"/>
      <c r="C42" s="54"/>
    </row>
    <row r="43" spans="2:3" x14ac:dyDescent="0.3">
      <c r="B43" s="54"/>
      <c r="C43" s="54"/>
    </row>
    <row r="44" spans="2:3" x14ac:dyDescent="0.3">
      <c r="B44" s="54"/>
      <c r="C44"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activeCell="A6" sqref="A6"/>
    </sheetView>
  </sheetViews>
  <sheetFormatPr defaultColWidth="9.21875" defaultRowHeight="14.4" x14ac:dyDescent="0.3"/>
  <cols>
    <col min="1" max="1" width="9.21875" style="50"/>
    <col min="2" max="2" width="12.21875" style="50" customWidth="1"/>
    <col min="3" max="16384" width="9.21875" style="50"/>
  </cols>
  <sheetData>
    <row r="2" spans="1:12" x14ac:dyDescent="0.3">
      <c r="B2" s="63" t="s">
        <v>298</v>
      </c>
      <c r="C2" s="278"/>
      <c r="D2" s="278"/>
    </row>
    <row r="3" spans="1:12" x14ac:dyDescent="0.3">
      <c r="D3" s="64"/>
      <c r="E3" s="64"/>
      <c r="F3" s="64"/>
      <c r="G3" s="64"/>
      <c r="H3" s="64"/>
      <c r="I3" s="64"/>
    </row>
    <row r="4" spans="1:12" x14ac:dyDescent="0.3">
      <c r="A4" s="63" t="s">
        <v>64</v>
      </c>
      <c r="B4" s="65" t="s">
        <v>299</v>
      </c>
      <c r="C4" s="279" t="s">
        <v>300</v>
      </c>
      <c r="D4" s="279"/>
      <c r="E4" s="279"/>
      <c r="F4" s="65"/>
      <c r="G4" s="280" t="s">
        <v>301</v>
      </c>
      <c r="H4" s="280"/>
      <c r="I4" s="280"/>
      <c r="J4" s="281" t="s">
        <v>302</v>
      </c>
      <c r="K4" s="281"/>
      <c r="L4" s="281"/>
    </row>
    <row r="5" spans="1:12" x14ac:dyDescent="0.3">
      <c r="A5" s="63">
        <v>0</v>
      </c>
      <c r="B5" s="65"/>
      <c r="C5" s="65" t="s">
        <v>303</v>
      </c>
      <c r="D5" s="65" t="s">
        <v>304</v>
      </c>
      <c r="E5" s="65" t="s">
        <v>305</v>
      </c>
      <c r="F5" s="65"/>
      <c r="G5" s="65" t="s">
        <v>303</v>
      </c>
      <c r="H5" s="65" t="s">
        <v>304</v>
      </c>
      <c r="I5" s="65" t="s">
        <v>305</v>
      </c>
      <c r="J5" s="65" t="s">
        <v>303</v>
      </c>
      <c r="K5" s="65" t="s">
        <v>304</v>
      </c>
      <c r="L5" s="65" t="s">
        <v>305</v>
      </c>
    </row>
    <row r="6" spans="1:12" x14ac:dyDescent="0.3">
      <c r="B6" s="51" t="s">
        <v>306</v>
      </c>
      <c r="C6" s="51"/>
      <c r="D6" s="51"/>
      <c r="E6" s="51">
        <f>C6*D6</f>
        <v>0</v>
      </c>
      <c r="F6" s="51" t="s">
        <v>323</v>
      </c>
      <c r="G6" s="51"/>
      <c r="H6" s="51"/>
      <c r="I6" s="51">
        <f>G6*H6</f>
        <v>0</v>
      </c>
      <c r="J6" s="51"/>
      <c r="K6" s="51"/>
      <c r="L6" s="51">
        <f>J6*K6</f>
        <v>0</v>
      </c>
    </row>
    <row r="7" spans="1:12" x14ac:dyDescent="0.3">
      <c r="B7" s="51"/>
      <c r="C7" s="51"/>
      <c r="D7" s="51"/>
      <c r="E7" s="51">
        <f t="shared" ref="E7:E41" si="0">C7*D7</f>
        <v>0</v>
      </c>
      <c r="F7" s="51" t="s">
        <v>323</v>
      </c>
      <c r="G7" s="51"/>
      <c r="H7" s="51"/>
      <c r="I7" s="51">
        <f t="shared" ref="I7:I35" si="1">G7*H7</f>
        <v>0</v>
      </c>
      <c r="J7" s="51"/>
      <c r="K7" s="51"/>
      <c r="L7" s="51">
        <f t="shared" ref="L7:L35" si="2">J7*K7</f>
        <v>0</v>
      </c>
    </row>
    <row r="8" spans="1:12" x14ac:dyDescent="0.3">
      <c r="B8" s="51"/>
      <c r="C8" s="51"/>
      <c r="D8" s="51"/>
      <c r="E8" s="51">
        <f t="shared" si="0"/>
        <v>0</v>
      </c>
      <c r="F8" s="51"/>
      <c r="G8" s="51"/>
      <c r="H8" s="51"/>
      <c r="I8" s="51">
        <f t="shared" si="1"/>
        <v>0</v>
      </c>
      <c r="J8" s="51"/>
      <c r="K8" s="51"/>
      <c r="L8" s="51">
        <f t="shared" si="2"/>
        <v>0</v>
      </c>
    </row>
    <row r="9" spans="1:12" x14ac:dyDescent="0.3">
      <c r="B9" s="51"/>
      <c r="C9" s="51"/>
      <c r="D9" s="51"/>
      <c r="E9" s="51">
        <f t="shared" si="0"/>
        <v>0</v>
      </c>
      <c r="F9" s="51" t="s">
        <v>307</v>
      </c>
      <c r="G9" s="51"/>
      <c r="H9" s="51"/>
      <c r="I9" s="51">
        <f t="shared" si="1"/>
        <v>0</v>
      </c>
      <c r="J9" s="51"/>
      <c r="K9" s="51"/>
      <c r="L9" s="51">
        <f t="shared" si="2"/>
        <v>0</v>
      </c>
    </row>
    <row r="10" spans="1:12" x14ac:dyDescent="0.3">
      <c r="B10" s="51" t="s">
        <v>308</v>
      </c>
      <c r="C10" s="51"/>
      <c r="D10" s="51"/>
      <c r="E10" s="51">
        <f t="shared" si="0"/>
        <v>0</v>
      </c>
      <c r="F10" s="51" t="s">
        <v>307</v>
      </c>
      <c r="G10" s="51"/>
      <c r="H10" s="51"/>
      <c r="I10" s="51">
        <f t="shared" si="1"/>
        <v>0</v>
      </c>
      <c r="J10" s="51"/>
      <c r="K10" s="51"/>
      <c r="L10" s="51">
        <f t="shared" si="2"/>
        <v>0</v>
      </c>
    </row>
    <row r="11" spans="1:12" x14ac:dyDescent="0.3">
      <c r="B11" s="51"/>
      <c r="C11" s="51"/>
      <c r="D11" s="51"/>
      <c r="E11" s="51">
        <f t="shared" si="0"/>
        <v>0</v>
      </c>
      <c r="F11" s="51" t="s">
        <v>309</v>
      </c>
      <c r="G11" s="51"/>
      <c r="H11" s="51"/>
      <c r="I11" s="51">
        <f t="shared" si="1"/>
        <v>0</v>
      </c>
      <c r="J11" s="51"/>
      <c r="K11" s="51"/>
      <c r="L11" s="51">
        <f t="shared" si="2"/>
        <v>0</v>
      </c>
    </row>
    <row r="12" spans="1:12" x14ac:dyDescent="0.3">
      <c r="B12" s="51"/>
      <c r="C12" s="51"/>
      <c r="D12" s="51"/>
      <c r="E12" s="51">
        <f t="shared" si="0"/>
        <v>0</v>
      </c>
      <c r="F12" s="51"/>
      <c r="G12" s="51"/>
      <c r="H12" s="51"/>
      <c r="I12" s="51">
        <f t="shared" si="1"/>
        <v>0</v>
      </c>
      <c r="J12" s="51"/>
      <c r="K12" s="51"/>
      <c r="L12" s="51">
        <f t="shared" si="2"/>
        <v>0</v>
      </c>
    </row>
    <row r="13" spans="1:12" x14ac:dyDescent="0.3">
      <c r="B13" s="51"/>
      <c r="C13" s="51"/>
      <c r="D13" s="51"/>
      <c r="E13" s="51">
        <f t="shared" si="0"/>
        <v>0</v>
      </c>
      <c r="F13" s="51"/>
      <c r="G13" s="51"/>
      <c r="H13" s="51"/>
      <c r="I13" s="51">
        <f t="shared" si="1"/>
        <v>0</v>
      </c>
      <c r="J13" s="51"/>
      <c r="K13" s="51"/>
      <c r="L13" s="51">
        <f t="shared" si="2"/>
        <v>0</v>
      </c>
    </row>
    <row r="14" spans="1:12" x14ac:dyDescent="0.3">
      <c r="B14" s="51" t="s">
        <v>310</v>
      </c>
      <c r="C14" s="51"/>
      <c r="D14" s="51"/>
      <c r="E14" s="51">
        <f t="shared" si="0"/>
        <v>0</v>
      </c>
      <c r="F14" s="51" t="s">
        <v>307</v>
      </c>
      <c r="G14" s="51"/>
      <c r="H14" s="51"/>
      <c r="I14" s="51">
        <f t="shared" si="1"/>
        <v>0</v>
      </c>
      <c r="J14" s="51"/>
      <c r="K14" s="51"/>
      <c r="L14" s="51">
        <f t="shared" si="2"/>
        <v>0</v>
      </c>
    </row>
    <row r="15" spans="1:12" x14ac:dyDescent="0.3">
      <c r="B15" s="51"/>
      <c r="C15" s="51"/>
      <c r="D15" s="51"/>
      <c r="E15" s="51">
        <f t="shared" si="0"/>
        <v>0</v>
      </c>
      <c r="F15" s="51" t="s">
        <v>309</v>
      </c>
      <c r="G15" s="51"/>
      <c r="H15" s="51"/>
      <c r="I15" s="51">
        <f t="shared" si="1"/>
        <v>0</v>
      </c>
      <c r="J15" s="51"/>
      <c r="K15" s="51"/>
      <c r="L15" s="51">
        <f t="shared" si="2"/>
        <v>0</v>
      </c>
    </row>
    <row r="16" spans="1:12" x14ac:dyDescent="0.3">
      <c r="B16" s="51"/>
      <c r="C16" s="51"/>
      <c r="D16" s="51"/>
      <c r="E16" s="51">
        <f t="shared" si="0"/>
        <v>0</v>
      </c>
      <c r="F16" s="51"/>
      <c r="G16" s="51"/>
      <c r="H16" s="51"/>
      <c r="I16" s="51">
        <f t="shared" si="1"/>
        <v>0</v>
      </c>
      <c r="J16" s="51"/>
      <c r="K16" s="51"/>
      <c r="L16" s="51">
        <f t="shared" si="2"/>
        <v>0</v>
      </c>
    </row>
    <row r="17" spans="2:12" x14ac:dyDescent="0.3">
      <c r="B17" s="51"/>
      <c r="C17" s="51"/>
      <c r="D17" s="51"/>
      <c r="E17" s="51">
        <f t="shared" si="0"/>
        <v>0</v>
      </c>
      <c r="F17" s="51"/>
      <c r="G17" s="51"/>
      <c r="H17" s="51"/>
      <c r="I17" s="51">
        <f t="shared" si="1"/>
        <v>0</v>
      </c>
      <c r="J17" s="51"/>
      <c r="K17" s="51"/>
      <c r="L17" s="51">
        <f t="shared" si="2"/>
        <v>0</v>
      </c>
    </row>
    <row r="18" spans="2:12" x14ac:dyDescent="0.3">
      <c r="B18" s="51" t="s">
        <v>311</v>
      </c>
      <c r="C18" s="51"/>
      <c r="D18" s="51"/>
      <c r="E18" s="51">
        <f t="shared" si="0"/>
        <v>0</v>
      </c>
      <c r="F18" s="51" t="s">
        <v>307</v>
      </c>
      <c r="G18" s="51"/>
      <c r="H18" s="51"/>
      <c r="I18" s="51">
        <f t="shared" si="1"/>
        <v>0</v>
      </c>
      <c r="J18" s="51"/>
      <c r="K18" s="51"/>
      <c r="L18" s="51">
        <f t="shared" si="2"/>
        <v>0</v>
      </c>
    </row>
    <row r="19" spans="2:12" x14ac:dyDescent="0.3">
      <c r="B19" s="51"/>
      <c r="C19" s="51"/>
      <c r="D19" s="51"/>
      <c r="E19" s="51">
        <f t="shared" si="0"/>
        <v>0</v>
      </c>
      <c r="F19" s="51" t="s">
        <v>309</v>
      </c>
      <c r="G19" s="51"/>
      <c r="H19" s="51"/>
      <c r="I19" s="51">
        <f t="shared" si="1"/>
        <v>0</v>
      </c>
      <c r="J19" s="51"/>
      <c r="K19" s="51"/>
      <c r="L19" s="51">
        <f t="shared" si="2"/>
        <v>0</v>
      </c>
    </row>
    <row r="20" spans="2:12" x14ac:dyDescent="0.3">
      <c r="B20" s="51"/>
      <c r="C20" s="51"/>
      <c r="D20" s="51"/>
      <c r="E20" s="51">
        <f t="shared" si="0"/>
        <v>0</v>
      </c>
      <c r="F20" s="51"/>
      <c r="G20" s="51"/>
      <c r="H20" s="51"/>
      <c r="I20" s="51">
        <f t="shared" si="1"/>
        <v>0</v>
      </c>
      <c r="J20" s="51"/>
      <c r="K20" s="51"/>
      <c r="L20" s="51">
        <f t="shared" si="2"/>
        <v>0</v>
      </c>
    </row>
    <row r="21" spans="2:12" x14ac:dyDescent="0.3">
      <c r="B21" s="51" t="s">
        <v>312</v>
      </c>
      <c r="C21" s="51"/>
      <c r="D21" s="51"/>
      <c r="E21" s="51">
        <f t="shared" si="0"/>
        <v>0</v>
      </c>
      <c r="F21" s="51" t="s">
        <v>307</v>
      </c>
      <c r="G21" s="51"/>
      <c r="H21" s="51"/>
      <c r="I21" s="51">
        <f t="shared" si="1"/>
        <v>0</v>
      </c>
      <c r="J21" s="51"/>
      <c r="K21" s="51"/>
      <c r="L21" s="51">
        <f t="shared" si="2"/>
        <v>0</v>
      </c>
    </row>
    <row r="22" spans="2:12" x14ac:dyDescent="0.3">
      <c r="B22" s="51"/>
      <c r="C22" s="51"/>
      <c r="D22" s="51"/>
      <c r="E22" s="51">
        <f t="shared" si="0"/>
        <v>0</v>
      </c>
      <c r="F22" s="51" t="s">
        <v>309</v>
      </c>
      <c r="G22" s="51"/>
      <c r="H22" s="51"/>
      <c r="I22" s="51">
        <f t="shared" si="1"/>
        <v>0</v>
      </c>
      <c r="J22" s="51"/>
      <c r="K22" s="51"/>
      <c r="L22" s="51">
        <f t="shared" si="2"/>
        <v>0</v>
      </c>
    </row>
    <row r="23" spans="2:12" x14ac:dyDescent="0.3">
      <c r="B23" s="51"/>
      <c r="C23" s="51"/>
      <c r="D23" s="51"/>
      <c r="E23" s="51">
        <f t="shared" si="0"/>
        <v>0</v>
      </c>
      <c r="F23" s="51"/>
      <c r="G23" s="51"/>
      <c r="H23" s="51"/>
      <c r="I23" s="51">
        <f t="shared" si="1"/>
        <v>0</v>
      </c>
      <c r="J23" s="51"/>
      <c r="K23" s="51"/>
      <c r="L23" s="51">
        <f t="shared" si="2"/>
        <v>0</v>
      </c>
    </row>
    <row r="24" spans="2:12" x14ac:dyDescent="0.3">
      <c r="B24" s="51" t="s">
        <v>313</v>
      </c>
      <c r="C24" s="51"/>
      <c r="D24" s="51"/>
      <c r="E24" s="51">
        <f t="shared" si="0"/>
        <v>0</v>
      </c>
      <c r="F24" s="51" t="s">
        <v>314</v>
      </c>
      <c r="G24" s="51"/>
      <c r="H24" s="51"/>
      <c r="I24" s="51">
        <f t="shared" si="1"/>
        <v>0</v>
      </c>
      <c r="J24" s="51"/>
      <c r="K24" s="51"/>
      <c r="L24" s="51">
        <f t="shared" si="2"/>
        <v>0</v>
      </c>
    </row>
    <row r="25" spans="2:12" x14ac:dyDescent="0.3">
      <c r="B25" s="51"/>
      <c r="C25" s="51"/>
      <c r="D25" s="51"/>
      <c r="E25" s="51">
        <f>C25*D25</f>
        <v>0</v>
      </c>
      <c r="F25" s="51" t="s">
        <v>314</v>
      </c>
      <c r="G25" s="51"/>
      <c r="H25" s="51"/>
      <c r="I25" s="51">
        <f>G25*H25</f>
        <v>0</v>
      </c>
      <c r="J25" s="51"/>
      <c r="K25" s="51"/>
      <c r="L25" s="51">
        <f>J25*K25</f>
        <v>0</v>
      </c>
    </row>
    <row r="26" spans="2:12" x14ac:dyDescent="0.3">
      <c r="B26" s="51"/>
      <c r="C26" s="51"/>
      <c r="D26" s="51"/>
      <c r="E26" s="51">
        <f>C26*D26</f>
        <v>0</v>
      </c>
      <c r="F26" s="51" t="s">
        <v>314</v>
      </c>
      <c r="G26" s="51"/>
      <c r="H26" s="51"/>
      <c r="I26" s="51">
        <f>G26*H26</f>
        <v>0</v>
      </c>
      <c r="J26" s="51"/>
      <c r="K26" s="51"/>
      <c r="L26" s="51">
        <f>J26*K26</f>
        <v>0</v>
      </c>
    </row>
    <row r="27" spans="2:12" x14ac:dyDescent="0.3">
      <c r="B27" s="51"/>
      <c r="C27" s="51"/>
      <c r="D27" s="51"/>
      <c r="E27" s="51">
        <f>C27*D27</f>
        <v>0</v>
      </c>
      <c r="F27" s="51" t="s">
        <v>314</v>
      </c>
      <c r="G27" s="51"/>
      <c r="H27" s="51"/>
      <c r="I27" s="51">
        <f>G27*H27</f>
        <v>0</v>
      </c>
      <c r="J27" s="51"/>
      <c r="K27" s="51"/>
      <c r="L27" s="51">
        <f>J27*K27</f>
        <v>0</v>
      </c>
    </row>
    <row r="28" spans="2:12" x14ac:dyDescent="0.3">
      <c r="B28" s="51" t="s">
        <v>315</v>
      </c>
      <c r="C28" s="51"/>
      <c r="D28" s="51"/>
      <c r="E28" s="51">
        <f t="shared" si="0"/>
        <v>0</v>
      </c>
      <c r="F28" s="51" t="s">
        <v>314</v>
      </c>
      <c r="G28" s="51"/>
      <c r="H28" s="51"/>
      <c r="I28" s="51">
        <f t="shared" si="1"/>
        <v>0</v>
      </c>
      <c r="J28" s="51"/>
      <c r="K28" s="51"/>
      <c r="L28" s="51">
        <f t="shared" si="2"/>
        <v>0</v>
      </c>
    </row>
    <row r="29" spans="2:12" x14ac:dyDescent="0.3">
      <c r="B29" s="51" t="s">
        <v>316</v>
      </c>
      <c r="C29" s="51"/>
      <c r="D29" s="51"/>
      <c r="E29" s="51">
        <f t="shared" si="0"/>
        <v>0</v>
      </c>
      <c r="F29" s="51" t="s">
        <v>314</v>
      </c>
      <c r="G29" s="51"/>
      <c r="H29" s="51"/>
      <c r="I29" s="51">
        <f t="shared" si="1"/>
        <v>0</v>
      </c>
      <c r="J29" s="51"/>
      <c r="K29" s="51"/>
      <c r="L29" s="51">
        <f t="shared" si="2"/>
        <v>0</v>
      </c>
    </row>
    <row r="30" spans="2:12" x14ac:dyDescent="0.3">
      <c r="B30" s="51" t="s">
        <v>320</v>
      </c>
      <c r="C30" s="51"/>
      <c r="D30" s="51"/>
      <c r="E30" s="51">
        <f t="shared" si="0"/>
        <v>0</v>
      </c>
      <c r="F30" s="51"/>
      <c r="G30" s="51"/>
      <c r="H30" s="51"/>
      <c r="I30" s="51">
        <f t="shared" si="1"/>
        <v>0</v>
      </c>
      <c r="J30" s="51"/>
      <c r="K30" s="51"/>
      <c r="L30" s="51">
        <f t="shared" si="2"/>
        <v>0</v>
      </c>
    </row>
    <row r="31" spans="2:12" x14ac:dyDescent="0.3">
      <c r="B31" s="51"/>
      <c r="C31" s="51"/>
      <c r="D31" s="51"/>
      <c r="E31" s="51">
        <f>C31*D31</f>
        <v>0</v>
      </c>
      <c r="F31" s="51"/>
      <c r="G31" s="51"/>
      <c r="H31" s="51"/>
      <c r="I31" s="51">
        <f>G31*H31</f>
        <v>0</v>
      </c>
      <c r="J31" s="51"/>
      <c r="K31" s="51"/>
      <c r="L31" s="51">
        <f>J31*K31</f>
        <v>0</v>
      </c>
    </row>
    <row r="32" spans="2:12" x14ac:dyDescent="0.3">
      <c r="B32" s="51"/>
      <c r="C32" s="51"/>
      <c r="D32" s="51"/>
      <c r="E32" s="51">
        <f>C32*D32</f>
        <v>0</v>
      </c>
      <c r="F32" s="51"/>
      <c r="G32" s="51"/>
      <c r="H32" s="51"/>
      <c r="I32" s="51">
        <f>G32*H32</f>
        <v>0</v>
      </c>
      <c r="J32" s="51"/>
      <c r="K32" s="51"/>
      <c r="L32" s="51">
        <f>J32*K32</f>
        <v>0</v>
      </c>
    </row>
    <row r="33" spans="2:12" x14ac:dyDescent="0.3">
      <c r="B33" s="51" t="s">
        <v>317</v>
      </c>
      <c r="C33" s="51"/>
      <c r="D33" s="51"/>
      <c r="E33" s="51">
        <f t="shared" si="0"/>
        <v>0</v>
      </c>
      <c r="F33" s="51"/>
      <c r="G33" s="51"/>
      <c r="H33" s="51"/>
      <c r="I33" s="51">
        <f t="shared" si="1"/>
        <v>0</v>
      </c>
      <c r="J33" s="51"/>
      <c r="K33" s="51"/>
      <c r="L33" s="51">
        <f t="shared" si="2"/>
        <v>0</v>
      </c>
    </row>
    <row r="34" spans="2:12" x14ac:dyDescent="0.3">
      <c r="B34" s="51" t="s">
        <v>321</v>
      </c>
      <c r="C34" s="51"/>
      <c r="D34" s="51"/>
      <c r="E34" s="51">
        <f t="shared" si="0"/>
        <v>0</v>
      </c>
      <c r="F34" s="51"/>
      <c r="G34" s="51"/>
      <c r="H34" s="51"/>
      <c r="I34" s="51">
        <f t="shared" si="1"/>
        <v>0</v>
      </c>
      <c r="J34" s="51"/>
      <c r="K34" s="51"/>
      <c r="L34" s="51">
        <f t="shared" si="2"/>
        <v>0</v>
      </c>
    </row>
    <row r="35" spans="2:12" x14ac:dyDescent="0.3">
      <c r="B35" s="51" t="s">
        <v>318</v>
      </c>
      <c r="C35" s="51"/>
      <c r="D35" s="51"/>
      <c r="E35" s="51">
        <f t="shared" si="0"/>
        <v>0</v>
      </c>
      <c r="F35" s="51"/>
      <c r="G35" s="51"/>
      <c r="H35" s="51"/>
      <c r="I35" s="51">
        <f t="shared" si="1"/>
        <v>0</v>
      </c>
      <c r="J35" s="51"/>
      <c r="K35" s="51"/>
      <c r="L35" s="51">
        <f t="shared" si="2"/>
        <v>0</v>
      </c>
    </row>
    <row r="36" spans="2:12" x14ac:dyDescent="0.3">
      <c r="B36" s="51" t="s">
        <v>319</v>
      </c>
      <c r="C36" s="51"/>
      <c r="D36" s="51"/>
      <c r="E36" s="51">
        <f t="shared" si="0"/>
        <v>0</v>
      </c>
      <c r="F36" s="51"/>
      <c r="G36" s="51"/>
      <c r="H36" s="51"/>
      <c r="I36" s="51">
        <f t="shared" ref="I36:I41" si="3">G36*H36</f>
        <v>0</v>
      </c>
      <c r="J36" s="51"/>
      <c r="K36" s="51"/>
      <c r="L36" s="51">
        <f t="shared" ref="L36:L41" si="4">J36*K36</f>
        <v>0</v>
      </c>
    </row>
    <row r="37" spans="2:12" x14ac:dyDescent="0.3">
      <c r="B37" s="51"/>
      <c r="C37" s="51"/>
      <c r="D37" s="51"/>
      <c r="E37" s="51">
        <f>C37*D37</f>
        <v>0</v>
      </c>
      <c r="F37" s="51"/>
      <c r="G37" s="51"/>
      <c r="H37" s="51"/>
      <c r="I37" s="51">
        <f t="shared" si="3"/>
        <v>0</v>
      </c>
      <c r="J37" s="51"/>
      <c r="K37" s="51"/>
      <c r="L37" s="51">
        <f t="shared" si="4"/>
        <v>0</v>
      </c>
    </row>
    <row r="38" spans="2:12" x14ac:dyDescent="0.3">
      <c r="B38" s="51" t="s">
        <v>322</v>
      </c>
      <c r="C38" s="51"/>
      <c r="D38" s="51"/>
      <c r="E38" s="51">
        <f>C38*D38</f>
        <v>0</v>
      </c>
      <c r="F38" s="51"/>
      <c r="G38" s="51"/>
      <c r="H38" s="51"/>
      <c r="I38" s="51">
        <f t="shared" si="3"/>
        <v>0</v>
      </c>
      <c r="J38" s="51"/>
      <c r="K38" s="51"/>
      <c r="L38" s="51">
        <f t="shared" si="4"/>
        <v>0</v>
      </c>
    </row>
    <row r="39" spans="2:12" x14ac:dyDescent="0.3">
      <c r="B39" s="51"/>
      <c r="C39" s="51"/>
      <c r="D39" s="51"/>
      <c r="E39" s="51">
        <f t="shared" si="0"/>
        <v>0</v>
      </c>
      <c r="F39" s="51"/>
      <c r="G39" s="51"/>
      <c r="H39" s="51"/>
      <c r="I39" s="51">
        <f t="shared" si="3"/>
        <v>0</v>
      </c>
      <c r="J39" s="51"/>
      <c r="K39" s="51"/>
      <c r="L39" s="51">
        <f t="shared" si="4"/>
        <v>0</v>
      </c>
    </row>
    <row r="40" spans="2:12" x14ac:dyDescent="0.3">
      <c r="B40" s="51"/>
      <c r="C40" s="51"/>
      <c r="D40" s="51"/>
      <c r="E40" s="51">
        <f t="shared" si="0"/>
        <v>0</v>
      </c>
      <c r="F40" s="51"/>
      <c r="G40" s="51"/>
      <c r="H40" s="51"/>
      <c r="I40" s="51">
        <f t="shared" si="3"/>
        <v>0</v>
      </c>
      <c r="J40" s="51"/>
      <c r="K40" s="51"/>
      <c r="L40" s="51">
        <f t="shared" si="4"/>
        <v>0</v>
      </c>
    </row>
    <row r="41" spans="2:12" x14ac:dyDescent="0.3">
      <c r="B41" s="51"/>
      <c r="C41" s="51"/>
      <c r="D41" s="51"/>
      <c r="E41" s="51">
        <f t="shared" si="0"/>
        <v>0</v>
      </c>
      <c r="F41" s="51"/>
      <c r="G41" s="51"/>
      <c r="H41" s="51"/>
      <c r="I41" s="51">
        <f t="shared" si="3"/>
        <v>0</v>
      </c>
      <c r="J41" s="51"/>
      <c r="K41" s="51"/>
      <c r="L41" s="51">
        <f t="shared" si="4"/>
        <v>0</v>
      </c>
    </row>
    <row r="42" spans="2:12" x14ac:dyDescent="0.3">
      <c r="B42" s="51" t="s">
        <v>146</v>
      </c>
      <c r="C42" s="51"/>
      <c r="D42" s="51">
        <f>E42*10.764</f>
        <v>0</v>
      </c>
      <c r="E42" s="68">
        <f>SUM(E6:E41)</f>
        <v>0</v>
      </c>
      <c r="F42" s="51"/>
      <c r="G42" s="51"/>
      <c r="H42" s="51">
        <f>I42*10.764</f>
        <v>0</v>
      </c>
      <c r="I42" s="67">
        <f>SUM(I6:I41)</f>
        <v>0</v>
      </c>
      <c r="J42" s="51"/>
      <c r="K42" s="51">
        <f>L42*10.764</f>
        <v>0</v>
      </c>
      <c r="L42" s="66">
        <f>SUM(L6:L41)</f>
        <v>0</v>
      </c>
    </row>
    <row r="44" spans="2:12" x14ac:dyDescent="0.3">
      <c r="D44" s="50">
        <f>D42+H42</f>
        <v>0</v>
      </c>
      <c r="E44" s="50">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2025-08-21T05:39:18Z</cp:lastPrinted>
  <dcterms:created xsi:type="dcterms:W3CDTF">2019-07-16T09:29:46Z</dcterms:created>
  <dcterms:modified xsi:type="dcterms:W3CDTF">2025-08-21T05:40:35Z</dcterms:modified>
</cp:coreProperties>
</file>