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New\14811 - Lodha NCP Tower 1 &amp; 2\"/>
    </mc:Choice>
  </mc:AlternateContent>
  <bookViews>
    <workbookView xWindow="0" yWindow="0" windowWidth="20490" windowHeight="7755" tabRatio="725"/>
  </bookViews>
  <sheets>
    <sheet name="Report" sheetId="1" r:id="rId1"/>
    <sheet name="valuation" sheetId="5" r:id="rId2"/>
    <sheet name="Note" sheetId="4" r:id="rId3"/>
  </sheets>
  <definedNames>
    <definedName name="_xlnm.Print_Area" localSheetId="0">Report!$A$1:$H$506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1" l="1"/>
  <c r="J101" i="1"/>
  <c r="J100" i="1"/>
  <c r="J99" i="1"/>
  <c r="J98" i="1"/>
  <c r="E256" i="1" l="1"/>
  <c r="D260" i="1"/>
  <c r="F260" i="1" s="1"/>
  <c r="D258" i="1"/>
  <c r="F258" i="1" s="1"/>
  <c r="D257" i="1"/>
  <c r="F257" i="1" s="1"/>
  <c r="D256" i="1"/>
  <c r="F256" i="1" s="1"/>
  <c r="D255" i="1"/>
  <c r="F255" i="1" s="1"/>
  <c r="D254" i="1"/>
  <c r="D253" i="1"/>
  <c r="F253" i="1" s="1"/>
  <c r="D251" i="1"/>
  <c r="D250" i="1"/>
  <c r="F250" i="1" s="1"/>
  <c r="D248" i="1"/>
  <c r="D247" i="1"/>
  <c r="F247" i="1" s="1"/>
  <c r="D246" i="1"/>
  <c r="F246" i="1" s="1"/>
  <c r="D244" i="1"/>
  <c r="F244" i="1" s="1"/>
  <c r="D243" i="1"/>
  <c r="D241" i="1"/>
  <c r="F241" i="1" s="1"/>
  <c r="D240" i="1"/>
  <c r="D239" i="1"/>
  <c r="D237" i="1"/>
  <c r="D236" i="1"/>
  <c r="F236" i="1" s="1"/>
  <c r="D234" i="1"/>
  <c r="F234" i="1" s="1"/>
  <c r="D233" i="1"/>
  <c r="F233" i="1" s="1"/>
  <c r="D232" i="1"/>
  <c r="D230" i="1"/>
  <c r="D229" i="1"/>
  <c r="D228" i="1"/>
  <c r="F228" i="1" s="1"/>
  <c r="D227" i="1"/>
  <c r="D226" i="1"/>
  <c r="F226" i="1" s="1"/>
  <c r="D225" i="1"/>
  <c r="F225" i="1" s="1"/>
  <c r="D223" i="1"/>
  <c r="F223" i="1" s="1"/>
  <c r="D222" i="1"/>
  <c r="F222" i="1" s="1"/>
  <c r="D221" i="1"/>
  <c r="F221" i="1" s="1"/>
  <c r="D220" i="1"/>
  <c r="D219" i="1"/>
  <c r="D218" i="1"/>
  <c r="D216" i="1"/>
  <c r="F216" i="1" s="1"/>
  <c r="D215" i="1"/>
  <c r="F215" i="1" s="1"/>
  <c r="D214" i="1"/>
  <c r="F214" i="1" s="1"/>
  <c r="D213" i="1"/>
  <c r="F213" i="1" s="1"/>
  <c r="D212" i="1"/>
  <c r="F212" i="1" s="1"/>
  <c r="D211" i="1"/>
  <c r="D200" i="1"/>
  <c r="D199" i="1"/>
  <c r="J202" i="1"/>
  <c r="A261" i="1"/>
  <c r="A262" i="1" s="1"/>
  <c r="A263" i="1" s="1"/>
  <c r="A264" i="1" s="1"/>
  <c r="A265" i="1" s="1"/>
  <c r="G260" i="1"/>
  <c r="F254" i="1"/>
  <c r="A268" i="1"/>
  <c r="A269" i="1" s="1"/>
  <c r="A270" i="1" s="1"/>
  <c r="A271" i="1" s="1"/>
  <c r="A272" i="1" s="1"/>
  <c r="G267" i="1"/>
  <c r="A254" i="1"/>
  <c r="A255" i="1" s="1"/>
  <c r="A256" i="1" s="1"/>
  <c r="A257" i="1" s="1"/>
  <c r="G253" i="1"/>
  <c r="F237" i="1"/>
  <c r="A233" i="1"/>
  <c r="A234" i="1" s="1"/>
  <c r="A235" i="1" s="1"/>
  <c r="A236" i="1" s="1"/>
  <c r="A237" i="1" s="1"/>
  <c r="G232" i="1"/>
  <c r="F232" i="1"/>
  <c r="F230" i="1"/>
  <c r="F229" i="1"/>
  <c r="F227" i="1"/>
  <c r="A226" i="1"/>
  <c r="A227" i="1" s="1"/>
  <c r="A228" i="1" s="1"/>
  <c r="A229" i="1" s="1"/>
  <c r="A230" i="1" s="1"/>
  <c r="G225" i="1"/>
  <c r="F251" i="1"/>
  <c r="F248" i="1"/>
  <c r="A247" i="1"/>
  <c r="A248" i="1" s="1"/>
  <c r="A249" i="1" s="1"/>
  <c r="A250" i="1" s="1"/>
  <c r="A251" i="1" s="1"/>
  <c r="G246" i="1"/>
  <c r="F243" i="1"/>
  <c r="F240" i="1"/>
  <c r="A240" i="1"/>
  <c r="A241" i="1" s="1"/>
  <c r="A242" i="1" s="1"/>
  <c r="A243" i="1" s="1"/>
  <c r="A244" i="1" s="1"/>
  <c r="G239" i="1"/>
  <c r="F239" i="1"/>
  <c r="F219" i="1"/>
  <c r="F220" i="1"/>
  <c r="G218" i="1"/>
  <c r="F218" i="1"/>
  <c r="A219" i="1"/>
  <c r="A220" i="1" s="1"/>
  <c r="A221" i="1" s="1"/>
  <c r="A222" i="1" s="1"/>
  <c r="A223" i="1" s="1"/>
  <c r="G211" i="1"/>
  <c r="G204" i="1"/>
  <c r="F211" i="1"/>
  <c r="A212" i="1"/>
  <c r="A213" i="1" s="1"/>
  <c r="A214" i="1" s="1"/>
  <c r="A215" i="1" s="1"/>
  <c r="A216" i="1" s="1"/>
  <c r="I42" i="1"/>
  <c r="I43" i="1" s="1"/>
  <c r="A205" i="1"/>
  <c r="A206" i="1" s="1"/>
  <c r="A207" i="1" s="1"/>
  <c r="A208" i="1" s="1"/>
  <c r="A209" i="1" s="1"/>
  <c r="F200" i="1"/>
  <c r="F199" i="1"/>
  <c r="I200" i="1"/>
  <c r="A198" i="1"/>
  <c r="A199" i="1" s="1"/>
  <c r="A200" i="1" s="1"/>
  <c r="A201" i="1" s="1"/>
  <c r="A202" i="1" s="1"/>
  <c r="G197" i="1"/>
  <c r="D64" i="1"/>
  <c r="C50" i="1"/>
  <c r="E124" i="1" l="1"/>
  <c r="C124" i="1"/>
  <c r="G124" i="1"/>
  <c r="A258" i="1"/>
  <c r="C83" i="1"/>
  <c r="D179" i="1" l="1"/>
  <c r="F179" i="1" s="1"/>
  <c r="D178" i="1"/>
  <c r="F178" i="1" s="1"/>
  <c r="D177" i="1"/>
  <c r="F177" i="1" s="1"/>
  <c r="I177" i="1" s="1"/>
  <c r="D176" i="1"/>
  <c r="F176" i="1" s="1"/>
  <c r="D175" i="1"/>
  <c r="A175" i="1"/>
  <c r="A176" i="1" s="1"/>
  <c r="A177" i="1" s="1"/>
  <c r="A178" i="1" s="1"/>
  <c r="A179" i="1" s="1"/>
  <c r="G174" i="1"/>
  <c r="D174" i="1"/>
  <c r="F174" i="1" s="1"/>
  <c r="A189" i="1" l="1"/>
  <c r="A190" i="1" s="1"/>
  <c r="A191" i="1" s="1"/>
  <c r="A192" i="1" s="1"/>
  <c r="A193" i="1" s="1"/>
  <c r="A182" i="1"/>
  <c r="A183" i="1" s="1"/>
  <c r="A184" i="1" s="1"/>
  <c r="A185" i="1" s="1"/>
  <c r="A186" i="1" s="1"/>
  <c r="A168" i="1"/>
  <c r="A169" i="1" s="1"/>
  <c r="A170" i="1" s="1"/>
  <c r="A171" i="1" s="1"/>
  <c r="A172" i="1" s="1"/>
  <c r="A161" i="1"/>
  <c r="A162" i="1" s="1"/>
  <c r="A163" i="1" s="1"/>
  <c r="A164" i="1" s="1"/>
  <c r="A165" i="1" s="1"/>
  <c r="G133" i="1"/>
  <c r="E3" i="1" l="1"/>
  <c r="D186" i="1" l="1"/>
  <c r="F186" i="1" s="1"/>
  <c r="D185" i="1"/>
  <c r="F185" i="1" s="1"/>
  <c r="D183" i="1"/>
  <c r="F183" i="1" s="1"/>
  <c r="D182" i="1"/>
  <c r="F182" i="1" s="1"/>
  <c r="G181" i="1"/>
  <c r="G182" i="1" s="1"/>
  <c r="G183" i="1" s="1"/>
  <c r="G184" i="1" s="1"/>
  <c r="G185" i="1" s="1"/>
  <c r="G186" i="1" s="1"/>
  <c r="D181" i="1"/>
  <c r="F181" i="1" s="1"/>
  <c r="D172" i="1"/>
  <c r="F172" i="1" s="1"/>
  <c r="D171" i="1"/>
  <c r="F171" i="1" s="1"/>
  <c r="D170" i="1"/>
  <c r="F170" i="1" s="1"/>
  <c r="I170" i="1" s="1"/>
  <c r="D169" i="1"/>
  <c r="F169" i="1" s="1"/>
  <c r="D168" i="1"/>
  <c r="F168" i="1" s="1"/>
  <c r="G167" i="1"/>
  <c r="D167" i="1"/>
  <c r="F167" i="1" s="1"/>
  <c r="D193" i="1"/>
  <c r="F193" i="1" s="1"/>
  <c r="D192" i="1"/>
  <c r="F192" i="1" s="1"/>
  <c r="D190" i="1"/>
  <c r="F190" i="1" s="1"/>
  <c r="D189" i="1"/>
  <c r="F189" i="1" s="1"/>
  <c r="D188" i="1"/>
  <c r="F188" i="1" s="1"/>
  <c r="G188" i="1"/>
  <c r="G189" i="1" s="1"/>
  <c r="G190" i="1" s="1"/>
  <c r="D165" i="1"/>
  <c r="F165" i="1" s="1"/>
  <c r="K165" i="1" s="1"/>
  <c r="D164" i="1"/>
  <c r="F164" i="1" s="1"/>
  <c r="D163" i="1"/>
  <c r="F163" i="1" s="1"/>
  <c r="K163" i="1" s="1"/>
  <c r="D162" i="1"/>
  <c r="F162" i="1" s="1"/>
  <c r="D161" i="1"/>
  <c r="F161" i="1" s="1"/>
  <c r="K161" i="1" s="1"/>
  <c r="D160" i="1"/>
  <c r="F160" i="1" s="1"/>
  <c r="G160" i="1"/>
  <c r="F279" i="1"/>
  <c r="F278" i="1"/>
  <c r="K162" i="1" l="1"/>
  <c r="I162" i="1"/>
  <c r="L160" i="1"/>
  <c r="K160" i="1"/>
  <c r="L164" i="1"/>
  <c r="K164" i="1"/>
  <c r="G191" i="1"/>
  <c r="G192" i="1" s="1"/>
  <c r="G193" i="1" s="1"/>
  <c r="D140" i="1"/>
  <c r="F140" i="1" s="1"/>
  <c r="D139" i="1"/>
  <c r="F139" i="1" s="1"/>
  <c r="D138" i="1"/>
  <c r="F138" i="1" s="1"/>
  <c r="D137" i="1"/>
  <c r="F137" i="1" s="1"/>
  <c r="D136" i="1"/>
  <c r="F136" i="1" s="1"/>
  <c r="D135" i="1"/>
  <c r="F135" i="1" s="1"/>
  <c r="D134" i="1"/>
  <c r="D133" i="1"/>
  <c r="E156" i="1"/>
  <c r="E155" i="1"/>
  <c r="E154" i="1"/>
  <c r="E153" i="1"/>
  <c r="D158" i="1"/>
  <c r="F158" i="1" s="1"/>
  <c r="D157" i="1"/>
  <c r="F157" i="1" s="1"/>
  <c r="I157" i="1" s="1"/>
  <c r="D156" i="1"/>
  <c r="D155" i="1"/>
  <c r="D154" i="1"/>
  <c r="D153" i="1"/>
  <c r="D151" i="1"/>
  <c r="J150" i="1"/>
  <c r="A154" i="1"/>
  <c r="A155" i="1" s="1"/>
  <c r="A156" i="1" s="1"/>
  <c r="A157" i="1" s="1"/>
  <c r="A158" i="1" s="1"/>
  <c r="G153" i="1"/>
  <c r="G151" i="1"/>
  <c r="I137" i="1"/>
  <c r="I136" i="1"/>
  <c r="I134" i="1"/>
  <c r="I133" i="1"/>
  <c r="I138" i="1"/>
  <c r="A134" i="1"/>
  <c r="A135" i="1" s="1"/>
  <c r="A136" i="1" s="1"/>
  <c r="A137" i="1" s="1"/>
  <c r="A138" i="1" s="1"/>
  <c r="A139" i="1" s="1"/>
  <c r="A140" i="1" s="1"/>
  <c r="C123" i="1" l="1"/>
  <c r="C125" i="1" s="1"/>
  <c r="F134" i="1"/>
  <c r="J133" i="1"/>
  <c r="F155" i="1"/>
  <c r="F133" i="1"/>
  <c r="G120" i="1" s="1"/>
  <c r="E120" i="1"/>
  <c r="C120" i="1"/>
  <c r="F151" i="1"/>
  <c r="E123" i="1"/>
  <c r="E125" i="1" s="1"/>
  <c r="J136" i="1"/>
  <c r="F154" i="1"/>
  <c r="F153" i="1"/>
  <c r="F156" i="1"/>
  <c r="C14" i="1"/>
  <c r="E126" i="1" l="1"/>
  <c r="C126" i="1"/>
  <c r="J121" i="1"/>
  <c r="G123" i="1"/>
  <c r="E29" i="1"/>
  <c r="J120" i="1" l="1"/>
  <c r="G125" i="1"/>
  <c r="G126" i="1" s="1"/>
  <c r="F275" i="1"/>
  <c r="F276" i="1"/>
  <c r="F277" i="1"/>
  <c r="F274" i="1"/>
  <c r="A275" i="1"/>
  <c r="A276" i="1" s="1"/>
  <c r="A277" i="1" s="1"/>
  <c r="A278" i="1" s="1"/>
  <c r="A279" i="1" s="1"/>
  <c r="G274" i="1"/>
  <c r="G275" i="1" s="1"/>
  <c r="G276" i="1" s="1"/>
  <c r="G277" i="1" s="1"/>
  <c r="G278" i="1" s="1"/>
  <c r="G279" i="1" s="1"/>
  <c r="F117" i="1" l="1"/>
  <c r="F143" i="1" l="1"/>
  <c r="F144" i="1"/>
  <c r="F145" i="1"/>
  <c r="F142" i="1"/>
  <c r="B306" i="1" l="1"/>
  <c r="A287" i="1"/>
  <c r="A293" i="1"/>
  <c r="A299" i="1"/>
  <c r="F303" i="1" l="1"/>
  <c r="F302" i="1"/>
  <c r="F301" i="1"/>
  <c r="F300" i="1"/>
  <c r="F299" i="1"/>
  <c r="F297" i="1"/>
  <c r="F296" i="1"/>
  <c r="F295" i="1"/>
  <c r="F294" i="1"/>
  <c r="F293" i="1"/>
  <c r="F291" i="1"/>
  <c r="F290" i="1"/>
  <c r="F289" i="1"/>
  <c r="F288" i="1"/>
  <c r="F287" i="1"/>
  <c r="F285" i="1"/>
  <c r="F284" i="1"/>
  <c r="F282" i="1"/>
  <c r="F281" i="1"/>
  <c r="F283" i="1"/>
  <c r="A288" i="1"/>
  <c r="A294" i="1"/>
  <c r="A300" i="1"/>
  <c r="B307" i="1" l="1"/>
  <c r="A301" i="1"/>
  <c r="A289" i="1"/>
  <c r="A295" i="1"/>
  <c r="F11" i="5" l="1"/>
  <c r="G11" i="5" s="1"/>
  <c r="F10" i="5"/>
  <c r="G10" i="5" s="1"/>
  <c r="F9" i="5"/>
  <c r="G9" i="5" s="1"/>
  <c r="F8" i="5"/>
  <c r="G8" i="5" s="1"/>
  <c r="F7" i="5"/>
  <c r="G7" i="5" s="1"/>
  <c r="F6" i="5"/>
  <c r="G6" i="5" s="1"/>
  <c r="F5" i="5"/>
  <c r="G5" i="5" s="1"/>
  <c r="G12" i="5" s="1"/>
  <c r="D339" i="1"/>
  <c r="G299" i="1"/>
  <c r="G300" i="1" s="1"/>
  <c r="G301" i="1" s="1"/>
  <c r="G302" i="1" s="1"/>
  <c r="G303" i="1" s="1"/>
  <c r="G293" i="1"/>
  <c r="G294" i="1" s="1"/>
  <c r="G295" i="1" s="1"/>
  <c r="G296" i="1" s="1"/>
  <c r="G297" i="1" s="1"/>
  <c r="G287" i="1"/>
  <c r="G288" i="1" s="1"/>
  <c r="G289" i="1" s="1"/>
  <c r="G290" i="1" s="1"/>
  <c r="G291" i="1" s="1"/>
  <c r="G281" i="1"/>
  <c r="G282" i="1" s="1"/>
  <c r="G283" i="1" s="1"/>
  <c r="G284" i="1" s="1"/>
  <c r="G285" i="1" s="1"/>
  <c r="A281" i="1"/>
  <c r="A282" i="1" s="1"/>
  <c r="A283" i="1" s="1"/>
  <c r="A284" i="1" s="1"/>
  <c r="A285" i="1" s="1"/>
  <c r="A143" i="1"/>
  <c r="A144" i="1" s="1"/>
  <c r="A145" i="1" s="1"/>
  <c r="G142" i="1"/>
  <c r="G143" i="1" s="1"/>
  <c r="G144" i="1" s="1"/>
  <c r="G145" i="1" s="1"/>
  <c r="J87" i="1"/>
  <c r="J86" i="1"/>
  <c r="J85" i="1"/>
  <c r="J84" i="1"/>
  <c r="C76" i="1"/>
  <c r="E26" i="1"/>
  <c r="E24" i="1"/>
  <c r="E7" i="1"/>
  <c r="A296" i="1"/>
  <c r="H77" i="1"/>
  <c r="A290" i="1"/>
  <c r="A302" i="1"/>
  <c r="D70" i="1" l="1"/>
  <c r="D89" i="1"/>
  <c r="D87" i="1"/>
  <c r="D86" i="1"/>
  <c r="D85" i="1"/>
  <c r="D83" i="1"/>
  <c r="J76" i="1"/>
  <c r="D88" i="1"/>
  <c r="D84" i="1"/>
  <c r="J80" i="1"/>
  <c r="J81" i="1"/>
  <c r="C80" i="1" s="1"/>
  <c r="J79" i="1"/>
  <c r="J82" i="1"/>
  <c r="J83" i="1" s="1"/>
  <c r="J88" i="1" s="1"/>
  <c r="J89" i="1" s="1"/>
  <c r="C81" i="1" s="1"/>
  <c r="A291" i="1"/>
  <c r="A297" i="1"/>
  <c r="A303" i="1"/>
  <c r="D82" i="1" l="1"/>
  <c r="J78" i="1"/>
  <c r="E80" i="1"/>
  <c r="D81" i="1"/>
  <c r="G80" i="1"/>
  <c r="D74" i="1" s="1"/>
  <c r="D80" i="1"/>
  <c r="J77" i="1" s="1"/>
  <c r="I77" i="1" l="1"/>
  <c r="F75" i="1"/>
  <c r="D75" i="1"/>
  <c r="H91" i="1"/>
  <c r="D96" i="1" l="1"/>
  <c r="J90" i="1"/>
  <c r="J92" i="1" s="1"/>
  <c r="D100" i="1"/>
  <c r="D103" i="1"/>
  <c r="D99" i="1"/>
  <c r="J95" i="1"/>
  <c r="C94" i="1" s="1"/>
  <c r="J93" i="1"/>
  <c r="D102" i="1"/>
  <c r="D98" i="1"/>
  <c r="J94" i="1"/>
  <c r="J96" i="1"/>
  <c r="J97" i="1" s="1"/>
  <c r="J102" i="1" s="1"/>
  <c r="D101" i="1"/>
  <c r="D97" i="1"/>
  <c r="I78" i="1"/>
  <c r="I76" i="1" s="1"/>
  <c r="C78" i="1" s="1"/>
  <c r="J103" i="1" l="1"/>
  <c r="C95" i="1"/>
  <c r="E94" i="1" s="1"/>
  <c r="D94" i="1"/>
  <c r="G94" i="1" l="1"/>
  <c r="D95" i="1"/>
  <c r="I91" i="1" s="1"/>
  <c r="I92" i="1" s="1"/>
  <c r="J91" i="1"/>
  <c r="I90" i="1" l="1"/>
  <c r="C92" i="1" s="1"/>
</calcChain>
</file>

<file path=xl/sharedStrings.xml><?xml version="1.0" encoding="utf-8"?>
<sst xmlns="http://schemas.openxmlformats.org/spreadsheetml/2006/main" count="516" uniqueCount="305">
  <si>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</si>
  <si>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</si>
  <si>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</si>
  <si>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</si>
  <si>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</si>
  <si>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</si>
  <si>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</si>
  <si>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</si>
  <si>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</si>
  <si>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</si>
  <si>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</si>
  <si>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</si>
  <si>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</si>
  <si>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</si>
  <si>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</si>
  <si>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</si>
  <si>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</si>
  <si>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</si>
  <si>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</si>
  <si>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</si>
  <si>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</si>
  <si>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</si>
  <si>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</si>
  <si>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</si>
  <si>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</si>
  <si>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</si>
  <si>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</si>
  <si>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</si>
  <si>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</si>
  <si>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</si>
  <si>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</si>
  <si>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</si>
  <si>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</si>
  <si>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</si>
  <si>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</si>
  <si>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</si>
  <si>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</si>
  <si>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</si>
  <si>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</si>
  <si>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</si>
  <si>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</si>
  <si>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</si>
  <si>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</si>
  <si>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</si>
  <si>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</si>
  <si>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</si>
  <si>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</si>
  <si>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</si>
  <si>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</si>
  <si>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</si>
  <si>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</si>
  <si>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</si>
  <si>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</si>
  <si>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</si>
  <si>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</si>
  <si>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</si>
  <si>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</si>
  <si>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</si>
  <si>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</si>
  <si>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</si>
  <si>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</si>
  <si>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</si>
  <si>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</si>
  <si>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</si>
  <si>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</si>
  <si>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</si>
  <si>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</si>
  <si>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</si>
  <si>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</si>
  <si>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</si>
  <si>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</si>
  <si>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</si>
  <si>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</si>
  <si>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</si>
  <si>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</si>
  <si>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</si>
  <si>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</si>
  <si>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</si>
  <si>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</si>
  <si>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</si>
  <si>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</si>
  <si>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</si>
  <si>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</si>
  <si>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</si>
  <si>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</si>
  <si>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</si>
  <si>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</si>
  <si>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</si>
  <si>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</si>
  <si>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</si>
  <si>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</si>
  <si>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</si>
  <si>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</si>
  <si>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</si>
  <si>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</si>
  <si>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</si>
  <si>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</si>
  <si>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</si>
  <si>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</si>
  <si>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</si>
  <si>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</si>
  <si>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</si>
  <si>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</si>
  <si>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</si>
  <si>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</si>
  <si>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</si>
  <si>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</si>
  <si>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</si>
  <si>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</si>
  <si>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</si>
  <si>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</si>
  <si>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</si>
  <si>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</si>
  <si>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</si>
  <si>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</si>
  <si>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</si>
  <si>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</si>
  <si>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</si>
  <si>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</si>
  <si>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</si>
  <si>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</si>
  <si>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</si>
  <si>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</si>
  <si>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</si>
  <si>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</si>
  <si>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</si>
  <si>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</si>
  <si>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</si>
  <si>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</si>
  <si>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</si>
  <si>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</si>
  <si>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</si>
  <si>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</si>
  <si>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</si>
  <si>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</si>
  <si>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</si>
  <si>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</si>
  <si>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</si>
  <si>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</si>
  <si>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</si>
  <si>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</si>
  <si>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</si>
  <si>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</si>
  <si>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</si>
  <si>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</si>
  <si>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</si>
  <si>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</si>
  <si>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</si>
  <si>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</si>
  <si>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</si>
  <si>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</si>
  <si>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</si>
  <si>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</si>
  <si>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</si>
  <si>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</si>
  <si>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</si>
  <si>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</si>
  <si>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</si>
  <si>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</si>
  <si>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</si>
  <si>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</si>
  <si>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</si>
  <si>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</si>
  <si>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</si>
  <si>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</si>
  <si>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</si>
  <si>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Recommended rate of the Office Per Sq. Ft.</t>
  </si>
  <si>
    <t>On Saleable Area</t>
  </si>
  <si>
    <t>Legal Charges</t>
  </si>
  <si>
    <t>Location Link</t>
  </si>
  <si>
    <t>Locality</t>
  </si>
  <si>
    <t>Village</t>
  </si>
  <si>
    <t>Axis Thane</t>
  </si>
  <si>
    <t>Macrotech Developers Limited</t>
  </si>
  <si>
    <t>Approved Plans, CC</t>
  </si>
  <si>
    <t>Plot No</t>
  </si>
  <si>
    <t>Block C</t>
  </si>
  <si>
    <t>Lodha Supremus New Cuffe Parade</t>
  </si>
  <si>
    <t>Lodha Enchante</t>
  </si>
  <si>
    <t>Sewri - Chembur Road</t>
  </si>
  <si>
    <t>Lodha Buildings</t>
  </si>
  <si>
    <t>Wadala Truck Terminal</t>
  </si>
  <si>
    <t>Wadala</t>
  </si>
  <si>
    <t>Mumbai</t>
  </si>
  <si>
    <t>Wadala East</t>
  </si>
  <si>
    <t>Wadala Monorail Depot</t>
  </si>
  <si>
    <t>3.2 KM from G.T.B Nagar Railway Station</t>
  </si>
  <si>
    <t>https://goo.gl/maps/BjkVDZd1m3Jz48RE9</t>
  </si>
  <si>
    <t>Mumbai Metropolitan Region Development Authority</t>
  </si>
  <si>
    <t>T&amp;CP/WTT/BLOCK-C/CC/Vol-XVII/437/2022</t>
  </si>
  <si>
    <t>as discussed with rajendra giri sir</t>
  </si>
  <si>
    <t>6BHK Duplex with 1st Floor</t>
  </si>
  <si>
    <t>2.5BHK</t>
  </si>
  <si>
    <t>3.5BHK</t>
  </si>
  <si>
    <t>Refuge Area</t>
  </si>
  <si>
    <t>We considered Gross carpet area = Net carpet + Open balcony + D.B Area</t>
  </si>
  <si>
    <t>On Site, we meet Mr. Ashish (9930082931)</t>
  </si>
  <si>
    <t>3rd to 6th, 8th to 12th Floor</t>
  </si>
  <si>
    <t>7th Floor (Part Refuge Area)</t>
  </si>
  <si>
    <t>14th (15th Floor as per Builder)
21st (22nd Floor as per Builder)
28th (29th Floor as per Builder)
 35th (36th Floor as per Builder)
(Part Refuge Area)</t>
  </si>
  <si>
    <t>Ground Floor For Part Residential</t>
  </si>
  <si>
    <t>2nd Floor For Residential</t>
  </si>
  <si>
    <t>Kurla</t>
  </si>
  <si>
    <t>Name / No of the Building as per Builder</t>
  </si>
  <si>
    <t>Lodha Aura</t>
  </si>
  <si>
    <t>Layout Plan :</t>
  </si>
  <si>
    <t>Latitude &amp; Longitude</t>
  </si>
  <si>
    <t>Office No. 1031, Wing J, Akshar Business Park, Plot No. 03 Sector 25, Near APMC Market, 
Vashi, Navi Mumbai, Maharashtra 400703 TEL: 022-46090378/79/8
E mail : vsjcapf@gmail.com. Web site : www.vsjadon.com</t>
  </si>
  <si>
    <t>A1</t>
  </si>
  <si>
    <t>A2</t>
  </si>
  <si>
    <t>A3</t>
  </si>
  <si>
    <t>B1</t>
  </si>
  <si>
    <t>B2</t>
  </si>
  <si>
    <t>B3</t>
  </si>
  <si>
    <t>Ground Floor + 1st Floor (Duplex Shop) for Commercial &amp; Residential</t>
  </si>
  <si>
    <t xml:space="preserve">Shop </t>
  </si>
  <si>
    <t>-</t>
  </si>
  <si>
    <t>Builder Sale Flat No. is taken from mail provided by Bank Officials which attached below.</t>
  </si>
  <si>
    <t>Builder Mail</t>
  </si>
  <si>
    <t>Other Charges</t>
  </si>
  <si>
    <t>OC charges added by smith 25/07/2024</t>
  </si>
  <si>
    <t>24000 to 25000 + Parking 12L</t>
  </si>
  <si>
    <t>Aakash Mote Staff Case Flat No. A2802</t>
  </si>
  <si>
    <t>13th (14th Floor as per Builder), 
15th to 20th (16th to 21st Floor as per Builder)
22nd to 26th (23rd to 27th Floor as per Builder)
29th to 34th (30th to 35th Floor as per Builder)
 36th to 39th (37th to 40th Floor as per Builder)</t>
  </si>
  <si>
    <t>27th (28th Floor as per Builder)</t>
  </si>
  <si>
    <t>1775 to 1864 staff Case sale area is change</t>
  </si>
  <si>
    <t>27th (28th Floor as per Builder) Flat No. A2</t>
  </si>
  <si>
    <t xml:space="preserve">sale area is change = 1775 to 1864 staff Case </t>
  </si>
  <si>
    <t>10L to 12L 17/09/2024 &amp; 12L to 15L by sanjay</t>
  </si>
  <si>
    <t>Recommended Rates/Other Charges of the Property have been revised on 25/07/2024,  31/08/2024 &amp; 17/09/2024.</t>
  </si>
  <si>
    <t>We have updated the revised CC for Wing A1 from RERA site. (On 11/04/2025).</t>
  </si>
  <si>
    <t>We have updated part OC (On 18/06/2025).</t>
  </si>
  <si>
    <t>Provided by bank officials on mail</t>
  </si>
  <si>
    <t>TCP/WTT/Block-C/OC/Vol-XXIV/1308/2025
Approved Upto : Building A1 = Gr/St + 1st to 39th (Pt) Floor</t>
  </si>
  <si>
    <t>Lodha NCP Tower 1 &amp; 2</t>
  </si>
  <si>
    <t>Tower 1 - P51900034170
Tower 2 - P51900046324</t>
  </si>
  <si>
    <t>36.58 M W Road</t>
  </si>
  <si>
    <t>Other Plot</t>
  </si>
  <si>
    <t>19.0371,72.879583</t>
  </si>
  <si>
    <t>Total Approved Builtup area of the project (Sq.Mt)</t>
  </si>
  <si>
    <t>Part O. Certificate No.: 
Approved upto : 
(Tower 1)</t>
  </si>
  <si>
    <t xml:space="preserve">O. Certificate No.: 
Approved upto : 
</t>
  </si>
  <si>
    <t>TCP/WTT/Block-C/CC/Vol-XXIII/ 1147/2025</t>
  </si>
  <si>
    <t>2 Buildings</t>
  </si>
  <si>
    <t>Building A (Wing A1) &amp; Tower A2</t>
  </si>
  <si>
    <t>Tower A2</t>
  </si>
  <si>
    <t>Tower A1</t>
  </si>
  <si>
    <t>As per RERA - Tower A1 = 31/12/2026
Tower A2 = 31/05/2029</t>
  </si>
  <si>
    <t>Tower A1 = G + 1st to 41st Part Floor</t>
  </si>
  <si>
    <t>Tower A1 = G + 1st to 39th Floor
Tower A2 = 4b + G + 1st to 40th Floor</t>
  </si>
  <si>
    <t>Tower A2 = 4B + G + 1st to 41st Floor</t>
  </si>
  <si>
    <t>Tower A1 (Wing A &amp; B)</t>
  </si>
  <si>
    <t>Ground Floor For Residential, Meter Room, Society Office &amp; Entrance Lobby</t>
  </si>
  <si>
    <t>1st to 4th Basement For Parking</t>
  </si>
  <si>
    <t>6BHK Duplex With 1st Floor</t>
  </si>
  <si>
    <t>4BHK Duplex With 1st Floor</t>
  </si>
  <si>
    <t>Society Office</t>
  </si>
  <si>
    <t>Stilt Colonnade (Double Height)</t>
  </si>
  <si>
    <t xml:space="preserve"> Entrance Lobby (Double Height)</t>
  </si>
  <si>
    <t>1st Floor For Residential &amp; Gymnasium</t>
  </si>
  <si>
    <t>Residential Duplex With Ground Floor</t>
  </si>
  <si>
    <t>Gymnasium</t>
  </si>
  <si>
    <t>Not Provided</t>
  </si>
  <si>
    <t>3BHK</t>
  </si>
  <si>
    <t>4BHK</t>
  </si>
  <si>
    <t>Refuge Area/Water Tank/ Pump Room</t>
  </si>
  <si>
    <t>3rd to 6th, 8th to 12th  Floor</t>
  </si>
  <si>
    <t>13th (14th Floor as per Builder), 
15th to 20th (16th to 21st Floor as per Builder)
22nd to 27th (23rd to 28th Floor as per Builder)
29th to 34th (30th to 35th Floor as per Builder)
 36th &amp; 37th (37th &amp; 38th Floor as per Builder)</t>
  </si>
  <si>
    <t>14th (15th Floor as per Builder)
21st (22nd Floor as per Builder)
28th (29th Floor as per Builder)
(Part Refuge Area)</t>
  </si>
  <si>
    <t>35th (36th Floor as per Builder)
 Floor For Residential, Water Tank &amp; Pump Room (Part Refuge Area)</t>
  </si>
  <si>
    <t>38th Floor (39th Floor as per Builder)</t>
  </si>
  <si>
    <t>4.5BHK Triplex With 39th &amp; 40th Floor</t>
  </si>
  <si>
    <t>5BHK Triplex With 39th &amp; 40th Floor</t>
  </si>
  <si>
    <t>39th Floor (40th Floor as per Builder)</t>
  </si>
  <si>
    <t>Residential Triplex With 38th &amp; 40th Floor</t>
  </si>
  <si>
    <t>40th Floor (41st Floor as per Builder)</t>
  </si>
  <si>
    <t>Open Space For Solar Panel</t>
  </si>
  <si>
    <t>Shruti Tathare</t>
  </si>
  <si>
    <t>Karan Misal</t>
  </si>
  <si>
    <t xml:space="preserve">Environmental Clearance Certificate No
Valid Up to: </t>
  </si>
  <si>
    <t>SIA/MH/INFRA2/419468/2023</t>
  </si>
  <si>
    <t>Plot No. Block C
Proposed Builtup Area = 785275.23 Sq.m.</t>
  </si>
  <si>
    <t>Total</t>
  </si>
  <si>
    <t>Grand Total</t>
  </si>
  <si>
    <t xml:space="preserve"> </t>
  </si>
  <si>
    <t>Approved area of building (Sq.Mt) Tower A1 &amp; A2</t>
  </si>
  <si>
    <t>Flats - 444, Shops - 08</t>
  </si>
  <si>
    <t>`</t>
  </si>
  <si>
    <t>Nomenclature of Building :</t>
  </si>
  <si>
    <t xml:space="preserve">Sr. No. </t>
  </si>
  <si>
    <t>As per Floor Plan</t>
  </si>
  <si>
    <t>As per RERA</t>
  </si>
  <si>
    <t>Tower 1</t>
  </si>
  <si>
    <t>Tower 2</t>
  </si>
  <si>
    <t>Building A (Wing 1)/ Tower A1</t>
  </si>
  <si>
    <t>Building A (Wing 2)/ Tower A2</t>
  </si>
  <si>
    <t>Rajendra Giri 9820248856</t>
  </si>
  <si>
    <t xml:space="preserve">18/05/2022
</t>
  </si>
  <si>
    <t>Building A1 = G + 1st to 40th Floor.</t>
  </si>
  <si>
    <t>Building A2 = G + 1st to 40th Floor.</t>
  </si>
  <si>
    <t>We have updated Environmental Clearance Certificate from Parivesh site On 21/07/2025.</t>
  </si>
  <si>
    <t>We have updated CC of Building A1 On 21/07/2025.</t>
  </si>
  <si>
    <t>Please provide revised approved plan of Building A1.</t>
  </si>
  <si>
    <t xml:space="preserve">Building A1 = Construction work is in process at the time of Visit. Part OC Received. 
Building A2 = Construction work is in process at the time of Visit. Internal visit was not allowed.
</t>
  </si>
  <si>
    <t>We have Added Tower A2 On 21/07/2025.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</si>
</sst>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gt;0]0&quot;BHK&quot;;&quot;1RK&quot;"/>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22"/>
      <color rgb="FFFF0000"/>
      <name val="Calibri"/>
      <family val="2"/>
    </font>
    <font>
      <sz val="14"/>
      <color theme="1"/>
      <name val="Times New Roman"/>
      <family val="1"/>
    </font>
    <font>
      <sz val="14"/>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8"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7" xfId="1" applyFont="1" applyBorder="1"/>
    <xf numFmtId="0" fontId="17"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24" xfId="0" applyFont="1" applyFill="1" applyBorder="1"/>
    <xf numFmtId="0" fontId="25" fillId="0" borderId="25" xfId="0" applyFont="1" applyBorder="1"/>
    <xf numFmtId="0" fontId="25" fillId="0" borderId="1" xfId="0" applyFont="1" applyBorder="1"/>
    <xf numFmtId="0" fontId="25" fillId="0" borderId="4" xfId="0" applyFont="1" applyBorder="1"/>
    <xf numFmtId="0" fontId="8" fillId="0" borderId="1" xfId="1" applyFont="1" applyBorder="1" applyAlignment="1" applyProtection="1">
      <alignment vertical="top"/>
      <protection locked="0"/>
    </xf>
    <xf numFmtId="168" fontId="6"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1" fontId="7" fillId="0" borderId="0" xfId="0" applyNumberFormat="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2" borderId="0" xfId="0" applyFill="1"/>
    <xf numFmtId="0" fontId="27" fillId="2" borderId="0" xfId="0" applyFont="1" applyFill="1"/>
    <xf numFmtId="0" fontId="28" fillId="2" borderId="0" xfId="1" applyFont="1" applyFill="1"/>
    <xf numFmtId="14" fontId="28" fillId="2" borderId="0" xfId="1" applyNumberFormat="1" applyFont="1" applyFill="1"/>
    <xf numFmtId="0" fontId="29" fillId="2" borderId="0" xfId="0" applyFont="1" applyFill="1"/>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7" fillId="0" borderId="0" xfId="0" applyFont="1" applyAlignment="1">
      <alignment horizontal="left"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7" fillId="0" borderId="1" xfId="1" applyFont="1" applyBorder="1" applyAlignment="1" applyProtection="1">
      <alignment horizontal="center" vertical="top" wrapText="1"/>
      <protection locked="0"/>
    </xf>
    <xf numFmtId="1" fontId="8" fillId="0" borderId="5"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6" fillId="0" borderId="2" xfId="0" applyNumberFormat="1" applyFont="1" applyBorder="1" applyAlignment="1" applyProtection="1">
      <alignment horizontal="center" vertical="center" wrapText="1"/>
      <protection locked="0"/>
    </xf>
    <xf numFmtId="1" fontId="6" fillId="0" borderId="30" xfId="0" applyNumberFormat="1" applyFont="1" applyBorder="1" applyAlignment="1" applyProtection="1">
      <alignment horizontal="center" vertical="center" wrapText="1"/>
      <protection locked="0"/>
    </xf>
    <xf numFmtId="1" fontId="6" fillId="0" borderId="13"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5"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65"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5" xfId="1" applyNumberFormat="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167" fontId="13"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4" fontId="8" fillId="0" borderId="5" xfId="1" applyNumberFormat="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8" fillId="0" borderId="14"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2" fillId="0" borderId="2"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3" xfId="1" applyFont="1" applyBorder="1" applyAlignment="1" applyProtection="1">
      <alignment horizontal="left"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0" fillId="0" borderId="5" xfId="1" applyFont="1" applyBorder="1" applyAlignment="1" applyProtection="1">
      <alignment horizontal="left"/>
      <protection locked="0"/>
    </xf>
    <xf numFmtId="0" fontId="10" fillId="0" borderId="18" xfId="1" applyFont="1" applyBorder="1" applyAlignment="1" applyProtection="1">
      <alignment horizontal="left"/>
      <protection locked="0"/>
    </xf>
    <xf numFmtId="0" fontId="10" fillId="0" borderId="6" xfId="1" applyFont="1" applyBorder="1" applyAlignment="1" applyProtection="1">
      <alignment horizontal="left"/>
      <protection locked="0"/>
    </xf>
    <xf numFmtId="0" fontId="7" fillId="0" borderId="3" xfId="1" applyFont="1" applyBorder="1" applyAlignment="1" applyProtection="1">
      <alignment horizontal="center" vertical="top" wrapText="1"/>
      <protection locked="0"/>
    </xf>
    <xf numFmtId="2" fontId="12" fillId="0" borderId="1" xfId="1" applyNumberFormat="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8" fillId="0" borderId="10" xfId="1" applyFont="1" applyBorder="1" applyAlignment="1" applyProtection="1">
      <alignment horizontal="left" vertical="top" wrapText="1"/>
      <protection locked="0"/>
    </xf>
    <xf numFmtId="0" fontId="8" fillId="0" borderId="11"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1" fontId="6" fillId="0" borderId="18"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8" fillId="3" borderId="5" xfId="1" applyNumberFormat="1" applyFont="1" applyFill="1" applyBorder="1" applyAlignment="1" applyProtection="1">
      <alignment horizontal="center" vertical="center" wrapText="1"/>
      <protection locked="0"/>
    </xf>
    <xf numFmtId="1" fontId="8" fillId="3" borderId="18" xfId="1" applyNumberFormat="1" applyFont="1" applyFill="1" applyBorder="1" applyAlignment="1" applyProtection="1">
      <alignment horizontal="center" vertical="center" wrapText="1"/>
      <protection locked="0"/>
    </xf>
    <xf numFmtId="1" fontId="8" fillId="3" borderId="6" xfId="1" applyNumberFormat="1" applyFont="1" applyFill="1" applyBorder="1" applyAlignment="1" applyProtection="1">
      <alignment horizontal="center" vertical="center" wrapText="1"/>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0" fontId="10" fillId="0" borderId="0" xfId="1" applyFont="1" applyAlignment="1" applyProtection="1">
      <alignment horizontal="left" vertical="top"/>
      <protection locked="0"/>
    </xf>
    <xf numFmtId="0" fontId="7" fillId="0" borderId="0" xfId="1" applyFont="1" applyAlignment="1" applyProtection="1">
      <alignment horizontal="left" vertical="top"/>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0" fontId="8" fillId="0" borderId="18" xfId="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168" fontId="6" fillId="0" borderId="5" xfId="1" applyNumberFormat="1" applyFont="1" applyBorder="1" applyAlignment="1" applyProtection="1">
      <alignment horizontal="center" vertical="center" wrapText="1"/>
      <protection locked="0"/>
    </xf>
    <xf numFmtId="168" fontId="6" fillId="0" borderId="18" xfId="1" applyNumberFormat="1" applyFont="1" applyBorder="1" applyAlignment="1" applyProtection="1">
      <alignment horizontal="center" vertical="center" wrapText="1"/>
      <protection locked="0"/>
    </xf>
    <xf numFmtId="168" fontId="6" fillId="0" borderId="6" xfId="1" applyNumberFormat="1" applyFont="1" applyBorder="1" applyAlignment="1" applyProtection="1">
      <alignment horizontal="center" vertical="center" wrapText="1"/>
      <protection locked="0"/>
    </xf>
    <xf numFmtId="168" fontId="6" fillId="0" borderId="14" xfId="1" applyNumberFormat="1" applyFont="1" applyBorder="1" applyAlignment="1" applyProtection="1">
      <alignment horizontal="center" vertical="center" wrapText="1"/>
      <protection locked="0"/>
    </xf>
    <xf numFmtId="168" fontId="6" fillId="0" borderId="21" xfId="1" applyNumberFormat="1" applyFont="1" applyBorder="1" applyAlignment="1" applyProtection="1">
      <alignment horizontal="center" vertical="center" wrapText="1"/>
      <protection locked="0"/>
    </xf>
    <xf numFmtId="168" fontId="6" fillId="0" borderId="15" xfId="1" applyNumberFormat="1" applyFont="1" applyBorder="1" applyAlignment="1" applyProtection="1">
      <alignment horizontal="center" vertical="center" wrapText="1"/>
      <protection locked="0"/>
    </xf>
    <xf numFmtId="168" fontId="6" fillId="0" borderId="16" xfId="1" applyNumberFormat="1" applyFont="1" applyBorder="1" applyAlignment="1" applyProtection="1">
      <alignment horizontal="center" vertical="center" wrapText="1"/>
      <protection locked="0"/>
    </xf>
    <xf numFmtId="168" fontId="6" fillId="0" borderId="26" xfId="1" applyNumberFormat="1" applyFont="1" applyBorder="1" applyAlignment="1" applyProtection="1">
      <alignment horizontal="center" vertical="center" wrapText="1"/>
      <protection locked="0"/>
    </xf>
    <xf numFmtId="168" fontId="6" fillId="0" borderId="17" xfId="1"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1" fontId="10" fillId="0" borderId="28" xfId="0" applyNumberFormat="1"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9" fillId="0" borderId="1" xfId="5" applyFont="1" applyBorder="1" applyAlignment="1">
      <alignment horizontal="left"/>
    </xf>
    <xf numFmtId="0" fontId="12" fillId="0" borderId="1" xfId="1" applyFont="1" applyFill="1" applyBorder="1" applyAlignment="1" applyProtection="1">
      <alignment horizontal="left" vertical="top" wrapText="1"/>
      <protection locked="0"/>
    </xf>
    <xf numFmtId="0" fontId="8" fillId="0" borderId="19" xfId="1" applyFont="1" applyFill="1" applyBorder="1" applyAlignment="1" applyProtection="1">
      <alignment horizontal="left" vertical="top" wrapText="1"/>
      <protection locked="0"/>
    </xf>
    <xf numFmtId="0" fontId="8" fillId="0" borderId="12" xfId="1" applyFont="1" applyFill="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465</xdr:row>
      <xdr:rowOff>123825</xdr:rowOff>
    </xdr:from>
    <xdr:to>
      <xdr:col>7</xdr:col>
      <xdr:colOff>497879</xdr:colOff>
      <xdr:row>483</xdr:row>
      <xdr:rowOff>123375</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66775" y="83629500"/>
          <a:ext cx="5327054" cy="3600000"/>
        </a:xfrm>
        <a:prstGeom prst="rect">
          <a:avLst/>
        </a:prstGeom>
        <a:ln>
          <a:solidFill>
            <a:schemeClr val="tx1"/>
          </a:solidFill>
        </a:ln>
      </xdr:spPr>
    </xdr:pic>
    <xdr:clientData/>
  </xdr:twoCellAnchor>
  <xdr:twoCellAnchor editAs="oneCell">
    <xdr:from>
      <xdr:col>10</xdr:col>
      <xdr:colOff>152400</xdr:colOff>
      <xdr:row>69</xdr:row>
      <xdr:rowOff>152400</xdr:rowOff>
    </xdr:from>
    <xdr:to>
      <xdr:col>15</xdr:col>
      <xdr:colOff>462921</xdr:colOff>
      <xdr:row>85</xdr:row>
      <xdr:rowOff>97975</xdr:rowOff>
    </xdr:to>
    <xdr:pic>
      <xdr:nvPicPr>
        <xdr:cNvPr id="4" name="Picture 3"/>
        <xdr:cNvPicPr>
          <a:picLocks noChangeAspect="1"/>
        </xdr:cNvPicPr>
      </xdr:nvPicPr>
      <xdr:blipFill>
        <a:blip xmlns:r="http://schemas.openxmlformats.org/officeDocument/2006/relationships" r:embed="rId2"/>
        <a:stretch>
          <a:fillRect/>
        </a:stretch>
      </xdr:blipFill>
      <xdr:spPr>
        <a:xfrm>
          <a:off x="9001125" y="13496925"/>
          <a:ext cx="4053846" cy="3600000"/>
        </a:xfrm>
        <a:prstGeom prst="rect">
          <a:avLst/>
        </a:prstGeom>
      </xdr:spPr>
    </xdr:pic>
    <xdr:clientData/>
  </xdr:twoCellAnchor>
  <xdr:twoCellAnchor editAs="oneCell">
    <xdr:from>
      <xdr:col>11</xdr:col>
      <xdr:colOff>38100</xdr:colOff>
      <xdr:row>74</xdr:row>
      <xdr:rowOff>47625</xdr:rowOff>
    </xdr:from>
    <xdr:to>
      <xdr:col>18</xdr:col>
      <xdr:colOff>570809</xdr:colOff>
      <xdr:row>94</xdr:row>
      <xdr:rowOff>88312</xdr:rowOff>
    </xdr:to>
    <xdr:pic>
      <xdr:nvPicPr>
        <xdr:cNvPr id="3" name="Picture 2"/>
        <xdr:cNvPicPr>
          <a:picLocks noChangeAspect="1"/>
        </xdr:cNvPicPr>
      </xdr:nvPicPr>
      <xdr:blipFill>
        <a:blip xmlns:r="http://schemas.openxmlformats.org/officeDocument/2006/relationships" r:embed="rId3"/>
        <a:stretch>
          <a:fillRect/>
        </a:stretch>
      </xdr:blipFill>
      <xdr:spPr>
        <a:xfrm>
          <a:off x="9639300" y="14192250"/>
          <a:ext cx="5523809" cy="4704762"/>
        </a:xfrm>
        <a:prstGeom prst="rect">
          <a:avLst/>
        </a:prstGeom>
      </xdr:spPr>
    </xdr:pic>
    <xdr:clientData/>
  </xdr:twoCellAnchor>
  <xdr:twoCellAnchor editAs="oneCell">
    <xdr:from>
      <xdr:col>11</xdr:col>
      <xdr:colOff>247650</xdr:colOff>
      <xdr:row>39</xdr:row>
      <xdr:rowOff>190500</xdr:rowOff>
    </xdr:from>
    <xdr:to>
      <xdr:col>16</xdr:col>
      <xdr:colOff>75750</xdr:colOff>
      <xdr:row>50</xdr:row>
      <xdr:rowOff>2792</xdr:rowOff>
    </xdr:to>
    <xdr:pic>
      <xdr:nvPicPr>
        <xdr:cNvPr id="6" name="Picture 5"/>
        <xdr:cNvPicPr>
          <a:picLocks noChangeAspect="1"/>
        </xdr:cNvPicPr>
      </xdr:nvPicPr>
      <xdr:blipFill>
        <a:blip xmlns:r="http://schemas.openxmlformats.org/officeDocument/2006/relationships" r:embed="rId4"/>
        <a:stretch>
          <a:fillRect/>
        </a:stretch>
      </xdr:blipFill>
      <xdr:spPr>
        <a:xfrm>
          <a:off x="9848850" y="9020175"/>
          <a:ext cx="3600000" cy="2660267"/>
        </a:xfrm>
        <a:prstGeom prst="rect">
          <a:avLst/>
        </a:prstGeom>
      </xdr:spPr>
    </xdr:pic>
    <xdr:clientData/>
  </xdr:twoCellAnchor>
  <xdr:twoCellAnchor editAs="oneCell">
    <xdr:from>
      <xdr:col>8</xdr:col>
      <xdr:colOff>304800</xdr:colOff>
      <xdr:row>38</xdr:row>
      <xdr:rowOff>95250</xdr:rowOff>
    </xdr:from>
    <xdr:to>
      <xdr:col>14</xdr:col>
      <xdr:colOff>527282</xdr:colOff>
      <xdr:row>49</xdr:row>
      <xdr:rowOff>371475</xdr:rowOff>
    </xdr:to>
    <xdr:pic>
      <xdr:nvPicPr>
        <xdr:cNvPr id="7" name="Picture 6"/>
        <xdr:cNvPicPr>
          <a:picLocks noChangeAspect="1"/>
        </xdr:cNvPicPr>
      </xdr:nvPicPr>
      <xdr:blipFill>
        <a:blip xmlns:r="http://schemas.openxmlformats.org/officeDocument/2006/relationships" r:embed="rId5"/>
        <a:stretch>
          <a:fillRect/>
        </a:stretch>
      </xdr:blipFill>
      <xdr:spPr>
        <a:xfrm>
          <a:off x="7229475" y="8724900"/>
          <a:ext cx="5232632" cy="2924175"/>
        </a:xfrm>
        <a:prstGeom prst="rect">
          <a:avLst/>
        </a:prstGeom>
      </xdr:spPr>
    </xdr:pic>
    <xdr:clientData/>
  </xdr:twoCellAnchor>
  <xdr:oneCellAnchor>
    <xdr:from>
      <xdr:col>0</xdr:col>
      <xdr:colOff>333375</xdr:colOff>
      <xdr:row>385</xdr:row>
      <xdr:rowOff>76200</xdr:rowOff>
    </xdr:from>
    <xdr:ext cx="6248644" cy="4680000"/>
    <xdr:pic>
      <xdr:nvPicPr>
        <xdr:cNvPr id="30" name="Picture 29"/>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333375" y="75780900"/>
          <a:ext cx="6248644" cy="4680000"/>
        </a:xfrm>
        <a:prstGeom prst="rect">
          <a:avLst/>
        </a:prstGeom>
        <a:ln>
          <a:solidFill>
            <a:schemeClr val="tx1"/>
          </a:solidFill>
        </a:ln>
      </xdr:spPr>
    </xdr:pic>
    <xdr:clientData/>
  </xdr:oneCellAnchor>
  <xdr:twoCellAnchor>
    <xdr:from>
      <xdr:col>0</xdr:col>
      <xdr:colOff>190501</xdr:colOff>
      <xdr:row>424</xdr:row>
      <xdr:rowOff>114300</xdr:rowOff>
    </xdr:from>
    <xdr:to>
      <xdr:col>7</xdr:col>
      <xdr:colOff>1038225</xdr:colOff>
      <xdr:row>445</xdr:row>
      <xdr:rowOff>47625</xdr:rowOff>
    </xdr:to>
    <xdr:grpSp>
      <xdr:nvGrpSpPr>
        <xdr:cNvPr id="20" name="Group 19"/>
        <xdr:cNvGrpSpPr/>
      </xdr:nvGrpSpPr>
      <xdr:grpSpPr>
        <a:xfrm>
          <a:off x="190501" y="89306400"/>
          <a:ext cx="6543674" cy="4133850"/>
          <a:chOff x="161926" y="83686650"/>
          <a:chExt cx="6543674" cy="4133850"/>
        </a:xfrm>
      </xdr:grpSpPr>
      <xdr:pic>
        <xdr:nvPicPr>
          <xdr:cNvPr id="31" name="Picture 30"/>
          <xdr:cNvPicPr>
            <a:picLocks noChangeAspect="1"/>
          </xdr:cNvPicPr>
        </xdr:nvPicPr>
        <xdr:blipFill>
          <a:blip xmlns:r="http://schemas.openxmlformats.org/officeDocument/2006/relationships" r:embed="rId7"/>
          <a:stretch>
            <a:fillRect/>
          </a:stretch>
        </xdr:blipFill>
        <xdr:spPr>
          <a:xfrm>
            <a:off x="161926" y="83686650"/>
            <a:ext cx="6543674" cy="4133850"/>
          </a:xfrm>
          <a:prstGeom prst="rect">
            <a:avLst/>
          </a:prstGeom>
          <a:ln>
            <a:solidFill>
              <a:schemeClr val="tx1"/>
            </a:solidFill>
          </a:ln>
        </xdr:spPr>
      </xdr:pic>
      <xdr:sp macro="" textlink="">
        <xdr:nvSpPr>
          <xdr:cNvPr id="9" name="Freeform 8"/>
          <xdr:cNvSpPr/>
        </xdr:nvSpPr>
        <xdr:spPr>
          <a:xfrm>
            <a:off x="1876425" y="85944075"/>
            <a:ext cx="1181100" cy="1171575"/>
          </a:xfrm>
          <a:custGeom>
            <a:avLst/>
            <a:gdLst>
              <a:gd name="connsiteX0" fmla="*/ 0 w 1190625"/>
              <a:gd name="connsiteY0" fmla="*/ 1057275 h 1114425"/>
              <a:gd name="connsiteX1" fmla="*/ 28575 w 1190625"/>
              <a:gd name="connsiteY1" fmla="*/ 457200 h 1114425"/>
              <a:gd name="connsiteX2" fmla="*/ 428625 w 1190625"/>
              <a:gd name="connsiteY2" fmla="*/ 457200 h 1114425"/>
              <a:gd name="connsiteX3" fmla="*/ 457200 w 1190625"/>
              <a:gd name="connsiteY3" fmla="*/ 0 h 1114425"/>
              <a:gd name="connsiteX4" fmla="*/ 1190625 w 1190625"/>
              <a:gd name="connsiteY4" fmla="*/ 19050 h 1114425"/>
              <a:gd name="connsiteX5" fmla="*/ 1171575 w 1190625"/>
              <a:gd name="connsiteY5" fmla="*/ 666750 h 1114425"/>
              <a:gd name="connsiteX6" fmla="*/ 847725 w 1190625"/>
              <a:gd name="connsiteY6" fmla="*/ 666750 h 1114425"/>
              <a:gd name="connsiteX7" fmla="*/ 828675 w 1190625"/>
              <a:gd name="connsiteY7" fmla="*/ 1114425 h 1114425"/>
              <a:gd name="connsiteX8" fmla="*/ 0 w 1190625"/>
              <a:gd name="connsiteY8" fmla="*/ 1057275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90625" h="1114425">
                <a:moveTo>
                  <a:pt x="0" y="1057275"/>
                </a:moveTo>
                <a:lnTo>
                  <a:pt x="28575" y="457200"/>
                </a:lnTo>
                <a:lnTo>
                  <a:pt x="428625" y="457200"/>
                </a:lnTo>
                <a:lnTo>
                  <a:pt x="457200" y="0"/>
                </a:lnTo>
                <a:lnTo>
                  <a:pt x="1190625" y="19050"/>
                </a:lnTo>
                <a:lnTo>
                  <a:pt x="1171575" y="666750"/>
                </a:lnTo>
                <a:lnTo>
                  <a:pt x="847725" y="666750"/>
                </a:lnTo>
                <a:lnTo>
                  <a:pt x="828675" y="1114425"/>
                </a:lnTo>
                <a:lnTo>
                  <a:pt x="0" y="105727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9" name="TextBox 18"/>
          <xdr:cNvSpPr txBox="1"/>
        </xdr:nvSpPr>
        <xdr:spPr>
          <a:xfrm>
            <a:off x="1885950" y="87077550"/>
            <a:ext cx="9048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Tower</a:t>
            </a:r>
            <a:r>
              <a:rPr lang="en-IN" sz="1200" b="1" baseline="0">
                <a:solidFill>
                  <a:srgbClr val="FF0000"/>
                </a:solidFill>
              </a:rPr>
              <a:t> A1</a:t>
            </a:r>
            <a:endParaRPr lang="en-IN" sz="1200" b="1">
              <a:solidFill>
                <a:srgbClr val="FF0000"/>
              </a:solidFill>
            </a:endParaRPr>
          </a:p>
        </xdr:txBody>
      </xdr:sp>
      <xdr:sp macro="" textlink="">
        <xdr:nvSpPr>
          <xdr:cNvPr id="39" name="TextBox 38"/>
          <xdr:cNvSpPr txBox="1"/>
        </xdr:nvSpPr>
        <xdr:spPr>
          <a:xfrm>
            <a:off x="2324100" y="85677375"/>
            <a:ext cx="9048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rPr>
              <a:t>Tower</a:t>
            </a:r>
            <a:r>
              <a:rPr lang="en-IN" sz="1200" b="1" baseline="0">
                <a:solidFill>
                  <a:srgbClr val="FF0000"/>
                </a:solidFill>
              </a:rPr>
              <a:t> A2</a:t>
            </a:r>
            <a:endParaRPr lang="en-IN" sz="1200" b="1">
              <a:solidFill>
                <a:srgbClr val="FF0000"/>
              </a:solidFill>
            </a:endParaRPr>
          </a:p>
        </xdr:txBody>
      </xdr:sp>
    </xdr:grpSp>
    <xdr:clientData/>
  </xdr:twoCellAnchor>
  <xdr:twoCellAnchor>
    <xdr:from>
      <xdr:col>0</xdr:col>
      <xdr:colOff>342900</xdr:colOff>
      <xdr:row>484</xdr:row>
      <xdr:rowOff>0</xdr:rowOff>
    </xdr:from>
    <xdr:to>
      <xdr:col>7</xdr:col>
      <xdr:colOff>914967</xdr:colOff>
      <xdr:row>505</xdr:row>
      <xdr:rowOff>57150</xdr:rowOff>
    </xdr:to>
    <xdr:grpSp>
      <xdr:nvGrpSpPr>
        <xdr:cNvPr id="32" name="Group 31"/>
        <xdr:cNvGrpSpPr/>
      </xdr:nvGrpSpPr>
      <xdr:grpSpPr>
        <a:xfrm>
          <a:off x="342900" y="99193350"/>
          <a:ext cx="6268017" cy="4257675"/>
          <a:chOff x="342900" y="94402275"/>
          <a:chExt cx="6268017" cy="4257675"/>
        </a:xfrm>
      </xdr:grpSpPr>
      <xdr:pic>
        <xdr:nvPicPr>
          <xdr:cNvPr id="29" name="Picture 28"/>
          <xdr:cNvPicPr>
            <a:picLocks noChangeAspect="1"/>
          </xdr:cNvPicPr>
        </xdr:nvPicPr>
        <xdr:blipFill>
          <a:blip xmlns:r="http://schemas.openxmlformats.org/officeDocument/2006/relationships" r:embed="rId8"/>
          <a:stretch>
            <a:fillRect/>
          </a:stretch>
        </xdr:blipFill>
        <xdr:spPr>
          <a:xfrm>
            <a:off x="342900" y="94402275"/>
            <a:ext cx="6268017" cy="4257675"/>
          </a:xfrm>
          <a:prstGeom prst="rect">
            <a:avLst/>
          </a:prstGeom>
          <a:ln>
            <a:solidFill>
              <a:schemeClr val="tx1"/>
            </a:solidFill>
          </a:ln>
        </xdr:spPr>
      </xdr:pic>
      <xdr:sp macro="" textlink="">
        <xdr:nvSpPr>
          <xdr:cNvPr id="23" name="Rectangle 22"/>
          <xdr:cNvSpPr/>
        </xdr:nvSpPr>
        <xdr:spPr>
          <a:xfrm>
            <a:off x="3829049" y="95850075"/>
            <a:ext cx="695325" cy="10763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1" name="Rectangle 40"/>
          <xdr:cNvSpPr/>
        </xdr:nvSpPr>
        <xdr:spPr>
          <a:xfrm>
            <a:off x="3028950" y="96488251"/>
            <a:ext cx="695325" cy="66675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257175</xdr:colOff>
      <xdr:row>50</xdr:row>
      <xdr:rowOff>109939</xdr:rowOff>
    </xdr:from>
    <xdr:to>
      <xdr:col>15</xdr:col>
      <xdr:colOff>618067</xdr:colOff>
      <xdr:row>60</xdr:row>
      <xdr:rowOff>85136</xdr:rowOff>
    </xdr:to>
    <xdr:pic>
      <xdr:nvPicPr>
        <xdr:cNvPr id="2" name="Picture 1"/>
        <xdr:cNvPicPr>
          <a:picLocks noChangeAspect="1"/>
        </xdr:cNvPicPr>
      </xdr:nvPicPr>
      <xdr:blipFill>
        <a:blip xmlns:r="http://schemas.openxmlformats.org/officeDocument/2006/relationships" r:embed="rId9"/>
        <a:stretch>
          <a:fillRect/>
        </a:stretch>
      </xdr:blipFill>
      <xdr:spPr>
        <a:xfrm>
          <a:off x="7181850" y="11787589"/>
          <a:ext cx="6028267" cy="3356572"/>
        </a:xfrm>
        <a:prstGeom prst="rect">
          <a:avLst/>
        </a:prstGeom>
      </xdr:spPr>
    </xdr:pic>
    <xdr:clientData/>
  </xdr:twoCellAnchor>
  <xdr:twoCellAnchor editAs="oneCell">
    <xdr:from>
      <xdr:col>5</xdr:col>
      <xdr:colOff>246530</xdr:colOff>
      <xdr:row>371</xdr:row>
      <xdr:rowOff>123264</xdr:rowOff>
    </xdr:from>
    <xdr:to>
      <xdr:col>7</xdr:col>
      <xdr:colOff>296020</xdr:colOff>
      <xdr:row>382</xdr:row>
      <xdr:rowOff>64499</xdr:rowOff>
    </xdr:to>
    <xdr:pic>
      <xdr:nvPicPr>
        <xdr:cNvPr id="25" name="Picture 24" descr="https://vsjcllp.vsjadon.com/upload/insp-241144-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381501" y="7919197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62754</xdr:colOff>
      <xdr:row>359</xdr:row>
      <xdr:rowOff>163605</xdr:rowOff>
    </xdr:from>
    <xdr:to>
      <xdr:col>3</xdr:col>
      <xdr:colOff>126525</xdr:colOff>
      <xdr:row>371</xdr:row>
      <xdr:rowOff>26893</xdr:rowOff>
    </xdr:to>
    <xdr:pic>
      <xdr:nvPicPr>
        <xdr:cNvPr id="26" name="Picture 25" descr="https://vsjcllp.vsjadon.com/upload/insp-241144-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824754" y="76811840"/>
          <a:ext cx="1711036" cy="2283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293593</xdr:colOff>
      <xdr:row>359</xdr:row>
      <xdr:rowOff>170328</xdr:rowOff>
    </xdr:from>
    <xdr:to>
      <xdr:col>7</xdr:col>
      <xdr:colOff>435806</xdr:colOff>
      <xdr:row>371</xdr:row>
      <xdr:rowOff>33616</xdr:rowOff>
    </xdr:to>
    <xdr:pic>
      <xdr:nvPicPr>
        <xdr:cNvPr id="27" name="Picture 26" descr="https://vsjcllp.vsjadon.com/upload/insp-241144-849.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428564" y="76818563"/>
          <a:ext cx="1711036" cy="2283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217394</xdr:colOff>
      <xdr:row>359</xdr:row>
      <xdr:rowOff>172570</xdr:rowOff>
    </xdr:from>
    <xdr:to>
      <xdr:col>5</xdr:col>
      <xdr:colOff>202724</xdr:colOff>
      <xdr:row>371</xdr:row>
      <xdr:rowOff>35858</xdr:rowOff>
    </xdr:to>
    <xdr:pic>
      <xdr:nvPicPr>
        <xdr:cNvPr id="40" name="Picture 39" descr="https://vsjcllp.vsjadon.com/upload/insp-241144-86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626659" y="76820805"/>
          <a:ext cx="1711036" cy="22837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179295</xdr:colOff>
      <xdr:row>371</xdr:row>
      <xdr:rowOff>123263</xdr:rowOff>
    </xdr:from>
    <xdr:to>
      <xdr:col>3</xdr:col>
      <xdr:colOff>150343</xdr:colOff>
      <xdr:row>382</xdr:row>
      <xdr:rowOff>64498</xdr:rowOff>
    </xdr:to>
    <xdr:pic>
      <xdr:nvPicPr>
        <xdr:cNvPr id="42" name="Picture 41" descr="https://vsjcllp.vsjadon.com/upload/insp-241144-87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941295" y="7919196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118783</xdr:colOff>
      <xdr:row>339</xdr:row>
      <xdr:rowOff>40340</xdr:rowOff>
    </xdr:from>
    <xdr:to>
      <xdr:col>7</xdr:col>
      <xdr:colOff>808135</xdr:colOff>
      <xdr:row>359</xdr:row>
      <xdr:rowOff>78440</xdr:rowOff>
    </xdr:to>
    <xdr:pic>
      <xdr:nvPicPr>
        <xdr:cNvPr id="43" name="Picture 42" descr="https://vsjcllp.vsjadon.com/upload/insp-241144-102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469342" y="72665664"/>
          <a:ext cx="3042587" cy="406101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248772</xdr:colOff>
      <xdr:row>371</xdr:row>
      <xdr:rowOff>125506</xdr:rowOff>
    </xdr:from>
    <xdr:to>
      <xdr:col>5</xdr:col>
      <xdr:colOff>141379</xdr:colOff>
      <xdr:row>382</xdr:row>
      <xdr:rowOff>66741</xdr:rowOff>
    </xdr:to>
    <xdr:pic>
      <xdr:nvPicPr>
        <xdr:cNvPr id="44" name="Picture 43" descr="https://vsjcllp.vsjadon.com/upload/insp-241144-9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658037" y="79194212"/>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345141</xdr:colOff>
      <xdr:row>339</xdr:row>
      <xdr:rowOff>42581</xdr:rowOff>
    </xdr:from>
    <xdr:to>
      <xdr:col>4</xdr:col>
      <xdr:colOff>37169</xdr:colOff>
      <xdr:row>359</xdr:row>
      <xdr:rowOff>80681</xdr:rowOff>
    </xdr:to>
    <xdr:grpSp>
      <xdr:nvGrpSpPr>
        <xdr:cNvPr id="10" name="Group 9"/>
        <xdr:cNvGrpSpPr/>
      </xdr:nvGrpSpPr>
      <xdr:grpSpPr>
        <a:xfrm>
          <a:off x="345141" y="72242081"/>
          <a:ext cx="3044828" cy="4029075"/>
          <a:chOff x="345141" y="72242081"/>
          <a:chExt cx="3044828" cy="4029075"/>
        </a:xfrm>
      </xdr:grpSpPr>
      <xdr:pic>
        <xdr:nvPicPr>
          <xdr:cNvPr id="28" name="Picture 27" descr="https://vsjcllp.vsjadon.com/upload/insp-241144-85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345141" y="72242081"/>
            <a:ext cx="3044828" cy="4029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 name="TextBox 4"/>
          <xdr:cNvSpPr txBox="1"/>
        </xdr:nvSpPr>
        <xdr:spPr>
          <a:xfrm>
            <a:off x="2333625" y="72256650"/>
            <a:ext cx="10191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Tower A1</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jkVDZd1m3Jz48RE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507"/>
  <sheetViews>
    <sheetView tabSelected="1" showWhiteSpace="0" view="pageBreakPreview" zoomScaleNormal="100" zoomScaleSheetLayoutView="100" workbookViewId="0">
      <selection activeCell="K350" sqref="K350"/>
    </sheetView>
  </sheetViews>
  <sheetFormatPr defaultColWidth="9.140625" defaultRowHeight="15.75" x14ac:dyDescent="0.25"/>
  <cols>
    <col min="1" max="1" width="11.42578125" style="39" customWidth="1"/>
    <col min="2" max="2" width="12" style="39" customWidth="1"/>
    <col min="3" max="3" width="12.7109375" style="39" customWidth="1"/>
    <col min="4" max="4" width="14.140625" style="39" customWidth="1"/>
    <col min="5" max="7" width="11.7109375" style="39" customWidth="1"/>
    <col min="8" max="8" width="18.42578125" style="39" customWidth="1"/>
    <col min="9" max="9" width="17.42578125" style="20" customWidth="1"/>
    <col min="10" max="10" width="11.42578125" style="20" customWidth="1"/>
    <col min="11" max="11" width="11.28515625" style="20" bestFit="1" customWidth="1"/>
    <col min="12" max="12" width="10.5703125" style="20" customWidth="1"/>
    <col min="13" max="13" width="11.85546875" style="20" customWidth="1"/>
    <col min="14" max="14" width="12.5703125" style="20" customWidth="1"/>
    <col min="15" max="15" width="9.85546875" style="20" customWidth="1"/>
    <col min="16" max="16" width="11.7109375" style="20" customWidth="1"/>
    <col min="17"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8" ht="46.5" customHeight="1" x14ac:dyDescent="0.25">
      <c r="A1" s="162" t="s">
        <v>207</v>
      </c>
      <c r="B1" s="162"/>
      <c r="C1" s="162"/>
      <c r="D1" s="162"/>
      <c r="E1" s="162"/>
      <c r="F1" s="162"/>
      <c r="G1" s="162"/>
      <c r="H1" s="162"/>
    </row>
    <row r="2" spans="1:8" ht="16.5" customHeight="1" x14ac:dyDescent="0.25">
      <c r="A2" s="151" t="s">
        <v>0</v>
      </c>
      <c r="B2" s="151"/>
      <c r="C2" s="151"/>
      <c r="D2" s="151"/>
      <c r="E2" s="151"/>
      <c r="F2" s="151"/>
      <c r="G2" s="151"/>
      <c r="H2" s="151"/>
    </row>
    <row r="3" spans="1:8" x14ac:dyDescent="0.25">
      <c r="A3" s="98" t="s">
        <v>1</v>
      </c>
      <c r="B3" s="98"/>
      <c r="C3" s="98"/>
      <c r="D3" s="98"/>
      <c r="E3" s="98" t="str">
        <f ca="1">TEXT(TODAY(),"DD/MM/YYYY")</f>
        <v>21/07/2025</v>
      </c>
      <c r="F3" s="98"/>
      <c r="G3" s="98"/>
      <c r="H3" s="98"/>
    </row>
    <row r="4" spans="1:8" ht="15" customHeight="1" x14ac:dyDescent="0.25">
      <c r="A4" s="98" t="s">
        <v>2</v>
      </c>
      <c r="B4" s="98"/>
      <c r="C4" s="98"/>
      <c r="D4" s="98"/>
      <c r="E4" s="98" t="s">
        <v>172</v>
      </c>
      <c r="F4" s="98"/>
      <c r="G4" s="98"/>
      <c r="H4" s="98"/>
    </row>
    <row r="5" spans="1:8" x14ac:dyDescent="0.25">
      <c r="A5" s="104" t="s">
        <v>3</v>
      </c>
      <c r="B5" s="104"/>
      <c r="C5" s="104"/>
      <c r="D5" s="104"/>
      <c r="E5" s="165">
        <v>45859</v>
      </c>
      <c r="F5" s="98"/>
      <c r="G5" s="98"/>
      <c r="H5" s="98"/>
    </row>
    <row r="6" spans="1:8" ht="16.5" customHeight="1" x14ac:dyDescent="0.25">
      <c r="A6" s="98" t="s">
        <v>4</v>
      </c>
      <c r="B6" s="98"/>
      <c r="C6" s="98"/>
      <c r="D6" s="98"/>
      <c r="E6" s="98" t="s">
        <v>173</v>
      </c>
      <c r="F6" s="98"/>
      <c r="G6" s="98"/>
      <c r="H6" s="98"/>
    </row>
    <row r="7" spans="1:8" ht="15" customHeight="1" x14ac:dyDescent="0.25">
      <c r="A7" s="98" t="s">
        <v>5</v>
      </c>
      <c r="B7" s="98"/>
      <c r="C7" s="98"/>
      <c r="D7" s="98"/>
      <c r="E7" s="98" t="str">
        <f>E6</f>
        <v>Macrotech Developers Limited</v>
      </c>
      <c r="F7" s="98"/>
      <c r="G7" s="98"/>
      <c r="H7" s="98"/>
    </row>
    <row r="8" spans="1:8" x14ac:dyDescent="0.25">
      <c r="A8" s="98" t="s">
        <v>6</v>
      </c>
      <c r="B8" s="98"/>
      <c r="C8" s="98"/>
      <c r="D8" s="98"/>
      <c r="E8" s="163" t="s">
        <v>234</v>
      </c>
      <c r="F8" s="164"/>
      <c r="G8" s="164"/>
      <c r="H8" s="164"/>
    </row>
    <row r="9" spans="1:8" x14ac:dyDescent="0.25">
      <c r="A9" s="98" t="s">
        <v>203</v>
      </c>
      <c r="B9" s="98"/>
      <c r="C9" s="98"/>
      <c r="D9" s="98"/>
      <c r="E9" s="98" t="s">
        <v>204</v>
      </c>
      <c r="F9" s="98"/>
      <c r="G9" s="98"/>
      <c r="H9" s="98"/>
    </row>
    <row r="10" spans="1:8" x14ac:dyDescent="0.25">
      <c r="A10" s="98" t="s">
        <v>123</v>
      </c>
      <c r="B10" s="98"/>
      <c r="C10" s="98"/>
      <c r="D10" s="98"/>
      <c r="E10" s="98" t="s">
        <v>296</v>
      </c>
      <c r="F10" s="98"/>
      <c r="G10" s="98"/>
      <c r="H10" s="98"/>
    </row>
    <row r="11" spans="1:8" x14ac:dyDescent="0.25">
      <c r="A11" s="98" t="s">
        <v>7</v>
      </c>
      <c r="B11" s="98"/>
      <c r="C11" s="98"/>
      <c r="D11" s="98"/>
      <c r="E11" s="98" t="s">
        <v>244</v>
      </c>
      <c r="F11" s="98"/>
      <c r="G11" s="98"/>
      <c r="H11" s="98"/>
    </row>
    <row r="12" spans="1:8" s="22" customFormat="1" x14ac:dyDescent="0.25">
      <c r="A12" s="98" t="s">
        <v>8</v>
      </c>
      <c r="B12" s="98"/>
      <c r="C12" s="98"/>
      <c r="D12" s="98"/>
      <c r="E12" s="97" t="s">
        <v>174</v>
      </c>
      <c r="F12" s="97"/>
      <c r="G12" s="97"/>
      <c r="H12" s="97"/>
    </row>
    <row r="13" spans="1:8" ht="31.5" customHeight="1" x14ac:dyDescent="0.25">
      <c r="A13" s="91" t="s">
        <v>9</v>
      </c>
      <c r="B13" s="91"/>
      <c r="C13" s="91"/>
      <c r="D13" s="91"/>
      <c r="E13" s="97" t="s">
        <v>235</v>
      </c>
      <c r="F13" s="98"/>
      <c r="G13" s="98"/>
      <c r="H13" s="98"/>
    </row>
    <row r="14" spans="1:8" ht="33.75" customHeight="1" x14ac:dyDescent="0.25">
      <c r="A14" s="143" t="s">
        <v>10</v>
      </c>
      <c r="B14" s="143"/>
      <c r="C14" s="143" t="str">
        <f>CONCATENATE((IF(OR(E8="",E8="NA"),"",E8)),", ",(IF(OR(A15="",A15="NA"),"",A15)),".",(IF(OR(C15="",C15="NA"),"",C15)),", near ",(IF(OR(C20="",C20="NA"),"",C20)),", ",(IF(OR(C17="",C17="NA"),"",C17)),", ",(IF(OR(C16="",C16="NA"),"",C16)),", ",(IF(OR(G17="",G17="NA"),"",G17)),", ",(IF(OR(C18="",C18="NA"),"",C18)),", ",(IF(OR(C19="",C19="NA"),"",C19)),", ",(IF(OR(G18="",G18="NA"),"",G18))," - ",(IF(OR(G19="",G19="NA"),"",G19)),".")</f>
        <v>Lodha NCP Tower 1 &amp; 2, Plot No.Block C, near Wadala Monorail Depot, Sewri - Chembur Road, Wadala Truck Terminal, Wadala, Wadala East, Kurla, Mumbai - 400022.</v>
      </c>
      <c r="D14" s="143"/>
      <c r="E14" s="143"/>
      <c r="F14" s="143"/>
      <c r="G14" s="143"/>
      <c r="H14" s="143"/>
    </row>
    <row r="15" spans="1:8" x14ac:dyDescent="0.25">
      <c r="A15" s="97" t="s">
        <v>175</v>
      </c>
      <c r="B15" s="97"/>
      <c r="C15" s="97" t="s">
        <v>176</v>
      </c>
      <c r="D15" s="97"/>
      <c r="E15" s="97"/>
      <c r="F15" s="97"/>
      <c r="G15" s="97"/>
      <c r="H15" s="97"/>
    </row>
    <row r="16" spans="1:8" ht="15.75" customHeight="1" x14ac:dyDescent="0.25">
      <c r="A16" s="192" t="s">
        <v>170</v>
      </c>
      <c r="B16" s="193"/>
      <c r="C16" s="192" t="s">
        <v>181</v>
      </c>
      <c r="D16" s="194"/>
      <c r="E16" s="194"/>
      <c r="F16" s="194"/>
      <c r="G16" s="194"/>
      <c r="H16" s="193"/>
    </row>
    <row r="17" spans="1:8" ht="15.75" customHeight="1" x14ac:dyDescent="0.25">
      <c r="A17" s="143" t="s">
        <v>11</v>
      </c>
      <c r="B17" s="143"/>
      <c r="C17" s="98" t="s">
        <v>179</v>
      </c>
      <c r="D17" s="98"/>
      <c r="E17" s="143" t="s">
        <v>171</v>
      </c>
      <c r="F17" s="143"/>
      <c r="G17" s="97" t="s">
        <v>182</v>
      </c>
      <c r="H17" s="97"/>
    </row>
    <row r="18" spans="1:8" x14ac:dyDescent="0.25">
      <c r="A18" s="91" t="s">
        <v>13</v>
      </c>
      <c r="B18" s="91"/>
      <c r="C18" s="97" t="s">
        <v>184</v>
      </c>
      <c r="D18" s="97"/>
      <c r="E18" s="143" t="s">
        <v>12</v>
      </c>
      <c r="F18" s="143"/>
      <c r="G18" s="166" t="s">
        <v>183</v>
      </c>
      <c r="H18" s="166"/>
    </row>
    <row r="19" spans="1:8" x14ac:dyDescent="0.25">
      <c r="A19" s="91" t="s">
        <v>74</v>
      </c>
      <c r="B19" s="91"/>
      <c r="C19" s="97" t="s">
        <v>202</v>
      </c>
      <c r="D19" s="97"/>
      <c r="E19" s="143" t="s">
        <v>14</v>
      </c>
      <c r="F19" s="143"/>
      <c r="G19" s="97">
        <v>400022</v>
      </c>
      <c r="H19" s="97"/>
    </row>
    <row r="20" spans="1:8" ht="32.25" customHeight="1" x14ac:dyDescent="0.25">
      <c r="A20" s="91" t="s">
        <v>124</v>
      </c>
      <c r="B20" s="91"/>
      <c r="C20" s="97" t="s">
        <v>185</v>
      </c>
      <c r="D20" s="97"/>
      <c r="E20" s="143" t="s">
        <v>15</v>
      </c>
      <c r="F20" s="143"/>
      <c r="G20" s="97" t="s">
        <v>186</v>
      </c>
      <c r="H20" s="97"/>
    </row>
    <row r="21" spans="1:8" ht="15" customHeight="1" x14ac:dyDescent="0.25">
      <c r="A21" s="143" t="s">
        <v>77</v>
      </c>
      <c r="B21" s="143"/>
      <c r="C21" s="143"/>
      <c r="D21" s="143"/>
      <c r="E21" s="98" t="s">
        <v>16</v>
      </c>
      <c r="F21" s="98"/>
      <c r="G21" s="98"/>
      <c r="H21" s="98"/>
    </row>
    <row r="22" spans="1:8" ht="18.75" customHeight="1" x14ac:dyDescent="0.25">
      <c r="A22" s="143"/>
      <c r="B22" s="143"/>
      <c r="C22" s="143"/>
      <c r="D22" s="143"/>
      <c r="E22" s="98"/>
      <c r="F22" s="98"/>
      <c r="G22" s="98"/>
      <c r="H22" s="98"/>
    </row>
    <row r="23" spans="1:8" ht="15" customHeight="1" x14ac:dyDescent="0.25">
      <c r="A23" s="143" t="s">
        <v>17</v>
      </c>
      <c r="B23" s="143"/>
      <c r="C23" s="143"/>
      <c r="D23" s="143"/>
      <c r="E23" s="97" t="s">
        <v>18</v>
      </c>
      <c r="F23" s="97"/>
      <c r="G23" s="97"/>
      <c r="H23" s="97"/>
    </row>
    <row r="24" spans="1:8" ht="15" customHeight="1" x14ac:dyDescent="0.25">
      <c r="A24" s="91" t="s">
        <v>19</v>
      </c>
      <c r="B24" s="91"/>
      <c r="C24" s="91"/>
      <c r="D24" s="91"/>
      <c r="E24" s="97" t="str">
        <f>IF(AND(G18="Mumbai"),"Upper Class","Middle Class")</f>
        <v>Upper Class</v>
      </c>
      <c r="F24" s="97"/>
      <c r="G24" s="97"/>
      <c r="H24" s="97"/>
    </row>
    <row r="25" spans="1:8" x14ac:dyDescent="0.25">
      <c r="A25" s="91" t="s">
        <v>20</v>
      </c>
      <c r="B25" s="91"/>
      <c r="C25" s="91"/>
      <c r="D25" s="91"/>
      <c r="E25" s="97" t="s">
        <v>21</v>
      </c>
      <c r="F25" s="97"/>
      <c r="G25" s="97"/>
      <c r="H25" s="97"/>
    </row>
    <row r="26" spans="1:8" ht="15.75" customHeight="1" x14ac:dyDescent="0.25">
      <c r="A26" s="91" t="s">
        <v>22</v>
      </c>
      <c r="B26" s="91"/>
      <c r="C26" s="91"/>
      <c r="D26" s="91"/>
      <c r="E26" s="97" t="str">
        <f>IF(AND(G18="Mumbai"),"Developed","Developing")</f>
        <v>Developed</v>
      </c>
      <c r="F26" s="97"/>
      <c r="G26" s="97"/>
      <c r="H26" s="97"/>
    </row>
    <row r="27" spans="1:8" x14ac:dyDescent="0.25">
      <c r="A27" s="91" t="s">
        <v>23</v>
      </c>
      <c r="B27" s="91"/>
      <c r="C27" s="91"/>
      <c r="D27" s="91"/>
      <c r="E27" s="97" t="s">
        <v>24</v>
      </c>
      <c r="F27" s="97"/>
      <c r="G27" s="97"/>
      <c r="H27" s="97"/>
    </row>
    <row r="28" spans="1:8" ht="15.75" customHeight="1" x14ac:dyDescent="0.25">
      <c r="A28" s="91" t="s">
        <v>82</v>
      </c>
      <c r="B28" s="91"/>
      <c r="C28" s="91"/>
      <c r="D28" s="91"/>
      <c r="E28" s="97" t="s">
        <v>83</v>
      </c>
      <c r="F28" s="97"/>
      <c r="G28" s="97"/>
      <c r="H28" s="97"/>
    </row>
    <row r="29" spans="1:8" ht="15" customHeight="1" x14ac:dyDescent="0.25">
      <c r="A29" s="91" t="s">
        <v>33</v>
      </c>
      <c r="B29" s="91"/>
      <c r="C29" s="91"/>
      <c r="D29" s="91"/>
      <c r="E29" s="9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29" s="97"/>
      <c r="G29" s="97"/>
      <c r="H29" s="97"/>
    </row>
    <row r="30" spans="1:8" ht="15.75" customHeight="1" x14ac:dyDescent="0.25">
      <c r="A30" s="91" t="s">
        <v>92</v>
      </c>
      <c r="B30" s="91"/>
      <c r="C30" s="91"/>
      <c r="D30" s="91"/>
      <c r="E30" s="97" t="s">
        <v>34</v>
      </c>
      <c r="F30" s="97"/>
      <c r="G30" s="97"/>
      <c r="H30" s="97"/>
    </row>
    <row r="31" spans="1:8" s="21" customFormat="1" x14ac:dyDescent="0.25">
      <c r="A31" s="170" t="s">
        <v>93</v>
      </c>
      <c r="B31" s="170"/>
      <c r="C31" s="169" t="s">
        <v>29</v>
      </c>
      <c r="D31" s="169"/>
      <c r="E31" s="169"/>
      <c r="F31" s="169" t="s">
        <v>31</v>
      </c>
      <c r="G31" s="169"/>
      <c r="H31" s="169"/>
    </row>
    <row r="32" spans="1:8" s="21" customFormat="1" x14ac:dyDescent="0.25">
      <c r="A32" s="167" t="s">
        <v>25</v>
      </c>
      <c r="B32" s="167" t="s">
        <v>30</v>
      </c>
      <c r="C32" s="168" t="s">
        <v>236</v>
      </c>
      <c r="D32" s="168"/>
      <c r="E32" s="168"/>
      <c r="F32" s="168" t="s">
        <v>179</v>
      </c>
      <c r="G32" s="168"/>
      <c r="H32" s="168"/>
    </row>
    <row r="33" spans="1:12" x14ac:dyDescent="0.25">
      <c r="A33" s="167" t="s">
        <v>26</v>
      </c>
      <c r="B33" s="167" t="s">
        <v>30</v>
      </c>
      <c r="C33" s="168" t="s">
        <v>237</v>
      </c>
      <c r="D33" s="168"/>
      <c r="E33" s="168"/>
      <c r="F33" s="168" t="s">
        <v>178</v>
      </c>
      <c r="G33" s="168"/>
      <c r="H33" s="168"/>
    </row>
    <row r="34" spans="1:12" s="21" customFormat="1" x14ac:dyDescent="0.25">
      <c r="A34" s="167" t="s">
        <v>28</v>
      </c>
      <c r="B34" s="167" t="s">
        <v>30</v>
      </c>
      <c r="C34" s="168" t="s">
        <v>237</v>
      </c>
      <c r="D34" s="168"/>
      <c r="E34" s="168"/>
      <c r="F34" s="168" t="s">
        <v>180</v>
      </c>
      <c r="G34" s="168"/>
      <c r="H34" s="168"/>
    </row>
    <row r="35" spans="1:12" x14ac:dyDescent="0.25">
      <c r="A35" s="167" t="s">
        <v>27</v>
      </c>
      <c r="B35" s="167" t="s">
        <v>30</v>
      </c>
      <c r="C35" s="168" t="s">
        <v>237</v>
      </c>
      <c r="D35" s="168"/>
      <c r="E35" s="168"/>
      <c r="F35" s="168" t="s">
        <v>177</v>
      </c>
      <c r="G35" s="168"/>
      <c r="H35" s="168"/>
    </row>
    <row r="36" spans="1:12" x14ac:dyDescent="0.25">
      <c r="A36" s="91" t="s">
        <v>32</v>
      </c>
      <c r="B36" s="91"/>
      <c r="C36" s="91"/>
      <c r="D36" s="91"/>
      <c r="E36" s="91"/>
      <c r="F36" s="91"/>
      <c r="G36" s="91"/>
      <c r="H36" s="91"/>
    </row>
    <row r="37" spans="1:12" ht="15.75" customHeight="1" x14ac:dyDescent="0.25">
      <c r="A37" s="91" t="s">
        <v>206</v>
      </c>
      <c r="B37" s="91"/>
      <c r="C37" s="175" t="s">
        <v>238</v>
      </c>
      <c r="D37" s="176"/>
      <c r="E37" s="176"/>
      <c r="F37" s="176"/>
      <c r="G37" s="176"/>
      <c r="H37" s="177"/>
    </row>
    <row r="38" spans="1:12" x14ac:dyDescent="0.25">
      <c r="A38" s="91" t="s">
        <v>169</v>
      </c>
      <c r="B38" s="91"/>
      <c r="C38" s="195" t="s">
        <v>187</v>
      </c>
      <c r="D38" s="97"/>
      <c r="E38" s="97"/>
      <c r="F38" s="97"/>
      <c r="G38" s="97"/>
      <c r="H38" s="97"/>
    </row>
    <row r="39" spans="1:12" x14ac:dyDescent="0.25">
      <c r="A39" s="105" t="s">
        <v>35</v>
      </c>
      <c r="B39" s="105"/>
      <c r="C39" s="105"/>
      <c r="D39" s="105"/>
      <c r="E39" s="105"/>
      <c r="F39" s="105"/>
      <c r="G39" s="105"/>
      <c r="H39" s="105"/>
    </row>
    <row r="40" spans="1:12" x14ac:dyDescent="0.25">
      <c r="A40" s="91" t="s">
        <v>36</v>
      </c>
      <c r="B40" s="91"/>
      <c r="C40" s="91"/>
      <c r="D40" s="91"/>
      <c r="E40" s="179">
        <v>81740</v>
      </c>
      <c r="F40" s="179"/>
      <c r="G40" s="179"/>
      <c r="H40" s="179"/>
    </row>
    <row r="41" spans="1:12" x14ac:dyDescent="0.25">
      <c r="A41" s="91" t="s">
        <v>37</v>
      </c>
      <c r="B41" s="91"/>
      <c r="C41" s="91"/>
      <c r="D41" s="91"/>
      <c r="E41" s="90" t="s">
        <v>262</v>
      </c>
      <c r="F41" s="90"/>
      <c r="G41" s="90"/>
      <c r="H41" s="90"/>
    </row>
    <row r="42" spans="1:12" x14ac:dyDescent="0.25">
      <c r="A42" s="91" t="s">
        <v>38</v>
      </c>
      <c r="B42" s="91"/>
      <c r="C42" s="91"/>
      <c r="D42" s="91"/>
      <c r="E42" s="90" t="s">
        <v>262</v>
      </c>
      <c r="F42" s="90"/>
      <c r="G42" s="90"/>
      <c r="H42" s="90"/>
      <c r="I42" s="90" t="e">
        <f>I44/I40-I41</f>
        <v>#DIV/0!</v>
      </c>
      <c r="J42" s="90"/>
      <c r="K42" s="90"/>
      <c r="L42" s="90"/>
    </row>
    <row r="43" spans="1:12" x14ac:dyDescent="0.25">
      <c r="A43" s="91" t="s">
        <v>39</v>
      </c>
      <c r="B43" s="91"/>
      <c r="C43" s="91"/>
      <c r="D43" s="91"/>
      <c r="E43" s="90" t="s">
        <v>262</v>
      </c>
      <c r="F43" s="90"/>
      <c r="G43" s="90"/>
      <c r="H43" s="90"/>
      <c r="I43" s="90" t="e">
        <f>I41+I42</f>
        <v>#DIV/0!</v>
      </c>
      <c r="J43" s="90"/>
      <c r="K43" s="90"/>
      <c r="L43" s="90"/>
    </row>
    <row r="44" spans="1:12" x14ac:dyDescent="0.25">
      <c r="A44" s="91" t="s">
        <v>239</v>
      </c>
      <c r="B44" s="91"/>
      <c r="C44" s="91"/>
      <c r="D44" s="91"/>
      <c r="E44" s="174">
        <v>318687.37</v>
      </c>
      <c r="F44" s="174"/>
      <c r="G44" s="174"/>
      <c r="H44" s="174"/>
    </row>
    <row r="45" spans="1:12" x14ac:dyDescent="0.25">
      <c r="A45" s="104" t="s">
        <v>40</v>
      </c>
      <c r="B45" s="104"/>
      <c r="C45" s="104"/>
      <c r="D45" s="104"/>
      <c r="E45" s="98" t="s">
        <v>243</v>
      </c>
      <c r="F45" s="98"/>
      <c r="G45" s="98"/>
      <c r="H45" s="98"/>
    </row>
    <row r="46" spans="1:12" x14ac:dyDescent="0.25">
      <c r="A46" s="105" t="s">
        <v>41</v>
      </c>
      <c r="B46" s="105"/>
      <c r="C46" s="105"/>
      <c r="D46" s="105"/>
      <c r="E46" s="105"/>
      <c r="F46" s="105"/>
      <c r="G46" s="105"/>
      <c r="H46" s="105"/>
    </row>
    <row r="47" spans="1:12" ht="33.75" customHeight="1" x14ac:dyDescent="0.25">
      <c r="A47" s="92" t="s">
        <v>156</v>
      </c>
      <c r="B47" s="93"/>
      <c r="C47" s="196" t="s">
        <v>188</v>
      </c>
      <c r="D47" s="197"/>
      <c r="E47" s="197"/>
      <c r="F47" s="197"/>
      <c r="G47" s="197"/>
      <c r="H47" s="198"/>
    </row>
    <row r="48" spans="1:12" ht="33" customHeight="1" x14ac:dyDescent="0.25">
      <c r="A48" s="201" t="s">
        <v>42</v>
      </c>
      <c r="B48" s="202"/>
      <c r="C48" s="92" t="s">
        <v>242</v>
      </c>
      <c r="D48" s="94"/>
      <c r="E48" s="93"/>
      <c r="F48" s="18" t="s">
        <v>43</v>
      </c>
      <c r="G48" s="95">
        <v>45786</v>
      </c>
      <c r="H48" s="93"/>
    </row>
    <row r="49" spans="1:8" x14ac:dyDescent="0.25">
      <c r="A49" s="203" t="s">
        <v>246</v>
      </c>
      <c r="B49" s="204"/>
      <c r="C49" s="204"/>
      <c r="D49" s="204"/>
      <c r="E49" s="204"/>
      <c r="F49" s="204"/>
      <c r="G49" s="204"/>
      <c r="H49" s="205"/>
    </row>
    <row r="50" spans="1:8" ht="31.5" customHeight="1" x14ac:dyDescent="0.25">
      <c r="A50" s="92" t="s">
        <v>44</v>
      </c>
      <c r="B50" s="93"/>
      <c r="C50" s="92" t="str">
        <f>C48</f>
        <v>TCP/WTT/Block-C/CC/Vol-XXIII/ 1147/2025</v>
      </c>
      <c r="D50" s="94"/>
      <c r="E50" s="93"/>
      <c r="F50" s="18" t="s">
        <v>43</v>
      </c>
      <c r="G50" s="95" t="s">
        <v>297</v>
      </c>
      <c r="H50" s="96"/>
    </row>
    <row r="51" spans="1:8" s="22" customFormat="1" ht="33.75" customHeight="1" x14ac:dyDescent="0.25">
      <c r="A51" s="106" t="s">
        <v>160</v>
      </c>
      <c r="B51" s="107"/>
      <c r="C51" s="92" t="s">
        <v>242</v>
      </c>
      <c r="D51" s="94"/>
      <c r="E51" s="93"/>
      <c r="F51" s="18" t="s">
        <v>43</v>
      </c>
      <c r="G51" s="95">
        <v>45786</v>
      </c>
      <c r="H51" s="96"/>
    </row>
    <row r="52" spans="1:8" s="22" customFormat="1" ht="17.25" customHeight="1" x14ac:dyDescent="0.25">
      <c r="A52" s="108"/>
      <c r="B52" s="109"/>
      <c r="C52" s="92" t="s">
        <v>298</v>
      </c>
      <c r="D52" s="94"/>
      <c r="E52" s="94"/>
      <c r="F52" s="94"/>
      <c r="G52" s="94"/>
      <c r="H52" s="93"/>
    </row>
    <row r="53" spans="1:8" ht="33" hidden="1" customHeight="1" x14ac:dyDescent="0.25">
      <c r="A53" s="92" t="s">
        <v>42</v>
      </c>
      <c r="B53" s="93"/>
      <c r="C53" s="92" t="s">
        <v>189</v>
      </c>
      <c r="D53" s="94"/>
      <c r="E53" s="93"/>
      <c r="F53" s="18" t="s">
        <v>43</v>
      </c>
      <c r="G53" s="95">
        <v>44699</v>
      </c>
      <c r="H53" s="93"/>
    </row>
    <row r="54" spans="1:8" ht="63.95" customHeight="1" x14ac:dyDescent="0.25">
      <c r="A54" s="99" t="s">
        <v>240</v>
      </c>
      <c r="B54" s="101"/>
      <c r="C54" s="99" t="s">
        <v>233</v>
      </c>
      <c r="D54" s="100"/>
      <c r="E54" s="101"/>
      <c r="F54" s="73" t="s">
        <v>43</v>
      </c>
      <c r="G54" s="137">
        <v>45821</v>
      </c>
      <c r="H54" s="138"/>
    </row>
    <row r="55" spans="1:8" x14ac:dyDescent="0.25">
      <c r="A55" s="203" t="s">
        <v>245</v>
      </c>
      <c r="B55" s="206"/>
      <c r="C55" s="206"/>
      <c r="D55" s="206"/>
      <c r="E55" s="206"/>
      <c r="F55" s="206"/>
      <c r="G55" s="206"/>
      <c r="H55" s="207"/>
    </row>
    <row r="56" spans="1:8" ht="31.5" customHeight="1" x14ac:dyDescent="0.25">
      <c r="A56" s="92" t="s">
        <v>44</v>
      </c>
      <c r="B56" s="93"/>
      <c r="C56" s="92" t="s">
        <v>242</v>
      </c>
      <c r="D56" s="94"/>
      <c r="E56" s="93"/>
      <c r="F56" s="18" t="s">
        <v>43</v>
      </c>
      <c r="G56" s="95">
        <v>45786</v>
      </c>
      <c r="H56" s="96"/>
    </row>
    <row r="57" spans="1:8" s="22" customFormat="1" ht="33.75" customHeight="1" x14ac:dyDescent="0.25">
      <c r="A57" s="106" t="s">
        <v>160</v>
      </c>
      <c r="B57" s="107"/>
      <c r="C57" s="92" t="s">
        <v>242</v>
      </c>
      <c r="D57" s="94"/>
      <c r="E57" s="93"/>
      <c r="F57" s="18" t="s">
        <v>43</v>
      </c>
      <c r="G57" s="95">
        <v>45786</v>
      </c>
      <c r="H57" s="96"/>
    </row>
    <row r="58" spans="1:8" s="22" customFormat="1" x14ac:dyDescent="0.25">
      <c r="A58" s="108"/>
      <c r="B58" s="109"/>
      <c r="C58" s="92" t="s">
        <v>299</v>
      </c>
      <c r="D58" s="94"/>
      <c r="E58" s="94"/>
      <c r="F58" s="94"/>
      <c r="G58" s="94"/>
      <c r="H58" s="93"/>
    </row>
    <row r="59" spans="1:8" s="22" customFormat="1" ht="20.25" customHeight="1" x14ac:dyDescent="0.25">
      <c r="A59" s="106" t="s">
        <v>279</v>
      </c>
      <c r="B59" s="107"/>
      <c r="C59" s="92" t="s">
        <v>280</v>
      </c>
      <c r="D59" s="94"/>
      <c r="E59" s="93"/>
      <c r="F59" s="18" t="s">
        <v>43</v>
      </c>
      <c r="G59" s="95">
        <v>45608</v>
      </c>
      <c r="H59" s="96"/>
    </row>
    <row r="60" spans="1:8" s="22" customFormat="1" ht="34.5" customHeight="1" x14ac:dyDescent="0.25">
      <c r="A60" s="108"/>
      <c r="B60" s="109"/>
      <c r="C60" s="92" t="s">
        <v>281</v>
      </c>
      <c r="D60" s="94"/>
      <c r="E60" s="94"/>
      <c r="F60" s="94"/>
      <c r="G60" s="94"/>
      <c r="H60" s="93"/>
    </row>
    <row r="61" spans="1:8" x14ac:dyDescent="0.25">
      <c r="A61" s="139" t="s">
        <v>241</v>
      </c>
      <c r="B61" s="140"/>
      <c r="C61" s="99" t="s">
        <v>30</v>
      </c>
      <c r="D61" s="100"/>
      <c r="E61" s="101"/>
      <c r="F61" s="51" t="s">
        <v>43</v>
      </c>
      <c r="G61" s="137" t="s">
        <v>30</v>
      </c>
      <c r="H61" s="138"/>
    </row>
    <row r="62" spans="1:8" hidden="1" x14ac:dyDescent="0.25">
      <c r="A62" s="141"/>
      <c r="B62" s="142"/>
      <c r="C62" s="99" t="s">
        <v>30</v>
      </c>
      <c r="D62" s="100"/>
      <c r="E62" s="100"/>
      <c r="F62" s="100"/>
      <c r="G62" s="100"/>
      <c r="H62" s="101"/>
    </row>
    <row r="63" spans="1:8" x14ac:dyDescent="0.25">
      <c r="A63" s="102" t="s">
        <v>46</v>
      </c>
      <c r="B63" s="102"/>
      <c r="C63" s="102"/>
      <c r="D63" s="102"/>
      <c r="E63" s="102"/>
      <c r="F63" s="102"/>
      <c r="G63" s="102"/>
      <c r="H63" s="102"/>
    </row>
    <row r="64" spans="1:8" ht="30.75" customHeight="1" x14ac:dyDescent="0.25">
      <c r="A64" s="103" t="s">
        <v>285</v>
      </c>
      <c r="B64" s="103"/>
      <c r="C64" s="103"/>
      <c r="D64" s="91">
        <f>24944.25+23691.1</f>
        <v>48635.35</v>
      </c>
      <c r="E64" s="91"/>
      <c r="F64" s="91"/>
      <c r="G64" s="91"/>
      <c r="H64" s="91"/>
    </row>
    <row r="65" spans="1:14" x14ac:dyDescent="0.25">
      <c r="A65" s="229" t="s">
        <v>47</v>
      </c>
      <c r="B65" s="104"/>
      <c r="C65" s="104"/>
      <c r="D65" s="98" t="s">
        <v>286</v>
      </c>
      <c r="E65" s="98"/>
      <c r="F65" s="98"/>
      <c r="G65" s="98"/>
      <c r="H65" s="98"/>
      <c r="I65" s="23"/>
    </row>
    <row r="66" spans="1:14" ht="34.5" customHeight="1" x14ac:dyDescent="0.25">
      <c r="A66" s="148" t="s">
        <v>48</v>
      </c>
      <c r="B66" s="149"/>
      <c r="C66" s="150"/>
      <c r="D66" s="145" t="s">
        <v>249</v>
      </c>
      <c r="E66" s="147"/>
      <c r="F66" s="147"/>
      <c r="G66" s="147"/>
      <c r="H66" s="147"/>
      <c r="I66" s="20" t="s">
        <v>190</v>
      </c>
    </row>
    <row r="67" spans="1:14" ht="15.75" customHeight="1" x14ac:dyDescent="0.25">
      <c r="A67" s="148" t="s">
        <v>90</v>
      </c>
      <c r="B67" s="149"/>
      <c r="C67" s="150"/>
      <c r="D67" s="97" t="s">
        <v>248</v>
      </c>
      <c r="E67" s="98"/>
      <c r="F67" s="98"/>
      <c r="G67" s="98"/>
      <c r="H67" s="98"/>
    </row>
    <row r="68" spans="1:14" x14ac:dyDescent="0.25">
      <c r="A68" s="208"/>
      <c r="B68" s="209"/>
      <c r="C68" s="210"/>
      <c r="D68" s="229" t="s">
        <v>250</v>
      </c>
      <c r="E68" s="104"/>
      <c r="F68" s="104"/>
      <c r="G68" s="104"/>
      <c r="H68" s="104"/>
    </row>
    <row r="69" spans="1:14" ht="31.5" customHeight="1" x14ac:dyDescent="0.25">
      <c r="A69" s="91" t="s">
        <v>45</v>
      </c>
      <c r="B69" s="91"/>
      <c r="C69" s="91"/>
      <c r="D69" s="171" t="s">
        <v>247</v>
      </c>
      <c r="E69" s="171"/>
      <c r="F69" s="171"/>
      <c r="G69" s="171"/>
      <c r="H69" s="171"/>
      <c r="J69" s="24"/>
      <c r="K69" s="23"/>
      <c r="N69" s="23"/>
    </row>
    <row r="70" spans="1:14" ht="15.75" customHeight="1" x14ac:dyDescent="0.25">
      <c r="A70" s="91" t="s">
        <v>88</v>
      </c>
      <c r="B70" s="91"/>
      <c r="C70" s="91"/>
      <c r="D70" s="173" t="str">
        <f>(IF(G61="NA","60 Years After Completion",IF(G61&lt;&gt;"NA",""&amp;60-ROUNDDOWN((E3-G61)/360,0)&amp;" Years"," ")))</f>
        <v>60 Years After Completion</v>
      </c>
      <c r="E70" s="173"/>
      <c r="F70" s="173"/>
      <c r="G70" s="173"/>
      <c r="H70" s="173"/>
      <c r="N70" s="23"/>
    </row>
    <row r="71" spans="1:14" ht="15.75" customHeight="1" x14ac:dyDescent="0.25">
      <c r="A71" s="91" t="s">
        <v>89</v>
      </c>
      <c r="B71" s="91"/>
      <c r="C71" s="91"/>
      <c r="D71" s="143" t="s">
        <v>24</v>
      </c>
      <c r="E71" s="143"/>
      <c r="F71" s="143"/>
      <c r="G71" s="143"/>
      <c r="H71" s="143"/>
      <c r="J71" s="25"/>
      <c r="K71" s="25"/>
    </row>
    <row r="72" spans="1:14" ht="15" hidden="1" customHeight="1" x14ac:dyDescent="0.25">
      <c r="A72" s="91" t="s">
        <v>75</v>
      </c>
      <c r="B72" s="91"/>
      <c r="C72" s="91"/>
      <c r="D72" s="97" t="s">
        <v>152</v>
      </c>
      <c r="E72" s="143"/>
      <c r="F72" s="143"/>
      <c r="G72" s="143"/>
      <c r="H72" s="143"/>
    </row>
    <row r="73" spans="1:14" x14ac:dyDescent="0.25">
      <c r="A73" s="143" t="s">
        <v>153</v>
      </c>
      <c r="B73" s="143"/>
      <c r="C73" s="143"/>
      <c r="D73" s="143" t="s">
        <v>30</v>
      </c>
      <c r="E73" s="143"/>
      <c r="F73" s="143"/>
      <c r="G73" s="143"/>
      <c r="H73" s="143"/>
      <c r="I73" s="26"/>
      <c r="J73" s="26"/>
      <c r="K73" s="26"/>
      <c r="L73" s="26"/>
      <c r="M73" s="26"/>
      <c r="N73" s="26"/>
    </row>
    <row r="74" spans="1:14" ht="15.75" customHeight="1" x14ac:dyDescent="0.25">
      <c r="A74" s="144" t="s">
        <v>87</v>
      </c>
      <c r="B74" s="144"/>
      <c r="C74" s="144"/>
      <c r="D74" s="145" t="str">
        <f ca="1">(IF(G80&gt;95%,"Nothing",IF(G80&gt;0%,"Cement, Aggregate, Steel, etc",IF(G80=0%,"Work not yet Started"))))</f>
        <v>Cement, Aggregate, Steel, etc</v>
      </c>
      <c r="E74" s="145"/>
      <c r="F74" s="145"/>
      <c r="G74" s="145"/>
      <c r="H74" s="145"/>
      <c r="J74" s="25"/>
    </row>
    <row r="75" spans="1:14" ht="33.75" customHeight="1" thickBot="1" x14ac:dyDescent="0.3">
      <c r="A75" s="185" t="s">
        <v>116</v>
      </c>
      <c r="B75" s="185"/>
      <c r="C75" s="185"/>
      <c r="D75" s="145" t="str">
        <f ca="1">(IF(D74="Nothing","Yes",IF(D74="Cement, Aggregate, Steel, etc","Under Construction",IF(D74="Work not yet Started","Work not yet Started"))))</f>
        <v>Under Construction</v>
      </c>
      <c r="E75" s="145"/>
      <c r="F75" s="145" t="str">
        <f ca="1">(IF(D74="Nothing","Yes",IF(D74="Cement, Aggregate, Steel, etc","Under Construction",IF(D74="Work not yet Started","Work not yet Started"))))</f>
        <v>Under Construction</v>
      </c>
      <c r="G75" s="145"/>
      <c r="H75" s="145"/>
    </row>
    <row r="76" spans="1:14" ht="15.75" customHeight="1" x14ac:dyDescent="0.25">
      <c r="A76" s="230" t="s">
        <v>142</v>
      </c>
      <c r="B76" s="231"/>
      <c r="C76" s="181" t="str">
        <f>D67</f>
        <v>Tower A1 = G + 1st to 41st Part Floor</v>
      </c>
      <c r="D76" s="182"/>
      <c r="E76" s="182"/>
      <c r="F76" s="182"/>
      <c r="G76" s="182"/>
      <c r="H76" s="183"/>
      <c r="I76" s="47" t="str">
        <f ca="1">IF(D89=100%,"All work Completed. Possession granted to the Building.",IF(D88=100%,"All work Completed, Waiting for OC",I77&amp;""&amp;I78&amp;""&amp;J77&amp;""&amp;J76&amp;" "&amp;J78))</f>
        <v>Excavation, Plinth, RCC Slab, Brickwork, Internal Plaster, External Plaster Completed, Flooring upto 37 Floor, Painting upto 36 Floor, Finishing upto 5 Floor Completed</v>
      </c>
      <c r="J76" s="48"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Flooring upto 37 Floor, Painting upto 36 Floor, Finishing upto 5 Floor</v>
      </c>
    </row>
    <row r="77" spans="1:14" x14ac:dyDescent="0.25">
      <c r="A77" s="16" t="s">
        <v>144</v>
      </c>
      <c r="B77" s="45">
        <v>0</v>
      </c>
      <c r="C77" s="45" t="s">
        <v>73</v>
      </c>
      <c r="D77" s="45">
        <v>1</v>
      </c>
      <c r="E77" s="45" t="s">
        <v>72</v>
      </c>
      <c r="F77" s="45">
        <v>0</v>
      </c>
      <c r="G77" s="46" t="s">
        <v>81</v>
      </c>
      <c r="H77" s="17">
        <f ca="1">--TRIM(RIGHT(SUBSTITUTE(LEFT(C76,_xlfn.AGGREGATE(16,6,FIND({0,1,2,3,4,5,6,7,8,9},C76,ROW(INDIRECT("1:"&amp;LEN(C76)))),1))," ",REPT(" ",LEN(C76))),LEN(C76)))</f>
        <v>41</v>
      </c>
      <c r="I77" s="49"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v>
      </c>
      <c r="J77" s="50"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row>
    <row r="78" spans="1:14" ht="50.25" customHeight="1" x14ac:dyDescent="0.25">
      <c r="A78" s="180" t="s">
        <v>91</v>
      </c>
      <c r="B78" s="164"/>
      <c r="C78" s="163" t="str">
        <f ca="1">(IF($C$62=C76,"All work Completed. OC Received.",I76))</f>
        <v>Excavation, Plinth, RCC Slab, Brickwork, Internal Plaster, External Plaster Completed, Flooring upto 37 Floor, Painting upto 36 Floor, Finishing upto 5 Floor Completed</v>
      </c>
      <c r="D78" s="163"/>
      <c r="E78" s="163"/>
      <c r="F78" s="163"/>
      <c r="G78" s="163"/>
      <c r="H78" s="184"/>
      <c r="I78" s="49" t="str">
        <f ca="1">IF(I77&lt;&gt;""," Completed","")</f>
        <v xml:space="preserve"> Completed</v>
      </c>
      <c r="J78" s="50" t="str">
        <f ca="1">IF(J76&lt;&gt;"","Completed","")</f>
        <v>Completed</v>
      </c>
    </row>
    <row r="79" spans="1:14" x14ac:dyDescent="0.25">
      <c r="A79" s="178" t="s">
        <v>49</v>
      </c>
      <c r="B79" s="112"/>
      <c r="C79" s="43" t="s">
        <v>141</v>
      </c>
      <c r="D79" s="43" t="s">
        <v>84</v>
      </c>
      <c r="E79" s="112" t="s">
        <v>86</v>
      </c>
      <c r="F79" s="112"/>
      <c r="G79" s="112" t="s">
        <v>85</v>
      </c>
      <c r="H79" s="146"/>
      <c r="I79" s="14" t="s">
        <v>143</v>
      </c>
      <c r="J79" s="27">
        <f ca="1">H77*25%</f>
        <v>10.25</v>
      </c>
    </row>
    <row r="80" spans="1:14" x14ac:dyDescent="0.25">
      <c r="A80" s="112" t="s">
        <v>130</v>
      </c>
      <c r="B80" s="112"/>
      <c r="C80" s="70">
        <f ca="1">J81</f>
        <v>41</v>
      </c>
      <c r="D80" s="19">
        <f ca="1">((100/H77)*C80)/100</f>
        <v>1</v>
      </c>
      <c r="E80" s="172">
        <f ca="1">(((C81/H77*10)+(40/(D77+F77+H77)*C82)+(7.5/(H77)*C83)+(7.5/(H77)*C84)+(10/H77*C85)+(10/H77*C86)+(5/H77*C87)+(5/H77*C88)+(5/H77*C89))/100)</f>
        <v>0.8902439024390244</v>
      </c>
      <c r="F80" s="172"/>
      <c r="G80" s="172">
        <f ca="1">((((C80/H77)*20)+((C81/H77)*25)+(30/(H77+F77+D77)*C82)+(5/H77*C83)+(5/H77*C84)+(5/H77*C85)+(5/H77*C86)+(0/H77*C87)+(0/H77*C88)+(5/H77*C89))/100)</f>
        <v>0.94512195121951226</v>
      </c>
      <c r="H80" s="172"/>
      <c r="I80" s="14" t="s">
        <v>99</v>
      </c>
      <c r="J80" s="28">
        <f ca="1">H77*50%</f>
        <v>20.5</v>
      </c>
    </row>
    <row r="81" spans="1:10" x14ac:dyDescent="0.25">
      <c r="A81" s="112" t="s">
        <v>50</v>
      </c>
      <c r="B81" s="112"/>
      <c r="C81" s="58">
        <f ca="1">J89</f>
        <v>41</v>
      </c>
      <c r="D81" s="19">
        <f ca="1">((100/H77)*C81)/100</f>
        <v>1</v>
      </c>
      <c r="E81" s="172"/>
      <c r="F81" s="172"/>
      <c r="G81" s="172"/>
      <c r="H81" s="172"/>
      <c r="I81" s="14" t="s">
        <v>100</v>
      </c>
      <c r="J81" s="28">
        <f ca="1">H77</f>
        <v>41</v>
      </c>
    </row>
    <row r="82" spans="1:10" ht="15.75" customHeight="1" x14ac:dyDescent="0.25">
      <c r="A82" s="112" t="s">
        <v>131</v>
      </c>
      <c r="B82" s="112"/>
      <c r="C82" s="70">
        <v>42</v>
      </c>
      <c r="D82" s="19">
        <f ca="1">((100/(D77+F77+H77))*C82)/100</f>
        <v>1</v>
      </c>
      <c r="E82" s="172"/>
      <c r="F82" s="172"/>
      <c r="G82" s="172"/>
      <c r="H82" s="172"/>
      <c r="I82" s="14" t="s">
        <v>101</v>
      </c>
      <c r="J82" s="29">
        <f ca="1">(IF(B77&gt;1,(H77/(B77+2)),H77/4))</f>
        <v>10.25</v>
      </c>
    </row>
    <row r="83" spans="1:10" ht="15.75" customHeight="1" x14ac:dyDescent="0.25">
      <c r="A83" s="112" t="s">
        <v>138</v>
      </c>
      <c r="B83" s="112" t="s">
        <v>132</v>
      </c>
      <c r="C83" s="70">
        <f>C82-F77-D77</f>
        <v>41</v>
      </c>
      <c r="D83" s="19">
        <f ca="1">((100/H77)*C83)/100</f>
        <v>1</v>
      </c>
      <c r="E83" s="172"/>
      <c r="F83" s="172"/>
      <c r="G83" s="172"/>
      <c r="H83" s="172"/>
      <c r="I83" s="14" t="s">
        <v>102</v>
      </c>
      <c r="J83" s="29">
        <f ca="1">(IF(B77&gt;1,(H77/(B77+2)+J82),H77/4+J82))</f>
        <v>20.5</v>
      </c>
    </row>
    <row r="84" spans="1:10" ht="15.75" customHeight="1" x14ac:dyDescent="0.25">
      <c r="A84" s="112" t="s">
        <v>139</v>
      </c>
      <c r="B84" s="112" t="s">
        <v>132</v>
      </c>
      <c r="C84" s="58">
        <v>41</v>
      </c>
      <c r="D84" s="19">
        <f ca="1">((100/H77)*C84)/100</f>
        <v>1</v>
      </c>
      <c r="E84" s="172"/>
      <c r="F84" s="172"/>
      <c r="G84" s="172"/>
      <c r="H84" s="172"/>
      <c r="I84" s="14" t="s">
        <v>150</v>
      </c>
      <c r="J84" s="29">
        <f>(IF(B77&gt;1,(H77/(B77+2)+J83),0))</f>
        <v>0</v>
      </c>
    </row>
    <row r="85" spans="1:10" ht="15" customHeight="1" x14ac:dyDescent="0.25">
      <c r="A85" s="112" t="s">
        <v>137</v>
      </c>
      <c r="B85" s="112" t="s">
        <v>134</v>
      </c>
      <c r="C85" s="58">
        <v>41</v>
      </c>
      <c r="D85" s="19">
        <f ca="1">((100/(H77))*C85)/100</f>
        <v>1</v>
      </c>
      <c r="E85" s="172"/>
      <c r="F85" s="172"/>
      <c r="G85" s="172"/>
      <c r="H85" s="172"/>
      <c r="I85" s="14" t="s">
        <v>145</v>
      </c>
      <c r="J85" s="29">
        <f>(IF(B77&gt;2,(H77/(B77+2)+J84),0))</f>
        <v>0</v>
      </c>
    </row>
    <row r="86" spans="1:10" ht="15.75" customHeight="1" x14ac:dyDescent="0.25">
      <c r="A86" s="112" t="s">
        <v>133</v>
      </c>
      <c r="B86" s="112" t="s">
        <v>133</v>
      </c>
      <c r="C86" s="70">
        <v>37</v>
      </c>
      <c r="D86" s="19">
        <f ca="1">((100/H77)*C86)/100</f>
        <v>0.90243902439024382</v>
      </c>
      <c r="E86" s="172"/>
      <c r="F86" s="172"/>
      <c r="G86" s="172"/>
      <c r="H86" s="172"/>
      <c r="I86" s="14" t="s">
        <v>146</v>
      </c>
      <c r="J86" s="30">
        <f>(IF(B77&gt;3,(H77/(B77+2)+J85),0))</f>
        <v>0</v>
      </c>
    </row>
    <row r="87" spans="1:10" ht="15.75" customHeight="1" x14ac:dyDescent="0.25">
      <c r="A87" s="112" t="s">
        <v>140</v>
      </c>
      <c r="B87" s="112"/>
      <c r="C87" s="70">
        <v>36</v>
      </c>
      <c r="D87" s="19">
        <f ca="1">((100/H77)*C87)/100</f>
        <v>0.87804878048780477</v>
      </c>
      <c r="E87" s="172"/>
      <c r="F87" s="172"/>
      <c r="G87" s="172"/>
      <c r="H87" s="172"/>
      <c r="I87" s="14" t="s">
        <v>147</v>
      </c>
      <c r="J87" s="29">
        <f>(IF(B77&gt;4,(H77/(B77+2)+J86),0))</f>
        <v>0</v>
      </c>
    </row>
    <row r="88" spans="1:10" ht="15.75" customHeight="1" x14ac:dyDescent="0.25">
      <c r="A88" s="112" t="s">
        <v>135</v>
      </c>
      <c r="B88" s="112" t="s">
        <v>135</v>
      </c>
      <c r="C88" s="70">
        <v>5</v>
      </c>
      <c r="D88" s="19">
        <f ca="1">((100/(H77))*C88)/100</f>
        <v>0.12195121951219512</v>
      </c>
      <c r="E88" s="172"/>
      <c r="F88" s="172"/>
      <c r="G88" s="172"/>
      <c r="H88" s="172"/>
      <c r="I88" s="14" t="s">
        <v>151</v>
      </c>
      <c r="J88" s="29">
        <f ca="1">(IF(B77=1,(H77/(B77+3)+J83),IF(B77=0,(H77/4+J83),IF(B77&gt;1,0))))</f>
        <v>30.75</v>
      </c>
    </row>
    <row r="89" spans="1:10" ht="16.5" thickBot="1" x14ac:dyDescent="0.3">
      <c r="A89" s="112" t="s">
        <v>136</v>
      </c>
      <c r="B89" s="112"/>
      <c r="C89" s="70">
        <v>0</v>
      </c>
      <c r="D89" s="19">
        <f ca="1">((100/(H77))*C89)/100</f>
        <v>0</v>
      </c>
      <c r="E89" s="172"/>
      <c r="F89" s="172"/>
      <c r="G89" s="172"/>
      <c r="H89" s="172"/>
      <c r="I89" s="15" t="s">
        <v>103</v>
      </c>
      <c r="J89" s="31">
        <f ca="1">(IF(B77&gt;1.5,(H77/(B77+2)+J83+MAX(0,J84-J83)+MAX(0,J85-J84)+MAX(0,J86-J85)+MAX(0,J87-J86)+MAX(0,J88-J87)),IF(B77=1,(H77/(B77+3)+J88),IF(B77=0,H77/4+J88))))</f>
        <v>41</v>
      </c>
    </row>
    <row r="90" spans="1:10" ht="15.75" customHeight="1" x14ac:dyDescent="0.25">
      <c r="A90" s="230" t="s">
        <v>142</v>
      </c>
      <c r="B90" s="231"/>
      <c r="C90" s="181" t="str">
        <f>D68</f>
        <v>Tower A2 = 4B + G + 1st to 41st Floor</v>
      </c>
      <c r="D90" s="182"/>
      <c r="E90" s="182"/>
      <c r="F90" s="182"/>
      <c r="G90" s="182"/>
      <c r="H90" s="183"/>
      <c r="I90" s="47" t="str">
        <f ca="1">IF(D103=100%,"All work Completed. Possession granted to the Building.",IF(D102=100%,"All work Completed, Waiting for OC",I91&amp;""&amp;I92&amp;""&amp;J91&amp;""&amp;J90&amp;" "&amp;J92))</f>
        <v xml:space="preserve">Excavation Completed, Plinth work is process </v>
      </c>
      <c r="J90" s="48"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0" x14ac:dyDescent="0.25">
      <c r="A91" s="16" t="s">
        <v>144</v>
      </c>
      <c r="B91" s="77">
        <v>0</v>
      </c>
      <c r="C91" s="77" t="s">
        <v>73</v>
      </c>
      <c r="D91" s="77">
        <v>1</v>
      </c>
      <c r="E91" s="77" t="s">
        <v>72</v>
      </c>
      <c r="F91" s="77">
        <v>0</v>
      </c>
      <c r="G91" s="46" t="s">
        <v>81</v>
      </c>
      <c r="H91" s="17">
        <f ca="1">--TRIM(RIGHT(SUBSTITUTE(LEFT(C90,_xlfn.AGGREGATE(16,6,FIND({0,1,2,3,4,5,6,7,8,9},C90,ROW(INDIRECT("1:"&amp;LEN(C90)))),1))," ",REPT(" ",LEN(C90))),LEN(C90)))</f>
        <v>41</v>
      </c>
      <c r="I91" s="49" t="str">
        <f ca="1">IF(D94=100%,"Excavation","")&amp;IF(D95=100%,", Plinth","")&amp;IF(D96=100%,", RCC Slab","")&amp;IF(D97=100%,", Brickwork","")&amp;IF(D98=100%,", Internal Plaster","")&amp;IF(D99=100%,", External Plaster","")&amp;IF(D100=100%,", Flooring","")&amp;IF(D101=100%,", Painting","")&amp;IF(D102=100%,", Building common Amenities","")</f>
        <v>Excavation</v>
      </c>
      <c r="J91" s="50"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Plinth work is process</v>
      </c>
    </row>
    <row r="92" spans="1:10" x14ac:dyDescent="0.25">
      <c r="A92" s="180" t="s">
        <v>91</v>
      </c>
      <c r="B92" s="164"/>
      <c r="C92" s="163" t="str">
        <f ca="1">(IF($C$62=C90,"All work Completed. OC Received.",I90))</f>
        <v xml:space="preserve">Excavation Completed, Plinth work is process </v>
      </c>
      <c r="D92" s="163"/>
      <c r="E92" s="163"/>
      <c r="F92" s="163"/>
      <c r="G92" s="163"/>
      <c r="H92" s="184"/>
      <c r="I92" s="49" t="str">
        <f ca="1">IF(I91&lt;&gt;""," Completed","")</f>
        <v xml:space="preserve"> Completed</v>
      </c>
      <c r="J92" s="50" t="str">
        <f ca="1">IF(J90&lt;&gt;"","Completed","")</f>
        <v/>
      </c>
    </row>
    <row r="93" spans="1:10" x14ac:dyDescent="0.25">
      <c r="A93" s="178" t="s">
        <v>49</v>
      </c>
      <c r="B93" s="112"/>
      <c r="C93" s="78" t="s">
        <v>141</v>
      </c>
      <c r="D93" s="78" t="s">
        <v>84</v>
      </c>
      <c r="E93" s="112" t="s">
        <v>86</v>
      </c>
      <c r="F93" s="112"/>
      <c r="G93" s="112" t="s">
        <v>85</v>
      </c>
      <c r="H93" s="146"/>
      <c r="I93" s="14" t="s">
        <v>143</v>
      </c>
      <c r="J93" s="27">
        <f ca="1">H91*25%</f>
        <v>10.25</v>
      </c>
    </row>
    <row r="94" spans="1:10" x14ac:dyDescent="0.25">
      <c r="A94" s="112" t="s">
        <v>130</v>
      </c>
      <c r="B94" s="112"/>
      <c r="C94" s="78">
        <f ca="1">J95</f>
        <v>41</v>
      </c>
      <c r="D94" s="19">
        <f ca="1">((100/H91)*C94)/100</f>
        <v>1</v>
      </c>
      <c r="E94" s="172">
        <f ca="1">(((C95/H91*10)+(40/(D91+F91+H91)*C96)+(7.5/(H91)*C97)+(7.5/(H91)*C98)+(10/H91*C99)+(10/H91*C100)+(5/H91*C101)+(5/H91*C102)+(5/H91*C103))/100)</f>
        <v>7.4999999999999997E-2</v>
      </c>
      <c r="F94" s="172"/>
      <c r="G94" s="172">
        <f ca="1">((((C94/H91)*20)+((C95/H91)*25)+(30/(H91+F91+D91)*C96)+(5/H91*C97)+(5/H91*C98)+(5/H91*C99)+(5/H91*C100)+(0/H91*C101)+(0/H91*C102)+(5/H91*C103))/100)</f>
        <v>0.38750000000000001</v>
      </c>
      <c r="H94" s="172"/>
      <c r="I94" s="14" t="s">
        <v>99</v>
      </c>
      <c r="J94" s="28">
        <f ca="1">H91*50%</f>
        <v>20.5</v>
      </c>
    </row>
    <row r="95" spans="1:10" x14ac:dyDescent="0.25">
      <c r="A95" s="112" t="s">
        <v>50</v>
      </c>
      <c r="B95" s="112"/>
      <c r="C95" s="58">
        <f ca="1">J102</f>
        <v>30.75</v>
      </c>
      <c r="D95" s="19">
        <f ca="1">((100/H91)*C95)/100</f>
        <v>0.75</v>
      </c>
      <c r="E95" s="172"/>
      <c r="F95" s="172"/>
      <c r="G95" s="172"/>
      <c r="H95" s="172"/>
      <c r="I95" s="14" t="s">
        <v>100</v>
      </c>
      <c r="J95" s="28">
        <f ca="1">H91</f>
        <v>41</v>
      </c>
    </row>
    <row r="96" spans="1:10" ht="15.75" customHeight="1" x14ac:dyDescent="0.25">
      <c r="A96" s="112" t="s">
        <v>131</v>
      </c>
      <c r="B96" s="112"/>
      <c r="C96" s="78">
        <v>0</v>
      </c>
      <c r="D96" s="19">
        <f ca="1">((100/(D91+F91+H91))*C96)/100</f>
        <v>0</v>
      </c>
      <c r="E96" s="172"/>
      <c r="F96" s="172"/>
      <c r="G96" s="172"/>
      <c r="H96" s="172"/>
      <c r="I96" s="14" t="s">
        <v>101</v>
      </c>
      <c r="J96" s="29">
        <f ca="1">(IF(B91&gt;1,(H91/(B91+2)),H91/4))</f>
        <v>10.25</v>
      </c>
    </row>
    <row r="97" spans="1:12" ht="15.75" customHeight="1" x14ac:dyDescent="0.25">
      <c r="A97" s="112" t="s">
        <v>138</v>
      </c>
      <c r="B97" s="112" t="s">
        <v>132</v>
      </c>
      <c r="C97" s="78">
        <v>0</v>
      </c>
      <c r="D97" s="19">
        <f ca="1">((100/H91)*C97)/100</f>
        <v>0</v>
      </c>
      <c r="E97" s="172"/>
      <c r="F97" s="172"/>
      <c r="G97" s="172"/>
      <c r="H97" s="172"/>
      <c r="I97" s="14" t="s">
        <v>102</v>
      </c>
      <c r="J97" s="29">
        <f ca="1">(IF(B91&gt;1,(H91/(B91+2)+J96),H91/4+J96))</f>
        <v>20.5</v>
      </c>
    </row>
    <row r="98" spans="1:12" ht="15.75" customHeight="1" x14ac:dyDescent="0.25">
      <c r="A98" s="112" t="s">
        <v>139</v>
      </c>
      <c r="B98" s="112" t="s">
        <v>132</v>
      </c>
      <c r="C98" s="58">
        <v>0</v>
      </c>
      <c r="D98" s="19">
        <f ca="1">((100/H91)*C98)/100</f>
        <v>0</v>
      </c>
      <c r="E98" s="172"/>
      <c r="F98" s="172"/>
      <c r="G98" s="172"/>
      <c r="H98" s="172"/>
      <c r="I98" s="14" t="s">
        <v>150</v>
      </c>
      <c r="J98" s="29">
        <f>(IF(B91&gt;1,(H91/(B91+2)+J97),0))</f>
        <v>0</v>
      </c>
    </row>
    <row r="99" spans="1:12" ht="15" customHeight="1" x14ac:dyDescent="0.25">
      <c r="A99" s="112" t="s">
        <v>137</v>
      </c>
      <c r="B99" s="112" t="s">
        <v>134</v>
      </c>
      <c r="C99" s="58">
        <v>0</v>
      </c>
      <c r="D99" s="19">
        <f ca="1">((100/(H91))*C99)/100</f>
        <v>0</v>
      </c>
      <c r="E99" s="172"/>
      <c r="F99" s="172"/>
      <c r="G99" s="172"/>
      <c r="H99" s="172"/>
      <c r="I99" s="14" t="s">
        <v>145</v>
      </c>
      <c r="J99" s="29">
        <f>(IF(B91&gt;2,(H91/(B91+2)+J98),0))</f>
        <v>0</v>
      </c>
    </row>
    <row r="100" spans="1:12" ht="15.75" customHeight="1" x14ac:dyDescent="0.25">
      <c r="A100" s="112" t="s">
        <v>133</v>
      </c>
      <c r="B100" s="112" t="s">
        <v>133</v>
      </c>
      <c r="C100" s="78">
        <v>0</v>
      </c>
      <c r="D100" s="19">
        <f ca="1">((100/H91)*C100)/100</f>
        <v>0</v>
      </c>
      <c r="E100" s="172"/>
      <c r="F100" s="172"/>
      <c r="G100" s="172"/>
      <c r="H100" s="172"/>
      <c r="I100" s="14" t="s">
        <v>146</v>
      </c>
      <c r="J100" s="30">
        <f>(IF(B91&gt;3,(H91/(B91+2)+J99),0))</f>
        <v>0</v>
      </c>
    </row>
    <row r="101" spans="1:12" ht="15.75" customHeight="1" x14ac:dyDescent="0.25">
      <c r="A101" s="112" t="s">
        <v>140</v>
      </c>
      <c r="B101" s="112"/>
      <c r="C101" s="78">
        <v>0</v>
      </c>
      <c r="D101" s="19">
        <f ca="1">((100/H91)*C101)/100</f>
        <v>0</v>
      </c>
      <c r="E101" s="172"/>
      <c r="F101" s="172"/>
      <c r="G101" s="172"/>
      <c r="H101" s="172"/>
      <c r="I101" s="14" t="s">
        <v>147</v>
      </c>
      <c r="J101" s="29">
        <f>(IF(B91&gt;4,(H91/(B91+2)+J100),0))</f>
        <v>0</v>
      </c>
    </row>
    <row r="102" spans="1:12" ht="15.75" customHeight="1" x14ac:dyDescent="0.25">
      <c r="A102" s="112" t="s">
        <v>135</v>
      </c>
      <c r="B102" s="112" t="s">
        <v>135</v>
      </c>
      <c r="C102" s="78">
        <v>0</v>
      </c>
      <c r="D102" s="19">
        <f ca="1">((100/(H91))*C102)/100</f>
        <v>0</v>
      </c>
      <c r="E102" s="172"/>
      <c r="F102" s="172"/>
      <c r="G102" s="172"/>
      <c r="H102" s="172"/>
      <c r="I102" s="14" t="s">
        <v>151</v>
      </c>
      <c r="J102" s="29">
        <f ca="1">(IF(B91=1,(H91/(B91+3)+J97),IF(B91=0,(H91/4+J97),IF(B91&gt;1,0))))</f>
        <v>30.75</v>
      </c>
    </row>
    <row r="103" spans="1:12" ht="16.5" thickBot="1" x14ac:dyDescent="0.3">
      <c r="A103" s="112" t="s">
        <v>136</v>
      </c>
      <c r="B103" s="112"/>
      <c r="C103" s="78">
        <v>0</v>
      </c>
      <c r="D103" s="19">
        <f ca="1">((100/(H91))*C103)/100</f>
        <v>0</v>
      </c>
      <c r="E103" s="172"/>
      <c r="F103" s="172"/>
      <c r="G103" s="172"/>
      <c r="H103" s="172"/>
      <c r="I103" s="15" t="s">
        <v>103</v>
      </c>
      <c r="J103" s="31">
        <f ca="1">(IF(B91&gt;1.5,(H91/(B91+2)+J97+MAX(0,J98-J97)+MAX(0,J99-J98)+MAX(0,J100-J99)+MAX(0,J101-J100)+MAX(0,J102-J101)),IF(B91=1,(H91/(B91+3)+J102),IF(B91=0,H91/4+J102))))</f>
        <v>41</v>
      </c>
    </row>
    <row r="104" spans="1:12" x14ac:dyDescent="0.25">
      <c r="A104" s="105" t="s">
        <v>162</v>
      </c>
      <c r="B104" s="105"/>
      <c r="C104" s="105"/>
      <c r="D104" s="105"/>
      <c r="E104" s="105"/>
      <c r="F104" s="151" t="s">
        <v>167</v>
      </c>
      <c r="G104" s="151"/>
      <c r="H104" s="151"/>
    </row>
    <row r="105" spans="1:12" x14ac:dyDescent="0.25">
      <c r="A105" s="91" t="s">
        <v>165</v>
      </c>
      <c r="B105" s="91"/>
      <c r="C105" s="91"/>
      <c r="D105" s="91"/>
      <c r="E105" s="91"/>
      <c r="F105" s="113">
        <v>25000</v>
      </c>
      <c r="G105" s="113"/>
      <c r="H105" s="113"/>
      <c r="I105" s="20" t="s">
        <v>221</v>
      </c>
      <c r="K105" s="24">
        <v>45534</v>
      </c>
      <c r="L105" s="20" t="s">
        <v>222</v>
      </c>
    </row>
    <row r="106" spans="1:12" x14ac:dyDescent="0.25">
      <c r="A106" s="91" t="s">
        <v>164</v>
      </c>
      <c r="B106" s="91"/>
      <c r="C106" s="91"/>
      <c r="D106" s="91"/>
      <c r="E106" s="91"/>
      <c r="F106" s="117">
        <v>35000</v>
      </c>
      <c r="G106" s="117"/>
      <c r="H106" s="117"/>
    </row>
    <row r="107" spans="1:12" hidden="1" x14ac:dyDescent="0.25">
      <c r="A107" s="91" t="s">
        <v>166</v>
      </c>
      <c r="B107" s="91"/>
      <c r="C107" s="91"/>
      <c r="D107" s="91"/>
      <c r="E107" s="91"/>
      <c r="F107" s="117"/>
      <c r="G107" s="117"/>
      <c r="H107" s="117"/>
    </row>
    <row r="108" spans="1:12" s="32" customFormat="1" hidden="1" x14ac:dyDescent="0.25">
      <c r="A108" s="91" t="s">
        <v>163</v>
      </c>
      <c r="B108" s="91"/>
      <c r="C108" s="91"/>
      <c r="D108" s="91"/>
      <c r="E108" s="91"/>
      <c r="F108" s="117"/>
      <c r="G108" s="117"/>
      <c r="H108" s="117"/>
    </row>
    <row r="109" spans="1:12" s="32" customFormat="1" hidden="1" x14ac:dyDescent="0.25">
      <c r="A109" s="91" t="s">
        <v>94</v>
      </c>
      <c r="B109" s="91"/>
      <c r="C109" s="91"/>
      <c r="D109" s="91"/>
      <c r="E109" s="91"/>
      <c r="F109" s="117"/>
      <c r="G109" s="117"/>
      <c r="H109" s="117"/>
    </row>
    <row r="110" spans="1:12" s="32" customFormat="1" x14ac:dyDescent="0.25">
      <c r="A110" s="91" t="s">
        <v>219</v>
      </c>
      <c r="B110" s="91"/>
      <c r="C110" s="91"/>
      <c r="D110" s="91"/>
      <c r="E110" s="91"/>
      <c r="F110" s="117">
        <v>1200000</v>
      </c>
      <c r="G110" s="117"/>
      <c r="H110" s="117"/>
      <c r="I110" s="32" t="s">
        <v>220</v>
      </c>
    </row>
    <row r="111" spans="1:12" s="32" customFormat="1" hidden="1" x14ac:dyDescent="0.25">
      <c r="A111" s="91" t="s">
        <v>168</v>
      </c>
      <c r="B111" s="91"/>
      <c r="C111" s="91"/>
      <c r="D111" s="91"/>
      <c r="E111" s="91"/>
      <c r="F111" s="117"/>
      <c r="G111" s="117"/>
      <c r="H111" s="117"/>
    </row>
    <row r="112" spans="1:12" s="32" customFormat="1" hidden="1" x14ac:dyDescent="0.25">
      <c r="A112" s="91" t="s">
        <v>95</v>
      </c>
      <c r="B112" s="91"/>
      <c r="C112" s="91"/>
      <c r="D112" s="91"/>
      <c r="E112" s="91"/>
      <c r="F112" s="117"/>
      <c r="G112" s="117"/>
      <c r="H112" s="117"/>
    </row>
    <row r="113" spans="1:10" s="32" customFormat="1" hidden="1" x14ac:dyDescent="0.25">
      <c r="A113" s="91" t="s">
        <v>96</v>
      </c>
      <c r="B113" s="91"/>
      <c r="C113" s="91"/>
      <c r="D113" s="91"/>
      <c r="E113" s="91"/>
      <c r="F113" s="117"/>
      <c r="G113" s="117"/>
      <c r="H113" s="117"/>
    </row>
    <row r="114" spans="1:10" s="32" customFormat="1" hidden="1" x14ac:dyDescent="0.25">
      <c r="A114" s="91" t="s">
        <v>97</v>
      </c>
      <c r="B114" s="91"/>
      <c r="C114" s="91"/>
      <c r="D114" s="91"/>
      <c r="E114" s="91"/>
      <c r="F114" s="117"/>
      <c r="G114" s="117"/>
      <c r="H114" s="117"/>
    </row>
    <row r="115" spans="1:10" s="32" customFormat="1" hidden="1" x14ac:dyDescent="0.25">
      <c r="A115" s="91" t="s">
        <v>98</v>
      </c>
      <c r="B115" s="91"/>
      <c r="C115" s="91"/>
      <c r="D115" s="91"/>
      <c r="E115" s="91"/>
      <c r="F115" s="117"/>
      <c r="G115" s="117"/>
      <c r="H115" s="117"/>
    </row>
    <row r="116" spans="1:10" x14ac:dyDescent="0.25">
      <c r="A116" s="91" t="s">
        <v>51</v>
      </c>
      <c r="B116" s="91"/>
      <c r="C116" s="91"/>
      <c r="D116" s="91"/>
      <c r="E116" s="91"/>
      <c r="F116" s="117">
        <v>1500000</v>
      </c>
      <c r="G116" s="117"/>
      <c r="H116" s="117"/>
      <c r="I116" s="20" t="s">
        <v>228</v>
      </c>
    </row>
    <row r="117" spans="1:10" s="33" customFormat="1" x14ac:dyDescent="0.25">
      <c r="A117" s="105" t="s">
        <v>52</v>
      </c>
      <c r="B117" s="105"/>
      <c r="C117" s="105"/>
      <c r="D117" s="105"/>
      <c r="E117" s="105"/>
      <c r="F117" s="117">
        <f>F105*0.8</f>
        <v>20000</v>
      </c>
      <c r="G117" s="117"/>
      <c r="H117" s="117"/>
    </row>
    <row r="118" spans="1:10" s="34" customFormat="1" ht="15.75" customHeight="1" x14ac:dyDescent="0.25">
      <c r="A118" s="116" t="s">
        <v>76</v>
      </c>
      <c r="B118" s="116"/>
      <c r="C118" s="116"/>
      <c r="D118" s="116"/>
      <c r="E118" s="116"/>
      <c r="F118" s="116"/>
      <c r="G118" s="116"/>
      <c r="H118" s="116"/>
    </row>
    <row r="119" spans="1:10" s="34" customFormat="1" ht="15.75" customHeight="1" x14ac:dyDescent="0.25">
      <c r="A119" s="85" t="s">
        <v>53</v>
      </c>
      <c r="B119" s="85"/>
      <c r="C119" s="187" t="s">
        <v>79</v>
      </c>
      <c r="D119" s="187"/>
      <c r="E119" s="152" t="s">
        <v>54</v>
      </c>
      <c r="F119" s="152"/>
      <c r="G119" s="85" t="s">
        <v>55</v>
      </c>
      <c r="H119" s="85"/>
    </row>
    <row r="120" spans="1:10" s="34" customFormat="1" x14ac:dyDescent="0.25">
      <c r="A120" s="119" t="s">
        <v>246</v>
      </c>
      <c r="B120" s="119"/>
      <c r="C120" s="188">
        <f>COUNT(D133:D140)</f>
        <v>8</v>
      </c>
      <c r="D120" s="129"/>
      <c r="E120" s="114">
        <f>SUM(D133:D140)</f>
        <v>9161.4511591199989</v>
      </c>
      <c r="F120" s="115"/>
      <c r="G120" s="114">
        <f>SUM(F133:F140)</f>
        <v>14658.321854592001</v>
      </c>
      <c r="H120" s="115"/>
      <c r="J120" s="54">
        <f>G120+G123</f>
        <v>399601.11298255197</v>
      </c>
    </row>
    <row r="121" spans="1:10" s="34" customFormat="1" x14ac:dyDescent="0.25">
      <c r="A121" s="116" t="s">
        <v>71</v>
      </c>
      <c r="B121" s="116"/>
      <c r="C121" s="116"/>
      <c r="D121" s="116"/>
      <c r="E121" s="116"/>
      <c r="F121" s="116"/>
      <c r="G121" s="116"/>
      <c r="H121" s="116"/>
      <c r="J121" s="54">
        <f>E120+E123</f>
        <v>249474.18695472</v>
      </c>
    </row>
    <row r="122" spans="1:10" s="34" customFormat="1" ht="15.75" customHeight="1" x14ac:dyDescent="0.25">
      <c r="A122" s="85" t="s">
        <v>53</v>
      </c>
      <c r="B122" s="85"/>
      <c r="C122" s="187" t="s">
        <v>79</v>
      </c>
      <c r="D122" s="187"/>
      <c r="E122" s="152" t="s">
        <v>54</v>
      </c>
      <c r="F122" s="152"/>
      <c r="G122" s="85" t="s">
        <v>55</v>
      </c>
      <c r="H122" s="85"/>
    </row>
    <row r="123" spans="1:10" s="34" customFormat="1" x14ac:dyDescent="0.25">
      <c r="A123" s="119" t="s">
        <v>246</v>
      </c>
      <c r="B123" s="119"/>
      <c r="C123" s="129">
        <f>COUNT(D151)+COUNT(D153:D158)+COUNT(D160:D165)*9+COUNT(D167:D172)*23+COUNT(D181:D183,D185:D186)+COUNT(D188:D190,D192:D193)*4</f>
        <v>224</v>
      </c>
      <c r="D123" s="129"/>
      <c r="E123" s="114">
        <f>SUM(D151)+SUM(D153:D158)+SUM(D160:D165)*9+SUM(D167:D172)*23+SUM(D181:D183,D185:D186)+SUM(D188:D190,D192:D193)*4</f>
        <v>240312.73579559999</v>
      </c>
      <c r="F123" s="114"/>
      <c r="G123" s="114">
        <f>SUM(F151)+SUM(F153:F158)+SUM(F160:F165)*9+SUM(F167:F172)*23+SUM(F181:F183,F185:F186)+SUM(F188:F190,F192:F193)*4</f>
        <v>384942.79112795996</v>
      </c>
      <c r="H123" s="114"/>
    </row>
    <row r="124" spans="1:10" s="34" customFormat="1" x14ac:dyDescent="0.25">
      <c r="A124" s="119" t="s">
        <v>245</v>
      </c>
      <c r="B124" s="119"/>
      <c r="C124" s="114">
        <f>COUNT(D199:D200)+COUNT(D211:D216)+COUNT(D218:D223)*9+COUNT(D225:D230)*21+COUNT(D232:D234,D236:D237)+COUNT(D239:D241,D243:D244)*3+COUNT(D246:D248,D250:D251)+COUNT(D253:D258)+COUNT(D260)</f>
        <v>220</v>
      </c>
      <c r="D124" s="114"/>
      <c r="E124" s="114">
        <f>SUM(D199:D200)+SUM(D211:D216)+SUM(D218:D223)*9+SUM(D225:D230)*21+SUM(D232:D234,D236:D237)+SUM(D239:D241,D243:D244)*3+SUM(D246:D248,D250:D251)+SUM(D253:D258)+SUM(D260)</f>
        <v>242933.99368679998</v>
      </c>
      <c r="F124" s="114"/>
      <c r="G124" s="114">
        <f>SUM(F199:F200)+SUM(F211:F216)+SUM(F218:F223)*9+SUM(F225:F230)*21+SUM(F232:F234,F236:F237)+SUM(F239:F241,F243:F244)*3+SUM(F246:F248,F250:F251)+SUM(F253:F258)+SUM(F260)</f>
        <v>388900.06302887999</v>
      </c>
      <c r="H124" s="114"/>
    </row>
    <row r="125" spans="1:10" s="34" customFormat="1" ht="16.5" thickBot="1" x14ac:dyDescent="0.3">
      <c r="A125" s="211" t="s">
        <v>282</v>
      </c>
      <c r="B125" s="211"/>
      <c r="C125" s="212">
        <f>SUM(C123:D124)</f>
        <v>444</v>
      </c>
      <c r="D125" s="212"/>
      <c r="E125" s="213">
        <f t="shared" ref="E125" si="0">SUM(E123:F124)</f>
        <v>483246.7294824</v>
      </c>
      <c r="F125" s="213"/>
      <c r="G125" s="213">
        <f t="shared" ref="G125" si="1">SUM(G123:H124)</f>
        <v>773842.85415683989</v>
      </c>
      <c r="H125" s="213"/>
    </row>
    <row r="126" spans="1:10" s="34" customFormat="1" ht="16.5" thickBot="1" x14ac:dyDescent="0.3">
      <c r="A126" s="223" t="s">
        <v>283</v>
      </c>
      <c r="B126" s="224"/>
      <c r="C126" s="225">
        <f>SUM(C125,C120)</f>
        <v>452</v>
      </c>
      <c r="D126" s="226"/>
      <c r="E126" s="225">
        <f t="shared" ref="E126" si="2">SUM(E125,E120)</f>
        <v>492408.18064152001</v>
      </c>
      <c r="F126" s="226"/>
      <c r="G126" s="225">
        <f t="shared" ref="G126" si="3">SUM(G125,G120)</f>
        <v>788501.17601143185</v>
      </c>
      <c r="H126" s="227"/>
    </row>
    <row r="127" spans="1:10" s="33" customFormat="1" x14ac:dyDescent="0.25">
      <c r="A127" s="153" t="s">
        <v>56</v>
      </c>
      <c r="B127" s="153"/>
      <c r="C127" s="153"/>
      <c r="D127" s="153"/>
      <c r="E127" s="153"/>
      <c r="F127" s="153"/>
      <c r="G127" s="153"/>
      <c r="H127" s="153"/>
    </row>
    <row r="128" spans="1:10" x14ac:dyDescent="0.25">
      <c r="A128" s="151" t="s">
        <v>57</v>
      </c>
      <c r="B128" s="151"/>
      <c r="C128" s="151"/>
      <c r="D128" s="151"/>
      <c r="E128" s="151"/>
      <c r="F128" s="151"/>
      <c r="G128" s="151"/>
      <c r="H128" s="151"/>
    </row>
    <row r="129" spans="1:14" ht="47.25" customHeight="1" x14ac:dyDescent="0.25">
      <c r="A129" s="121" t="s">
        <v>120</v>
      </c>
      <c r="B129" s="121" t="s">
        <v>119</v>
      </c>
      <c r="C129" s="121" t="s">
        <v>58</v>
      </c>
      <c r="D129" s="121" t="s">
        <v>59</v>
      </c>
      <c r="E129" s="123" t="s">
        <v>161</v>
      </c>
      <c r="F129" s="42" t="s">
        <v>154</v>
      </c>
      <c r="G129" s="125" t="s">
        <v>61</v>
      </c>
      <c r="H129" s="126"/>
      <c r="J129" s="20" t="s">
        <v>284</v>
      </c>
    </row>
    <row r="130" spans="1:14" s="36" customFormat="1" x14ac:dyDescent="0.25">
      <c r="A130" s="122"/>
      <c r="B130" s="122"/>
      <c r="C130" s="122"/>
      <c r="D130" s="122"/>
      <c r="E130" s="124"/>
      <c r="F130" s="13">
        <v>0.6</v>
      </c>
      <c r="G130" s="127"/>
      <c r="H130" s="128"/>
    </row>
    <row r="131" spans="1:14" s="36" customFormat="1" x14ac:dyDescent="0.25">
      <c r="A131" s="87" t="s">
        <v>251</v>
      </c>
      <c r="B131" s="88"/>
      <c r="C131" s="88"/>
      <c r="D131" s="88"/>
      <c r="E131" s="88"/>
      <c r="F131" s="88"/>
      <c r="G131" s="88"/>
      <c r="H131" s="89"/>
      <c r="J131" s="35"/>
    </row>
    <row r="132" spans="1:14" s="36" customFormat="1" x14ac:dyDescent="0.25">
      <c r="A132" s="87" t="s">
        <v>214</v>
      </c>
      <c r="B132" s="88"/>
      <c r="C132" s="88"/>
      <c r="D132" s="88"/>
      <c r="E132" s="88"/>
      <c r="F132" s="88"/>
      <c r="G132" s="88"/>
      <c r="H132" s="89"/>
      <c r="J132" s="35"/>
    </row>
    <row r="133" spans="1:14" s="36" customFormat="1" x14ac:dyDescent="0.25">
      <c r="A133" s="110">
        <v>1</v>
      </c>
      <c r="B133" s="111"/>
      <c r="C133" s="41" t="s">
        <v>215</v>
      </c>
      <c r="D133" s="53">
        <f>(4.01*6.43+3.11*1.67+1.35*1.52+3.15*1.8+1.8*0.75+1.95*4.2+4.61+1.52+4.01*6.58+1.95*4.2+1.8*0.75)*(10.764)</f>
        <v>971.94399119999991</v>
      </c>
      <c r="E133" s="41">
        <v>0</v>
      </c>
      <c r="F133" s="41">
        <f t="shared" ref="F133:F140" si="4">(D133+E133)*(($F$130)+1)</f>
        <v>1555.11038592</v>
      </c>
      <c r="G133" s="131" t="str">
        <f>A132</f>
        <v>Ground Floor + 1st Floor (Duplex Shop) for Commercial &amp; Residential</v>
      </c>
      <c r="H133" s="132"/>
      <c r="I133" s="35">
        <f>4.01*6.43+3.11*1.67+1.35*1.52+3.15*1.8+1.8*0.75+1.95*4.2</f>
        <v>48.24</v>
      </c>
      <c r="J133" s="35">
        <f>I133+I134</f>
        <v>90.2958</v>
      </c>
      <c r="L133" s="86"/>
      <c r="M133" s="86"/>
      <c r="N133" s="35"/>
    </row>
    <row r="134" spans="1:14" s="36" customFormat="1" x14ac:dyDescent="0.25">
      <c r="A134" s="110">
        <f t="shared" ref="A134:A140" si="5">A133+1</f>
        <v>2</v>
      </c>
      <c r="B134" s="111"/>
      <c r="C134" s="56" t="s">
        <v>215</v>
      </c>
      <c r="D134" s="53">
        <f>(6.15*0.55+3.2*1.98+2.65*3.6+3.3*1.92+2.5*0.3+4.1*1.08+3.8*0.75+1.85*0.82+1.2*1.67+2*0.5+3.15*2+6.15*0.55+3.2*1.98+2.65*3.6+3.3*1.92+2.5*0.3+4.1*1.08+3.8*0.75+3.2*1.82+2*0.5)*(10.764)</f>
        <v>913.75595999999985</v>
      </c>
      <c r="E134" s="41">
        <v>0</v>
      </c>
      <c r="F134" s="41">
        <f t="shared" si="4"/>
        <v>1462.0095359999998</v>
      </c>
      <c r="G134" s="133"/>
      <c r="H134" s="134"/>
      <c r="I134" s="35">
        <f>4.61+1.52+4.01*6.58+1.95*4.2+1.8*0.75</f>
        <v>42.055799999999998</v>
      </c>
      <c r="L134" s="86"/>
      <c r="M134" s="86"/>
      <c r="N134" s="35"/>
    </row>
    <row r="135" spans="1:14" s="36" customFormat="1" x14ac:dyDescent="0.25">
      <c r="A135" s="110">
        <f t="shared" si="5"/>
        <v>3</v>
      </c>
      <c r="B135" s="111"/>
      <c r="C135" s="56" t="s">
        <v>215</v>
      </c>
      <c r="D135" s="53">
        <f>(5.57*1.03+3.35*1.5+1.97*2.2+5.57*3+1.65*2.42+2.62*2.72+1*2.72+4.27*0.95+2.92*1.5+1.2*1.35+3.15*1.8+5.57*1.03+3.35*1.5+1.97*2.2+1.52*0.3+5.57*3+1.65*2.42+2.62*2.72+1*2.72+4.27*2.45)*(10.764)</f>
        <v>1269.45234</v>
      </c>
      <c r="E135" s="41">
        <v>0</v>
      </c>
      <c r="F135" s="41">
        <f t="shared" si="4"/>
        <v>2031.1237440000002</v>
      </c>
      <c r="G135" s="133"/>
      <c r="H135" s="134"/>
      <c r="I135" s="35"/>
      <c r="L135" s="86"/>
      <c r="M135" s="86"/>
      <c r="N135" s="35"/>
    </row>
    <row r="136" spans="1:14" s="36" customFormat="1" x14ac:dyDescent="0.25">
      <c r="A136" s="110">
        <f t="shared" si="5"/>
        <v>4</v>
      </c>
      <c r="B136" s="111"/>
      <c r="C136" s="56" t="s">
        <v>215</v>
      </c>
      <c r="D136" s="53">
        <f>(7.55*1.3+2.67*4.15+0.64*1*1.65*0.94+2.47*1.07+1.73*1.93+7.9*1.83+7.1*1.38+3.3*1.22+3*0.75+1.3*0.93+1.15*0.75+0.85*0.85+1.05*1.15+1.2*1.52+3.15*1.8+7.55*1.3+2.67*4.15+0.64*1*1.65*0.94+2.47*1.07+1.73*1.93+7.9*1.83+7.1*1.38+3.3*1.22+3*0.75+1.83*0.93+2.4*1.15+1.15*0.75+0.85*0.85)*(10.764)</f>
        <v>1446.0818299199996</v>
      </c>
      <c r="E136" s="41">
        <v>0</v>
      </c>
      <c r="F136" s="41">
        <f t="shared" si="4"/>
        <v>2313.7309278719995</v>
      </c>
      <c r="G136" s="133"/>
      <c r="H136" s="134"/>
      <c r="I136" s="35">
        <f>5.57*1.03+3.35*1.5+1.97*2.2+5.57*3+1.65*2.42+2.62*2.72+1*2.72+4.27*0.95+2.92*1.5+1.2*1.35</f>
        <v>55.702000000000005</v>
      </c>
      <c r="J136" s="35">
        <f>I136+I137</f>
        <v>112.26500000000001</v>
      </c>
      <c r="L136" s="86"/>
      <c r="M136" s="86"/>
      <c r="N136" s="35"/>
    </row>
    <row r="137" spans="1:14" s="36" customFormat="1" x14ac:dyDescent="0.25">
      <c r="A137" s="110">
        <f t="shared" si="5"/>
        <v>5</v>
      </c>
      <c r="B137" s="111"/>
      <c r="C137" s="56" t="s">
        <v>215</v>
      </c>
      <c r="D137" s="53">
        <f>(0.78*2.53+0.8*2.23+5.12*2.08+1.95*3.17+3.15*1.37+2.55*1.4+3.3*3.35+1.88*0.6+3.4*3.65+1.75*1.5+3.15*1.8+0.78*2.53+0.8*2.23+5.12*2.08+1.95*3.17+3.15*1.37+2.55*1.4+3.3*3.35+1.88*0.6+3.4*3.65+1.9*0.4+2.7*1.25+2*0.55+1.5*1.25)*(10.764)</f>
        <v>1308.2457959999997</v>
      </c>
      <c r="E137" s="41">
        <v>0</v>
      </c>
      <c r="F137" s="41">
        <f t="shared" si="4"/>
        <v>2093.1932735999994</v>
      </c>
      <c r="G137" s="133"/>
      <c r="H137" s="134"/>
      <c r="I137" s="35">
        <f>5.57*1.03+3.35*1.5+1.97*2.2+1.52*0.3+5.57*3+1.65*2.42+2.62*2.72+1*2.72+4.27*2.45</f>
        <v>56.563000000000009</v>
      </c>
      <c r="L137" s="86"/>
      <c r="M137" s="86"/>
      <c r="N137" s="35"/>
    </row>
    <row r="138" spans="1:14" s="36" customFormat="1" x14ac:dyDescent="0.25">
      <c r="A138" s="110">
        <f t="shared" si="5"/>
        <v>6</v>
      </c>
      <c r="B138" s="111"/>
      <c r="C138" s="56" t="s">
        <v>215</v>
      </c>
      <c r="D138" s="53">
        <f>(0.98*5.13+3.3*0.58+2.33*0.88+4*1.33+3.4*0.3+5.12*2.1+4*1.32+6.77*1.4+1.35*1.25+3.15*1.8+0.98*5.13+3.3*0.58+2.33*0.88+4*1.33+3.4*0.3+5.12*2.1+4*1.32+8.28*1.4)*(10.764)</f>
        <v>981.19349639999996</v>
      </c>
      <c r="E138" s="41">
        <v>0</v>
      </c>
      <c r="F138" s="41">
        <f t="shared" si="4"/>
        <v>1569.9095942399999</v>
      </c>
      <c r="G138" s="133"/>
      <c r="H138" s="134"/>
      <c r="I138" s="35">
        <f>3.15*1.8</f>
        <v>5.67</v>
      </c>
      <c r="L138" s="86"/>
      <c r="M138" s="86"/>
      <c r="N138" s="35"/>
    </row>
    <row r="139" spans="1:14" s="36" customFormat="1" x14ac:dyDescent="0.25">
      <c r="A139" s="110">
        <f t="shared" si="5"/>
        <v>7</v>
      </c>
      <c r="B139" s="111"/>
      <c r="C139" s="56" t="s">
        <v>215</v>
      </c>
      <c r="D139" s="53">
        <f>(0.78*4.4+2.52*4.4+6.4*1.08+3.1*3.65+1.68*1.67+2.25*3.65+3.15*1.37+2.85*1.4+1.9*1.1+1.75*0.4+3.15*1.8+0.78*4.4+2.52*4.4+6.4*1.08+3.1*3.65+1.68*1.67+2.25*3.65+3.15*1.37+2.85*0.3+3.15*1.1+1.75*1.5)*(10.764)</f>
        <v>1243.8469368000001</v>
      </c>
      <c r="E139" s="41">
        <v>0</v>
      </c>
      <c r="F139" s="41">
        <f t="shared" si="4"/>
        <v>1990.1550988800002</v>
      </c>
      <c r="G139" s="133"/>
      <c r="H139" s="134"/>
      <c r="I139" s="35"/>
      <c r="L139" s="86"/>
      <c r="M139" s="86"/>
      <c r="N139" s="35"/>
    </row>
    <row r="140" spans="1:14" s="36" customFormat="1" x14ac:dyDescent="0.25">
      <c r="A140" s="110">
        <f t="shared" si="5"/>
        <v>8</v>
      </c>
      <c r="B140" s="111"/>
      <c r="C140" s="56" t="s">
        <v>215</v>
      </c>
      <c r="D140" s="53">
        <f>(1.58*1.15+1.73*3.75+1.58*1.27+0.9*1.07+2.25*3.2+3.15*2.62+4.05*0.85+1.5*1.15+0.9*1.22+2.45*0.4+4.5*1.7+1.3*0.6+0.78*1.67+1.35*1.2+3.15*1.8+1.58*1.15+1.73*3.75+1.58*1.27+0.9*1.07+2.25*3.2+3.15*2.62+4.05*0.85+1.5*1.15+0.9*1.22+2.45*0.4+1.7*2.6+1.85*0.75+1.7*0.7+2.28*1.2+2.13*0.33)*(10.764)</f>
        <v>1026.9308087999998</v>
      </c>
      <c r="E140" s="41">
        <v>0</v>
      </c>
      <c r="F140" s="41">
        <f t="shared" si="4"/>
        <v>1643.0892940799997</v>
      </c>
      <c r="G140" s="135"/>
      <c r="H140" s="136"/>
      <c r="I140" s="35"/>
      <c r="L140" s="86"/>
      <c r="M140" s="86"/>
      <c r="N140" s="35"/>
    </row>
    <row r="141" spans="1:14" s="36" customFormat="1" hidden="1" x14ac:dyDescent="0.25">
      <c r="A141" s="87" t="s">
        <v>117</v>
      </c>
      <c r="B141" s="88"/>
      <c r="C141" s="88"/>
      <c r="D141" s="88"/>
      <c r="E141" s="88"/>
      <c r="F141" s="88"/>
      <c r="G141" s="88"/>
      <c r="H141" s="89"/>
      <c r="J141" s="35"/>
    </row>
    <row r="142" spans="1:14" s="36" customFormat="1" hidden="1" x14ac:dyDescent="0.25">
      <c r="A142" s="110">
        <v>1</v>
      </c>
      <c r="B142" s="111"/>
      <c r="C142" s="41"/>
      <c r="D142" s="41"/>
      <c r="E142" s="41">
        <v>0</v>
      </c>
      <c r="F142" s="41">
        <f>(D142+E142)*(($F$130)+1)</f>
        <v>0</v>
      </c>
      <c r="G142" s="110" t="str">
        <f>A141</f>
        <v>Ground Floor</v>
      </c>
      <c r="H142" s="111"/>
      <c r="I142" s="35"/>
      <c r="L142" s="86"/>
      <c r="M142" s="86"/>
      <c r="N142" s="35"/>
    </row>
    <row r="143" spans="1:14" s="36" customFormat="1" hidden="1" x14ac:dyDescent="0.25">
      <c r="A143" s="110">
        <f>A142+1</f>
        <v>2</v>
      </c>
      <c r="B143" s="111"/>
      <c r="C143" s="41"/>
      <c r="D143" s="41"/>
      <c r="E143" s="41">
        <v>0</v>
      </c>
      <c r="F143" s="41">
        <f>(D143+E143)*(($F$130)+1)</f>
        <v>0</v>
      </c>
      <c r="G143" s="110" t="str">
        <f>G142</f>
        <v>Ground Floor</v>
      </c>
      <c r="H143" s="111"/>
      <c r="I143" s="35"/>
      <c r="L143" s="86"/>
      <c r="M143" s="86"/>
      <c r="N143" s="35"/>
    </row>
    <row r="144" spans="1:14" s="36" customFormat="1" hidden="1" x14ac:dyDescent="0.25">
      <c r="A144" s="110">
        <f>A143+1</f>
        <v>3</v>
      </c>
      <c r="B144" s="111"/>
      <c r="C144" s="41"/>
      <c r="D144" s="41"/>
      <c r="E144" s="41">
        <v>0</v>
      </c>
      <c r="F144" s="41">
        <f>(D144+E144)*(($F$130)+1)</f>
        <v>0</v>
      </c>
      <c r="G144" s="110" t="str">
        <f>G143</f>
        <v>Ground Floor</v>
      </c>
      <c r="H144" s="111"/>
      <c r="I144" s="35"/>
      <c r="L144" s="86"/>
      <c r="M144" s="86"/>
      <c r="N144" s="35"/>
    </row>
    <row r="145" spans="1:14" s="36" customFormat="1" hidden="1" x14ac:dyDescent="0.25">
      <c r="A145" s="110">
        <f>A144+1</f>
        <v>4</v>
      </c>
      <c r="B145" s="111"/>
      <c r="C145" s="41"/>
      <c r="D145" s="41"/>
      <c r="E145" s="41">
        <v>0</v>
      </c>
      <c r="F145" s="41">
        <f>(D145+E145)*(($F$130)+1)</f>
        <v>0</v>
      </c>
      <c r="G145" s="110" t="str">
        <f>G144</f>
        <v>Ground Floor</v>
      </c>
      <c r="H145" s="111"/>
      <c r="I145" s="35"/>
      <c r="L145" s="86"/>
      <c r="M145" s="86"/>
      <c r="N145" s="35"/>
    </row>
    <row r="146" spans="1:14" s="36" customFormat="1" x14ac:dyDescent="0.25">
      <c r="A146" s="110"/>
      <c r="B146" s="186"/>
      <c r="C146" s="186"/>
      <c r="D146" s="186"/>
      <c r="E146" s="186"/>
      <c r="F146" s="186"/>
      <c r="G146" s="186"/>
      <c r="H146" s="111"/>
      <c r="I146" s="35"/>
      <c r="N146" s="35"/>
    </row>
    <row r="147" spans="1:14" ht="47.25" customHeight="1" x14ac:dyDescent="0.25">
      <c r="A147" s="125" t="s">
        <v>121</v>
      </c>
      <c r="B147" s="125" t="s">
        <v>122</v>
      </c>
      <c r="C147" s="121" t="s">
        <v>58</v>
      </c>
      <c r="D147" s="121" t="s">
        <v>59</v>
      </c>
      <c r="E147" s="123" t="s">
        <v>60</v>
      </c>
      <c r="F147" s="42" t="s">
        <v>154</v>
      </c>
      <c r="G147" s="125" t="s">
        <v>61</v>
      </c>
      <c r="H147" s="126"/>
      <c r="I147" s="35"/>
    </row>
    <row r="148" spans="1:14" s="36" customFormat="1" x14ac:dyDescent="0.25">
      <c r="A148" s="127"/>
      <c r="B148" s="127"/>
      <c r="C148" s="122"/>
      <c r="D148" s="122"/>
      <c r="E148" s="124"/>
      <c r="F148" s="13">
        <v>0.6</v>
      </c>
      <c r="G148" s="127"/>
      <c r="H148" s="128"/>
      <c r="I148" s="35"/>
    </row>
    <row r="149" spans="1:14" s="55" customFormat="1" x14ac:dyDescent="0.25">
      <c r="A149" s="189" t="s">
        <v>251</v>
      </c>
      <c r="B149" s="190"/>
      <c r="C149" s="190"/>
      <c r="D149" s="190"/>
      <c r="E149" s="190"/>
      <c r="F149" s="190"/>
      <c r="G149" s="190"/>
      <c r="H149" s="191"/>
      <c r="J149" s="35"/>
    </row>
    <row r="150" spans="1:14" s="36" customFormat="1" x14ac:dyDescent="0.25">
      <c r="A150" s="87" t="s">
        <v>200</v>
      </c>
      <c r="B150" s="88"/>
      <c r="C150" s="88"/>
      <c r="D150" s="88"/>
      <c r="E150" s="88"/>
      <c r="F150" s="88"/>
      <c r="G150" s="88"/>
      <c r="H150" s="89"/>
      <c r="J150" s="53">
        <f>10.764</f>
        <v>10.763999999999999</v>
      </c>
    </row>
    <row r="151" spans="1:14" s="36" customFormat="1" ht="47.25" x14ac:dyDescent="0.25">
      <c r="A151" s="56">
        <v>1</v>
      </c>
      <c r="B151" s="56" t="s">
        <v>208</v>
      </c>
      <c r="C151" s="52" t="s">
        <v>191</v>
      </c>
      <c r="D151" s="35">
        <f>(239.97)*(10.764)</f>
        <v>2583.0370799999996</v>
      </c>
      <c r="E151" s="41">
        <v>0</v>
      </c>
      <c r="F151" s="41">
        <f>D151*(($F$148)+1)+(IF(E151&lt;101,E151,IF(E151&lt;201,E151/2,IF(E151&lt;=301,E151/3,E151/4))))</f>
        <v>4132.8593279999996</v>
      </c>
      <c r="G151" s="110" t="str">
        <f>A150</f>
        <v>Ground Floor For Part Residential</v>
      </c>
      <c r="H151" s="111"/>
      <c r="I151" s="35"/>
      <c r="L151" s="86"/>
      <c r="M151" s="86"/>
      <c r="N151" s="35"/>
    </row>
    <row r="152" spans="1:14" s="36" customFormat="1" x14ac:dyDescent="0.25">
      <c r="A152" s="87" t="s">
        <v>201</v>
      </c>
      <c r="B152" s="88"/>
      <c r="C152" s="88"/>
      <c r="D152" s="88"/>
      <c r="E152" s="88"/>
      <c r="F152" s="88"/>
      <c r="G152" s="88"/>
      <c r="H152" s="89"/>
      <c r="J152" s="35"/>
    </row>
    <row r="153" spans="1:14" s="36" customFormat="1" x14ac:dyDescent="0.25">
      <c r="A153" s="56">
        <v>1</v>
      </c>
      <c r="B153" s="56" t="s">
        <v>208</v>
      </c>
      <c r="C153" s="52" t="s">
        <v>192</v>
      </c>
      <c r="D153" s="53">
        <f>(71.049+0.53*(3.35+2.5)+2.45*0.6)*(10.764)</f>
        <v>813.968298</v>
      </c>
      <c r="E153" s="53">
        <f>(6*8.2+3.2*0.6+5.5*0.5+2*0.7+3.4*1+2.5*1)*(10.764)</f>
        <v>658.43387999999993</v>
      </c>
      <c r="F153" s="41">
        <f t="shared" ref="F153:F158" si="6">D153*(($F$148)+1)+(IF(E153&lt;101,E153,IF(E153&lt;201,E153/2,IF(E153&lt;=301,E153/3,E153/4))))</f>
        <v>1466.9577468</v>
      </c>
      <c r="G153" s="131" t="str">
        <f>A152</f>
        <v>2nd Floor For Residential</v>
      </c>
      <c r="H153" s="132"/>
      <c r="I153" s="35"/>
      <c r="L153" s="86"/>
      <c r="M153" s="86"/>
      <c r="N153" s="35"/>
    </row>
    <row r="154" spans="1:14" s="36" customFormat="1" x14ac:dyDescent="0.25">
      <c r="A154" s="56">
        <f>A153+1</f>
        <v>2</v>
      </c>
      <c r="B154" s="56" t="s">
        <v>209</v>
      </c>
      <c r="C154" s="52" t="s">
        <v>193</v>
      </c>
      <c r="D154" s="53">
        <f>(92.887+0.83*(3.2+2.6+2.4)+3.2*0.52+2.3*0.75)*(10.764)</f>
        <v>1109.5746479999998</v>
      </c>
      <c r="E154" s="53">
        <f>(2.7*4.5+3+5.8*1.3+1.8*1.4+1.2*3.2+3.1*2+2.6*2.2+2.25*2.4+1.7*0.8+2.3*0.8)*(10.764)</f>
        <v>533.57147999999984</v>
      </c>
      <c r="F154" s="41">
        <f t="shared" si="6"/>
        <v>1908.7123067999996</v>
      </c>
      <c r="G154" s="133"/>
      <c r="H154" s="134"/>
      <c r="I154" s="35"/>
      <c r="L154" s="86"/>
      <c r="M154" s="86"/>
      <c r="N154" s="35"/>
    </row>
    <row r="155" spans="1:14" s="36" customFormat="1" x14ac:dyDescent="0.25">
      <c r="A155" s="56">
        <f>A154+1</f>
        <v>3</v>
      </c>
      <c r="B155" s="56" t="s">
        <v>210</v>
      </c>
      <c r="C155" s="52" t="s">
        <v>193</v>
      </c>
      <c r="D155" s="53">
        <f>(92.887+0.83*(3.2+2.6+2.4)+3.2*0.52+2.3*0.75)*(10.764)</f>
        <v>1109.5746479999998</v>
      </c>
      <c r="E155" s="53">
        <f>(2.2*2.4+0.8*1.7+2.2*2.6+3.1*2.15+3.2*1.1+1.8*1.4+3*1)*(10.764)</f>
        <v>302.09165999999999</v>
      </c>
      <c r="F155" s="41">
        <f t="shared" si="6"/>
        <v>1850.8423517999997</v>
      </c>
      <c r="G155" s="133"/>
      <c r="H155" s="134"/>
      <c r="I155" s="35"/>
      <c r="L155" s="86"/>
      <c r="M155" s="86"/>
      <c r="N155" s="35"/>
    </row>
    <row r="156" spans="1:14" s="36" customFormat="1" x14ac:dyDescent="0.25">
      <c r="A156" s="56">
        <f>A155+1</f>
        <v>4</v>
      </c>
      <c r="B156" s="56" t="s">
        <v>211</v>
      </c>
      <c r="C156" s="52">
        <v>4</v>
      </c>
      <c r="D156" s="53">
        <f>(126.31+0.83*(3.35+2.7+2.3+2.7+2.3)+1.6*1.08)*(10.764)</f>
        <v>1497.471534</v>
      </c>
      <c r="E156" s="53">
        <f>(2.2*1+5.5+2.8+2.3)*(10.764)</f>
        <v>137.7792</v>
      </c>
      <c r="F156" s="41">
        <f t="shared" si="6"/>
        <v>2464.8440544</v>
      </c>
      <c r="G156" s="133"/>
      <c r="H156" s="134"/>
      <c r="I156" s="35"/>
      <c r="L156" s="86"/>
      <c r="M156" s="86"/>
      <c r="N156" s="35"/>
    </row>
    <row r="157" spans="1:14" s="36" customFormat="1" x14ac:dyDescent="0.25">
      <c r="A157" s="56">
        <f>A156+1</f>
        <v>5</v>
      </c>
      <c r="B157" s="56" t="s">
        <v>212</v>
      </c>
      <c r="C157" s="52">
        <v>3</v>
      </c>
      <c r="D157" s="53">
        <f>(80.564+0.83*(2.43+2.6+2.9)+2.45*0.88)*(10.764)</f>
        <v>961.24565159999997</v>
      </c>
      <c r="E157" s="41">
        <v>0</v>
      </c>
      <c r="F157" s="41">
        <f t="shared" si="6"/>
        <v>1537.99304256</v>
      </c>
      <c r="G157" s="133"/>
      <c r="H157" s="134"/>
      <c r="I157" s="35">
        <f>36000000/F157</f>
        <v>23407.127993295569</v>
      </c>
      <c r="L157" s="86"/>
      <c r="M157" s="86"/>
      <c r="N157" s="35"/>
    </row>
    <row r="158" spans="1:14" s="36" customFormat="1" x14ac:dyDescent="0.25">
      <c r="A158" s="56">
        <f>A157+1</f>
        <v>6</v>
      </c>
      <c r="B158" s="56" t="s">
        <v>213</v>
      </c>
      <c r="C158" s="52">
        <v>3</v>
      </c>
      <c r="D158" s="53">
        <f>(80.564+0.83*(2.43+2.6+2.9)+2.45*0.88)*(10.764)</f>
        <v>961.24565159999997</v>
      </c>
      <c r="E158" s="41">
        <v>0</v>
      </c>
      <c r="F158" s="41">
        <f t="shared" si="6"/>
        <v>1537.99304256</v>
      </c>
      <c r="G158" s="135"/>
      <c r="H158" s="136"/>
      <c r="I158" s="35"/>
      <c r="L158" s="86"/>
      <c r="M158" s="86"/>
      <c r="N158" s="35"/>
    </row>
    <row r="159" spans="1:14" s="36" customFormat="1" x14ac:dyDescent="0.25">
      <c r="A159" s="118" t="s">
        <v>197</v>
      </c>
      <c r="B159" s="118"/>
      <c r="C159" s="118"/>
      <c r="D159" s="118"/>
      <c r="E159" s="118"/>
      <c r="F159" s="118"/>
      <c r="G159" s="118"/>
      <c r="H159" s="118"/>
      <c r="J159" s="35"/>
    </row>
    <row r="160" spans="1:14" s="36" customFormat="1" ht="15.75" customHeight="1" x14ac:dyDescent="0.25">
      <c r="A160" s="68">
        <v>1</v>
      </c>
      <c r="B160" s="68" t="s">
        <v>208</v>
      </c>
      <c r="C160" s="52" t="s">
        <v>192</v>
      </c>
      <c r="D160" s="53">
        <f>(71.049+0.53*(3.35+2.5)+2.45*0.6)*(10.764)</f>
        <v>813.968298</v>
      </c>
      <c r="E160" s="68">
        <v>0</v>
      </c>
      <c r="F160" s="68">
        <f t="shared" ref="F160:F165" si="7">D160*(($F$148)+1)+(IF(E160&lt;101,E160,IF(E160&lt;201,E160/2,IF(E160&lt;=301,E160/3,E160/4))))</f>
        <v>1302.3492768000001</v>
      </c>
      <c r="G160" s="120" t="str">
        <f>A159</f>
        <v>3rd to 6th, 8th to 12th Floor</v>
      </c>
      <c r="H160" s="120"/>
      <c r="I160" s="35"/>
      <c r="K160" s="36">
        <f t="shared" ref="K160:K165" si="8">34000*F160</f>
        <v>44279875.411200002</v>
      </c>
      <c r="L160" s="86">
        <f>18300000/F160</f>
        <v>14051.530051112628</v>
      </c>
      <c r="M160" s="86"/>
      <c r="N160" s="35"/>
    </row>
    <row r="161" spans="1:14" s="36" customFormat="1" ht="15.75" customHeight="1" x14ac:dyDescent="0.25">
      <c r="A161" s="68">
        <f>A160+1</f>
        <v>2</v>
      </c>
      <c r="B161" s="68" t="s">
        <v>209</v>
      </c>
      <c r="C161" s="52" t="s">
        <v>193</v>
      </c>
      <c r="D161" s="53">
        <f>(92.887+0.83*(3.2+2.6+2.4)+3.2*0.52+2.3*0.75)*(10.764)</f>
        <v>1109.5746479999998</v>
      </c>
      <c r="E161" s="68">
        <v>0</v>
      </c>
      <c r="F161" s="68">
        <f t="shared" si="7"/>
        <v>1775.3194367999997</v>
      </c>
      <c r="G161" s="120"/>
      <c r="H161" s="120"/>
      <c r="I161" s="35"/>
      <c r="K161" s="36">
        <f t="shared" si="8"/>
        <v>60360860.851199992</v>
      </c>
      <c r="L161" s="86"/>
      <c r="M161" s="86"/>
      <c r="N161" s="35"/>
    </row>
    <row r="162" spans="1:14" s="36" customFormat="1" ht="15.75" customHeight="1" x14ac:dyDescent="0.25">
      <c r="A162" s="68">
        <f>A161+1</f>
        <v>3</v>
      </c>
      <c r="B162" s="68" t="s">
        <v>210</v>
      </c>
      <c r="C162" s="52" t="s">
        <v>193</v>
      </c>
      <c r="D162" s="53">
        <f>(92.887+0.83*(3.2+2.6+2.4)+3.2*0.52+2.3*0.75)*(10.764)</f>
        <v>1109.5746479999998</v>
      </c>
      <c r="E162" s="68">
        <v>0</v>
      </c>
      <c r="F162" s="68">
        <f t="shared" si="7"/>
        <v>1775.3194367999997</v>
      </c>
      <c r="G162" s="120"/>
      <c r="H162" s="120"/>
      <c r="I162" s="35">
        <f>49100000/F162</f>
        <v>27656.994556710531</v>
      </c>
      <c r="K162" s="36">
        <f t="shared" si="8"/>
        <v>60360860.851199992</v>
      </c>
      <c r="L162" s="86"/>
      <c r="M162" s="86"/>
      <c r="N162" s="35"/>
    </row>
    <row r="163" spans="1:14" s="36" customFormat="1" ht="15.75" customHeight="1" x14ac:dyDescent="0.25">
      <c r="A163" s="68">
        <f>A162+1</f>
        <v>4</v>
      </c>
      <c r="B163" s="68" t="s">
        <v>211</v>
      </c>
      <c r="C163" s="52">
        <v>4</v>
      </c>
      <c r="D163" s="53">
        <f>(126.31+0.83*(3.35+2.7+2.3+2.7+2.3)+1.6*1.08)*(10.764)</f>
        <v>1497.471534</v>
      </c>
      <c r="E163" s="68">
        <v>0</v>
      </c>
      <c r="F163" s="68">
        <f t="shared" si="7"/>
        <v>2395.9544544</v>
      </c>
      <c r="G163" s="120"/>
      <c r="H163" s="120"/>
      <c r="I163" s="35"/>
      <c r="K163" s="36">
        <f t="shared" si="8"/>
        <v>81462451.449599996</v>
      </c>
      <c r="L163" s="86"/>
      <c r="M163" s="86"/>
      <c r="N163" s="35"/>
    </row>
    <row r="164" spans="1:14" s="36" customFormat="1" ht="15.75" customHeight="1" x14ac:dyDescent="0.25">
      <c r="A164" s="68">
        <f>A163+1</f>
        <v>5</v>
      </c>
      <c r="B164" s="68" t="s">
        <v>212</v>
      </c>
      <c r="C164" s="52">
        <v>3</v>
      </c>
      <c r="D164" s="53">
        <f>(80.564+0.83*(2.43+2.6+2.9)+2.45*0.88)*(10.764)</f>
        <v>961.24565159999997</v>
      </c>
      <c r="E164" s="68">
        <v>0</v>
      </c>
      <c r="F164" s="68">
        <f t="shared" si="7"/>
        <v>1537.99304256</v>
      </c>
      <c r="G164" s="120"/>
      <c r="H164" s="120"/>
      <c r="I164" s="35"/>
      <c r="K164" s="36">
        <f t="shared" si="8"/>
        <v>52291763.447039999</v>
      </c>
      <c r="L164" s="86">
        <f>47500000/F164</f>
        <v>30884.404991153875</v>
      </c>
      <c r="M164" s="86"/>
      <c r="N164" s="35"/>
    </row>
    <row r="165" spans="1:14" s="36" customFormat="1" ht="15.75" customHeight="1" x14ac:dyDescent="0.25">
      <c r="A165" s="68">
        <f>A164+1</f>
        <v>6</v>
      </c>
      <c r="B165" s="68" t="s">
        <v>213</v>
      </c>
      <c r="C165" s="52">
        <v>3</v>
      </c>
      <c r="D165" s="53">
        <f>(80.564+0.83*(2.43+2.6+2.9)+2.45*0.88)*(10.764)</f>
        <v>961.24565159999997</v>
      </c>
      <c r="E165" s="68">
        <v>0</v>
      </c>
      <c r="F165" s="68">
        <f t="shared" si="7"/>
        <v>1537.99304256</v>
      </c>
      <c r="G165" s="120"/>
      <c r="H165" s="120"/>
      <c r="I165" s="35"/>
      <c r="K165" s="36">
        <f t="shared" si="8"/>
        <v>52291763.447039999</v>
      </c>
      <c r="L165" s="86"/>
      <c r="M165" s="86"/>
      <c r="N165" s="35"/>
    </row>
    <row r="166" spans="1:14" s="36" customFormat="1" ht="87.75" customHeight="1" x14ac:dyDescent="0.25">
      <c r="A166" s="118" t="s">
        <v>223</v>
      </c>
      <c r="B166" s="118"/>
      <c r="C166" s="118"/>
      <c r="D166" s="118"/>
      <c r="E166" s="118"/>
      <c r="F166" s="118"/>
      <c r="G166" s="118"/>
      <c r="H166" s="118"/>
      <c r="J166" s="35"/>
    </row>
    <row r="167" spans="1:14" s="36" customFormat="1" ht="15.75" customHeight="1" x14ac:dyDescent="0.25">
      <c r="A167" s="56">
        <v>1</v>
      </c>
      <c r="B167" s="56" t="s">
        <v>208</v>
      </c>
      <c r="C167" s="52" t="s">
        <v>192</v>
      </c>
      <c r="D167" s="53">
        <f>(71.049+0.53*(3.35+2.5)+2.45*0.6)*(10.764)</f>
        <v>813.968298</v>
      </c>
      <c r="E167" s="41">
        <v>0</v>
      </c>
      <c r="F167" s="41">
        <f t="shared" ref="F167:F172" si="9">D167*(($F$148)+1)+(IF(E167&lt;101,E167,IF(E167&lt;201,E167/2,IF(E167&lt;=301,E167/3,E167/4))))</f>
        <v>1302.3492768000001</v>
      </c>
      <c r="G167" s="131" t="str">
        <f>A166</f>
        <v>13th (14th Floor as per Builder), 
15th to 20th (16th to 21st Floor as per Builder)
22nd to 26th (23rd to 27th Floor as per Builder)
29th to 34th (30th to 35th Floor as per Builder)
 36th to 39th (37th to 40th Floor as per Builder)</v>
      </c>
      <c r="H167" s="132"/>
      <c r="I167" s="35"/>
      <c r="L167" s="86"/>
      <c r="M167" s="86"/>
      <c r="N167" s="35"/>
    </row>
    <row r="168" spans="1:14" s="36" customFormat="1" ht="15.75" customHeight="1" x14ac:dyDescent="0.25">
      <c r="A168" s="56">
        <f>A167+1</f>
        <v>2</v>
      </c>
      <c r="B168" s="56" t="s">
        <v>209</v>
      </c>
      <c r="C168" s="52" t="s">
        <v>193</v>
      </c>
      <c r="D168" s="53">
        <f>(92.887+0.83*(3.2+2.6+2.4)+3.2*0.52+2.3*0.75)*(10.764)</f>
        <v>1109.5746479999998</v>
      </c>
      <c r="E168" s="41">
        <v>0</v>
      </c>
      <c r="F168" s="41">
        <f t="shared" si="9"/>
        <v>1775.3194367999997</v>
      </c>
      <c r="G168" s="133"/>
      <c r="H168" s="134"/>
      <c r="I168" s="35"/>
      <c r="L168" s="86"/>
      <c r="M168" s="86"/>
      <c r="N168" s="35"/>
    </row>
    <row r="169" spans="1:14" s="36" customFormat="1" ht="15.75" customHeight="1" x14ac:dyDescent="0.25">
      <c r="A169" s="56">
        <f>A168+1</f>
        <v>3</v>
      </c>
      <c r="B169" s="56" t="s">
        <v>210</v>
      </c>
      <c r="C169" s="52" t="s">
        <v>193</v>
      </c>
      <c r="D169" s="53">
        <f>(92.887+0.83*(3.2+2.6+2.4)+3.2*0.52+2.3*0.75)*(10.764)</f>
        <v>1109.5746479999998</v>
      </c>
      <c r="E169" s="41">
        <v>0</v>
      </c>
      <c r="F169" s="41">
        <f t="shared" si="9"/>
        <v>1775.3194367999997</v>
      </c>
      <c r="G169" s="133"/>
      <c r="H169" s="134"/>
      <c r="I169" s="35"/>
      <c r="L169" s="86"/>
      <c r="M169" s="86"/>
      <c r="N169" s="35"/>
    </row>
    <row r="170" spans="1:14" s="36" customFormat="1" ht="15.75" customHeight="1" x14ac:dyDescent="0.25">
      <c r="A170" s="56">
        <f>A169+1</f>
        <v>4</v>
      </c>
      <c r="B170" s="56" t="s">
        <v>211</v>
      </c>
      <c r="C170" s="52">
        <v>4</v>
      </c>
      <c r="D170" s="53">
        <f>(126.31+0.83*(3.35+2.7+2.3+2.7+2.3)+1.6*1.08)*(10.764)</f>
        <v>1497.471534</v>
      </c>
      <c r="E170" s="41">
        <v>0</v>
      </c>
      <c r="F170" s="41">
        <f t="shared" si="9"/>
        <v>2395.9544544</v>
      </c>
      <c r="G170" s="133"/>
      <c r="H170" s="134"/>
      <c r="I170" s="35">
        <f>65700000/F170</f>
        <v>27421.222419043326</v>
      </c>
      <c r="L170" s="86"/>
      <c r="M170" s="86"/>
      <c r="N170" s="35"/>
    </row>
    <row r="171" spans="1:14" s="36" customFormat="1" ht="15.75" customHeight="1" x14ac:dyDescent="0.25">
      <c r="A171" s="56">
        <f>A170+1</f>
        <v>5</v>
      </c>
      <c r="B171" s="56" t="s">
        <v>212</v>
      </c>
      <c r="C171" s="52">
        <v>3</v>
      </c>
      <c r="D171" s="53">
        <f>(80.564+0.83*(2.43+2.6+2.9)+2.45*0.88)*(10.764)</f>
        <v>961.24565159999997</v>
      </c>
      <c r="E171" s="41">
        <v>0</v>
      </c>
      <c r="F171" s="41">
        <f t="shared" si="9"/>
        <v>1537.99304256</v>
      </c>
      <c r="G171" s="133"/>
      <c r="H171" s="134"/>
      <c r="I171" s="35"/>
      <c r="L171" s="86"/>
      <c r="M171" s="86"/>
      <c r="N171" s="35"/>
    </row>
    <row r="172" spans="1:14" s="36" customFormat="1" ht="15.75" customHeight="1" x14ac:dyDescent="0.25">
      <c r="A172" s="56">
        <f>A171+1</f>
        <v>6</v>
      </c>
      <c r="B172" s="56" t="s">
        <v>213</v>
      </c>
      <c r="C172" s="52">
        <v>3</v>
      </c>
      <c r="D172" s="53">
        <f>(80.564+0.83*(2.43+2.6+2.9)+2.45*0.88)*(10.764)</f>
        <v>961.24565159999997</v>
      </c>
      <c r="E172" s="41">
        <v>0</v>
      </c>
      <c r="F172" s="41">
        <f t="shared" si="9"/>
        <v>1537.99304256</v>
      </c>
      <c r="G172" s="135"/>
      <c r="H172" s="136"/>
      <c r="I172" s="35"/>
      <c r="L172" s="86"/>
      <c r="M172" s="86"/>
      <c r="N172" s="35"/>
    </row>
    <row r="173" spans="1:14" s="60" customFormat="1" x14ac:dyDescent="0.25">
      <c r="A173" s="87" t="s">
        <v>224</v>
      </c>
      <c r="B173" s="88"/>
      <c r="C173" s="88"/>
      <c r="D173" s="88"/>
      <c r="E173" s="88"/>
      <c r="F173" s="88"/>
      <c r="G173" s="88"/>
      <c r="H173" s="89"/>
      <c r="J173" s="35"/>
    </row>
    <row r="174" spans="1:14" s="60" customFormat="1" ht="15.75" customHeight="1" x14ac:dyDescent="0.25">
      <c r="A174" s="61">
        <v>1</v>
      </c>
      <c r="B174" s="61" t="s">
        <v>208</v>
      </c>
      <c r="C174" s="52" t="s">
        <v>192</v>
      </c>
      <c r="D174" s="53">
        <f>(71.049+0.53*(3.35+2.5)+2.45*0.6)*(10.764)</f>
        <v>813.968298</v>
      </c>
      <c r="E174" s="61">
        <v>0</v>
      </c>
      <c r="F174" s="61">
        <f t="shared" ref="F174:F179" si="10">D174*(($F$148)+1)+(IF(E174&lt;101,E174,IF(E174&lt;201,E174/2,IF(E174&lt;=301,E174/3,E174/4))))</f>
        <v>1302.3492768000001</v>
      </c>
      <c r="G174" s="131" t="str">
        <f>A173</f>
        <v>27th (28th Floor as per Builder)</v>
      </c>
      <c r="H174" s="132"/>
      <c r="I174" s="35"/>
      <c r="L174" s="86"/>
      <c r="M174" s="86"/>
      <c r="N174" s="35"/>
    </row>
    <row r="175" spans="1:14" s="60" customFormat="1" ht="15.75" customHeight="1" x14ac:dyDescent="0.25">
      <c r="A175" s="61">
        <f>A174+1</f>
        <v>2</v>
      </c>
      <c r="B175" s="61" t="s">
        <v>209</v>
      </c>
      <c r="C175" s="52" t="s">
        <v>193</v>
      </c>
      <c r="D175" s="53">
        <f>(92.887+0.83*(3.2+2.6+2.4)+3.2*0.52+2.3*0.75)*(10.764)</f>
        <v>1109.5746479999998</v>
      </c>
      <c r="E175" s="61">
        <v>0</v>
      </c>
      <c r="F175" s="61">
        <v>1864</v>
      </c>
      <c r="G175" s="133"/>
      <c r="H175" s="134"/>
      <c r="I175" s="35" t="s">
        <v>225</v>
      </c>
      <c r="L175" s="86"/>
      <c r="M175" s="86"/>
      <c r="N175" s="35"/>
    </row>
    <row r="176" spans="1:14" s="60" customFormat="1" ht="15.75" customHeight="1" x14ac:dyDescent="0.25">
      <c r="A176" s="61">
        <f>A175+1</f>
        <v>3</v>
      </c>
      <c r="B176" s="61" t="s">
        <v>210</v>
      </c>
      <c r="C176" s="52" t="s">
        <v>193</v>
      </c>
      <c r="D176" s="53">
        <f>(92.887+0.83*(3.2+2.6+2.4)+3.2*0.52+2.3*0.75)*(10.764)</f>
        <v>1109.5746479999998</v>
      </c>
      <c r="E176" s="61">
        <v>0</v>
      </c>
      <c r="F176" s="61">
        <f t="shared" si="10"/>
        <v>1775.3194367999997</v>
      </c>
      <c r="G176" s="133"/>
      <c r="H176" s="134"/>
      <c r="I176" s="35"/>
      <c r="L176" s="86"/>
      <c r="M176" s="86"/>
      <c r="N176" s="35"/>
    </row>
    <row r="177" spans="1:14" s="60" customFormat="1" ht="15.75" customHeight="1" x14ac:dyDescent="0.25">
      <c r="A177" s="61">
        <f>A176+1</f>
        <v>4</v>
      </c>
      <c r="B177" s="61" t="s">
        <v>211</v>
      </c>
      <c r="C177" s="52">
        <v>4</v>
      </c>
      <c r="D177" s="53">
        <f>(126.31+0.83*(3.35+2.7+2.3+2.7+2.3)+1.6*1.08)*(10.764)</f>
        <v>1497.471534</v>
      </c>
      <c r="E177" s="61">
        <v>0</v>
      </c>
      <c r="F177" s="61">
        <f t="shared" si="10"/>
        <v>2395.9544544</v>
      </c>
      <c r="G177" s="133"/>
      <c r="H177" s="134"/>
      <c r="I177" s="35">
        <f>65700000/F177</f>
        <v>27421.222419043326</v>
      </c>
      <c r="L177" s="86"/>
      <c r="M177" s="86"/>
      <c r="N177" s="35"/>
    </row>
    <row r="178" spans="1:14" s="60" customFormat="1" ht="15.75" customHeight="1" x14ac:dyDescent="0.25">
      <c r="A178" s="61">
        <f>A177+1</f>
        <v>5</v>
      </c>
      <c r="B178" s="61" t="s">
        <v>212</v>
      </c>
      <c r="C178" s="52">
        <v>3</v>
      </c>
      <c r="D178" s="53">
        <f>(80.564+0.83*(2.43+2.6+2.9)+2.45*0.88)*(10.764)</f>
        <v>961.24565159999997</v>
      </c>
      <c r="E178" s="61">
        <v>0</v>
      </c>
      <c r="F178" s="61">
        <f t="shared" si="10"/>
        <v>1537.99304256</v>
      </c>
      <c r="G178" s="133"/>
      <c r="H178" s="134"/>
      <c r="I178" s="35"/>
      <c r="L178" s="86"/>
      <c r="M178" s="86"/>
      <c r="N178" s="35"/>
    </row>
    <row r="179" spans="1:14" s="60" customFormat="1" ht="15.75" customHeight="1" x14ac:dyDescent="0.25">
      <c r="A179" s="61">
        <f>A178+1</f>
        <v>6</v>
      </c>
      <c r="B179" s="61" t="s">
        <v>213</v>
      </c>
      <c r="C179" s="52">
        <v>3</v>
      </c>
      <c r="D179" s="53">
        <f>(80.564+0.83*(2.43+2.6+2.9)+2.45*0.88)*(10.764)</f>
        <v>961.24565159999997</v>
      </c>
      <c r="E179" s="61">
        <v>0</v>
      </c>
      <c r="F179" s="61">
        <f t="shared" si="10"/>
        <v>1537.99304256</v>
      </c>
      <c r="G179" s="135"/>
      <c r="H179" s="136"/>
      <c r="I179" s="35"/>
      <c r="L179" s="86"/>
      <c r="M179" s="86"/>
      <c r="N179" s="35"/>
    </row>
    <row r="180" spans="1:14" s="36" customFormat="1" x14ac:dyDescent="0.25">
      <c r="A180" s="87" t="s">
        <v>198</v>
      </c>
      <c r="B180" s="88"/>
      <c r="C180" s="88"/>
      <c r="D180" s="88"/>
      <c r="E180" s="88"/>
      <c r="F180" s="88"/>
      <c r="G180" s="88"/>
      <c r="H180" s="89"/>
      <c r="J180" s="35"/>
    </row>
    <row r="181" spans="1:14" s="36" customFormat="1" ht="15.75" customHeight="1" x14ac:dyDescent="0.25">
      <c r="A181" s="56">
        <v>1</v>
      </c>
      <c r="B181" s="56" t="s">
        <v>208</v>
      </c>
      <c r="C181" s="52" t="s">
        <v>192</v>
      </c>
      <c r="D181" s="53">
        <f>(71.049+0.53*(3.35+2.5)+2.45*0.6)*(10.764)</f>
        <v>813.968298</v>
      </c>
      <c r="E181" s="41">
        <v>0</v>
      </c>
      <c r="F181" s="41">
        <f>D181*(($F$148)+1)+(IF(E181&lt;101,E181,IF(E181&lt;201,E181/2,IF(E181&lt;=301,E181/3,E181/4))))</f>
        <v>1302.3492768000001</v>
      </c>
      <c r="G181" s="131" t="str">
        <f>A180</f>
        <v>7th Floor (Part Refuge Area)</v>
      </c>
      <c r="H181" s="132"/>
      <c r="I181" s="35"/>
      <c r="L181" s="86"/>
      <c r="M181" s="86"/>
      <c r="N181" s="35"/>
    </row>
    <row r="182" spans="1:14" s="36" customFormat="1" ht="15.75" customHeight="1" x14ac:dyDescent="0.25">
      <c r="A182" s="56">
        <f>A181+1</f>
        <v>2</v>
      </c>
      <c r="B182" s="56" t="s">
        <v>209</v>
      </c>
      <c r="C182" s="52" t="s">
        <v>193</v>
      </c>
      <c r="D182" s="53">
        <f>(92.887+0.83*(3.2+2.6+2.4)+3.2*0.52+2.3*0.75)*(10.764)</f>
        <v>1109.5746479999998</v>
      </c>
      <c r="E182" s="41">
        <v>0</v>
      </c>
      <c r="F182" s="41">
        <f>D182*(($F$148)+1)+(IF(E182&lt;101,E182,IF(E182&lt;201,E182/2,IF(E182&lt;=301,E182/3,E182/4))))</f>
        <v>1775.3194367999997</v>
      </c>
      <c r="G182" s="133" t="str">
        <f>G181</f>
        <v>7th Floor (Part Refuge Area)</v>
      </c>
      <c r="H182" s="134"/>
      <c r="I182" s="35"/>
      <c r="L182" s="86"/>
      <c r="M182" s="86"/>
      <c r="N182" s="35"/>
    </row>
    <row r="183" spans="1:14" s="36" customFormat="1" ht="15.75" customHeight="1" x14ac:dyDescent="0.25">
      <c r="A183" s="56">
        <f>A182+1</f>
        <v>3</v>
      </c>
      <c r="B183" s="56" t="s">
        <v>210</v>
      </c>
      <c r="C183" s="52" t="s">
        <v>193</v>
      </c>
      <c r="D183" s="53">
        <f>(92.887+0.83*(3.2+2.6+2.4)+3.2*0.52+2.3*0.75)*(10.764)</f>
        <v>1109.5746479999998</v>
      </c>
      <c r="E183" s="41">
        <v>0</v>
      </c>
      <c r="F183" s="41">
        <f>D183*(($F$148)+1)+(IF(E183&lt;101,E183,IF(E183&lt;201,E183/2,IF(E183&lt;=301,E183/3,E183/4))))</f>
        <v>1775.3194367999997</v>
      </c>
      <c r="G183" s="133" t="str">
        <f>G182</f>
        <v>7th Floor (Part Refuge Area)</v>
      </c>
      <c r="H183" s="134"/>
      <c r="I183" s="35"/>
      <c r="L183" s="86"/>
      <c r="M183" s="86"/>
      <c r="N183" s="35"/>
    </row>
    <row r="184" spans="1:14" s="36" customFormat="1" ht="15.75" customHeight="1" x14ac:dyDescent="0.25">
      <c r="A184" s="56">
        <f>A183+1</f>
        <v>4</v>
      </c>
      <c r="B184" s="56" t="s">
        <v>216</v>
      </c>
      <c r="C184" s="110" t="s">
        <v>194</v>
      </c>
      <c r="D184" s="186"/>
      <c r="E184" s="186"/>
      <c r="F184" s="111"/>
      <c r="G184" s="133" t="str">
        <f>G183</f>
        <v>7th Floor (Part Refuge Area)</v>
      </c>
      <c r="H184" s="134"/>
      <c r="I184" s="35"/>
      <c r="L184" s="86"/>
      <c r="M184" s="86"/>
      <c r="N184" s="35"/>
    </row>
    <row r="185" spans="1:14" s="36" customFormat="1" ht="15.75" customHeight="1" x14ac:dyDescent="0.25">
      <c r="A185" s="56">
        <f>A184+1</f>
        <v>5</v>
      </c>
      <c r="B185" s="56" t="s">
        <v>212</v>
      </c>
      <c r="C185" s="52">
        <v>3</v>
      </c>
      <c r="D185" s="53">
        <f>(80.564+0.83*(2.43+2.6+2.9)+2.45*0.88)*(10.764)</f>
        <v>961.24565159999997</v>
      </c>
      <c r="E185" s="41">
        <v>0</v>
      </c>
      <c r="F185" s="41">
        <f>D185*(($F$148)+1)+(IF(E185&lt;101,E185,IF(E185&lt;201,E185/2,IF(E185&lt;=301,E185/3,E185/4))))</f>
        <v>1537.99304256</v>
      </c>
      <c r="G185" s="133" t="str">
        <f>G184</f>
        <v>7th Floor (Part Refuge Area)</v>
      </c>
      <c r="H185" s="134"/>
      <c r="I185" s="35"/>
      <c r="L185" s="86"/>
      <c r="M185" s="86"/>
      <c r="N185" s="35"/>
    </row>
    <row r="186" spans="1:14" s="36" customFormat="1" ht="15.75" customHeight="1" x14ac:dyDescent="0.25">
      <c r="A186" s="56">
        <f>A185+1</f>
        <v>6</v>
      </c>
      <c r="B186" s="56" t="s">
        <v>213</v>
      </c>
      <c r="C186" s="52">
        <v>3</v>
      </c>
      <c r="D186" s="53">
        <f>(80.564+0.83*(2.43+2.6+2.9)+2.45*0.88)*(10.764)</f>
        <v>961.24565159999997</v>
      </c>
      <c r="E186" s="41">
        <v>0</v>
      </c>
      <c r="F186" s="41">
        <f>D186*(($F$148)+1)+(IF(E186&lt;101,E186,IF(E186&lt;201,E186/2,IF(E186&lt;=301,E186/3,E186/4))))</f>
        <v>1537.99304256</v>
      </c>
      <c r="G186" s="135" t="str">
        <f>G185</f>
        <v>7th Floor (Part Refuge Area)</v>
      </c>
      <c r="H186" s="136"/>
      <c r="I186" s="35"/>
      <c r="L186" s="86"/>
      <c r="M186" s="86"/>
      <c r="N186" s="35"/>
    </row>
    <row r="187" spans="1:14" s="36" customFormat="1" ht="78" customHeight="1" x14ac:dyDescent="0.25">
      <c r="A187" s="87" t="s">
        <v>199</v>
      </c>
      <c r="B187" s="88"/>
      <c r="C187" s="88"/>
      <c r="D187" s="88"/>
      <c r="E187" s="88"/>
      <c r="F187" s="88"/>
      <c r="G187" s="88"/>
      <c r="H187" s="89"/>
      <c r="J187" s="35"/>
    </row>
    <row r="188" spans="1:14" s="36" customFormat="1" ht="15.75" customHeight="1" x14ac:dyDescent="0.25">
      <c r="A188" s="56">
        <v>1</v>
      </c>
      <c r="B188" s="56" t="s">
        <v>208</v>
      </c>
      <c r="C188" s="52" t="s">
        <v>192</v>
      </c>
      <c r="D188" s="53">
        <f>(71.049+0.53*(3.35+2.5)+2.45*0.6)*(10.764)</f>
        <v>813.968298</v>
      </c>
      <c r="E188" s="41">
        <v>0</v>
      </c>
      <c r="F188" s="41">
        <f>D188*(($F$148)+1)+(IF(E188&lt;101,E188,IF(E188&lt;201,E188/2,IF(E188&lt;=301,E188/3,E188/4))))</f>
        <v>1302.3492768000001</v>
      </c>
      <c r="G188" s="131" t="str">
        <f>A187</f>
        <v>14th (15th Floor as per Builder)
21st (22nd Floor as per Builder)
28th (29th Floor as per Builder)
 35th (36th Floor as per Builder)
(Part Refuge Area)</v>
      </c>
      <c r="H188" s="132"/>
      <c r="I188" s="35"/>
      <c r="L188" s="86"/>
      <c r="M188" s="86"/>
      <c r="N188" s="35"/>
    </row>
    <row r="189" spans="1:14" s="36" customFormat="1" ht="15.75" customHeight="1" x14ac:dyDescent="0.25">
      <c r="A189" s="56">
        <f>A188+1</f>
        <v>2</v>
      </c>
      <c r="B189" s="56" t="s">
        <v>209</v>
      </c>
      <c r="C189" s="52" t="s">
        <v>193</v>
      </c>
      <c r="D189" s="53">
        <f>(92.887+0.83*(3.2+2.6+2.4)+3.2*0.52+2.3*0.75)*(10.764)</f>
        <v>1109.5746479999998</v>
      </c>
      <c r="E189" s="41">
        <v>0</v>
      </c>
      <c r="F189" s="41">
        <f>D189*(($F$148)+1)+(IF(E189&lt;101,E189,IF(E189&lt;201,E189/2,IF(E189&lt;=301,E189/3,E189/4))))</f>
        <v>1775.3194367999997</v>
      </c>
      <c r="G189" s="133" t="str">
        <f>G188</f>
        <v>14th (15th Floor as per Builder)
21st (22nd Floor as per Builder)
28th (29th Floor as per Builder)
 35th (36th Floor as per Builder)
(Part Refuge Area)</v>
      </c>
      <c r="H189" s="134"/>
      <c r="I189" s="35"/>
      <c r="L189" s="86"/>
      <c r="M189" s="86"/>
      <c r="N189" s="35"/>
    </row>
    <row r="190" spans="1:14" s="36" customFormat="1" ht="15.75" customHeight="1" x14ac:dyDescent="0.25">
      <c r="A190" s="56">
        <f>A189+1</f>
        <v>3</v>
      </c>
      <c r="B190" s="56" t="s">
        <v>210</v>
      </c>
      <c r="C190" s="52" t="s">
        <v>193</v>
      </c>
      <c r="D190" s="53">
        <f>(92.887+0.83*(3.2+2.6+2.4)+3.2*0.52+2.3*0.75)*(10.764)</f>
        <v>1109.5746479999998</v>
      </c>
      <c r="E190" s="41">
        <v>0</v>
      </c>
      <c r="F190" s="41">
        <f>D190*(($F$148)+1)+(IF(E190&lt;101,E190,IF(E190&lt;201,E190/2,IF(E190&lt;=301,E190/3,E190/4))))</f>
        <v>1775.3194367999997</v>
      </c>
      <c r="G190" s="133" t="str">
        <f>G189</f>
        <v>14th (15th Floor as per Builder)
21st (22nd Floor as per Builder)
28th (29th Floor as per Builder)
 35th (36th Floor as per Builder)
(Part Refuge Area)</v>
      </c>
      <c r="H190" s="134"/>
      <c r="I190" s="35"/>
      <c r="L190" s="86"/>
      <c r="M190" s="86"/>
      <c r="N190" s="35"/>
    </row>
    <row r="191" spans="1:14" s="36" customFormat="1" ht="15.75" customHeight="1" x14ac:dyDescent="0.25">
      <c r="A191" s="56">
        <f>A190+1</f>
        <v>4</v>
      </c>
      <c r="B191" s="56" t="s">
        <v>216</v>
      </c>
      <c r="C191" s="110" t="s">
        <v>194</v>
      </c>
      <c r="D191" s="186"/>
      <c r="E191" s="186"/>
      <c r="F191" s="111"/>
      <c r="G191" s="133" t="str">
        <f>G190</f>
        <v>14th (15th Floor as per Builder)
21st (22nd Floor as per Builder)
28th (29th Floor as per Builder)
 35th (36th Floor as per Builder)
(Part Refuge Area)</v>
      </c>
      <c r="H191" s="134"/>
      <c r="I191" s="35"/>
      <c r="L191" s="86"/>
      <c r="M191" s="86"/>
      <c r="N191" s="35"/>
    </row>
    <row r="192" spans="1:14" s="36" customFormat="1" ht="15.75" customHeight="1" x14ac:dyDescent="0.25">
      <c r="A192" s="56">
        <f>A191+1</f>
        <v>5</v>
      </c>
      <c r="B192" s="56" t="s">
        <v>212</v>
      </c>
      <c r="C192" s="52">
        <v>3</v>
      </c>
      <c r="D192" s="53">
        <f>(80.564+0.83*(2.43+2.6+2.9)+2.45*0.88)*(10.764)</f>
        <v>961.24565159999997</v>
      </c>
      <c r="E192" s="41">
        <v>0</v>
      </c>
      <c r="F192" s="41">
        <f>D192*(($F$148)+1)+(IF(E192&lt;101,E192,IF(E192&lt;201,E192/2,IF(E192&lt;=301,E192/3,E192/4))))</f>
        <v>1537.99304256</v>
      </c>
      <c r="G192" s="133" t="str">
        <f>G191</f>
        <v>14th (15th Floor as per Builder)
21st (22nd Floor as per Builder)
28th (29th Floor as per Builder)
 35th (36th Floor as per Builder)
(Part Refuge Area)</v>
      </c>
      <c r="H192" s="134"/>
      <c r="I192" s="35"/>
      <c r="L192" s="86"/>
      <c r="M192" s="86"/>
      <c r="N192" s="35"/>
    </row>
    <row r="193" spans="1:14" s="36" customFormat="1" ht="15.75" customHeight="1" x14ac:dyDescent="0.25">
      <c r="A193" s="56">
        <f>A192+1</f>
        <v>6</v>
      </c>
      <c r="B193" s="56" t="s">
        <v>213</v>
      </c>
      <c r="C193" s="52">
        <v>3</v>
      </c>
      <c r="D193" s="53">
        <f>(80.564+0.83*(2.43+2.6+2.9)+2.45*0.88)*(10.764)</f>
        <v>961.24565159999997</v>
      </c>
      <c r="E193" s="41">
        <v>0</v>
      </c>
      <c r="F193" s="41">
        <f>D193*(($F$148)+1)+(IF(E193&lt;101,E193,IF(E193&lt;201,E193/2,IF(E193&lt;=301,E193/3,E193/4))))</f>
        <v>1537.99304256</v>
      </c>
      <c r="G193" s="135" t="str">
        <f>G192</f>
        <v>14th (15th Floor as per Builder)
21st (22nd Floor as per Builder)
28th (29th Floor as per Builder)
 35th (36th Floor as per Builder)
(Part Refuge Area)</v>
      </c>
      <c r="H193" s="136"/>
      <c r="I193" s="35"/>
      <c r="L193" s="86"/>
      <c r="M193" s="86"/>
      <c r="N193" s="35"/>
    </row>
    <row r="194" spans="1:14" s="71" customFormat="1" x14ac:dyDescent="0.25">
      <c r="A194" s="189" t="s">
        <v>245</v>
      </c>
      <c r="B194" s="190"/>
      <c r="C194" s="190"/>
      <c r="D194" s="190"/>
      <c r="E194" s="190"/>
      <c r="F194" s="190"/>
      <c r="G194" s="190"/>
      <c r="H194" s="191"/>
      <c r="J194" s="35"/>
    </row>
    <row r="195" spans="1:14" s="71" customFormat="1" x14ac:dyDescent="0.25">
      <c r="A195" s="87" t="s">
        <v>253</v>
      </c>
      <c r="B195" s="88"/>
      <c r="C195" s="88"/>
      <c r="D195" s="88"/>
      <c r="E195" s="88"/>
      <c r="F195" s="88"/>
      <c r="G195" s="88"/>
      <c r="H195" s="89"/>
      <c r="J195" s="35"/>
    </row>
    <row r="196" spans="1:14" s="71" customFormat="1" x14ac:dyDescent="0.25">
      <c r="A196" s="87" t="s">
        <v>252</v>
      </c>
      <c r="B196" s="88"/>
      <c r="C196" s="88"/>
      <c r="D196" s="88"/>
      <c r="E196" s="88"/>
      <c r="F196" s="88"/>
      <c r="G196" s="88"/>
      <c r="H196" s="89"/>
      <c r="J196" s="35"/>
    </row>
    <row r="197" spans="1:14" s="71" customFormat="1" ht="15.75" customHeight="1" x14ac:dyDescent="0.25">
      <c r="A197" s="110">
        <v>1</v>
      </c>
      <c r="B197" s="111"/>
      <c r="C197" s="214" t="s">
        <v>256</v>
      </c>
      <c r="D197" s="215"/>
      <c r="E197" s="215"/>
      <c r="F197" s="216"/>
      <c r="G197" s="131" t="str">
        <f>A196</f>
        <v>Ground Floor For Residential, Meter Room, Society Office &amp; Entrance Lobby</v>
      </c>
      <c r="H197" s="132"/>
      <c r="I197" s="35"/>
      <c r="L197" s="86"/>
      <c r="M197" s="86"/>
      <c r="N197" s="35"/>
    </row>
    <row r="198" spans="1:14" s="71" customFormat="1" x14ac:dyDescent="0.25">
      <c r="A198" s="110">
        <f>A197+1</f>
        <v>2</v>
      </c>
      <c r="B198" s="111"/>
      <c r="C198" s="214" t="s">
        <v>257</v>
      </c>
      <c r="D198" s="215"/>
      <c r="E198" s="215"/>
      <c r="F198" s="216"/>
      <c r="G198" s="133"/>
      <c r="H198" s="134"/>
      <c r="I198" s="35"/>
      <c r="L198" s="86"/>
      <c r="M198" s="86"/>
      <c r="N198" s="35"/>
    </row>
    <row r="199" spans="1:14" s="71" customFormat="1" ht="47.25" x14ac:dyDescent="0.25">
      <c r="A199" s="110">
        <f>A198+1</f>
        <v>3</v>
      </c>
      <c r="B199" s="111"/>
      <c r="C199" s="52" t="s">
        <v>254</v>
      </c>
      <c r="D199" s="53">
        <f>(126.09+111.1+(1.08*1+0.83*(3.35+2.1+2.15+2.2)))*(10.764)</f>
        <v>2652.2926559999996</v>
      </c>
      <c r="E199" s="72">
        <v>0</v>
      </c>
      <c r="F199" s="72">
        <f t="shared" ref="F199:F200" si="11">D199*(($F$148)+1)+(IF(E199&lt;101,E199,IF(E199&lt;201,E199/2,IF(E199&lt;=301,E199/3,E199/4))))</f>
        <v>4243.6682495999994</v>
      </c>
      <c r="G199" s="133"/>
      <c r="H199" s="134"/>
      <c r="I199" s="35"/>
      <c r="L199" s="86"/>
      <c r="M199" s="86"/>
      <c r="N199" s="35"/>
    </row>
    <row r="200" spans="1:14" s="71" customFormat="1" ht="47.25" x14ac:dyDescent="0.25">
      <c r="A200" s="110">
        <f>A199+1</f>
        <v>4</v>
      </c>
      <c r="B200" s="111"/>
      <c r="C200" s="52" t="s">
        <v>255</v>
      </c>
      <c r="D200" s="53">
        <f>(94.52+82.14+(1.67*2.5+3.65*1.2+0.53*(3.2+3.2)))*(10.764)</f>
        <v>2030.1657479999999</v>
      </c>
      <c r="E200" s="72">
        <v>0</v>
      </c>
      <c r="F200" s="72">
        <f t="shared" si="11"/>
        <v>3248.2651968</v>
      </c>
      <c r="G200" s="133"/>
      <c r="H200" s="134"/>
      <c r="I200" s="35">
        <f>6.1*4.53+2.48*1.15+2.55*2.6+2.45*0.9+2.25*0.15+2.4*1.53+3.8*3.2+2.45*1.43+1.25*1.35+2.23*0.2+3.2*3.35+2*0.6+2.45*1.52+1.08*2.42+2.08*1.15+0.9*0.5+3.5*2.25+2.32*1.15</f>
        <v>92.769100000000009</v>
      </c>
      <c r="L200" s="86"/>
      <c r="M200" s="86"/>
      <c r="N200" s="35"/>
    </row>
    <row r="201" spans="1:14" s="71" customFormat="1" x14ac:dyDescent="0.25">
      <c r="A201" s="110">
        <f>A200+1</f>
        <v>5</v>
      </c>
      <c r="B201" s="111"/>
      <c r="C201" s="217" t="s">
        <v>258</v>
      </c>
      <c r="D201" s="218"/>
      <c r="E201" s="218"/>
      <c r="F201" s="219"/>
      <c r="G201" s="133"/>
      <c r="H201" s="134"/>
      <c r="I201" s="35"/>
      <c r="L201" s="86"/>
      <c r="M201" s="86"/>
      <c r="N201" s="35"/>
    </row>
    <row r="202" spans="1:14" s="71" customFormat="1" x14ac:dyDescent="0.25">
      <c r="A202" s="110">
        <f>A201+1</f>
        <v>6</v>
      </c>
      <c r="B202" s="111"/>
      <c r="C202" s="220"/>
      <c r="D202" s="221"/>
      <c r="E202" s="221"/>
      <c r="F202" s="222"/>
      <c r="G202" s="135"/>
      <c r="H202" s="136"/>
      <c r="I202" s="35"/>
      <c r="J202" s="53">
        <f>10.764</f>
        <v>10.763999999999999</v>
      </c>
      <c r="L202" s="86"/>
      <c r="M202" s="86"/>
      <c r="N202" s="35"/>
    </row>
    <row r="203" spans="1:14" s="71" customFormat="1" x14ac:dyDescent="0.25">
      <c r="A203" s="118" t="s">
        <v>259</v>
      </c>
      <c r="B203" s="118"/>
      <c r="C203" s="118"/>
      <c r="D203" s="118"/>
      <c r="E203" s="118"/>
      <c r="F203" s="118"/>
      <c r="G203" s="118"/>
      <c r="H203" s="118"/>
      <c r="I203" s="35"/>
      <c r="L203" s="86"/>
      <c r="M203" s="86"/>
    </row>
    <row r="204" spans="1:14" s="71" customFormat="1" ht="15.75" customHeight="1" x14ac:dyDescent="0.25">
      <c r="A204" s="120">
        <v>1</v>
      </c>
      <c r="B204" s="120"/>
      <c r="C204" s="217" t="s">
        <v>261</v>
      </c>
      <c r="D204" s="218"/>
      <c r="E204" s="218"/>
      <c r="F204" s="219"/>
      <c r="G204" s="131" t="str">
        <f>A203</f>
        <v>1st Floor For Residential &amp; Gymnasium</v>
      </c>
      <c r="H204" s="132"/>
      <c r="I204" s="35"/>
      <c r="N204" s="35"/>
    </row>
    <row r="205" spans="1:14" s="71" customFormat="1" x14ac:dyDescent="0.25">
      <c r="A205" s="120">
        <f>A204+1</f>
        <v>2</v>
      </c>
      <c r="B205" s="120"/>
      <c r="C205" s="220"/>
      <c r="D205" s="221"/>
      <c r="E205" s="221"/>
      <c r="F205" s="222"/>
      <c r="G205" s="133"/>
      <c r="H205" s="134"/>
      <c r="I205" s="35"/>
      <c r="N205" s="35"/>
    </row>
    <row r="206" spans="1:14" s="71" customFormat="1" x14ac:dyDescent="0.25">
      <c r="A206" s="120">
        <f>A205+1</f>
        <v>3</v>
      </c>
      <c r="B206" s="120"/>
      <c r="C206" s="214" t="s">
        <v>260</v>
      </c>
      <c r="D206" s="215"/>
      <c r="E206" s="215"/>
      <c r="F206" s="216"/>
      <c r="G206" s="133"/>
      <c r="H206" s="134"/>
      <c r="I206" s="35"/>
      <c r="N206" s="35"/>
    </row>
    <row r="207" spans="1:14" s="71" customFormat="1" ht="15.75" customHeight="1" x14ac:dyDescent="0.25">
      <c r="A207" s="120">
        <f t="shared" ref="A207:A209" si="12">A206+1</f>
        <v>4</v>
      </c>
      <c r="B207" s="120"/>
      <c r="C207" s="214" t="s">
        <v>260</v>
      </c>
      <c r="D207" s="215"/>
      <c r="E207" s="215"/>
      <c r="F207" s="216"/>
      <c r="G207" s="133"/>
      <c r="H207" s="134"/>
      <c r="I207" s="35"/>
      <c r="N207" s="35"/>
    </row>
    <row r="208" spans="1:14" s="71" customFormat="1" x14ac:dyDescent="0.25">
      <c r="A208" s="120">
        <f t="shared" si="12"/>
        <v>5</v>
      </c>
      <c r="B208" s="120"/>
      <c r="C208" s="217" t="s">
        <v>258</v>
      </c>
      <c r="D208" s="218"/>
      <c r="E208" s="218"/>
      <c r="F208" s="219"/>
      <c r="G208" s="133"/>
      <c r="H208" s="134"/>
      <c r="I208" s="35"/>
      <c r="N208" s="35"/>
    </row>
    <row r="209" spans="1:14" s="71" customFormat="1" x14ac:dyDescent="0.25">
      <c r="A209" s="120">
        <f t="shared" si="12"/>
        <v>6</v>
      </c>
      <c r="B209" s="120"/>
      <c r="C209" s="220"/>
      <c r="D209" s="221"/>
      <c r="E209" s="221"/>
      <c r="F209" s="222"/>
      <c r="G209" s="135"/>
      <c r="H209" s="136"/>
      <c r="I209" s="35"/>
      <c r="N209" s="35"/>
    </row>
    <row r="210" spans="1:14" s="71" customFormat="1" x14ac:dyDescent="0.25">
      <c r="A210" s="118" t="s">
        <v>201</v>
      </c>
      <c r="B210" s="118"/>
      <c r="C210" s="118"/>
      <c r="D210" s="118"/>
      <c r="E210" s="118"/>
      <c r="F210" s="118"/>
      <c r="G210" s="118"/>
      <c r="H210" s="118"/>
      <c r="I210" s="35"/>
      <c r="L210" s="86"/>
      <c r="M210" s="86"/>
    </row>
    <row r="211" spans="1:14" s="71" customFormat="1" x14ac:dyDescent="0.25">
      <c r="A211" s="120">
        <v>1</v>
      </c>
      <c r="B211" s="120"/>
      <c r="C211" s="52" t="s">
        <v>192</v>
      </c>
      <c r="D211" s="53">
        <f>(71.19+(1.37*2.45+0.53*(3.35+2.5)))*(10.764)</f>
        <v>835.79230799999982</v>
      </c>
      <c r="E211" s="72">
        <v>0</v>
      </c>
      <c r="F211" s="72">
        <f t="shared" ref="F211:F216" si="13">D211*(($F$148)+1)+(IF(E211&lt;101,E211,IF(E211&lt;201,E211/2,IF(E211&lt;=301,E211/3,E211/4))))</f>
        <v>1337.2676927999998</v>
      </c>
      <c r="G211" s="131" t="str">
        <f>A210</f>
        <v>2nd Floor For Residential</v>
      </c>
      <c r="H211" s="132"/>
      <c r="I211" s="35"/>
      <c r="N211" s="35"/>
    </row>
    <row r="212" spans="1:14" s="71" customFormat="1" x14ac:dyDescent="0.25">
      <c r="A212" s="120">
        <f>A211+1</f>
        <v>2</v>
      </c>
      <c r="B212" s="120"/>
      <c r="C212" s="52" t="s">
        <v>263</v>
      </c>
      <c r="D212" s="53">
        <f>(83.82+(0.75*2.45+0.83*(2.65+3+2.4)))*(10.764)</f>
        <v>993.93699599999991</v>
      </c>
      <c r="E212" s="72">
        <v>0</v>
      </c>
      <c r="F212" s="72">
        <f t="shared" si="13"/>
        <v>1590.2991935999999</v>
      </c>
      <c r="G212" s="133"/>
      <c r="H212" s="134"/>
      <c r="I212" s="35"/>
      <c r="N212" s="35"/>
    </row>
    <row r="213" spans="1:14" s="71" customFormat="1" x14ac:dyDescent="0.25">
      <c r="A213" s="120">
        <f>A212+1</f>
        <v>3</v>
      </c>
      <c r="B213" s="120"/>
      <c r="C213" s="52" t="s">
        <v>263</v>
      </c>
      <c r="D213" s="53">
        <f>(83.82+(0.75*2.45+0.83*(2.8+3+2.4)))*(10.764)</f>
        <v>995.27711399999987</v>
      </c>
      <c r="E213" s="72">
        <v>0</v>
      </c>
      <c r="F213" s="72">
        <f t="shared" si="13"/>
        <v>1592.4433823999998</v>
      </c>
      <c r="G213" s="133"/>
      <c r="H213" s="134"/>
      <c r="I213" s="35"/>
      <c r="N213" s="35"/>
    </row>
    <row r="214" spans="1:14" s="71" customFormat="1" x14ac:dyDescent="0.25">
      <c r="A214" s="120">
        <f>A213+1</f>
        <v>4</v>
      </c>
      <c r="B214" s="120"/>
      <c r="C214" s="52" t="s">
        <v>264</v>
      </c>
      <c r="D214" s="53">
        <f>(120.79+(1.08*1.6+0.83*(3.35+2+2.2+3.2+2.25)))*(10.764)</f>
        <v>1434.9273119999998</v>
      </c>
      <c r="E214" s="72">
        <v>0</v>
      </c>
      <c r="F214" s="72">
        <f t="shared" si="13"/>
        <v>2295.8836991999997</v>
      </c>
      <c r="G214" s="133"/>
      <c r="H214" s="134"/>
      <c r="I214" s="35"/>
      <c r="N214" s="35"/>
    </row>
    <row r="215" spans="1:14" s="71" customFormat="1" x14ac:dyDescent="0.25">
      <c r="A215" s="120">
        <f>A214+1</f>
        <v>5</v>
      </c>
      <c r="B215" s="120"/>
      <c r="C215" s="52" t="s">
        <v>193</v>
      </c>
      <c r="D215" s="53">
        <f>(89.46+(1.67*2.45+0.53*(3.2+3.2)+0.83*(3.15+2.43)))*(10.764)</f>
        <v>1093.3522235999999</v>
      </c>
      <c r="E215" s="72">
        <v>0</v>
      </c>
      <c r="F215" s="72">
        <f t="shared" si="13"/>
        <v>1749.3635577599998</v>
      </c>
      <c r="G215" s="133"/>
      <c r="H215" s="134"/>
      <c r="I215" s="35"/>
      <c r="N215" s="35"/>
    </row>
    <row r="216" spans="1:14" s="71" customFormat="1" x14ac:dyDescent="0.25">
      <c r="A216" s="120">
        <f>A215+1</f>
        <v>6</v>
      </c>
      <c r="B216" s="120"/>
      <c r="C216" s="52" t="s">
        <v>193</v>
      </c>
      <c r="D216" s="53">
        <f>(89.46+(1.17*2.45+0.53*(3.2+3.2)+0.83*(3.15+2.43)))*(10.764)</f>
        <v>1080.1663235999999</v>
      </c>
      <c r="E216" s="72">
        <v>0</v>
      </c>
      <c r="F216" s="72">
        <f t="shared" si="13"/>
        <v>1728.26611776</v>
      </c>
      <c r="G216" s="135"/>
      <c r="H216" s="136"/>
      <c r="I216" s="35"/>
      <c r="N216" s="35"/>
    </row>
    <row r="217" spans="1:14" s="71" customFormat="1" x14ac:dyDescent="0.25">
      <c r="A217" s="118" t="s">
        <v>266</v>
      </c>
      <c r="B217" s="118"/>
      <c r="C217" s="118"/>
      <c r="D217" s="118"/>
      <c r="E217" s="118"/>
      <c r="F217" s="118"/>
      <c r="G217" s="118"/>
      <c r="H217" s="118"/>
      <c r="I217" s="35"/>
      <c r="L217" s="86"/>
      <c r="M217" s="86"/>
    </row>
    <row r="218" spans="1:14" s="71" customFormat="1" x14ac:dyDescent="0.25">
      <c r="A218" s="120">
        <v>1</v>
      </c>
      <c r="B218" s="120"/>
      <c r="C218" s="52" t="s">
        <v>192</v>
      </c>
      <c r="D218" s="53">
        <f>(71.19+(1.37*2.45+0.53*(3.35+2.5)))*(10.764)</f>
        <v>835.79230799999982</v>
      </c>
      <c r="E218" s="72">
        <v>0</v>
      </c>
      <c r="F218" s="72">
        <f t="shared" ref="F218:F223" si="14">D218*(($F$148)+1)+(IF(E218&lt;101,E218,IF(E218&lt;201,E218/2,IF(E218&lt;=301,E218/3,E218/4))))</f>
        <v>1337.2676927999998</v>
      </c>
      <c r="G218" s="131" t="str">
        <f>A217</f>
        <v>3rd to 6th, 8th to 12th  Floor</v>
      </c>
      <c r="H218" s="132"/>
      <c r="I218" s="35"/>
      <c r="N218" s="35"/>
    </row>
    <row r="219" spans="1:14" s="71" customFormat="1" x14ac:dyDescent="0.25">
      <c r="A219" s="120">
        <f>A218+1</f>
        <v>2</v>
      </c>
      <c r="B219" s="120"/>
      <c r="C219" s="52" t="s">
        <v>263</v>
      </c>
      <c r="D219" s="53">
        <f>(83.82+(0.75*2.45+0.83*(2.65+3+2.4)))*(10.764)</f>
        <v>993.93699599999991</v>
      </c>
      <c r="E219" s="72">
        <v>0</v>
      </c>
      <c r="F219" s="72">
        <f t="shared" si="14"/>
        <v>1590.2991935999999</v>
      </c>
      <c r="G219" s="133"/>
      <c r="H219" s="134"/>
      <c r="I219" s="35"/>
      <c r="N219" s="35"/>
    </row>
    <row r="220" spans="1:14" s="71" customFormat="1" x14ac:dyDescent="0.25">
      <c r="A220" s="120">
        <f>A219+1</f>
        <v>3</v>
      </c>
      <c r="B220" s="120"/>
      <c r="C220" s="52" t="s">
        <v>263</v>
      </c>
      <c r="D220" s="53">
        <f>(83.82+(0.75*2.45+0.83*(2.8+3+2.4)))*(10.764)</f>
        <v>995.27711399999987</v>
      </c>
      <c r="E220" s="72">
        <v>0</v>
      </c>
      <c r="F220" s="72">
        <f t="shared" si="14"/>
        <v>1592.4433823999998</v>
      </c>
      <c r="G220" s="133"/>
      <c r="H220" s="134"/>
      <c r="I220" s="35"/>
      <c r="N220" s="35"/>
    </row>
    <row r="221" spans="1:14" s="71" customFormat="1" x14ac:dyDescent="0.25">
      <c r="A221" s="120">
        <f>A220+1</f>
        <v>4</v>
      </c>
      <c r="B221" s="120"/>
      <c r="C221" s="52" t="s">
        <v>264</v>
      </c>
      <c r="D221" s="53">
        <f>(120.79+(1.08*1.6+0.83*(3.35+2+2.2+3.2+2.25)))*(10.764)</f>
        <v>1434.9273119999998</v>
      </c>
      <c r="E221" s="72">
        <v>0</v>
      </c>
      <c r="F221" s="72">
        <f t="shared" si="14"/>
        <v>2295.8836991999997</v>
      </c>
      <c r="G221" s="133"/>
      <c r="H221" s="134"/>
      <c r="I221" s="35"/>
      <c r="N221" s="35"/>
    </row>
    <row r="222" spans="1:14" s="71" customFormat="1" x14ac:dyDescent="0.25">
      <c r="A222" s="120">
        <f>A221+1</f>
        <v>5</v>
      </c>
      <c r="B222" s="120"/>
      <c r="C222" s="52" t="s">
        <v>193</v>
      </c>
      <c r="D222" s="53">
        <f>(89.46+(1.67*2.45+0.53*(3.2+3.2)+0.83*(3.15+2.43)))*(10.764)</f>
        <v>1093.3522235999999</v>
      </c>
      <c r="E222" s="72">
        <v>0</v>
      </c>
      <c r="F222" s="72">
        <f t="shared" si="14"/>
        <v>1749.3635577599998</v>
      </c>
      <c r="G222" s="133"/>
      <c r="H222" s="134"/>
      <c r="I222" s="35"/>
      <c r="N222" s="35"/>
    </row>
    <row r="223" spans="1:14" s="71" customFormat="1" x14ac:dyDescent="0.25">
      <c r="A223" s="120">
        <f>A222+1</f>
        <v>6</v>
      </c>
      <c r="B223" s="120"/>
      <c r="C223" s="52" t="s">
        <v>193</v>
      </c>
      <c r="D223" s="53">
        <f>(89.46+(1.17*2.45+0.53*(3.2+3.2)+0.83*(3.15+2.43)))*(10.764)</f>
        <v>1080.1663235999999</v>
      </c>
      <c r="E223" s="72">
        <v>0</v>
      </c>
      <c r="F223" s="72">
        <f t="shared" si="14"/>
        <v>1728.26611776</v>
      </c>
      <c r="G223" s="135"/>
      <c r="H223" s="136"/>
      <c r="I223" s="35"/>
      <c r="N223" s="35"/>
    </row>
    <row r="224" spans="1:14" s="71" customFormat="1" ht="84.75" customHeight="1" x14ac:dyDescent="0.25">
      <c r="A224" s="118" t="s">
        <v>267</v>
      </c>
      <c r="B224" s="118"/>
      <c r="C224" s="118"/>
      <c r="D224" s="118"/>
      <c r="E224" s="118"/>
      <c r="F224" s="118"/>
      <c r="G224" s="118"/>
      <c r="H224" s="118"/>
      <c r="I224" s="35"/>
      <c r="L224" s="86"/>
      <c r="M224" s="86"/>
    </row>
    <row r="225" spans="1:14" s="71" customFormat="1" x14ac:dyDescent="0.25">
      <c r="A225" s="120">
        <v>1</v>
      </c>
      <c r="B225" s="120"/>
      <c r="C225" s="52" t="s">
        <v>192</v>
      </c>
      <c r="D225" s="53">
        <f>(71.19+(1.37*2.45+0.53*(3.35+2.5)))*(10.764)</f>
        <v>835.79230799999982</v>
      </c>
      <c r="E225" s="72">
        <v>0</v>
      </c>
      <c r="F225" s="72">
        <f t="shared" ref="F225:F230" si="15">D225*(($F$148)+1)+(IF(E225&lt;101,E225,IF(E225&lt;201,E225/2,IF(E225&lt;=301,E225/3,E225/4))))</f>
        <v>1337.2676927999998</v>
      </c>
      <c r="G225" s="131" t="str">
        <f>A224</f>
        <v>13th (14th Floor as per Builder), 
15th to 20th (16th to 21st Floor as per Builder)
22nd to 27th (23rd to 28th Floor as per Builder)
29th to 34th (30th to 35th Floor as per Builder)
 36th &amp; 37th (37th &amp; 38th Floor as per Builder)</v>
      </c>
      <c r="H225" s="132"/>
      <c r="I225" s="35"/>
      <c r="N225" s="35"/>
    </row>
    <row r="226" spans="1:14" s="71" customFormat="1" x14ac:dyDescent="0.25">
      <c r="A226" s="120">
        <f>A225+1</f>
        <v>2</v>
      </c>
      <c r="B226" s="120"/>
      <c r="C226" s="52" t="s">
        <v>263</v>
      </c>
      <c r="D226" s="53">
        <f>(83.82+(0.75*2.45+0.83*(2.65+3+2.4)))*(10.764)</f>
        <v>993.93699599999991</v>
      </c>
      <c r="E226" s="72">
        <v>0</v>
      </c>
      <c r="F226" s="72">
        <f t="shared" si="15"/>
        <v>1590.2991935999999</v>
      </c>
      <c r="G226" s="133"/>
      <c r="H226" s="134"/>
      <c r="I226" s="35"/>
      <c r="N226" s="35"/>
    </row>
    <row r="227" spans="1:14" s="71" customFormat="1" x14ac:dyDescent="0.25">
      <c r="A227" s="120">
        <f>A226+1</f>
        <v>3</v>
      </c>
      <c r="B227" s="120"/>
      <c r="C227" s="52" t="s">
        <v>263</v>
      </c>
      <c r="D227" s="53">
        <f>(83.82+(0.75*2.45+0.83*(2.8+3+2.4)))*(10.764)</f>
        <v>995.27711399999987</v>
      </c>
      <c r="E227" s="72">
        <v>0</v>
      </c>
      <c r="F227" s="72">
        <f t="shared" si="15"/>
        <v>1592.4433823999998</v>
      </c>
      <c r="G227" s="133"/>
      <c r="H227" s="134"/>
      <c r="I227" s="35"/>
      <c r="N227" s="35"/>
    </row>
    <row r="228" spans="1:14" s="71" customFormat="1" x14ac:dyDescent="0.25">
      <c r="A228" s="120">
        <f>A227+1</f>
        <v>4</v>
      </c>
      <c r="B228" s="120"/>
      <c r="C228" s="52" t="s">
        <v>264</v>
      </c>
      <c r="D228" s="53">
        <f>(120.79+(1.08*1.6+0.83*(3.35+2+2.2+3.2+2.25)))*(10.764)</f>
        <v>1434.9273119999998</v>
      </c>
      <c r="E228" s="72">
        <v>0</v>
      </c>
      <c r="F228" s="72">
        <f t="shared" si="15"/>
        <v>2295.8836991999997</v>
      </c>
      <c r="G228" s="133"/>
      <c r="H228" s="134"/>
      <c r="I228" s="35"/>
      <c r="N228" s="35"/>
    </row>
    <row r="229" spans="1:14" s="71" customFormat="1" x14ac:dyDescent="0.25">
      <c r="A229" s="120">
        <f>A228+1</f>
        <v>5</v>
      </c>
      <c r="B229" s="120"/>
      <c r="C229" s="52" t="s">
        <v>193</v>
      </c>
      <c r="D229" s="53">
        <f>(89.46+(1.67*2.45+0.53*(3.2+3.2)+0.83*(3.15+2.43)))*(10.764)</f>
        <v>1093.3522235999999</v>
      </c>
      <c r="E229" s="72">
        <v>0</v>
      </c>
      <c r="F229" s="72">
        <f t="shared" si="15"/>
        <v>1749.3635577599998</v>
      </c>
      <c r="G229" s="133"/>
      <c r="H229" s="134"/>
      <c r="I229" s="35"/>
      <c r="N229" s="35"/>
    </row>
    <row r="230" spans="1:14" s="71" customFormat="1" x14ac:dyDescent="0.25">
      <c r="A230" s="120">
        <f>A229+1</f>
        <v>6</v>
      </c>
      <c r="B230" s="120"/>
      <c r="C230" s="52" t="s">
        <v>193</v>
      </c>
      <c r="D230" s="53">
        <f>(89.46+(1.17*2.45+0.53*(3.2+3.2)+0.83*(3.15+2.43)))*(10.764)</f>
        <v>1080.1663235999999</v>
      </c>
      <c r="E230" s="72">
        <v>0</v>
      </c>
      <c r="F230" s="72">
        <f t="shared" si="15"/>
        <v>1728.26611776</v>
      </c>
      <c r="G230" s="135"/>
      <c r="H230" s="136"/>
      <c r="I230" s="35"/>
      <c r="N230" s="35"/>
    </row>
    <row r="231" spans="1:14" s="71" customFormat="1" x14ac:dyDescent="0.25">
      <c r="A231" s="118" t="s">
        <v>198</v>
      </c>
      <c r="B231" s="118"/>
      <c r="C231" s="118"/>
      <c r="D231" s="118"/>
      <c r="E231" s="118"/>
      <c r="F231" s="118"/>
      <c r="G231" s="118"/>
      <c r="H231" s="118"/>
      <c r="I231" s="35"/>
      <c r="L231" s="86"/>
      <c r="M231" s="86"/>
    </row>
    <row r="232" spans="1:14" s="71" customFormat="1" x14ac:dyDescent="0.25">
      <c r="A232" s="120">
        <v>1</v>
      </c>
      <c r="B232" s="120"/>
      <c r="C232" s="52" t="s">
        <v>192</v>
      </c>
      <c r="D232" s="53">
        <f>(71.19+(1.37*2.45+0.53*(3.35+2.5)))*(10.764)</f>
        <v>835.79230799999982</v>
      </c>
      <c r="E232" s="72">
        <v>0</v>
      </c>
      <c r="F232" s="72">
        <f>D232*(($F$148)+1)+(IF(E232&lt;101,E232,IF(E232&lt;201,E232/2,IF(E232&lt;=301,E232/3,E232/4))))</f>
        <v>1337.2676927999998</v>
      </c>
      <c r="G232" s="131" t="str">
        <f>A231</f>
        <v>7th Floor (Part Refuge Area)</v>
      </c>
      <c r="H232" s="132"/>
      <c r="I232" s="35"/>
      <c r="N232" s="35"/>
    </row>
    <row r="233" spans="1:14" s="71" customFormat="1" x14ac:dyDescent="0.25">
      <c r="A233" s="120">
        <f>A232+1</f>
        <v>2</v>
      </c>
      <c r="B233" s="120"/>
      <c r="C233" s="52" t="s">
        <v>263</v>
      </c>
      <c r="D233" s="53">
        <f>(83.82+(0.75*2.45+0.83*(2.65+3+2.4)))*(10.764)</f>
        <v>993.93699599999991</v>
      </c>
      <c r="E233" s="72">
        <v>0</v>
      </c>
      <c r="F233" s="72">
        <f>D233*(($F$148)+1)+(IF(E233&lt;101,E233,IF(E233&lt;201,E233/2,IF(E233&lt;=301,E233/3,E233/4))))</f>
        <v>1590.2991935999999</v>
      </c>
      <c r="G233" s="133"/>
      <c r="H233" s="134"/>
      <c r="I233" s="35"/>
      <c r="N233" s="35"/>
    </row>
    <row r="234" spans="1:14" s="71" customFormat="1" x14ac:dyDescent="0.25">
      <c r="A234" s="120">
        <f>A233+1</f>
        <v>3</v>
      </c>
      <c r="B234" s="120"/>
      <c r="C234" s="52" t="s">
        <v>263</v>
      </c>
      <c r="D234" s="53">
        <f>(83.82+(0.75*2.45+0.83*(2.65+3+2.4)))*(10.764)</f>
        <v>993.93699599999991</v>
      </c>
      <c r="E234" s="72">
        <v>0</v>
      </c>
      <c r="F234" s="72">
        <f>D234*(($F$148)+1)+(IF(E234&lt;101,E234,IF(E234&lt;201,E234/2,IF(E234&lt;=301,E234/3,E234/4))))</f>
        <v>1590.2991935999999</v>
      </c>
      <c r="G234" s="133"/>
      <c r="H234" s="134"/>
      <c r="I234" s="35"/>
      <c r="N234" s="35"/>
    </row>
    <row r="235" spans="1:14" s="71" customFormat="1" x14ac:dyDescent="0.25">
      <c r="A235" s="120">
        <f>A234+1</f>
        <v>4</v>
      </c>
      <c r="B235" s="120"/>
      <c r="C235" s="110" t="s">
        <v>194</v>
      </c>
      <c r="D235" s="186"/>
      <c r="E235" s="186"/>
      <c r="F235" s="111"/>
      <c r="G235" s="133"/>
      <c r="H235" s="134"/>
      <c r="I235" s="35"/>
      <c r="N235" s="35"/>
    </row>
    <row r="236" spans="1:14" s="71" customFormat="1" x14ac:dyDescent="0.25">
      <c r="A236" s="120">
        <f>A235+1</f>
        <v>5</v>
      </c>
      <c r="B236" s="120"/>
      <c r="C236" s="52" t="s">
        <v>193</v>
      </c>
      <c r="D236" s="53">
        <f>(89.46+(1.67*2.45+0.53*(3.2+3.2)+0.83*(3.15+2.43)))*(10.764)</f>
        <v>1093.3522235999999</v>
      </c>
      <c r="E236" s="72">
        <v>0</v>
      </c>
      <c r="F236" s="72">
        <f>D236*(($F$148)+1)+(IF(E236&lt;101,E236,IF(E236&lt;201,E236/2,IF(E236&lt;=301,E236/3,E236/4))))</f>
        <v>1749.3635577599998</v>
      </c>
      <c r="G236" s="133"/>
      <c r="H236" s="134"/>
      <c r="I236" s="35"/>
      <c r="N236" s="35"/>
    </row>
    <row r="237" spans="1:14" s="71" customFormat="1" x14ac:dyDescent="0.25">
      <c r="A237" s="120">
        <f>A236+1</f>
        <v>6</v>
      </c>
      <c r="B237" s="120"/>
      <c r="C237" s="52" t="s">
        <v>193</v>
      </c>
      <c r="D237" s="53">
        <f>(89.46+(1.17*2.45+0.53*(3.2+3.2)+0.83*(3.15+2.43)))*(10.764)</f>
        <v>1080.1663235999999</v>
      </c>
      <c r="E237" s="72">
        <v>0</v>
      </c>
      <c r="F237" s="72">
        <f>D237*(($F$148)+1)+(IF(E237&lt;101,E237,IF(E237&lt;201,E237/2,IF(E237&lt;=301,E237/3,E237/4))))</f>
        <v>1728.26611776</v>
      </c>
      <c r="G237" s="135"/>
      <c r="H237" s="136"/>
      <c r="I237" s="35"/>
      <c r="N237" s="35"/>
    </row>
    <row r="238" spans="1:14" s="71" customFormat="1" ht="71.25" customHeight="1" x14ac:dyDescent="0.25">
      <c r="A238" s="118" t="s">
        <v>268</v>
      </c>
      <c r="B238" s="118"/>
      <c r="C238" s="118"/>
      <c r="D238" s="118"/>
      <c r="E238" s="118"/>
      <c r="F238" s="118"/>
      <c r="G238" s="118"/>
      <c r="H238" s="118"/>
      <c r="I238" s="35"/>
      <c r="L238" s="86"/>
      <c r="M238" s="86"/>
    </row>
    <row r="239" spans="1:14" s="71" customFormat="1" x14ac:dyDescent="0.25">
      <c r="A239" s="120">
        <v>1</v>
      </c>
      <c r="B239" s="120"/>
      <c r="C239" s="52" t="s">
        <v>192</v>
      </c>
      <c r="D239" s="53">
        <f>(71.19+(1.37*2.45+0.53*(3.35+2.5)))*(10.764)</f>
        <v>835.79230799999982</v>
      </c>
      <c r="E239" s="72">
        <v>0</v>
      </c>
      <c r="F239" s="72">
        <f>D239*(($F$148)+1)+(IF(E239&lt;101,E239,IF(E239&lt;201,E239/2,IF(E239&lt;=301,E239/3,E239/4))))</f>
        <v>1337.2676927999998</v>
      </c>
      <c r="G239" s="131" t="str">
        <f>A238</f>
        <v>14th (15th Floor as per Builder)
21st (22nd Floor as per Builder)
28th (29th Floor as per Builder)
(Part Refuge Area)</v>
      </c>
      <c r="H239" s="132"/>
      <c r="I239" s="35"/>
      <c r="N239" s="35"/>
    </row>
    <row r="240" spans="1:14" s="71" customFormat="1" x14ac:dyDescent="0.25">
      <c r="A240" s="120">
        <f>A239+1</f>
        <v>2</v>
      </c>
      <c r="B240" s="120"/>
      <c r="C240" s="52" t="s">
        <v>263</v>
      </c>
      <c r="D240" s="53">
        <f>(83.82+(0.75*2.45+0.83*(2.65+3+2.4)))*(10.764)</f>
        <v>993.93699599999991</v>
      </c>
      <c r="E240" s="72">
        <v>0</v>
      </c>
      <c r="F240" s="72">
        <f>D240*(($F$148)+1)+(IF(E240&lt;101,E240,IF(E240&lt;201,E240/2,IF(E240&lt;=301,E240/3,E240/4))))</f>
        <v>1590.2991935999999</v>
      </c>
      <c r="G240" s="133"/>
      <c r="H240" s="134"/>
      <c r="I240" s="35"/>
      <c r="N240" s="35"/>
    </row>
    <row r="241" spans="1:14" s="71" customFormat="1" x14ac:dyDescent="0.25">
      <c r="A241" s="120">
        <f>A240+1</f>
        <v>3</v>
      </c>
      <c r="B241" s="120"/>
      <c r="C241" s="52" t="s">
        <v>263</v>
      </c>
      <c r="D241" s="53">
        <f>(83.82+(0.75*2.45+0.83*(2.65+3+2.4)))*(10.764)</f>
        <v>993.93699599999991</v>
      </c>
      <c r="E241" s="72">
        <v>0</v>
      </c>
      <c r="F241" s="72">
        <f>D241*(($F$148)+1)+(IF(E241&lt;101,E241,IF(E241&lt;201,E241/2,IF(E241&lt;=301,E241/3,E241/4))))</f>
        <v>1590.2991935999999</v>
      </c>
      <c r="G241" s="133"/>
      <c r="H241" s="134"/>
      <c r="I241" s="35"/>
      <c r="N241" s="35"/>
    </row>
    <row r="242" spans="1:14" s="71" customFormat="1" x14ac:dyDescent="0.25">
      <c r="A242" s="120">
        <f>A241+1</f>
        <v>4</v>
      </c>
      <c r="B242" s="120"/>
      <c r="C242" s="110" t="s">
        <v>194</v>
      </c>
      <c r="D242" s="186"/>
      <c r="E242" s="186"/>
      <c r="F242" s="111"/>
      <c r="G242" s="133"/>
      <c r="H242" s="134"/>
      <c r="I242" s="35"/>
      <c r="N242" s="35"/>
    </row>
    <row r="243" spans="1:14" s="71" customFormat="1" x14ac:dyDescent="0.25">
      <c r="A243" s="120">
        <f>A242+1</f>
        <v>5</v>
      </c>
      <c r="B243" s="120"/>
      <c r="C243" s="52" t="s">
        <v>193</v>
      </c>
      <c r="D243" s="53">
        <f>(89.46+(1.67*2.45+0.53*(3.2+3.2)+0.83*(3.15+2.43)))*(10.764)</f>
        <v>1093.3522235999999</v>
      </c>
      <c r="E243" s="72">
        <v>0</v>
      </c>
      <c r="F243" s="72">
        <f>D243*(($F$148)+1)+(IF(E243&lt;101,E243,IF(E243&lt;201,E243/2,IF(E243&lt;=301,E243/3,E243/4))))</f>
        <v>1749.3635577599998</v>
      </c>
      <c r="G243" s="133"/>
      <c r="H243" s="134"/>
      <c r="I243" s="35"/>
      <c r="N243" s="35"/>
    </row>
    <row r="244" spans="1:14" s="71" customFormat="1" x14ac:dyDescent="0.25">
      <c r="A244" s="120">
        <f>A243+1</f>
        <v>6</v>
      </c>
      <c r="B244" s="120"/>
      <c r="C244" s="52" t="s">
        <v>193</v>
      </c>
      <c r="D244" s="53">
        <f>(89.46+(1.17*2.45+0.53*(3.2+3.2)+0.83*(3.15+2.43)))*(10.764)</f>
        <v>1080.1663235999999</v>
      </c>
      <c r="E244" s="72">
        <v>0</v>
      </c>
      <c r="F244" s="72">
        <f>D244*(($F$148)+1)+(IF(E244&lt;101,E244,IF(E244&lt;201,E244/2,IF(E244&lt;=301,E244/3,E244/4))))</f>
        <v>1728.26611776</v>
      </c>
      <c r="G244" s="135"/>
      <c r="H244" s="136"/>
      <c r="I244" s="35"/>
      <c r="N244" s="35"/>
    </row>
    <row r="245" spans="1:14" s="71" customFormat="1" ht="36" customHeight="1" x14ac:dyDescent="0.25">
      <c r="A245" s="118" t="s">
        <v>269</v>
      </c>
      <c r="B245" s="118"/>
      <c r="C245" s="118"/>
      <c r="D245" s="118"/>
      <c r="E245" s="118"/>
      <c r="F245" s="118"/>
      <c r="G245" s="118"/>
      <c r="H245" s="118"/>
      <c r="I245" s="35"/>
      <c r="L245" s="86"/>
      <c r="M245" s="86"/>
    </row>
    <row r="246" spans="1:14" s="71" customFormat="1" x14ac:dyDescent="0.25">
      <c r="A246" s="120">
        <v>1</v>
      </c>
      <c r="B246" s="120"/>
      <c r="C246" s="52" t="s">
        <v>192</v>
      </c>
      <c r="D246" s="53">
        <f>(71.19+(1.37*2.45+0.53*(3.35+2.5)))*(10.764)</f>
        <v>835.79230799999982</v>
      </c>
      <c r="E246" s="72">
        <v>0</v>
      </c>
      <c r="F246" s="72">
        <f>D246*(($F$148)+1)+(IF(E246&lt;101,E246,IF(E246&lt;201,E246/2,IF(E246&lt;=301,E246/3,E246/4))))</f>
        <v>1337.2676927999998</v>
      </c>
      <c r="G246" s="131" t="str">
        <f>A245</f>
        <v>35th (36th Floor as per Builder)
 Floor For Residential, Water Tank &amp; Pump Room (Part Refuge Area)</v>
      </c>
      <c r="H246" s="132"/>
      <c r="I246" s="35"/>
      <c r="N246" s="35"/>
    </row>
    <row r="247" spans="1:14" s="71" customFormat="1" x14ac:dyDescent="0.25">
      <c r="A247" s="120">
        <f>A246+1</f>
        <v>2</v>
      </c>
      <c r="B247" s="120"/>
      <c r="C247" s="52" t="s">
        <v>263</v>
      </c>
      <c r="D247" s="53">
        <f>(83.82+(0.75*2.45+0.83*(2.65+3+2.4)))*(10.764)</f>
        <v>993.93699599999991</v>
      </c>
      <c r="E247" s="72">
        <v>0</v>
      </c>
      <c r="F247" s="72">
        <f>D247*(($F$148)+1)+(IF(E247&lt;101,E247,IF(E247&lt;201,E247/2,IF(E247&lt;=301,E247/3,E247/4))))</f>
        <v>1590.2991935999999</v>
      </c>
      <c r="G247" s="133"/>
      <c r="H247" s="134"/>
      <c r="I247" s="35"/>
      <c r="N247" s="35"/>
    </row>
    <row r="248" spans="1:14" s="71" customFormat="1" x14ac:dyDescent="0.25">
      <c r="A248" s="120">
        <f>A247+1</f>
        <v>3</v>
      </c>
      <c r="B248" s="120"/>
      <c r="C248" s="52" t="s">
        <v>263</v>
      </c>
      <c r="D248" s="53">
        <f>(83.82+(0.75*2.45+0.83*(2.65+3+2.4)))*(10.764)</f>
        <v>993.93699599999991</v>
      </c>
      <c r="E248" s="72">
        <v>0</v>
      </c>
      <c r="F248" s="72">
        <f>D248*(($F$148)+1)+(IF(E248&lt;101,E248,IF(E248&lt;201,E248/2,IF(E248&lt;=301,E248/3,E248/4))))</f>
        <v>1590.2991935999999</v>
      </c>
      <c r="G248" s="133"/>
      <c r="H248" s="134"/>
      <c r="I248" s="35"/>
      <c r="N248" s="35"/>
    </row>
    <row r="249" spans="1:14" s="71" customFormat="1" ht="15.75" customHeight="1" x14ac:dyDescent="0.25">
      <c r="A249" s="120">
        <f>A248+1</f>
        <v>4</v>
      </c>
      <c r="B249" s="120"/>
      <c r="C249" s="110" t="s">
        <v>265</v>
      </c>
      <c r="D249" s="186"/>
      <c r="E249" s="186"/>
      <c r="F249" s="111"/>
      <c r="G249" s="133"/>
      <c r="H249" s="134"/>
      <c r="I249" s="35"/>
      <c r="N249" s="35"/>
    </row>
    <row r="250" spans="1:14" s="71" customFormat="1" x14ac:dyDescent="0.25">
      <c r="A250" s="120">
        <f>A249+1</f>
        <v>5</v>
      </c>
      <c r="B250" s="120"/>
      <c r="C250" s="52" t="s">
        <v>193</v>
      </c>
      <c r="D250" s="53">
        <f>(89.46+(1.67*2.45+0.53*(3.2+3.2)+0.83*(3.15+2.43)))*(10.764)</f>
        <v>1093.3522235999999</v>
      </c>
      <c r="E250" s="72">
        <v>0</v>
      </c>
      <c r="F250" s="72">
        <f>D250*(($F$148)+1)+(IF(E250&lt;101,E250,IF(E250&lt;201,E250/2,IF(E250&lt;=301,E250/3,E250/4))))</f>
        <v>1749.3635577599998</v>
      </c>
      <c r="G250" s="133"/>
      <c r="H250" s="134"/>
      <c r="I250" s="35"/>
      <c r="N250" s="35"/>
    </row>
    <row r="251" spans="1:14" s="71" customFormat="1" x14ac:dyDescent="0.25">
      <c r="A251" s="120">
        <f>A250+1</f>
        <v>6</v>
      </c>
      <c r="B251" s="120"/>
      <c r="C251" s="52" t="s">
        <v>193</v>
      </c>
      <c r="D251" s="53">
        <f>(89.46+(1.17*2.45+0.53*(3.2+3.2)+0.83*(3.15+2.43)))*(10.764)</f>
        <v>1080.1663235999999</v>
      </c>
      <c r="E251" s="72">
        <v>0</v>
      </c>
      <c r="F251" s="72">
        <f>D251*(($F$148)+1)+(IF(E251&lt;101,E251,IF(E251&lt;201,E251/2,IF(E251&lt;=301,E251/3,E251/4))))</f>
        <v>1728.26611776</v>
      </c>
      <c r="G251" s="135"/>
      <c r="H251" s="136"/>
      <c r="I251" s="35"/>
      <c r="N251" s="35"/>
    </row>
    <row r="252" spans="1:14" s="71" customFormat="1" x14ac:dyDescent="0.25">
      <c r="A252" s="87" t="s">
        <v>270</v>
      </c>
      <c r="B252" s="88"/>
      <c r="C252" s="88"/>
      <c r="D252" s="88"/>
      <c r="E252" s="88"/>
      <c r="F252" s="88"/>
      <c r="G252" s="88"/>
      <c r="H252" s="89"/>
      <c r="J252" s="35"/>
    </row>
    <row r="253" spans="1:14" s="71" customFormat="1" x14ac:dyDescent="0.25">
      <c r="A253" s="110">
        <v>1</v>
      </c>
      <c r="B253" s="111"/>
      <c r="C253" s="52" t="s">
        <v>192</v>
      </c>
      <c r="D253" s="53">
        <f>(71.19+(1.37*2.45+0.53*(3.35+2.5)))*(10.764)</f>
        <v>835.79230799999982</v>
      </c>
      <c r="E253" s="72">
        <v>0</v>
      </c>
      <c r="F253" s="72">
        <f t="shared" ref="F253:F258" si="16">D253*(($F$148)+1)+(IF(E253&lt;101,E253,IF(E253&lt;201,E253/2,IF(E253&lt;=301,E253/3,E253/4))))</f>
        <v>1337.2676927999998</v>
      </c>
      <c r="G253" s="131" t="str">
        <f>A252</f>
        <v>38th Floor (39th Floor as per Builder)</v>
      </c>
      <c r="H253" s="132"/>
      <c r="I253" s="35"/>
      <c r="L253" s="86"/>
      <c r="M253" s="86"/>
      <c r="N253" s="35"/>
    </row>
    <row r="254" spans="1:14" s="71" customFormat="1" ht="63" x14ac:dyDescent="0.25">
      <c r="A254" s="110">
        <f>A253+1</f>
        <v>2</v>
      </c>
      <c r="B254" s="111"/>
      <c r="C254" s="52" t="s">
        <v>271</v>
      </c>
      <c r="D254" s="53">
        <f>(84.31+74.98+20.35+(3.05*0.83)+(0.75*2.45+0.83*(2.65+3+2.4))*2)*(10.764)</f>
        <v>2144.2910580000002</v>
      </c>
      <c r="E254" s="72">
        <v>0</v>
      </c>
      <c r="F254" s="72">
        <f t="shared" si="16"/>
        <v>3430.8656928000005</v>
      </c>
      <c r="G254" s="133"/>
      <c r="H254" s="134"/>
      <c r="I254" s="35"/>
      <c r="L254" s="86"/>
      <c r="M254" s="86"/>
      <c r="N254" s="35"/>
    </row>
    <row r="255" spans="1:14" s="71" customFormat="1" ht="63" x14ac:dyDescent="0.25">
      <c r="A255" s="110">
        <f>A254+1</f>
        <v>3</v>
      </c>
      <c r="B255" s="111"/>
      <c r="C255" s="52" t="s">
        <v>271</v>
      </c>
      <c r="D255" s="53">
        <f>(84.31+74.98+20.35+(3.05*0.83)+(0.75*2.45+0.83*(2.65+3+2.4))*2)*(10.764)</f>
        <v>2144.2910580000002</v>
      </c>
      <c r="E255" s="72">
        <v>0</v>
      </c>
      <c r="F255" s="72">
        <f t="shared" si="16"/>
        <v>3430.8656928000005</v>
      </c>
      <c r="G255" s="133"/>
      <c r="H255" s="134"/>
      <c r="I255" s="35"/>
      <c r="L255" s="86"/>
      <c r="M255" s="86"/>
      <c r="N255" s="35"/>
    </row>
    <row r="256" spans="1:14" s="71" customFormat="1" ht="63" x14ac:dyDescent="0.25">
      <c r="A256" s="110">
        <f>A255+1</f>
        <v>4</v>
      </c>
      <c r="B256" s="111"/>
      <c r="C256" s="52" t="s">
        <v>271</v>
      </c>
      <c r="D256" s="53">
        <f>(125.51+113+11.79+(1.08*1.6+0.83*(8.62+2.78+2.58))*2)*(10.764)</f>
        <v>2981.2275791999996</v>
      </c>
      <c r="E256" s="53">
        <f>(9.8*1.8+8.7*5.7+2*4.6)*(10.764)</f>
        <v>822.69251999999983</v>
      </c>
      <c r="F256" s="72">
        <f t="shared" si="16"/>
        <v>4975.6372567199996</v>
      </c>
      <c r="G256" s="133"/>
      <c r="H256" s="134"/>
      <c r="I256" s="35"/>
      <c r="L256" s="86"/>
      <c r="M256" s="86"/>
      <c r="N256" s="35"/>
    </row>
    <row r="257" spans="1:14" s="71" customFormat="1" ht="63" x14ac:dyDescent="0.25">
      <c r="A257" s="110">
        <f>A256+1</f>
        <v>5</v>
      </c>
      <c r="B257" s="111"/>
      <c r="C257" s="52" t="s">
        <v>272</v>
      </c>
      <c r="D257" s="53">
        <f>(90.05+84.4+27.32+(3*0.83)+(1.67*2.45+0.53*(3.2+3.2)+0.83*(3+2.43))*2)*(10.764)</f>
        <v>2456.7839711999995</v>
      </c>
      <c r="E257" s="72">
        <v>0</v>
      </c>
      <c r="F257" s="72">
        <f t="shared" si="16"/>
        <v>3930.8543539199995</v>
      </c>
      <c r="G257" s="133"/>
      <c r="H257" s="134"/>
      <c r="I257" s="35"/>
      <c r="L257" s="86"/>
      <c r="M257" s="86"/>
      <c r="N257" s="35"/>
    </row>
    <row r="258" spans="1:14" s="71" customFormat="1" ht="63" x14ac:dyDescent="0.25">
      <c r="A258" s="110">
        <f>A257+1</f>
        <v>6</v>
      </c>
      <c r="B258" s="111"/>
      <c r="C258" s="52" t="s">
        <v>272</v>
      </c>
      <c r="D258" s="53">
        <f>(90.05+84.4+27.32+(3*0.83)+(1.17*2.45+0.53*(3.2+3.2)+0.83*(3+2.43))*2)*(10.764)</f>
        <v>2430.4121711999996</v>
      </c>
      <c r="E258" s="72">
        <v>0</v>
      </c>
      <c r="F258" s="72">
        <f t="shared" si="16"/>
        <v>3888.6594739199995</v>
      </c>
      <c r="G258" s="135"/>
      <c r="H258" s="136"/>
      <c r="I258" s="35"/>
      <c r="L258" s="86"/>
      <c r="M258" s="86"/>
      <c r="N258" s="35"/>
    </row>
    <row r="259" spans="1:14" s="71" customFormat="1" x14ac:dyDescent="0.25">
      <c r="A259" s="87" t="s">
        <v>273</v>
      </c>
      <c r="B259" s="88"/>
      <c r="C259" s="88"/>
      <c r="D259" s="88"/>
      <c r="E259" s="88"/>
      <c r="F259" s="88"/>
      <c r="G259" s="88"/>
      <c r="H259" s="89"/>
      <c r="J259" s="35"/>
    </row>
    <row r="260" spans="1:14" s="71" customFormat="1" x14ac:dyDescent="0.25">
      <c r="A260" s="110">
        <v>1</v>
      </c>
      <c r="B260" s="111"/>
      <c r="C260" s="52" t="s">
        <v>192</v>
      </c>
      <c r="D260" s="53">
        <f>(71.19+(1.37*2.45+0.53*(3.35+2.5)))*(10.764)</f>
        <v>835.79230799999982</v>
      </c>
      <c r="E260" s="72">
        <v>0</v>
      </c>
      <c r="F260" s="72">
        <f t="shared" ref="F260" si="17">D260*(($F$148)+1)+(IF(E260&lt;101,E260,IF(E260&lt;201,E260/2,IF(E260&lt;=301,E260/3,E260/4))))</f>
        <v>1337.2676927999998</v>
      </c>
      <c r="G260" s="131" t="str">
        <f>A259</f>
        <v>39th Floor (40th Floor as per Builder)</v>
      </c>
      <c r="H260" s="132"/>
      <c r="I260" s="35"/>
      <c r="L260" s="86"/>
      <c r="M260" s="86"/>
      <c r="N260" s="35"/>
    </row>
    <row r="261" spans="1:14" s="71" customFormat="1" x14ac:dyDescent="0.25">
      <c r="A261" s="110">
        <f>A260+1</f>
        <v>2</v>
      </c>
      <c r="B261" s="111"/>
      <c r="C261" s="214" t="s">
        <v>274</v>
      </c>
      <c r="D261" s="215"/>
      <c r="E261" s="215"/>
      <c r="F261" s="216"/>
      <c r="G261" s="133"/>
      <c r="H261" s="134"/>
      <c r="I261" s="35"/>
      <c r="L261" s="86"/>
      <c r="M261" s="86"/>
      <c r="N261" s="35"/>
    </row>
    <row r="262" spans="1:14" s="71" customFormat="1" ht="15.75" customHeight="1" x14ac:dyDescent="0.25">
      <c r="A262" s="110">
        <f>A261+1</f>
        <v>3</v>
      </c>
      <c r="B262" s="111"/>
      <c r="C262" s="214" t="s">
        <v>274</v>
      </c>
      <c r="D262" s="215"/>
      <c r="E262" s="215"/>
      <c r="F262" s="216"/>
      <c r="G262" s="133"/>
      <c r="H262" s="134"/>
      <c r="I262" s="35"/>
      <c r="L262" s="86"/>
      <c r="M262" s="86"/>
      <c r="N262" s="35"/>
    </row>
    <row r="263" spans="1:14" s="71" customFormat="1" ht="15.75" customHeight="1" x14ac:dyDescent="0.25">
      <c r="A263" s="110">
        <f>A262+1</f>
        <v>4</v>
      </c>
      <c r="B263" s="111"/>
      <c r="C263" s="214" t="s">
        <v>274</v>
      </c>
      <c r="D263" s="215"/>
      <c r="E263" s="215"/>
      <c r="F263" s="216"/>
      <c r="G263" s="133"/>
      <c r="H263" s="134"/>
      <c r="I263" s="35"/>
      <c r="L263" s="86"/>
      <c r="M263" s="86"/>
      <c r="N263" s="35"/>
    </row>
    <row r="264" spans="1:14" s="71" customFormat="1" ht="15.75" customHeight="1" x14ac:dyDescent="0.25">
      <c r="A264" s="110">
        <f>A263+1</f>
        <v>5</v>
      </c>
      <c r="B264" s="111"/>
      <c r="C264" s="214" t="s">
        <v>274</v>
      </c>
      <c r="D264" s="215"/>
      <c r="E264" s="215"/>
      <c r="F264" s="216"/>
      <c r="G264" s="133"/>
      <c r="H264" s="134"/>
      <c r="I264" s="35"/>
      <c r="L264" s="86"/>
      <c r="M264" s="86"/>
      <c r="N264" s="35"/>
    </row>
    <row r="265" spans="1:14" s="71" customFormat="1" ht="15.75" customHeight="1" x14ac:dyDescent="0.25">
      <c r="A265" s="110">
        <f>A264+1</f>
        <v>6</v>
      </c>
      <c r="B265" s="111"/>
      <c r="C265" s="214" t="s">
        <v>274</v>
      </c>
      <c r="D265" s="215"/>
      <c r="E265" s="215"/>
      <c r="F265" s="216"/>
      <c r="G265" s="135"/>
      <c r="H265" s="136"/>
      <c r="I265" s="35"/>
      <c r="L265" s="86"/>
      <c r="M265" s="86"/>
      <c r="N265" s="35"/>
    </row>
    <row r="266" spans="1:14" s="71" customFormat="1" x14ac:dyDescent="0.25">
      <c r="A266" s="87" t="s">
        <v>275</v>
      </c>
      <c r="B266" s="88"/>
      <c r="C266" s="88"/>
      <c r="D266" s="88"/>
      <c r="E266" s="88"/>
      <c r="F266" s="88"/>
      <c r="G266" s="88"/>
      <c r="H266" s="89"/>
      <c r="J266" s="35"/>
    </row>
    <row r="267" spans="1:14" s="71" customFormat="1" x14ac:dyDescent="0.25">
      <c r="A267" s="110">
        <v>1</v>
      </c>
      <c r="B267" s="111"/>
      <c r="C267" s="214" t="s">
        <v>276</v>
      </c>
      <c r="D267" s="215"/>
      <c r="E267" s="215"/>
      <c r="F267" s="216"/>
      <c r="G267" s="131" t="str">
        <f>A266</f>
        <v>40th Floor (41st Floor as per Builder)</v>
      </c>
      <c r="H267" s="132"/>
      <c r="I267" s="35"/>
      <c r="L267" s="86"/>
      <c r="M267" s="86"/>
      <c r="N267" s="35"/>
    </row>
    <row r="268" spans="1:14" s="71" customFormat="1" ht="15.75" customHeight="1" x14ac:dyDescent="0.25">
      <c r="A268" s="110">
        <f>A267+1</f>
        <v>2</v>
      </c>
      <c r="B268" s="111"/>
      <c r="C268" s="214" t="s">
        <v>274</v>
      </c>
      <c r="D268" s="215"/>
      <c r="E268" s="215"/>
      <c r="F268" s="216"/>
      <c r="G268" s="133"/>
      <c r="H268" s="134"/>
      <c r="I268" s="35"/>
      <c r="L268" s="86"/>
      <c r="M268" s="86"/>
      <c r="N268" s="35"/>
    </row>
    <row r="269" spans="1:14" s="71" customFormat="1" x14ac:dyDescent="0.25">
      <c r="A269" s="110">
        <f>A268+1</f>
        <v>3</v>
      </c>
      <c r="B269" s="111"/>
      <c r="C269" s="214" t="s">
        <v>274</v>
      </c>
      <c r="D269" s="215"/>
      <c r="E269" s="215"/>
      <c r="F269" s="216"/>
      <c r="G269" s="133"/>
      <c r="H269" s="134"/>
      <c r="I269" s="35"/>
      <c r="L269" s="86"/>
      <c r="M269" s="86"/>
      <c r="N269" s="35"/>
    </row>
    <row r="270" spans="1:14" s="71" customFormat="1" x14ac:dyDescent="0.25">
      <c r="A270" s="110">
        <f>A269+1</f>
        <v>4</v>
      </c>
      <c r="B270" s="111"/>
      <c r="C270" s="214" t="s">
        <v>274</v>
      </c>
      <c r="D270" s="215"/>
      <c r="E270" s="215"/>
      <c r="F270" s="216"/>
      <c r="G270" s="133"/>
      <c r="H270" s="134"/>
      <c r="I270" s="35"/>
      <c r="L270" s="86"/>
      <c r="M270" s="86"/>
      <c r="N270" s="35"/>
    </row>
    <row r="271" spans="1:14" s="71" customFormat="1" x14ac:dyDescent="0.25">
      <c r="A271" s="110">
        <f>A270+1</f>
        <v>5</v>
      </c>
      <c r="B271" s="111"/>
      <c r="C271" s="214" t="s">
        <v>274</v>
      </c>
      <c r="D271" s="215"/>
      <c r="E271" s="215"/>
      <c r="F271" s="216"/>
      <c r="G271" s="133"/>
      <c r="H271" s="134"/>
      <c r="I271" s="35"/>
      <c r="L271" s="86"/>
      <c r="M271" s="86"/>
      <c r="N271" s="35"/>
    </row>
    <row r="272" spans="1:14" s="71" customFormat="1" x14ac:dyDescent="0.25">
      <c r="A272" s="110">
        <f>A271+1</f>
        <v>6</v>
      </c>
      <c r="B272" s="111"/>
      <c r="C272" s="214" t="s">
        <v>274</v>
      </c>
      <c r="D272" s="215"/>
      <c r="E272" s="215"/>
      <c r="F272" s="216"/>
      <c r="G272" s="135"/>
      <c r="H272" s="136"/>
      <c r="I272" s="35"/>
      <c r="L272" s="86"/>
      <c r="M272" s="86"/>
      <c r="N272" s="35"/>
    </row>
    <row r="273" spans="1:14" s="36" customFormat="1" hidden="1" x14ac:dyDescent="0.25">
      <c r="A273" s="87" t="s">
        <v>117</v>
      </c>
      <c r="B273" s="88"/>
      <c r="C273" s="88"/>
      <c r="D273" s="88"/>
      <c r="E273" s="88"/>
      <c r="F273" s="88"/>
      <c r="G273" s="88"/>
      <c r="H273" s="89"/>
      <c r="J273" s="35"/>
    </row>
    <row r="274" spans="1:14" s="36" customFormat="1" hidden="1" x14ac:dyDescent="0.25">
      <c r="A274" s="110">
        <v>1</v>
      </c>
      <c r="B274" s="111"/>
      <c r="C274" s="52"/>
      <c r="D274" s="41"/>
      <c r="E274" s="41">
        <v>0</v>
      </c>
      <c r="F274" s="41">
        <f t="shared" ref="F274:F279" si="18">D274*(($F$148)+1)+(IF(E274&lt;101,E274,IF(E274&lt;201,E274/2,IF(E274&lt;=301,E274/3,E274/4))))</f>
        <v>0</v>
      </c>
      <c r="G274" s="110" t="str">
        <f>A273</f>
        <v>Ground Floor</v>
      </c>
      <c r="H274" s="111"/>
      <c r="I274" s="35"/>
      <c r="L274" s="86"/>
      <c r="M274" s="86"/>
      <c r="N274" s="35"/>
    </row>
    <row r="275" spans="1:14" s="36" customFormat="1" hidden="1" x14ac:dyDescent="0.25">
      <c r="A275" s="110">
        <f>A274+1</f>
        <v>2</v>
      </c>
      <c r="B275" s="111"/>
      <c r="C275" s="52"/>
      <c r="D275" s="41"/>
      <c r="E275" s="41">
        <v>0</v>
      </c>
      <c r="F275" s="41">
        <f t="shared" si="18"/>
        <v>0</v>
      </c>
      <c r="G275" s="110" t="str">
        <f>G274</f>
        <v>Ground Floor</v>
      </c>
      <c r="H275" s="111"/>
      <c r="I275" s="35"/>
      <c r="L275" s="86"/>
      <c r="M275" s="86"/>
      <c r="N275" s="35"/>
    </row>
    <row r="276" spans="1:14" s="36" customFormat="1" hidden="1" x14ac:dyDescent="0.25">
      <c r="A276" s="110">
        <f>A275+1</f>
        <v>3</v>
      </c>
      <c r="B276" s="111"/>
      <c r="C276" s="52"/>
      <c r="D276" s="41"/>
      <c r="E276" s="41">
        <v>0</v>
      </c>
      <c r="F276" s="41">
        <f t="shared" si="18"/>
        <v>0</v>
      </c>
      <c r="G276" s="110" t="str">
        <f>G275</f>
        <v>Ground Floor</v>
      </c>
      <c r="H276" s="111"/>
      <c r="I276" s="35"/>
      <c r="L276" s="86"/>
      <c r="M276" s="86"/>
      <c r="N276" s="35"/>
    </row>
    <row r="277" spans="1:14" s="36" customFormat="1" hidden="1" x14ac:dyDescent="0.25">
      <c r="A277" s="110">
        <f>A276+1</f>
        <v>4</v>
      </c>
      <c r="B277" s="111"/>
      <c r="C277" s="52"/>
      <c r="D277" s="41"/>
      <c r="E277" s="41">
        <v>0</v>
      </c>
      <c r="F277" s="41">
        <f t="shared" si="18"/>
        <v>0</v>
      </c>
      <c r="G277" s="110" t="str">
        <f>G276</f>
        <v>Ground Floor</v>
      </c>
      <c r="H277" s="111"/>
      <c r="I277" s="35"/>
      <c r="L277" s="86"/>
      <c r="M277" s="86"/>
      <c r="N277" s="35"/>
    </row>
    <row r="278" spans="1:14" s="36" customFormat="1" hidden="1" x14ac:dyDescent="0.25">
      <c r="A278" s="110">
        <f>A277+1</f>
        <v>5</v>
      </c>
      <c r="B278" s="111"/>
      <c r="C278" s="52"/>
      <c r="D278" s="41"/>
      <c r="E278" s="41">
        <v>0</v>
      </c>
      <c r="F278" s="41">
        <f t="shared" si="18"/>
        <v>0</v>
      </c>
      <c r="G278" s="110" t="str">
        <f>G277</f>
        <v>Ground Floor</v>
      </c>
      <c r="H278" s="111"/>
      <c r="I278" s="35"/>
      <c r="L278" s="86"/>
      <c r="M278" s="86"/>
      <c r="N278" s="35"/>
    </row>
    <row r="279" spans="1:14" s="36" customFormat="1" hidden="1" x14ac:dyDescent="0.25">
      <c r="A279" s="110">
        <f>A278+1</f>
        <v>6</v>
      </c>
      <c r="B279" s="111"/>
      <c r="C279" s="52"/>
      <c r="D279" s="41"/>
      <c r="E279" s="41">
        <v>0</v>
      </c>
      <c r="F279" s="41">
        <f t="shared" si="18"/>
        <v>0</v>
      </c>
      <c r="G279" s="110" t="str">
        <f>G278</f>
        <v>Ground Floor</v>
      </c>
      <c r="H279" s="111"/>
      <c r="I279" s="35"/>
      <c r="L279" s="86"/>
      <c r="M279" s="86"/>
      <c r="N279" s="35"/>
    </row>
    <row r="280" spans="1:14" s="36" customFormat="1" hidden="1" x14ac:dyDescent="0.25">
      <c r="A280" s="118" t="s">
        <v>118</v>
      </c>
      <c r="B280" s="118"/>
      <c r="C280" s="118"/>
      <c r="D280" s="118"/>
      <c r="E280" s="118"/>
      <c r="F280" s="118"/>
      <c r="G280" s="118"/>
      <c r="H280" s="118"/>
      <c r="I280" s="35"/>
      <c r="L280" s="86"/>
      <c r="M280" s="86"/>
    </row>
    <row r="281" spans="1:14" s="36" customFormat="1" hidden="1" x14ac:dyDescent="0.25">
      <c r="A281" s="120">
        <f>LEFT(A280,SUM(LEN(A280)-LEN(SUBSTITUTE(A280,{"0","1","2","3","4","5","6","7","8","9"},""))))*100+1</f>
        <v>201</v>
      </c>
      <c r="B281" s="120"/>
      <c r="C281" s="52"/>
      <c r="D281" s="41"/>
      <c r="E281" s="41">
        <v>0</v>
      </c>
      <c r="F281" s="41">
        <f>D281*(($F$148)+1)+(IF(E281&lt;101,E281,IF(E281&lt;201,E281/2,IF(E281&lt;=301,E281/3,E281/4))))</f>
        <v>0</v>
      </c>
      <c r="G281" s="120" t="str">
        <f>A280</f>
        <v>2nd Floor</v>
      </c>
      <c r="H281" s="120"/>
      <c r="I281" s="35"/>
      <c r="N281" s="35"/>
    </row>
    <row r="282" spans="1:14" s="36" customFormat="1" hidden="1" x14ac:dyDescent="0.25">
      <c r="A282" s="120">
        <f>A281+1</f>
        <v>202</v>
      </c>
      <c r="B282" s="120"/>
      <c r="C282" s="52"/>
      <c r="D282" s="41"/>
      <c r="E282" s="41">
        <v>0</v>
      </c>
      <c r="F282" s="41">
        <f>D282*(($F$148)+1)+(IF(E282&lt;101,E282,IF(E282&lt;201,E282/2,IF(E282&lt;=301,E282/3,E282/4))))</f>
        <v>0</v>
      </c>
      <c r="G282" s="120" t="str">
        <f>G281</f>
        <v>2nd Floor</v>
      </c>
      <c r="H282" s="120"/>
      <c r="I282" s="35"/>
      <c r="N282" s="35"/>
    </row>
    <row r="283" spans="1:14" s="36" customFormat="1" hidden="1" x14ac:dyDescent="0.25">
      <c r="A283" s="120">
        <f>A282+1</f>
        <v>203</v>
      </c>
      <c r="B283" s="120"/>
      <c r="C283" s="52"/>
      <c r="D283" s="41"/>
      <c r="E283" s="41">
        <v>0</v>
      </c>
      <c r="F283" s="41">
        <f>D283*(($F$148)+1)+(IF(E283&lt;101,E283,IF(E283&lt;201,E283/2,IF(E283&lt;=301,E283/3,E283/4))))</f>
        <v>0</v>
      </c>
      <c r="G283" s="120" t="str">
        <f>G282</f>
        <v>2nd Floor</v>
      </c>
      <c r="H283" s="120"/>
      <c r="I283" s="35"/>
      <c r="N283" s="35"/>
    </row>
    <row r="284" spans="1:14" s="36" customFormat="1" hidden="1" x14ac:dyDescent="0.25">
      <c r="A284" s="120">
        <f>A283+1</f>
        <v>204</v>
      </c>
      <c r="B284" s="120"/>
      <c r="C284" s="52"/>
      <c r="D284" s="41"/>
      <c r="E284" s="41">
        <v>0</v>
      </c>
      <c r="F284" s="41">
        <f>D284*(($F$148)+1)+(IF(E284&lt;101,E284,IF(E284&lt;201,E284/2,IF(E284&lt;=301,E284/3,E284/4))))</f>
        <v>0</v>
      </c>
      <c r="G284" s="120" t="str">
        <f>G283</f>
        <v>2nd Floor</v>
      </c>
      <c r="H284" s="120"/>
      <c r="I284" s="35"/>
      <c r="N284" s="35"/>
    </row>
    <row r="285" spans="1:14" s="36" customFormat="1" hidden="1" x14ac:dyDescent="0.25">
      <c r="A285" s="120">
        <f>A284+1</f>
        <v>205</v>
      </c>
      <c r="B285" s="120"/>
      <c r="C285" s="52"/>
      <c r="D285" s="41"/>
      <c r="E285" s="41">
        <v>0</v>
      </c>
      <c r="F285" s="41">
        <f>D285*(($F$148)+1)+(IF(E285&lt;101,E285,IF(E285&lt;201,E285/2,IF(E285&lt;=301,E285/3,E285/4))))</f>
        <v>0</v>
      </c>
      <c r="G285" s="120" t="str">
        <f>G284</f>
        <v>2nd Floor</v>
      </c>
      <c r="H285" s="120"/>
      <c r="I285" s="35"/>
      <c r="N285" s="35"/>
    </row>
    <row r="286" spans="1:14" s="36" customFormat="1" ht="15.75" hidden="1" customHeight="1" x14ac:dyDescent="0.25">
      <c r="A286" s="87" t="s">
        <v>155</v>
      </c>
      <c r="B286" s="88"/>
      <c r="C286" s="88"/>
      <c r="D286" s="88"/>
      <c r="E286" s="88"/>
      <c r="F286" s="88"/>
      <c r="G286" s="88"/>
      <c r="H286" s="89"/>
      <c r="I286" s="35"/>
    </row>
    <row r="287" spans="1:14" s="36" customFormat="1" hidden="1" x14ac:dyDescent="0.25">
      <c r="A287" s="110"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10^ROW(INDIRECT("1:"&amp;LEN((LEFT(A286,SUM(LEN(A286)-LEN(SUBSTITUTE(A286,{"0","1","2"},""))))))))/10))*100+1&amp;""&amp;" ,..,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",LEN(A286))),LEN(A286)))))))/10))*100+1</f>
        <v>301 ,.., 1501</v>
      </c>
      <c r="B287" s="111"/>
      <c r="C287" s="52"/>
      <c r="D287" s="41"/>
      <c r="E287" s="41">
        <v>0</v>
      </c>
      <c r="F287" s="41">
        <f>D287*(($F$148)+1)+(IF(E287&lt;101,E287,IF(E287&lt;201,E287/2,IF(E287&lt;=301,E287/3,E287/4))))</f>
        <v>0</v>
      </c>
      <c r="G287" s="110" t="str">
        <f>A286</f>
        <v>3rd, 5th, 7th, 9th, 11th, 13th, 15th Floor</v>
      </c>
      <c r="H287" s="111"/>
      <c r="I287" s="35"/>
    </row>
    <row r="288" spans="1:14" s="36" customFormat="1" hidden="1" x14ac:dyDescent="0.25">
      <c r="A288" s="110"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302 ,.., 1502</v>
      </c>
      <c r="B288" s="111"/>
      <c r="C288" s="52"/>
      <c r="D288" s="41"/>
      <c r="E288" s="41">
        <v>0</v>
      </c>
      <c r="F288" s="41">
        <f>D288*(($F$148)+1)+(IF(E288&lt;101,E288,IF(E288&lt;201,E288/2,IF(E288&lt;=301,E288/3,E288/4))))</f>
        <v>0</v>
      </c>
      <c r="G288" s="110" t="str">
        <f>G287</f>
        <v>3rd, 5th, 7th, 9th, 11th, 13th, 15th Floor</v>
      </c>
      <c r="H288" s="111"/>
      <c r="I288" s="35"/>
    </row>
    <row r="289" spans="1:9" s="36" customFormat="1" ht="15.75" hidden="1" customHeight="1" x14ac:dyDescent="0.25">
      <c r="A289" s="110"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10^ROW(INDIRECT("1:"&amp;LEN((LEFT(A288,SUM(LEN(A288)-LEN(SUBSTITUTE(A288,{"0","1","2"},""))))))))/10))*1+1&amp;""&amp;" ,..,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",LEN(A288))),LEN(A288)))))))/10))*1+1</f>
        <v>303 ,.., 1503</v>
      </c>
      <c r="B289" s="111"/>
      <c r="C289" s="52"/>
      <c r="D289" s="41"/>
      <c r="E289" s="41">
        <v>0</v>
      </c>
      <c r="F289" s="41">
        <f>D289*(($F$148)+1)+(IF(E289&lt;101,E289,IF(E289&lt;201,E289/2,IF(E289&lt;=301,E289/3,E289/4))))</f>
        <v>0</v>
      </c>
      <c r="G289" s="110" t="str">
        <f>G288</f>
        <v>3rd, 5th, 7th, 9th, 11th, 13th, 15th Floor</v>
      </c>
      <c r="H289" s="111"/>
      <c r="I289" s="35"/>
    </row>
    <row r="290" spans="1:9" s="36" customFormat="1" ht="15.75" hidden="1" customHeight="1" x14ac:dyDescent="0.25">
      <c r="A290" s="110"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10^ROW(INDIRECT("1:"&amp;LEN((LEFT(A289,SUM(LEN(A289)-LEN(SUBSTITUTE(A289,{"0","1","2"},""))))))))/10))*1+1&amp;""&amp;" ,..,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",LEN(A289))),LEN(A289)))))))/10))*1+1</f>
        <v>304 ,.., 1504</v>
      </c>
      <c r="B290" s="111"/>
      <c r="C290" s="52"/>
      <c r="D290" s="41"/>
      <c r="E290" s="41">
        <v>0</v>
      </c>
      <c r="F290" s="41">
        <f>D290*(($F$148)+1)+(IF(E290&lt;101,E290,IF(E290&lt;201,E290/2,IF(E290&lt;=301,E290/3,E290/4))))</f>
        <v>0</v>
      </c>
      <c r="G290" s="110" t="str">
        <f>G289</f>
        <v>3rd, 5th, 7th, 9th, 11th, 13th, 15th Floor</v>
      </c>
      <c r="H290" s="111"/>
      <c r="I290" s="35"/>
    </row>
    <row r="291" spans="1:9" s="36" customFormat="1" ht="15.75" hidden="1" customHeight="1" x14ac:dyDescent="0.25">
      <c r="A291" s="110"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305 ,.., 1505</v>
      </c>
      <c r="B291" s="111"/>
      <c r="C291" s="52"/>
      <c r="D291" s="41"/>
      <c r="E291" s="41">
        <v>0</v>
      </c>
      <c r="F291" s="41">
        <f>D291*(($F$148)+1)+(IF(E291&lt;101,E291,IF(E291&lt;201,E291/2,IF(E291&lt;=301,E291/3,E291/4))))</f>
        <v>0</v>
      </c>
      <c r="G291" s="110" t="str">
        <f>G290</f>
        <v>3rd, 5th, 7th, 9th, 11th, 13th, 15th Floor</v>
      </c>
      <c r="H291" s="111"/>
      <c r="I291" s="35"/>
    </row>
    <row r="292" spans="1:9" s="36" customFormat="1" hidden="1" x14ac:dyDescent="0.25">
      <c r="A292" s="87" t="s">
        <v>148</v>
      </c>
      <c r="B292" s="88"/>
      <c r="C292" s="88"/>
      <c r="D292" s="88"/>
      <c r="E292" s="88"/>
      <c r="F292" s="88"/>
      <c r="G292" s="88"/>
      <c r="H292" s="89"/>
      <c r="I292" s="35"/>
    </row>
    <row r="293" spans="1:9" s="36" customFormat="1" hidden="1" x14ac:dyDescent="0.25">
      <c r="A293" s="110"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10^ROW(INDIRECT("1:"&amp;LEN((LEFT(A292,SUM(LEN(A292)-LEN(SUBSTITUTE(A292,{"0","1","2"},""))))))))/10))*100+1&amp;""&amp;" to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",LEN(A292))),LEN(A292)))))))/10))*100+1</f>
        <v>201 to 501</v>
      </c>
      <c r="B293" s="111"/>
      <c r="C293" s="52"/>
      <c r="D293" s="41"/>
      <c r="E293" s="41">
        <v>0</v>
      </c>
      <c r="F293" s="41">
        <f>D293*(($F$148)+1)+(IF(E293&lt;101,E293,IF(E293&lt;201,E293/2,IF(E293&lt;=301,E293/3,E293/4))))</f>
        <v>0</v>
      </c>
      <c r="G293" s="110" t="str">
        <f>A292</f>
        <v>2nd to 5th Floor</v>
      </c>
      <c r="H293" s="111"/>
      <c r="I293" s="35"/>
    </row>
    <row r="294" spans="1:9" s="36" customFormat="1" hidden="1" x14ac:dyDescent="0.25">
      <c r="A294" s="110" t="str">
        <f ca="1">(SUMPRODUCT(MID(0&amp;(LEFT(A293,SUM(LEN(A293)-LEN(SUBSTITUTE(A293,{"0","1","2"},""))))), LARGE(INDEX(ISNUMBER(--MID((LEFT(A293,SUM(LEN(A293)-LEN(SUBSTITUTE(A293,{"0","1","2"},""))))), ROW(INDIRECT("1:"&amp;LEN((LEFT(A293,SUM(LEN(A293)-LEN(SUBSTITUTE(A293,{"0","1","2"},"")))))))), 1)) * ROW(INDIRECT("1:"&amp;LEN((LEFT(A293,SUM(LEN(A293)-LEN(SUBSTITUTE(A293,{"0","1","2"},"")))))))), 0), ROW(INDIRECT("1:"&amp;LEN((LEFT(A293,SUM(LEN(A293)-LEN(SUBSTITUTE(A293,{"0","1","2"},"")))))))))+1, 1) * 10^ROW(INDIRECT("1:"&amp;LEN((LEFT(A293,SUM(LEN(A293)-LEN(SUBSTITUTE(A293,{"0","1","2"},""))))))))/10))*1+1&amp;""&amp;" to "&amp;""&amp;(SUMPRODUCT(MID(0&amp;(--TRIM(RIGHT(SUBSTITUTE(LEFT(A293,_xlfn.AGGREGATE(16,6,FIND({0,1,2,3,4,5,6,7,8,9},A293,ROW(INDIRECT("1:"&amp;LEN(A293)))),1))," ",REPT(" ",LEN(A293))),LEN(A293)))), LARGE(INDEX(ISNUMBER(--MID((--TRIM(RIGHT(SUBSTITUTE(LEFT(A293,_xlfn.AGGREGATE(16,6,FIND({0,1,2,3,4,5,6,7,8,9},A293,ROW(INDIRECT("1:"&amp;LEN(A293)))),1))," ",REPT(" ",LEN(A293))),LEN(A293)))), ROW(INDIRECT("1:"&amp;LEN((--TRIM(RIGHT(SUBSTITUTE(LEFT(A293,_xlfn.AGGREGATE(16,6,FIND({0,1,2,3,4,5,6,7,8,9},A293,ROW(INDIRECT("1:"&amp;LEN(A293)))),1))," ",REPT(" ",LEN(A293))),LEN(A293))))))), 1)) * ROW(INDIRECT("1:"&amp;LEN((--TRIM(RIGHT(SUBSTITUTE(LEFT(A293,_xlfn.AGGREGATE(16,6,FIND({0,1,2,3,4,5,6,7,8,9},A293,ROW(INDIRECT("1:"&amp;LEN(A293)))),1))," ",REPT(" ",LEN(A293))),LEN(A293))))))), 0), ROW(INDIRECT("1:"&amp;LEN((--TRIM(RIGHT(SUBSTITUTE(LEFT(A293,_xlfn.AGGREGATE(16,6,FIND({0,1,2,3,4,5,6,7,8,9},A293,ROW(INDIRECT("1:"&amp;LEN(A293)))),1))," ",REPT(" ",LEN(A293))),LEN(A293))))))))+1, 1) * 10^ROW(INDIRECT("1:"&amp;LEN((--TRIM(RIGHT(SUBSTITUTE(LEFT(A293,_xlfn.AGGREGATE(16,6,FIND({0,1,2,3,4,5,6,7,8,9},A293,ROW(INDIRECT("1:"&amp;LEN(A293)))),1))," ",REPT(" ",LEN(A293))),LEN(A293)))))))/10))*1+1</f>
        <v>202 to 502</v>
      </c>
      <c r="B294" s="111"/>
      <c r="C294" s="52"/>
      <c r="D294" s="41"/>
      <c r="E294" s="41">
        <v>0</v>
      </c>
      <c r="F294" s="41">
        <f>D294*(($F$148)+1)+(IF(E294&lt;101,E294,IF(E294&lt;201,E294/2,IF(E294&lt;=301,E294/3,E294/4))))</f>
        <v>0</v>
      </c>
      <c r="G294" s="110" t="str">
        <f>G293</f>
        <v>2nd to 5th Floor</v>
      </c>
      <c r="H294" s="111"/>
      <c r="I294" s="35"/>
    </row>
    <row r="295" spans="1:9" s="36" customFormat="1" hidden="1" x14ac:dyDescent="0.25">
      <c r="A295" s="110"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10^ROW(INDIRECT("1:"&amp;LEN((LEFT(A294,SUM(LEN(A294)-LEN(SUBSTITUTE(A294,{"0","1","2"},""))))))))/10))*1+1&amp;""&amp;" to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",LEN(A294))),LEN(A294)))))))/10))*1+1</f>
        <v>203 to 503</v>
      </c>
      <c r="B295" s="111"/>
      <c r="C295" s="52"/>
      <c r="D295" s="41"/>
      <c r="E295" s="41">
        <v>0</v>
      </c>
      <c r="F295" s="41">
        <f>D295*(($F$148)+1)+(IF(E295&lt;101,E295,IF(E295&lt;201,E295/2,IF(E295&lt;=301,E295/3,E295/4))))</f>
        <v>0</v>
      </c>
      <c r="G295" s="110" t="str">
        <f>G294</f>
        <v>2nd to 5th Floor</v>
      </c>
      <c r="H295" s="111"/>
      <c r="I295" s="35"/>
    </row>
    <row r="296" spans="1:9" s="36" customFormat="1" hidden="1" x14ac:dyDescent="0.25">
      <c r="A296" s="110"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to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204 to 504</v>
      </c>
      <c r="B296" s="111"/>
      <c r="C296" s="52"/>
      <c r="D296" s="41"/>
      <c r="E296" s="41">
        <v>0</v>
      </c>
      <c r="F296" s="41">
        <f>D296*(($F$148)+1)+(IF(E296&lt;101,E296,IF(E296&lt;201,E296/2,IF(E296&lt;=301,E296/3,E296/4))))</f>
        <v>0</v>
      </c>
      <c r="G296" s="110" t="str">
        <f>G295</f>
        <v>2nd to 5th Floor</v>
      </c>
      <c r="H296" s="111"/>
      <c r="I296" s="35"/>
    </row>
    <row r="297" spans="1:9" s="36" customFormat="1" hidden="1" x14ac:dyDescent="0.25">
      <c r="A297" s="110"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to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205 to 505</v>
      </c>
      <c r="B297" s="111"/>
      <c r="C297" s="52"/>
      <c r="D297" s="41"/>
      <c r="E297" s="41">
        <v>0</v>
      </c>
      <c r="F297" s="41">
        <f>D297*(($F$148)+1)+(IF(E297&lt;101,E297,IF(E297&lt;201,E297/2,IF(E297&lt;=301,E297/3,E297/4))))</f>
        <v>0</v>
      </c>
      <c r="G297" s="110" t="str">
        <f>G296</f>
        <v>2nd to 5th Floor</v>
      </c>
      <c r="H297" s="111"/>
      <c r="I297" s="35"/>
    </row>
    <row r="298" spans="1:9" s="36" customFormat="1" hidden="1" x14ac:dyDescent="0.25">
      <c r="A298" s="87" t="s">
        <v>149</v>
      </c>
      <c r="B298" s="88"/>
      <c r="C298" s="88"/>
      <c r="D298" s="88"/>
      <c r="E298" s="88"/>
      <c r="F298" s="88"/>
      <c r="G298" s="88"/>
      <c r="H298" s="89"/>
      <c r="I298" s="35"/>
    </row>
    <row r="299" spans="1:9" s="36" customFormat="1" hidden="1" x14ac:dyDescent="0.25">
      <c r="A299" s="110"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10^ROW(INDIRECT("1:"&amp;LEN((LEFT(A298,SUM(LEN(A298)-LEN(SUBSTITUTE(A298,{"0","1","2"},""))))))))/10))*100+1&amp;""&amp;" &amp;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",LEN(A298))),LEN(A298)))))))/10))*100+1</f>
        <v>201 &amp; 501</v>
      </c>
      <c r="B299" s="111"/>
      <c r="C299" s="52"/>
      <c r="D299" s="41"/>
      <c r="E299" s="41">
        <v>0</v>
      </c>
      <c r="F299" s="41">
        <f>D299*(($F$148)+1)+(IF(E299&lt;101,E299,IF(E299&lt;201,E299/2,IF(E299&lt;=301,E299/3,E299/4))))</f>
        <v>0</v>
      </c>
      <c r="G299" s="110" t="str">
        <f>A298</f>
        <v>2nd &amp; 5th Floor</v>
      </c>
      <c r="H299" s="111"/>
      <c r="I299" s="35"/>
    </row>
    <row r="300" spans="1:9" s="36" customFormat="1" hidden="1" x14ac:dyDescent="0.25">
      <c r="A300" s="110"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10^ROW(INDIRECT("1:"&amp;LEN((LEFT(A299,SUM(LEN(A299)-LEN(SUBSTITUTE(A299,{"0","1","2"},""))))))))/10))*1+1&amp;""&amp;" &amp;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",LEN(A299))),LEN(A299)))))))/10))*1+1</f>
        <v>202 &amp; 502</v>
      </c>
      <c r="B300" s="111"/>
      <c r="C300" s="52"/>
      <c r="D300" s="41"/>
      <c r="E300" s="41">
        <v>0</v>
      </c>
      <c r="F300" s="41">
        <f>D300*(($F$148)+1)+(IF(E300&lt;101,E300,IF(E300&lt;201,E300/2,IF(E300&lt;=301,E300/3,E300/4))))</f>
        <v>0</v>
      </c>
      <c r="G300" s="110" t="str">
        <f>G299</f>
        <v>2nd &amp; 5th Floor</v>
      </c>
      <c r="H300" s="111"/>
      <c r="I300" s="35"/>
    </row>
    <row r="301" spans="1:9" s="36" customFormat="1" hidden="1" x14ac:dyDescent="0.25">
      <c r="A301" s="110"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&amp;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203 &amp; 503</v>
      </c>
      <c r="B301" s="111"/>
      <c r="C301" s="52"/>
      <c r="D301" s="41"/>
      <c r="E301" s="41">
        <v>0</v>
      </c>
      <c r="F301" s="41">
        <f>D301*(($F$148)+1)+(IF(E301&lt;101,E301,IF(E301&lt;201,E301/2,IF(E301&lt;=301,E301/3,E301/4))))</f>
        <v>0</v>
      </c>
      <c r="G301" s="110" t="str">
        <f>G300</f>
        <v>2nd &amp; 5th Floor</v>
      </c>
      <c r="H301" s="111"/>
      <c r="I301" s="35"/>
    </row>
    <row r="302" spans="1:9" s="36" customFormat="1" hidden="1" x14ac:dyDescent="0.25">
      <c r="A302" s="110"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10^ROW(INDIRECT("1:"&amp;LEN((LEFT(A301,SUM(LEN(A301)-LEN(SUBSTITUTE(A301,{"0","1","2"},""))))))))/10))*1+1&amp;""&amp;" &amp;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",LEN(A301))),LEN(A301)))))))/10))*1+1</f>
        <v>204 &amp; 504</v>
      </c>
      <c r="B302" s="111"/>
      <c r="C302" s="52"/>
      <c r="D302" s="41"/>
      <c r="E302" s="41">
        <v>0</v>
      </c>
      <c r="F302" s="41">
        <f>D302*(($F$148)+1)+(IF(E302&lt;101,E302,IF(E302&lt;201,E302/2,IF(E302&lt;=301,E302/3,E302/4))))</f>
        <v>0</v>
      </c>
      <c r="G302" s="110" t="str">
        <f>G301</f>
        <v>2nd &amp; 5th Floor</v>
      </c>
      <c r="H302" s="111"/>
      <c r="I302" s="35"/>
    </row>
    <row r="303" spans="1:9" s="36" customFormat="1" hidden="1" x14ac:dyDescent="0.25">
      <c r="A303" s="110"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10^ROW(INDIRECT("1:"&amp;LEN((LEFT(A302,SUM(LEN(A302)-LEN(SUBSTITUTE(A302,{"0","1","2"},""))))))))/10))*1+1&amp;""&amp;" &amp;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",LEN(A302))),LEN(A302)))))))/10))*1+1</f>
        <v>205 &amp; 505</v>
      </c>
      <c r="B303" s="111"/>
      <c r="C303" s="52"/>
      <c r="D303" s="41"/>
      <c r="E303" s="41">
        <v>0</v>
      </c>
      <c r="F303" s="41">
        <f>D303*(($F$148)+1)+(IF(E303&lt;101,E303,IF(E303&lt;201,E303/2,IF(E303&lt;=301,E303/3,E303/4))))</f>
        <v>0</v>
      </c>
      <c r="G303" s="110" t="str">
        <f>G302</f>
        <v>2nd &amp; 5th Floor</v>
      </c>
      <c r="H303" s="111"/>
      <c r="I303" s="35"/>
    </row>
    <row r="304" spans="1:9" s="34" customFormat="1" x14ac:dyDescent="0.25">
      <c r="A304" s="130" t="s">
        <v>69</v>
      </c>
      <c r="B304" s="130"/>
      <c r="C304" s="130"/>
      <c r="D304" s="130"/>
      <c r="E304" s="130"/>
      <c r="F304" s="130"/>
      <c r="G304" s="130"/>
      <c r="H304" s="130"/>
    </row>
    <row r="305" spans="1:9" s="34" customFormat="1" ht="31.5" customHeight="1" x14ac:dyDescent="0.25">
      <c r="A305" s="69" t="s">
        <v>158</v>
      </c>
      <c r="B305" s="156" t="s">
        <v>303</v>
      </c>
      <c r="C305" s="156"/>
      <c r="D305" s="156"/>
      <c r="E305" s="156"/>
      <c r="F305" s="156"/>
      <c r="G305" s="156"/>
      <c r="H305" s="156"/>
    </row>
    <row r="306" spans="1:9" s="34" customFormat="1" x14ac:dyDescent="0.25">
      <c r="A306" s="69" t="s">
        <v>158</v>
      </c>
      <c r="B306" s="156" t="str">
        <f>(IF(F147="Saleable area Loading :","We have considered Saleable area of Flats as per our Calculation.","We considered Saleable area of Flat as per Builder area Sheet."))</f>
        <v>We have considered Saleable area of Flats as per our Calculation.</v>
      </c>
      <c r="C306" s="156"/>
      <c r="D306" s="156"/>
      <c r="E306" s="156"/>
      <c r="F306" s="156"/>
      <c r="G306" s="156"/>
      <c r="H306" s="156"/>
    </row>
    <row r="307" spans="1:9" s="34" customFormat="1" x14ac:dyDescent="0.25">
      <c r="A307" s="69" t="s">
        <v>158</v>
      </c>
      <c r="B307" s="156" t="str">
        <f>(IF(F129="Saleable area Loading :","We have considered Saleable area of Commercial as per our Calculation.","We considered Saleable area of Commercial as per Builder area Sheet."))</f>
        <v>We have considered Saleable area of Commercial as per our Calculation.</v>
      </c>
      <c r="C307" s="156"/>
      <c r="D307" s="156"/>
      <c r="E307" s="156"/>
      <c r="F307" s="156"/>
      <c r="G307" s="156"/>
      <c r="H307" s="156"/>
    </row>
    <row r="308" spans="1:9" s="34" customFormat="1" x14ac:dyDescent="0.25">
      <c r="A308" s="69" t="s">
        <v>158</v>
      </c>
      <c r="B308" s="157" t="s">
        <v>125</v>
      </c>
      <c r="C308" s="157"/>
      <c r="D308" s="157"/>
      <c r="E308" s="157"/>
      <c r="F308" s="157"/>
      <c r="G308" s="157"/>
      <c r="H308" s="157"/>
    </row>
    <row r="309" spans="1:9" s="34" customFormat="1" x14ac:dyDescent="0.25">
      <c r="A309" s="69" t="s">
        <v>158</v>
      </c>
      <c r="B309" s="157" t="s">
        <v>195</v>
      </c>
      <c r="C309" s="157"/>
      <c r="D309" s="157"/>
      <c r="E309" s="157"/>
      <c r="F309" s="157"/>
      <c r="G309" s="157"/>
      <c r="H309" s="157"/>
    </row>
    <row r="310" spans="1:9" s="34" customFormat="1" x14ac:dyDescent="0.25">
      <c r="A310" s="69" t="s">
        <v>158</v>
      </c>
      <c r="B310" s="157" t="s">
        <v>157</v>
      </c>
      <c r="C310" s="157"/>
      <c r="D310" s="157"/>
      <c r="E310" s="157"/>
      <c r="F310" s="157"/>
      <c r="G310" s="157"/>
      <c r="H310" s="157"/>
    </row>
    <row r="311" spans="1:9" s="34" customFormat="1" x14ac:dyDescent="0.25">
      <c r="A311" s="69" t="s">
        <v>158</v>
      </c>
      <c r="B311" s="157" t="s">
        <v>126</v>
      </c>
      <c r="C311" s="157"/>
      <c r="D311" s="157"/>
      <c r="E311" s="157"/>
      <c r="F311" s="157"/>
      <c r="G311" s="157"/>
      <c r="H311" s="157"/>
    </row>
    <row r="312" spans="1:9" s="34" customFormat="1" ht="34.5" customHeight="1" x14ac:dyDescent="0.25">
      <c r="A312" s="69" t="s">
        <v>158</v>
      </c>
      <c r="B312" s="157" t="s">
        <v>159</v>
      </c>
      <c r="C312" s="157"/>
      <c r="D312" s="157"/>
      <c r="E312" s="157"/>
      <c r="F312" s="157"/>
      <c r="G312" s="157"/>
      <c r="H312" s="157"/>
    </row>
    <row r="313" spans="1:9" s="34" customFormat="1" x14ac:dyDescent="0.25">
      <c r="A313" s="44" t="s">
        <v>158</v>
      </c>
      <c r="B313" s="79" t="s">
        <v>127</v>
      </c>
      <c r="C313" s="80"/>
      <c r="D313" s="80"/>
      <c r="E313" s="80"/>
      <c r="F313" s="80"/>
      <c r="G313" s="80"/>
      <c r="H313" s="81"/>
    </row>
    <row r="314" spans="1:9" s="34" customFormat="1" hidden="1" x14ac:dyDescent="0.25">
      <c r="A314" s="44" t="s">
        <v>158</v>
      </c>
      <c r="B314" s="158" t="s">
        <v>196</v>
      </c>
      <c r="C314" s="159"/>
      <c r="D314" s="159"/>
      <c r="E314" s="159"/>
      <c r="F314" s="159"/>
      <c r="G314" s="159"/>
      <c r="H314" s="160"/>
    </row>
    <row r="315" spans="1:9" s="34" customFormat="1" x14ac:dyDescent="0.25">
      <c r="A315" s="59" t="s">
        <v>158</v>
      </c>
      <c r="B315" s="79" t="s">
        <v>217</v>
      </c>
      <c r="C315" s="80"/>
      <c r="D315" s="80"/>
      <c r="E315" s="80"/>
      <c r="F315" s="80"/>
      <c r="G315" s="80"/>
      <c r="H315" s="81"/>
    </row>
    <row r="316" spans="1:9" s="34" customFormat="1" ht="30.75" customHeight="1" x14ac:dyDescent="0.25">
      <c r="A316" s="57" t="s">
        <v>158</v>
      </c>
      <c r="B316" s="79" t="s">
        <v>229</v>
      </c>
      <c r="C316" s="80"/>
      <c r="D316" s="80"/>
      <c r="E316" s="80"/>
      <c r="F316" s="80"/>
      <c r="G316" s="80"/>
      <c r="H316" s="81"/>
      <c r="I316" s="34" t="s">
        <v>287</v>
      </c>
    </row>
    <row r="317" spans="1:9" s="34" customFormat="1" x14ac:dyDescent="0.25">
      <c r="A317" s="44" t="s">
        <v>158</v>
      </c>
      <c r="B317" s="79" t="s">
        <v>230</v>
      </c>
      <c r="C317" s="80"/>
      <c r="D317" s="80"/>
      <c r="E317" s="80"/>
      <c r="F317" s="80"/>
      <c r="G317" s="80"/>
      <c r="H317" s="81"/>
    </row>
    <row r="318" spans="1:9" s="34" customFormat="1" x14ac:dyDescent="0.25">
      <c r="A318" s="74" t="s">
        <v>158</v>
      </c>
      <c r="B318" s="79" t="s">
        <v>231</v>
      </c>
      <c r="C318" s="80"/>
      <c r="D318" s="80"/>
      <c r="E318" s="80"/>
      <c r="F318" s="80"/>
      <c r="G318" s="80"/>
      <c r="H318" s="81"/>
      <c r="I318" s="75" t="s">
        <v>232</v>
      </c>
    </row>
    <row r="319" spans="1:9" s="34" customFormat="1" ht="15.75" customHeight="1" x14ac:dyDescent="0.25">
      <c r="A319" s="74" t="s">
        <v>158</v>
      </c>
      <c r="B319" s="79" t="s">
        <v>300</v>
      </c>
      <c r="C319" s="80"/>
      <c r="D319" s="80"/>
      <c r="E319" s="80"/>
      <c r="F319" s="80"/>
      <c r="G319" s="80"/>
      <c r="H319" s="81"/>
      <c r="I319" s="75"/>
    </row>
    <row r="320" spans="1:9" s="34" customFormat="1" ht="15.75" customHeight="1" x14ac:dyDescent="0.25">
      <c r="A320" s="76" t="s">
        <v>158</v>
      </c>
      <c r="B320" s="79" t="s">
        <v>301</v>
      </c>
      <c r="C320" s="80"/>
      <c r="D320" s="80"/>
      <c r="E320" s="80"/>
      <c r="F320" s="80"/>
      <c r="G320" s="80"/>
      <c r="H320" s="81"/>
      <c r="I320" s="75"/>
    </row>
    <row r="321" spans="1:9" s="34" customFormat="1" x14ac:dyDescent="0.25">
      <c r="A321" s="76" t="s">
        <v>158</v>
      </c>
      <c r="B321" s="79" t="s">
        <v>304</v>
      </c>
      <c r="C321" s="80"/>
      <c r="D321" s="80"/>
      <c r="E321" s="80"/>
      <c r="F321" s="80"/>
      <c r="G321" s="80"/>
      <c r="H321" s="81"/>
      <c r="I321" s="75"/>
    </row>
    <row r="322" spans="1:9" s="34" customFormat="1" x14ac:dyDescent="0.25">
      <c r="A322" s="67" t="s">
        <v>158</v>
      </c>
      <c r="B322" s="79" t="s">
        <v>302</v>
      </c>
      <c r="C322" s="80"/>
      <c r="D322" s="80"/>
      <c r="E322" s="80"/>
      <c r="F322" s="80"/>
      <c r="G322" s="80"/>
      <c r="H322" s="81"/>
    </row>
    <row r="323" spans="1:9" s="34" customFormat="1" x14ac:dyDescent="0.25">
      <c r="A323" s="82" t="s">
        <v>158</v>
      </c>
      <c r="B323" s="79" t="s">
        <v>288</v>
      </c>
      <c r="C323" s="80"/>
      <c r="D323" s="80"/>
      <c r="E323" s="80"/>
      <c r="F323" s="80"/>
      <c r="G323" s="80"/>
      <c r="H323" s="81"/>
      <c r="I323" s="75"/>
    </row>
    <row r="324" spans="1:9" s="34" customFormat="1" x14ac:dyDescent="0.25">
      <c r="A324" s="83"/>
      <c r="B324" s="85" t="s">
        <v>289</v>
      </c>
      <c r="C324" s="85"/>
      <c r="D324" s="85" t="s">
        <v>291</v>
      </c>
      <c r="E324" s="85"/>
      <c r="F324" s="85"/>
      <c r="G324" s="85" t="s">
        <v>290</v>
      </c>
      <c r="H324" s="85"/>
      <c r="I324" s="75"/>
    </row>
    <row r="325" spans="1:9" s="34" customFormat="1" ht="15.75" customHeight="1" x14ac:dyDescent="0.25">
      <c r="A325" s="83"/>
      <c r="B325" s="85">
        <v>1</v>
      </c>
      <c r="C325" s="85"/>
      <c r="D325" s="85" t="s">
        <v>292</v>
      </c>
      <c r="E325" s="85"/>
      <c r="F325" s="85"/>
      <c r="G325" s="85" t="s">
        <v>294</v>
      </c>
      <c r="H325" s="85"/>
      <c r="I325" s="75"/>
    </row>
    <row r="326" spans="1:9" s="34" customFormat="1" x14ac:dyDescent="0.25">
      <c r="A326" s="84"/>
      <c r="B326" s="85">
        <v>2</v>
      </c>
      <c r="C326" s="85"/>
      <c r="D326" s="85" t="s">
        <v>293</v>
      </c>
      <c r="E326" s="85"/>
      <c r="F326" s="85"/>
      <c r="G326" s="85" t="s">
        <v>295</v>
      </c>
      <c r="H326" s="85"/>
      <c r="I326" s="75"/>
    </row>
    <row r="327" spans="1:9" x14ac:dyDescent="0.25">
      <c r="A327" s="102" t="s">
        <v>62</v>
      </c>
      <c r="B327" s="102"/>
      <c r="C327" s="102"/>
      <c r="D327" s="102"/>
      <c r="E327" s="102"/>
      <c r="F327" s="102"/>
      <c r="G327" s="102"/>
      <c r="H327" s="102"/>
    </row>
    <row r="328" spans="1:9" x14ac:dyDescent="0.25">
      <c r="A328" s="91" t="s">
        <v>63</v>
      </c>
      <c r="B328" s="91"/>
      <c r="C328" s="91"/>
      <c r="D328" s="91"/>
      <c r="E328" s="91"/>
      <c r="F328" s="91"/>
      <c r="G328" s="91"/>
      <c r="H328" s="91"/>
    </row>
    <row r="329" spans="1:9" ht="15.75" customHeight="1" x14ac:dyDescent="0.25">
      <c r="A329" s="161" t="s">
        <v>64</v>
      </c>
      <c r="B329" s="161"/>
      <c r="C329" s="161"/>
      <c r="D329" s="161"/>
      <c r="E329" s="161"/>
      <c r="F329" s="161"/>
      <c r="G329" s="161"/>
      <c r="H329" s="161"/>
    </row>
    <row r="330" spans="1:9" x14ac:dyDescent="0.25">
      <c r="A330" s="91" t="s">
        <v>65</v>
      </c>
      <c r="B330" s="91"/>
      <c r="C330" s="91"/>
      <c r="D330" s="91"/>
      <c r="E330" s="91"/>
      <c r="F330" s="91"/>
      <c r="G330" s="91"/>
      <c r="H330" s="91"/>
    </row>
    <row r="331" spans="1:9" x14ac:dyDescent="0.25">
      <c r="A331" s="91" t="s">
        <v>66</v>
      </c>
      <c r="B331" s="91"/>
      <c r="C331" s="91"/>
      <c r="D331" s="91"/>
      <c r="E331" s="91"/>
      <c r="F331" s="91"/>
      <c r="G331" s="91"/>
      <c r="H331" s="91"/>
    </row>
    <row r="332" spans="1:9" x14ac:dyDescent="0.25">
      <c r="A332" s="91" t="s">
        <v>128</v>
      </c>
      <c r="B332" s="91"/>
      <c r="C332" s="91"/>
      <c r="D332" s="91"/>
      <c r="E332" s="91"/>
      <c r="F332" s="91"/>
      <c r="G332" s="91"/>
      <c r="H332" s="91"/>
    </row>
    <row r="333" spans="1:9" ht="35.25" customHeight="1" x14ac:dyDescent="0.25">
      <c r="A333" s="143" t="s">
        <v>129</v>
      </c>
      <c r="B333" s="143"/>
      <c r="C333" s="143"/>
      <c r="D333" s="143"/>
      <c r="E333" s="143"/>
      <c r="F333" s="143"/>
      <c r="G333" s="143"/>
      <c r="H333" s="143"/>
    </row>
    <row r="334" spans="1:9" x14ac:dyDescent="0.25">
      <c r="A334" s="155" t="s">
        <v>78</v>
      </c>
      <c r="B334" s="155"/>
      <c r="C334" s="155" t="s">
        <v>278</v>
      </c>
      <c r="D334" s="155"/>
      <c r="E334" s="155" t="s">
        <v>104</v>
      </c>
      <c r="F334" s="155"/>
      <c r="G334" s="155" t="s">
        <v>277</v>
      </c>
      <c r="H334" s="155"/>
    </row>
    <row r="335" spans="1:9" x14ac:dyDescent="0.25">
      <c r="A335" s="154" t="s">
        <v>80</v>
      </c>
      <c r="B335" s="154"/>
      <c r="C335" s="154"/>
      <c r="D335" s="154"/>
      <c r="E335" s="154"/>
      <c r="F335" s="154"/>
      <c r="G335" s="154"/>
      <c r="H335" s="154"/>
    </row>
    <row r="336" spans="1:9" x14ac:dyDescent="0.25">
      <c r="A336" s="154"/>
      <c r="B336" s="154"/>
      <c r="C336" s="154"/>
      <c r="D336" s="154"/>
      <c r="E336" s="154"/>
      <c r="F336" s="154"/>
      <c r="G336" s="154"/>
      <c r="H336" s="154"/>
    </row>
    <row r="337" spans="1:8" x14ac:dyDescent="0.25">
      <c r="A337" s="154"/>
      <c r="B337" s="154"/>
      <c r="C337" s="154"/>
      <c r="D337" s="154"/>
      <c r="E337" s="154"/>
      <c r="F337" s="154"/>
      <c r="G337" s="154"/>
      <c r="H337" s="154"/>
    </row>
    <row r="338" spans="1:8" x14ac:dyDescent="0.25">
      <c r="A338" s="154"/>
      <c r="B338" s="154"/>
      <c r="C338" s="154"/>
      <c r="D338" s="154"/>
      <c r="E338" s="154"/>
      <c r="F338" s="154"/>
      <c r="G338" s="154"/>
      <c r="H338" s="154"/>
    </row>
    <row r="339" spans="1:8" x14ac:dyDescent="0.25">
      <c r="A339" s="37" t="s">
        <v>67</v>
      </c>
      <c r="B339" s="38"/>
      <c r="C339" s="38"/>
      <c r="D339" s="37" t="str">
        <f>E8</f>
        <v>Lodha NCP Tower 1 &amp; 2</v>
      </c>
      <c r="F339" s="38"/>
      <c r="G339" s="38"/>
      <c r="H339" s="38"/>
    </row>
    <row r="340" spans="1:8" x14ac:dyDescent="0.25">
      <c r="A340" s="38"/>
      <c r="B340" s="38"/>
      <c r="C340" s="38"/>
      <c r="D340" s="38"/>
      <c r="E340" s="38"/>
      <c r="F340" s="38"/>
      <c r="G340" s="38"/>
      <c r="H340" s="38"/>
    </row>
    <row r="341" spans="1:8" x14ac:dyDescent="0.25">
      <c r="A341" s="38"/>
      <c r="B341" s="38"/>
      <c r="C341" s="38"/>
      <c r="D341" s="38"/>
      <c r="E341" s="38"/>
      <c r="F341" s="38"/>
      <c r="G341" s="38"/>
      <c r="H341" s="38"/>
    </row>
    <row r="342" spans="1:8" ht="15" customHeight="1" x14ac:dyDescent="0.25"/>
    <row r="384" spans="1:8" x14ac:dyDescent="0.25">
      <c r="A384" s="40" t="s">
        <v>218</v>
      </c>
      <c r="B384" s="20"/>
      <c r="C384" s="20"/>
      <c r="D384" s="20"/>
      <c r="E384" s="20"/>
      <c r="F384" s="20"/>
      <c r="G384" s="20"/>
      <c r="H384" s="20"/>
    </row>
    <row r="424" spans="1:8" x14ac:dyDescent="0.25">
      <c r="A424" s="40" t="s">
        <v>205</v>
      </c>
    </row>
    <row r="425" spans="1:8" x14ac:dyDescent="0.25">
      <c r="A425" s="40"/>
      <c r="B425" s="20"/>
      <c r="C425" s="20"/>
      <c r="D425" s="20"/>
      <c r="E425" s="20"/>
      <c r="F425" s="20"/>
      <c r="G425" s="20"/>
      <c r="H425" s="20"/>
    </row>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5" spans="1:8" x14ac:dyDescent="0.25">
      <c r="A465" s="40" t="s">
        <v>68</v>
      </c>
      <c r="B465" s="20"/>
      <c r="C465" s="20"/>
      <c r="D465" s="20"/>
      <c r="E465" s="20"/>
      <c r="F465" s="20"/>
      <c r="G465" s="20"/>
      <c r="H465" s="20"/>
    </row>
    <row r="507" spans="1:8" x14ac:dyDescent="0.25">
      <c r="A507" s="199"/>
      <c r="B507" s="200"/>
      <c r="C507" s="20"/>
      <c r="D507" s="20"/>
      <c r="E507" s="20"/>
      <c r="F507" s="20"/>
      <c r="G507" s="20"/>
      <c r="H507" s="20"/>
    </row>
  </sheetData>
  <mergeCells count="605">
    <mergeCell ref="B320:H320"/>
    <mergeCell ref="B321:H321"/>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 ref="A259:H259"/>
    <mergeCell ref="A260:B260"/>
    <mergeCell ref="G260:H265"/>
    <mergeCell ref="L260:M260"/>
    <mergeCell ref="A261:B261"/>
    <mergeCell ref="L261:M261"/>
    <mergeCell ref="A262:B262"/>
    <mergeCell ref="L262:M262"/>
    <mergeCell ref="A263:B263"/>
    <mergeCell ref="L263:M263"/>
    <mergeCell ref="A264:B264"/>
    <mergeCell ref="L264:M264"/>
    <mergeCell ref="A265:B265"/>
    <mergeCell ref="L265:M265"/>
    <mergeCell ref="C262:F262"/>
    <mergeCell ref="C263:F263"/>
    <mergeCell ref="C261:F261"/>
    <mergeCell ref="C264:F264"/>
    <mergeCell ref="C265:F265"/>
    <mergeCell ref="A266:H266"/>
    <mergeCell ref="A267:B267"/>
    <mergeCell ref="G267:H272"/>
    <mergeCell ref="L267:M267"/>
    <mergeCell ref="A268:B268"/>
    <mergeCell ref="L268:M268"/>
    <mergeCell ref="A269:B269"/>
    <mergeCell ref="L269:M269"/>
    <mergeCell ref="A270:B270"/>
    <mergeCell ref="L270:M270"/>
    <mergeCell ref="A271:B271"/>
    <mergeCell ref="L271:M271"/>
    <mergeCell ref="A272:B272"/>
    <mergeCell ref="L272:M272"/>
    <mergeCell ref="C267:F267"/>
    <mergeCell ref="C268:F268"/>
    <mergeCell ref="C269:F269"/>
    <mergeCell ref="C270:F270"/>
    <mergeCell ref="C271:F271"/>
    <mergeCell ref="C272:F272"/>
    <mergeCell ref="L256:M256"/>
    <mergeCell ref="A257:B257"/>
    <mergeCell ref="L257:M257"/>
    <mergeCell ref="A258:B258"/>
    <mergeCell ref="L258:M258"/>
    <mergeCell ref="G253:H258"/>
    <mergeCell ref="A252:H252"/>
    <mergeCell ref="A253:B253"/>
    <mergeCell ref="L253:M253"/>
    <mergeCell ref="A254:B254"/>
    <mergeCell ref="L254:M254"/>
    <mergeCell ref="A255:B255"/>
    <mergeCell ref="L255:M255"/>
    <mergeCell ref="A232:B232"/>
    <mergeCell ref="G232:H237"/>
    <mergeCell ref="A233:B233"/>
    <mergeCell ref="A234:B234"/>
    <mergeCell ref="A235:B235"/>
    <mergeCell ref="A236:B236"/>
    <mergeCell ref="A237:B237"/>
    <mergeCell ref="C235:F235"/>
    <mergeCell ref="A256:B256"/>
    <mergeCell ref="A245:H245"/>
    <mergeCell ref="L245:M245"/>
    <mergeCell ref="A246:B246"/>
    <mergeCell ref="G246:H251"/>
    <mergeCell ref="A247:B247"/>
    <mergeCell ref="A248:B248"/>
    <mergeCell ref="A249:B249"/>
    <mergeCell ref="A250:B250"/>
    <mergeCell ref="A251:B251"/>
    <mergeCell ref="C249:F249"/>
    <mergeCell ref="C206:F206"/>
    <mergeCell ref="C207:F207"/>
    <mergeCell ref="C204:F205"/>
    <mergeCell ref="A238:H238"/>
    <mergeCell ref="L238:M238"/>
    <mergeCell ref="A239:B239"/>
    <mergeCell ref="G239:H244"/>
    <mergeCell ref="A240:B240"/>
    <mergeCell ref="A241:B241"/>
    <mergeCell ref="A242:B242"/>
    <mergeCell ref="A243:B243"/>
    <mergeCell ref="A244:B244"/>
    <mergeCell ref="C242:F242"/>
    <mergeCell ref="A224:H224"/>
    <mergeCell ref="L224:M224"/>
    <mergeCell ref="A225:B225"/>
    <mergeCell ref="G225:H230"/>
    <mergeCell ref="A226:B226"/>
    <mergeCell ref="A227:B227"/>
    <mergeCell ref="A228:B228"/>
    <mergeCell ref="A229:B229"/>
    <mergeCell ref="A230:B230"/>
    <mergeCell ref="A231:H231"/>
    <mergeCell ref="L231:M231"/>
    <mergeCell ref="L217:M217"/>
    <mergeCell ref="A218:B218"/>
    <mergeCell ref="G218:H223"/>
    <mergeCell ref="A219:B219"/>
    <mergeCell ref="A220:B220"/>
    <mergeCell ref="A221:B221"/>
    <mergeCell ref="A222:B222"/>
    <mergeCell ref="A223:B223"/>
    <mergeCell ref="A210:H210"/>
    <mergeCell ref="L210:M210"/>
    <mergeCell ref="A211:B211"/>
    <mergeCell ref="A212:B212"/>
    <mergeCell ref="A213:B213"/>
    <mergeCell ref="A214:B214"/>
    <mergeCell ref="L200:M200"/>
    <mergeCell ref="C208:F209"/>
    <mergeCell ref="I42:L42"/>
    <mergeCell ref="I43:L43"/>
    <mergeCell ref="A57:B58"/>
    <mergeCell ref="C57:E57"/>
    <mergeCell ref="G57:H57"/>
    <mergeCell ref="C58:H58"/>
    <mergeCell ref="A126:B126"/>
    <mergeCell ref="C126:D126"/>
    <mergeCell ref="E126:F126"/>
    <mergeCell ref="G126:H126"/>
    <mergeCell ref="A124:B124"/>
    <mergeCell ref="C124:D124"/>
    <mergeCell ref="A203:H203"/>
    <mergeCell ref="L203:M203"/>
    <mergeCell ref="A204:B204"/>
    <mergeCell ref="A205:B205"/>
    <mergeCell ref="A206:B206"/>
    <mergeCell ref="A207:B207"/>
    <mergeCell ref="L201:M201"/>
    <mergeCell ref="A202:B202"/>
    <mergeCell ref="L202:M202"/>
    <mergeCell ref="G197:H202"/>
    <mergeCell ref="E124:F124"/>
    <mergeCell ref="G124:H124"/>
    <mergeCell ref="A125:B125"/>
    <mergeCell ref="C125:D125"/>
    <mergeCell ref="E125:F125"/>
    <mergeCell ref="G125:H125"/>
    <mergeCell ref="A107:E107"/>
    <mergeCell ref="A104:E104"/>
    <mergeCell ref="A145:B145"/>
    <mergeCell ref="A109:E109"/>
    <mergeCell ref="F108:H108"/>
    <mergeCell ref="F114:H114"/>
    <mergeCell ref="A110:E110"/>
    <mergeCell ref="F110:H110"/>
    <mergeCell ref="A111:E111"/>
    <mergeCell ref="B129:B130"/>
    <mergeCell ref="G50:H50"/>
    <mergeCell ref="A51:B52"/>
    <mergeCell ref="C51:E51"/>
    <mergeCell ref="G51:H51"/>
    <mergeCell ref="C52:H52"/>
    <mergeCell ref="A49:H49"/>
    <mergeCell ref="A55:H55"/>
    <mergeCell ref="C54:E54"/>
    <mergeCell ref="G54:H54"/>
    <mergeCell ref="A54:B54"/>
    <mergeCell ref="A507:B507"/>
    <mergeCell ref="C184:F184"/>
    <mergeCell ref="L184:M184"/>
    <mergeCell ref="L185:M185"/>
    <mergeCell ref="L186:M186"/>
    <mergeCell ref="G188:H193"/>
    <mergeCell ref="L188:M188"/>
    <mergeCell ref="L189:M189"/>
    <mergeCell ref="L190:M190"/>
    <mergeCell ref="L278:M278"/>
    <mergeCell ref="A279:B279"/>
    <mergeCell ref="G279:H279"/>
    <mergeCell ref="L279:M279"/>
    <mergeCell ref="A296:B296"/>
    <mergeCell ref="A297:B297"/>
    <mergeCell ref="A290:B290"/>
    <mergeCell ref="A287:B287"/>
    <mergeCell ref="G277:H277"/>
    <mergeCell ref="G303:H303"/>
    <mergeCell ref="A302:B302"/>
    <mergeCell ref="G302:H302"/>
    <mergeCell ref="B305:H305"/>
    <mergeCell ref="L280:M280"/>
    <mergeCell ref="L277:M277"/>
    <mergeCell ref="A16:B16"/>
    <mergeCell ref="C16:H16"/>
    <mergeCell ref="A38:B38"/>
    <mergeCell ref="C38:H38"/>
    <mergeCell ref="B312:H312"/>
    <mergeCell ref="A47:B47"/>
    <mergeCell ref="C47:H47"/>
    <mergeCell ref="B310:H310"/>
    <mergeCell ref="F106:H106"/>
    <mergeCell ref="A106:E106"/>
    <mergeCell ref="G288:H288"/>
    <mergeCell ref="G284:H284"/>
    <mergeCell ref="G281:H281"/>
    <mergeCell ref="D129:D130"/>
    <mergeCell ref="A108:E108"/>
    <mergeCell ref="A142:B142"/>
    <mergeCell ref="A143:B143"/>
    <mergeCell ref="A144:B144"/>
    <mergeCell ref="A278:B278"/>
    <mergeCell ref="G278:H278"/>
    <mergeCell ref="G153:H158"/>
    <mergeCell ref="A187:H187"/>
    <mergeCell ref="F107:H107"/>
    <mergeCell ref="A112:E112"/>
    <mergeCell ref="A277:B277"/>
    <mergeCell ref="G289:H289"/>
    <mergeCell ref="G287:H287"/>
    <mergeCell ref="A115:E115"/>
    <mergeCell ref="C122:D122"/>
    <mergeCell ref="A119:B119"/>
    <mergeCell ref="F112:H112"/>
    <mergeCell ref="C119:D119"/>
    <mergeCell ref="F115:H115"/>
    <mergeCell ref="F113:H113"/>
    <mergeCell ref="G119:H119"/>
    <mergeCell ref="A114:E114"/>
    <mergeCell ref="C120:D120"/>
    <mergeCell ref="E120:F120"/>
    <mergeCell ref="A137:B137"/>
    <mergeCell ref="A150:H150"/>
    <mergeCell ref="A113:E113"/>
    <mergeCell ref="G122:H122"/>
    <mergeCell ref="A166:H166"/>
    <mergeCell ref="G167:H172"/>
    <mergeCell ref="A159:H159"/>
    <mergeCell ref="G133:H140"/>
    <mergeCell ref="A149:H149"/>
    <mergeCell ref="G282:H282"/>
    <mergeCell ref="A129:A130"/>
    <mergeCell ref="C147:C148"/>
    <mergeCell ref="A273:H273"/>
    <mergeCell ref="A131:H131"/>
    <mergeCell ref="A133:B133"/>
    <mergeCell ref="G275:H275"/>
    <mergeCell ref="G151:H151"/>
    <mergeCell ref="A132:H132"/>
    <mergeCell ref="A274:B274"/>
    <mergeCell ref="A194:H194"/>
    <mergeCell ref="C197:F197"/>
    <mergeCell ref="C198:F198"/>
    <mergeCell ref="C201:F202"/>
    <mergeCell ref="A198:B198"/>
    <mergeCell ref="A199:B199"/>
    <mergeCell ref="A200:B200"/>
    <mergeCell ref="A195:H195"/>
    <mergeCell ref="A215:B215"/>
    <mergeCell ref="A216:B216"/>
    <mergeCell ref="G204:H209"/>
    <mergeCell ref="G211:H216"/>
    <mergeCell ref="A217:H217"/>
    <mergeCell ref="A209:B209"/>
    <mergeCell ref="A208:B208"/>
    <mergeCell ref="C191:F191"/>
    <mergeCell ref="A146:H146"/>
    <mergeCell ref="L274:M274"/>
    <mergeCell ref="A275:B275"/>
    <mergeCell ref="L275:M275"/>
    <mergeCell ref="L192:M192"/>
    <mergeCell ref="L193:M193"/>
    <mergeCell ref="L191:M191"/>
    <mergeCell ref="L160:M160"/>
    <mergeCell ref="L161:M161"/>
    <mergeCell ref="L162:M162"/>
    <mergeCell ref="L163:M163"/>
    <mergeCell ref="L172:M172"/>
    <mergeCell ref="A180:H180"/>
    <mergeCell ref="G181:H186"/>
    <mergeCell ref="L181:M181"/>
    <mergeCell ref="L182:M182"/>
    <mergeCell ref="L183:M183"/>
    <mergeCell ref="L167:M167"/>
    <mergeCell ref="L168:M168"/>
    <mergeCell ref="L169:M169"/>
    <mergeCell ref="L197:M197"/>
    <mergeCell ref="L198:M198"/>
    <mergeCell ref="L199:M199"/>
    <mergeCell ref="L170:M170"/>
    <mergeCell ref="L171:M171"/>
    <mergeCell ref="L164:M164"/>
    <mergeCell ref="L165:M165"/>
    <mergeCell ref="L174:M174"/>
    <mergeCell ref="L276:M276"/>
    <mergeCell ref="G293:H293"/>
    <mergeCell ref="A291:B291"/>
    <mergeCell ref="A40:D40"/>
    <mergeCell ref="E40:H40"/>
    <mergeCell ref="A78:B78"/>
    <mergeCell ref="A76:B76"/>
    <mergeCell ref="C76:H76"/>
    <mergeCell ref="A84:B84"/>
    <mergeCell ref="A71:C71"/>
    <mergeCell ref="D71:H71"/>
    <mergeCell ref="C78:H78"/>
    <mergeCell ref="A81:B81"/>
    <mergeCell ref="A83:B83"/>
    <mergeCell ref="E79:F79"/>
    <mergeCell ref="A72:C72"/>
    <mergeCell ref="D72:H72"/>
    <mergeCell ref="A75:C75"/>
    <mergeCell ref="D75:H75"/>
    <mergeCell ref="A36:H36"/>
    <mergeCell ref="A35:B35"/>
    <mergeCell ref="C35:E35"/>
    <mergeCell ref="F32:H32"/>
    <mergeCell ref="F33:H33"/>
    <mergeCell ref="A39:H39"/>
    <mergeCell ref="A69:C69"/>
    <mergeCell ref="A70:C70"/>
    <mergeCell ref="D69:H69"/>
    <mergeCell ref="D70:H70"/>
    <mergeCell ref="A42:D42"/>
    <mergeCell ref="E42:H42"/>
    <mergeCell ref="E43:H43"/>
    <mergeCell ref="E44:H44"/>
    <mergeCell ref="E45:H45"/>
    <mergeCell ref="A43:D43"/>
    <mergeCell ref="F35:H35"/>
    <mergeCell ref="A37:B37"/>
    <mergeCell ref="C37:H37"/>
    <mergeCell ref="A48:B48"/>
    <mergeCell ref="C48:E48"/>
    <mergeCell ref="G48:H48"/>
    <mergeCell ref="A50:B50"/>
    <mergeCell ref="C50:E50"/>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21:D22"/>
    <mergeCell ref="E21:H22"/>
    <mergeCell ref="E13:H13"/>
    <mergeCell ref="A14:B14"/>
    <mergeCell ref="C14:H14"/>
    <mergeCell ref="C15:H15"/>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11:D11"/>
    <mergeCell ref="E11:H11"/>
    <mergeCell ref="A5:D5"/>
    <mergeCell ref="E5:H5"/>
    <mergeCell ref="A6:D6"/>
    <mergeCell ref="E6:H6"/>
    <mergeCell ref="A7:D7"/>
    <mergeCell ref="E7:H7"/>
    <mergeCell ref="A15:B15"/>
    <mergeCell ref="A12:D12"/>
    <mergeCell ref="E12:H12"/>
    <mergeCell ref="A13:D13"/>
    <mergeCell ref="A9:D9"/>
    <mergeCell ref="E9:H9"/>
    <mergeCell ref="A1:H1"/>
    <mergeCell ref="A2:H2"/>
    <mergeCell ref="A3:D3"/>
    <mergeCell ref="E3:H3"/>
    <mergeCell ref="A4:D4"/>
    <mergeCell ref="A8:D8"/>
    <mergeCell ref="E8:H8"/>
    <mergeCell ref="A10:D10"/>
    <mergeCell ref="E10:H10"/>
    <mergeCell ref="E4:H4"/>
    <mergeCell ref="A335:H338"/>
    <mergeCell ref="A334:B334"/>
    <mergeCell ref="E334:F334"/>
    <mergeCell ref="C334:D334"/>
    <mergeCell ref="G334:H334"/>
    <mergeCell ref="A330:H330"/>
    <mergeCell ref="A333:H333"/>
    <mergeCell ref="A331:H331"/>
    <mergeCell ref="B306:H306"/>
    <mergeCell ref="B308:H308"/>
    <mergeCell ref="B309:H309"/>
    <mergeCell ref="A327:H327"/>
    <mergeCell ref="B313:H313"/>
    <mergeCell ref="B314:H314"/>
    <mergeCell ref="A332:H332"/>
    <mergeCell ref="A329:H329"/>
    <mergeCell ref="A328:H328"/>
    <mergeCell ref="B311:H311"/>
    <mergeCell ref="B307:H307"/>
    <mergeCell ref="B315:H315"/>
    <mergeCell ref="B322:H322"/>
    <mergeCell ref="B318:H318"/>
    <mergeCell ref="B319:H319"/>
    <mergeCell ref="F111:H111"/>
    <mergeCell ref="A105:E105"/>
    <mergeCell ref="F104:H104"/>
    <mergeCell ref="F109:H109"/>
    <mergeCell ref="C129:C130"/>
    <mergeCell ref="B147:B148"/>
    <mergeCell ref="A292:H292"/>
    <mergeCell ref="A286:H286"/>
    <mergeCell ref="E119:F119"/>
    <mergeCell ref="G123:H123"/>
    <mergeCell ref="A141:H141"/>
    <mergeCell ref="E129:E130"/>
    <mergeCell ref="G129:H130"/>
    <mergeCell ref="A127:H127"/>
    <mergeCell ref="G283:H283"/>
    <mergeCell ref="A288:B288"/>
    <mergeCell ref="A128:H128"/>
    <mergeCell ref="E122:F122"/>
    <mergeCell ref="G144:H144"/>
    <mergeCell ref="A147:A148"/>
    <mergeCell ref="A285:B285"/>
    <mergeCell ref="A282:B282"/>
    <mergeCell ref="A283:B283"/>
    <mergeCell ref="A173:H173"/>
    <mergeCell ref="G61:H61"/>
    <mergeCell ref="A61:B62"/>
    <mergeCell ref="C62:H62"/>
    <mergeCell ref="C60:H60"/>
    <mergeCell ref="A73:C73"/>
    <mergeCell ref="D73:H73"/>
    <mergeCell ref="A74:C74"/>
    <mergeCell ref="D74:H74"/>
    <mergeCell ref="A80:B80"/>
    <mergeCell ref="G79:H79"/>
    <mergeCell ref="D66:H66"/>
    <mergeCell ref="A66:C66"/>
    <mergeCell ref="E80:F89"/>
    <mergeCell ref="G80:H89"/>
    <mergeCell ref="A88:B88"/>
    <mergeCell ref="A89:B89"/>
    <mergeCell ref="A87:B87"/>
    <mergeCell ref="A86:B86"/>
    <mergeCell ref="A79:B79"/>
    <mergeCell ref="A82:B82"/>
    <mergeCell ref="D68:H68"/>
    <mergeCell ref="A67:C68"/>
    <mergeCell ref="E123:F123"/>
    <mergeCell ref="G299:H299"/>
    <mergeCell ref="G297:H297"/>
    <mergeCell ref="A304:H304"/>
    <mergeCell ref="B316:H316"/>
    <mergeCell ref="B317:H317"/>
    <mergeCell ref="G174:H179"/>
    <mergeCell ref="A293:B293"/>
    <mergeCell ref="A294:B294"/>
    <mergeCell ref="A295:B295"/>
    <mergeCell ref="A284:B284"/>
    <mergeCell ref="G285:H285"/>
    <mergeCell ref="G291:H291"/>
    <mergeCell ref="G290:H290"/>
    <mergeCell ref="G274:H274"/>
    <mergeCell ref="G294:H294"/>
    <mergeCell ref="G295:H295"/>
    <mergeCell ref="A303:B303"/>
    <mergeCell ref="A196:H196"/>
    <mergeCell ref="A197:B197"/>
    <mergeCell ref="A201:B201"/>
    <mergeCell ref="A276:B276"/>
    <mergeCell ref="G276:H276"/>
    <mergeCell ref="G160:H165"/>
    <mergeCell ref="L133:M133"/>
    <mergeCell ref="A134:B134"/>
    <mergeCell ref="L134:M134"/>
    <mergeCell ref="A135:B135"/>
    <mergeCell ref="L135:M135"/>
    <mergeCell ref="A136:B136"/>
    <mergeCell ref="L136:M136"/>
    <mergeCell ref="L143:M143"/>
    <mergeCell ref="L142:M142"/>
    <mergeCell ref="L157:M157"/>
    <mergeCell ref="L137:M137"/>
    <mergeCell ref="A138:B138"/>
    <mergeCell ref="L138:M138"/>
    <mergeCell ref="A139:B139"/>
    <mergeCell ref="L158:M158"/>
    <mergeCell ref="L154:M154"/>
    <mergeCell ref="L155:M155"/>
    <mergeCell ref="G296:H296"/>
    <mergeCell ref="A281:B281"/>
    <mergeCell ref="D147:D148"/>
    <mergeCell ref="E147:E148"/>
    <mergeCell ref="G147:H148"/>
    <mergeCell ref="G142:H142"/>
    <mergeCell ref="L145:M145"/>
    <mergeCell ref="L144:M144"/>
    <mergeCell ref="L139:M139"/>
    <mergeCell ref="A140:B140"/>
    <mergeCell ref="L140:M140"/>
    <mergeCell ref="L175:M175"/>
    <mergeCell ref="L176:M176"/>
    <mergeCell ref="L177:M177"/>
    <mergeCell ref="L178:M178"/>
    <mergeCell ref="L179:M179"/>
    <mergeCell ref="A59:B60"/>
    <mergeCell ref="A301:B301"/>
    <mergeCell ref="G301:H301"/>
    <mergeCell ref="G300:H300"/>
    <mergeCell ref="A298:H298"/>
    <mergeCell ref="A299:B299"/>
    <mergeCell ref="A300:B300"/>
    <mergeCell ref="A122:B122"/>
    <mergeCell ref="A85:B85"/>
    <mergeCell ref="F105:H105"/>
    <mergeCell ref="G120:H120"/>
    <mergeCell ref="G143:H143"/>
    <mergeCell ref="G145:H145"/>
    <mergeCell ref="A118:H118"/>
    <mergeCell ref="A116:E116"/>
    <mergeCell ref="F116:H116"/>
    <mergeCell ref="A117:E117"/>
    <mergeCell ref="F117:H117"/>
    <mergeCell ref="A280:H280"/>
    <mergeCell ref="A123:B123"/>
    <mergeCell ref="A289:B289"/>
    <mergeCell ref="A120:B120"/>
    <mergeCell ref="A121:H121"/>
    <mergeCell ref="C123:D123"/>
    <mergeCell ref="L156:M156"/>
    <mergeCell ref="L151:M151"/>
    <mergeCell ref="A152:H152"/>
    <mergeCell ref="L153:M153"/>
    <mergeCell ref="E41:H41"/>
    <mergeCell ref="A41:D41"/>
    <mergeCell ref="A53:B53"/>
    <mergeCell ref="C53:E53"/>
    <mergeCell ref="G53:H53"/>
    <mergeCell ref="G59:H59"/>
    <mergeCell ref="D64:H64"/>
    <mergeCell ref="C59:E59"/>
    <mergeCell ref="D67:H67"/>
    <mergeCell ref="C56:E56"/>
    <mergeCell ref="C61:E61"/>
    <mergeCell ref="A56:B56"/>
    <mergeCell ref="A63:H63"/>
    <mergeCell ref="A64:C64"/>
    <mergeCell ref="A65:C65"/>
    <mergeCell ref="D65:H65"/>
    <mergeCell ref="A44:D44"/>
    <mergeCell ref="A45:D45"/>
    <mergeCell ref="A46:H46"/>
    <mergeCell ref="G56:H56"/>
    <mergeCell ref="B323:H323"/>
    <mergeCell ref="A323:A326"/>
    <mergeCell ref="B324:C324"/>
    <mergeCell ref="D324:F324"/>
    <mergeCell ref="G324:H324"/>
    <mergeCell ref="B325:C325"/>
    <mergeCell ref="D325:F325"/>
    <mergeCell ref="G325:H325"/>
    <mergeCell ref="B326:C326"/>
    <mergeCell ref="D326:F326"/>
    <mergeCell ref="G326:H326"/>
  </mergeCells>
  <hyperlinks>
    <hyperlink ref="C38" r:id="rId1"/>
  </hyperlinks>
  <printOptions horizontalCentered="1"/>
  <pageMargins left="0.39370078740157499" right="0.39370078740157499" top="0.82677165354330695" bottom="0.78740157480314998" header="0.15748031496063" footer="0.196850393700787"/>
  <pageSetup paperSize="2" scale="94" fitToHeight="0" orientation="portrait" r:id="rId2"/>
  <headerFooter>
    <oddHeader>&amp;C&amp;G</oddHeader>
    <oddFooter>&amp;L&amp;"Times New Roman,Bold"&amp;12Ref No: &amp;F&amp;C&amp;G&amp;R&amp;"Times New Roman,Bold"&amp;12&amp;P</oddFooter>
  </headerFooter>
  <rowBreaks count="7" manualBreakCount="7">
    <brk id="75" max="16383" man="1"/>
    <brk id="126" max="7" man="1"/>
    <brk id="165" max="16383" man="1"/>
    <brk id="338" max="16383" man="1"/>
    <brk id="383" max="7" man="1"/>
    <brk id="423" max="16383" man="1"/>
    <brk id="4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8" t="s">
        <v>105</v>
      </c>
      <c r="C3" s="228"/>
      <c r="D3" s="228"/>
      <c r="E3" s="228"/>
      <c r="F3" s="228"/>
      <c r="G3" s="228"/>
      <c r="H3" s="228"/>
    </row>
    <row r="4" spans="1:9" x14ac:dyDescent="0.25">
      <c r="A4" s="2"/>
      <c r="B4" s="3" t="s">
        <v>106</v>
      </c>
      <c r="C4" s="3" t="s">
        <v>107</v>
      </c>
      <c r="D4" s="3" t="s">
        <v>70</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3"/>
  <sheetViews>
    <sheetView zoomScale="70" zoomScaleNormal="70" workbookViewId="0">
      <selection activeCell="D15" sqref="D15"/>
    </sheetView>
  </sheetViews>
  <sheetFormatPr defaultRowHeight="15" x14ac:dyDescent="0.25"/>
  <cols>
    <col min="3" max="3" width="23.5703125" customWidth="1"/>
    <col min="4" max="4" width="13" bestFit="1" customWidth="1"/>
  </cols>
  <sheetData>
    <row r="1" spans="2:10" ht="28.5" x14ac:dyDescent="0.45">
      <c r="B1" s="63" t="s">
        <v>226</v>
      </c>
      <c r="C1" s="63"/>
      <c r="D1" s="63"/>
      <c r="E1" s="63"/>
      <c r="F1" s="63"/>
      <c r="G1" s="62"/>
      <c r="H1" s="62"/>
      <c r="I1" s="62"/>
      <c r="J1" s="62"/>
    </row>
    <row r="2" spans="2:10" ht="28.5" x14ac:dyDescent="0.45">
      <c r="B2" s="63" t="s">
        <v>227</v>
      </c>
      <c r="C2" s="63"/>
      <c r="D2" s="63"/>
      <c r="E2" s="63"/>
      <c r="F2" s="63"/>
      <c r="G2" s="62"/>
      <c r="H2" s="62"/>
      <c r="I2" s="62"/>
      <c r="J2" s="62"/>
    </row>
    <row r="3" spans="2:10" ht="18.75" x14ac:dyDescent="0.3">
      <c r="B3" s="64" t="s">
        <v>221</v>
      </c>
      <c r="C3" s="64"/>
      <c r="D3" s="65">
        <v>45534</v>
      </c>
      <c r="E3" s="64" t="s">
        <v>222</v>
      </c>
      <c r="F3" s="64"/>
      <c r="G3" s="64"/>
      <c r="H3" s="64"/>
      <c r="I3" s="6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2025-07-21T12:59:07Z</cp:lastPrinted>
  <dcterms:created xsi:type="dcterms:W3CDTF">2019-07-16T09:29:46Z</dcterms:created>
  <dcterms:modified xsi:type="dcterms:W3CDTF">2025-07-21T13:04:05Z</dcterms:modified>
</cp:coreProperties>
</file>