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8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4" i="1" s="1"/>
  <c r="C75" i="1" l="1"/>
  <c r="D137" i="1"/>
  <c r="F137" i="1" s="1"/>
  <c r="D136" i="1"/>
  <c r="F136" i="1" s="1"/>
  <c r="D153" i="1"/>
  <c r="F153" i="1" s="1"/>
  <c r="D152" i="1"/>
  <c r="F152" i="1" s="1"/>
  <c r="A152" i="1"/>
  <c r="A153" i="1" s="1"/>
  <c r="D148" i="1"/>
  <c r="D149" i="1"/>
  <c r="D142" i="1"/>
  <c r="F142" i="1" s="1"/>
  <c r="J142" i="1" s="1"/>
  <c r="F149" i="1"/>
  <c r="D121" i="1"/>
  <c r="J77" i="1" l="1"/>
  <c r="J76" i="1"/>
  <c r="J75" i="1"/>
  <c r="H67" i="1"/>
  <c r="J72" i="1" l="1"/>
  <c r="D78" i="1"/>
  <c r="D76" i="1"/>
  <c r="D74" i="1"/>
  <c r="D72" i="1"/>
  <c r="J70" i="1"/>
  <c r="J69" i="1"/>
  <c r="J71" i="1"/>
  <c r="C70" i="1" s="1"/>
  <c r="D70" i="1" s="1"/>
  <c r="D79" i="1"/>
  <c r="D77" i="1"/>
  <c r="D75" i="1"/>
  <c r="D73" i="1"/>
  <c r="J73" i="1" l="1"/>
  <c r="J78" i="1" s="1"/>
  <c r="J74" i="1"/>
  <c r="J79" i="1" l="1"/>
  <c r="C71" i="1" l="1"/>
  <c r="E70" i="1" s="1"/>
  <c r="I66" i="1" s="1"/>
  <c r="C68" i="1" s="1"/>
  <c r="K44" i="1"/>
  <c r="D71" i="1" l="1"/>
  <c r="G70" i="1"/>
  <c r="D64" i="1" s="1"/>
  <c r="D65" i="1" s="1"/>
  <c r="E45" i="1"/>
  <c r="L81" i="1" l="1"/>
  <c r="L92" i="1" s="1"/>
  <c r="D147" i="1" l="1"/>
  <c r="F147" i="1" s="1"/>
  <c r="D146" i="1"/>
  <c r="F146" i="1" s="1"/>
  <c r="D145" i="1"/>
  <c r="D141" i="1"/>
  <c r="F141" i="1" s="1"/>
  <c r="D140" i="1"/>
  <c r="F140" i="1" s="1"/>
  <c r="J139" i="1"/>
  <c r="D135" i="1"/>
  <c r="F135" i="1" s="1"/>
  <c r="D134" i="1"/>
  <c r="F134" i="1" s="1"/>
  <c r="D133" i="1"/>
  <c r="F133" i="1" s="1"/>
  <c r="D131" i="1"/>
  <c r="F131" i="1" s="1"/>
  <c r="D130" i="1"/>
  <c r="F130" i="1" s="1"/>
  <c r="D129" i="1"/>
  <c r="F129" i="1" s="1"/>
  <c r="D128" i="1"/>
  <c r="F128" i="1" s="1"/>
  <c r="D127" i="1"/>
  <c r="F127" i="1" s="1"/>
  <c r="D125" i="1"/>
  <c r="F125" i="1" s="1"/>
  <c r="D124" i="1"/>
  <c r="D123" i="1"/>
  <c r="D122" i="1"/>
  <c r="K119" i="1"/>
  <c r="G151" i="1"/>
  <c r="A146" i="1"/>
  <c r="A147" i="1" s="1"/>
  <c r="A148" i="1" s="1"/>
  <c r="A149" i="1" s="1"/>
  <c r="G145" i="1"/>
  <c r="A140" i="1"/>
  <c r="A141" i="1" s="1"/>
  <c r="G139" i="1"/>
  <c r="A134" i="1"/>
  <c r="A135" i="1" s="1"/>
  <c r="G133" i="1"/>
  <c r="A128" i="1"/>
  <c r="A129" i="1" s="1"/>
  <c r="A130" i="1" s="1"/>
  <c r="A131" i="1" s="1"/>
  <c r="G127" i="1"/>
  <c r="C101" i="1" l="1"/>
  <c r="E101" i="1"/>
  <c r="A136" i="1"/>
  <c r="A137" i="1" s="1"/>
  <c r="F145" i="1"/>
  <c r="F148" i="1"/>
  <c r="C102" i="1" l="1"/>
  <c r="E102" i="1"/>
  <c r="F124" i="1"/>
  <c r="F123" i="1"/>
  <c r="F122" i="1"/>
  <c r="A122" i="1"/>
  <c r="A123" i="1" s="1"/>
  <c r="A124" i="1" s="1"/>
  <c r="A125" i="1" s="1"/>
  <c r="G121" i="1"/>
  <c r="F121" i="1"/>
  <c r="G101" i="1" s="1"/>
  <c r="F156" i="1" l="1"/>
  <c r="F109" i="1"/>
  <c r="G102" i="1" l="1"/>
  <c r="G103" i="1" s="1"/>
  <c r="E103" i="1"/>
  <c r="C103" i="1"/>
  <c r="E43" i="1" l="1"/>
  <c r="E44" i="1" s="1"/>
  <c r="C15" i="1" l="1"/>
  <c r="E30" i="1" l="1"/>
  <c r="F157" i="1" l="1"/>
  <c r="F158" i="1"/>
  <c r="F159" i="1"/>
  <c r="A157" i="1"/>
  <c r="A158" i="1" s="1"/>
  <c r="A159" i="1" s="1"/>
  <c r="G156" i="1"/>
  <c r="G157" i="1" s="1"/>
  <c r="G158" i="1" s="1"/>
  <c r="G159" i="1" s="1"/>
  <c r="F93" i="1" l="1"/>
  <c r="F110" i="1" l="1"/>
  <c r="F111" i="1"/>
  <c r="F112" i="1"/>
  <c r="B186" i="1" l="1"/>
  <c r="A179" i="1"/>
  <c r="A167" i="1"/>
  <c r="A173" i="1"/>
  <c r="F183" i="1" l="1"/>
  <c r="F182" i="1"/>
  <c r="F181" i="1"/>
  <c r="F180" i="1"/>
  <c r="F179" i="1"/>
  <c r="F177" i="1"/>
  <c r="F176" i="1"/>
  <c r="F175" i="1"/>
  <c r="F174" i="1"/>
  <c r="F173" i="1"/>
  <c r="F171" i="1"/>
  <c r="F170" i="1"/>
  <c r="F169" i="1"/>
  <c r="F168" i="1"/>
  <c r="F167" i="1"/>
  <c r="F165" i="1"/>
  <c r="F164" i="1"/>
  <c r="F162" i="1"/>
  <c r="F161" i="1"/>
  <c r="F163" i="1"/>
  <c r="A168" i="1"/>
  <c r="A180" i="1"/>
  <c r="A17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6" i="1"/>
  <c r="G179" i="1"/>
  <c r="G180" i="1" s="1"/>
  <c r="G181" i="1" s="1"/>
  <c r="G182" i="1" s="1"/>
  <c r="G183" i="1" s="1"/>
  <c r="G173" i="1"/>
  <c r="G174" i="1" s="1"/>
  <c r="G175" i="1" s="1"/>
  <c r="G176" i="1" s="1"/>
  <c r="G177" i="1" s="1"/>
  <c r="G167" i="1"/>
  <c r="G168" i="1" s="1"/>
  <c r="G169" i="1" s="1"/>
  <c r="G170" i="1" s="1"/>
  <c r="G171" i="1" s="1"/>
  <c r="G161" i="1"/>
  <c r="G162" i="1" s="1"/>
  <c r="G163" i="1" s="1"/>
  <c r="G164" i="1" s="1"/>
  <c r="G165" i="1" s="1"/>
  <c r="A161" i="1"/>
  <c r="A162" i="1" s="1"/>
  <c r="A163" i="1" s="1"/>
  <c r="A164" i="1" s="1"/>
  <c r="A165" i="1" s="1"/>
  <c r="A110" i="1"/>
  <c r="A111" i="1" s="1"/>
  <c r="A112" i="1" s="1"/>
  <c r="G109" i="1"/>
  <c r="G110" i="1" s="1"/>
  <c r="G111" i="1" s="1"/>
  <c r="G112" i="1" s="1"/>
  <c r="G50" i="1"/>
  <c r="C50" i="1"/>
  <c r="E27" i="1"/>
  <c r="E25" i="1"/>
  <c r="E7" i="1"/>
  <c r="E3" i="1"/>
  <c r="A175" i="1"/>
  <c r="A169" i="1"/>
  <c r="A181" i="1"/>
  <c r="D60" i="1" l="1"/>
  <c r="A176" i="1"/>
  <c r="A182" i="1"/>
  <c r="A170" i="1"/>
  <c r="A171" i="1"/>
  <c r="A183" i="1"/>
  <c r="A177" i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<sst xmlns="http://schemas.openxmlformats.org/spreadsheetml/2006/main" count="298" uniqueCount="239">
  <si>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</si>
  <si>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</si>
  <si>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</si>
  <si>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</si>
  <si>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</si>
  <si>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</si>
  <si>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</si>
  <si>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</si>
  <si>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</si>
  <si>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</si>
  <si>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</si>
  <si>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</si>
  <si>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</si>
  <si>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</si>
  <si>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</si>
  <si>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</si>
  <si>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</si>
  <si>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</si>
  <si>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</si>
  <si>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</si>
  <si>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</si>
  <si>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</si>
  <si>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</si>
  <si>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</si>
  <si>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</si>
  <si>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</si>
  <si>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</si>
  <si>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</si>
  <si>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</si>
  <si>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</si>
  <si>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</si>
  <si>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</si>
  <si>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</si>
  <si>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</si>
  <si>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</si>
  <si>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</si>
  <si>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</si>
  <si>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</si>
  <si>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</si>
  <si>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</si>
  <si>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</si>
  <si>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</si>
  <si>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</si>
  <si>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</si>
  <si>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</si>
  <si>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</si>
  <si>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</si>
  <si>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</si>
  <si>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</si>
  <si>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</si>
  <si>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</si>
  <si>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</si>
  <si>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</si>
  <si>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</si>
  <si>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</si>
  <si>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</si>
  <si>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</si>
  <si>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</si>
  <si>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</si>
  <si>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</si>
  <si>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</si>
  <si>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</si>
  <si>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</si>
  <si>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</si>
  <si>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</si>
  <si>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</si>
  <si>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</si>
  <si>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</si>
  <si>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</si>
  <si>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</si>
  <si>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</si>
  <si>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</si>
  <si>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</si>
  <si>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</si>
  <si>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</si>
  <si>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</si>
  <si>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</si>
  <si>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</si>
  <si>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</si>
  <si>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</si>
  <si>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</si>
  <si>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</si>
  <si>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</si>
  <si>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</si>
  <si>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</si>
  <si>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</si>
  <si>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</si>
  <si>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</si>
  <si>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</si>
  <si>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</si>
  <si>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</si>
  <si>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</si>
  <si>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</si>
  <si>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</si>
  <si>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</si>
  <si>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</si>
  <si>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</si>
  <si>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</si>
  <si>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</si>
  <si>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</si>
  <si>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</si>
  <si>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</si>
  <si>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</si>
  <si>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</si>
  <si>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</si>
  <si>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</si>
  <si>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</si>
  <si>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</si>
  <si>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</si>
  <si>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</si>
  <si>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</si>
  <si>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</si>
  <si>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</si>
  <si>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</si>
  <si>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</si>
  <si>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</si>
  <si>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</si>
  <si>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</si>
  <si>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</si>
  <si>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</si>
  <si>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</si>
  <si>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</si>
  <si>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</si>
  <si>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</si>
  <si>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</si>
  <si>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</si>
  <si>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</si>
  <si>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</si>
  <si>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</si>
  <si>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</si>
  <si>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</si>
  <si>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</si>
  <si>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</si>
  <si>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</si>
  <si>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</si>
  <si>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</si>
  <si>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</si>
  <si>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</si>
  <si>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</si>
  <si>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</si>
  <si>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</si>
  <si>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</si>
  <si>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</si>
  <si>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</si>
  <si>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</si>
  <si>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</si>
  <si>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</si>
  <si>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</si>
  <si>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</si>
  <si>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</si>
  <si>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</si>
  <si>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</si>
  <si>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</si>
  <si>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</si>
  <si>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</si>
  <si>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</si>
  <si>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</si>
  <si>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</si>
  <si>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</si>
  <si>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</si>
  <si>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</si>
  <si>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</si>
  <si>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</si>
  <si>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</si>
  <si>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</si>
  <si>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</si>
  <si>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</si>
  <si>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</si>
  <si>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</si>
  <si>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</si>
  <si>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</si>
  <si>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</si>
  <si>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</si>
  <si>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</si>
  <si>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</si>
  <si>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</si>
  <si>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</si>
  <si>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</si>
  <si>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</si>
  <si>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</si>
  <si>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</si>
  <si>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</si>
  <si>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</si>
  <si>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</si>
  <si>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Macrotech Developers Limited</t>
  </si>
  <si>
    <t>Mr. Rajendra Giri 9820248856</t>
  </si>
  <si>
    <t>Approved Plans, CC</t>
  </si>
  <si>
    <t>CTS No</t>
  </si>
  <si>
    <t>Gundavali</t>
  </si>
  <si>
    <t>Andheri</t>
  </si>
  <si>
    <t>Slum Rehabilitation Authority (SRA)</t>
  </si>
  <si>
    <t>Swimming pool, Gym, Spa, Kids Play Area, Walking Path, Multipurpose Hall, Convenience Store, Reflexology Track.</t>
  </si>
  <si>
    <t>Wing B</t>
  </si>
  <si>
    <t>Basement Floor For Parking</t>
  </si>
  <si>
    <t>Ground Floor For Stilt Parking, Meter Room &amp; Lobby</t>
  </si>
  <si>
    <t>1.7KM from Andheri Railway Station</t>
  </si>
  <si>
    <t>Western Express Highway</t>
  </si>
  <si>
    <t>Andheri East</t>
  </si>
  <si>
    <t>78A to 78H</t>
  </si>
  <si>
    <t>Gundavali Gaothan</t>
  </si>
  <si>
    <t>Callista Golden Deck Chs</t>
  </si>
  <si>
    <t>Lodha Acanza (Rehab Buildings)/ Gamdevi Bhendi Galli</t>
  </si>
  <si>
    <t>Slum</t>
  </si>
  <si>
    <t>Other Plot</t>
  </si>
  <si>
    <t>1st Floor For Residential</t>
  </si>
  <si>
    <t>2nd to 7th Floor</t>
  </si>
  <si>
    <t>MP Room</t>
  </si>
  <si>
    <t>3.5BHK</t>
  </si>
  <si>
    <t>8th Floor (Part Refuge Area)</t>
  </si>
  <si>
    <t>Refuge Area</t>
  </si>
  <si>
    <t>5BHK Duplex With 15th Floor</t>
  </si>
  <si>
    <t>Duplex With Lower 14th Floor</t>
  </si>
  <si>
    <t>7BHK Duplex With 15th Floor</t>
  </si>
  <si>
    <t>We considered Gross carpet area = Net carpet + Deck Area + Utility Area.</t>
  </si>
  <si>
    <t>19.12063613, 72.855395315</t>
  </si>
  <si>
    <t>https://goo.gl/maps/aETgJwgpSrYrtxhi8</t>
  </si>
  <si>
    <t>Axis Thane</t>
  </si>
  <si>
    <t>Composite Building No. 10</t>
  </si>
  <si>
    <t>KE/PVT/0091/20040910/C 10</t>
  </si>
  <si>
    <t>KE/PVT/0091/2004-0910/AP/C-10</t>
  </si>
  <si>
    <t>RTL</t>
  </si>
  <si>
    <t>14th Floor  (15th Floor as per builder)</t>
  </si>
  <si>
    <t>15th Floor  (16th Floor as per builder)</t>
  </si>
  <si>
    <t>All work Completed. OC Received.</t>
  </si>
  <si>
    <t>Construction work is in process at the time of visit.</t>
  </si>
  <si>
    <t>Lodha Acenza ­ Tower C</t>
  </si>
  <si>
    <t>Composite Building No.10 Sale Wing C</t>
  </si>
  <si>
    <t>P51800052417</t>
  </si>
  <si>
    <t>This CC is reendorsed as per amended plans approved dated.07/07/2023.</t>
  </si>
  <si>
    <t>Sale Wing C = 1B + Gr + 1st to 15th Floor</t>
  </si>
  <si>
    <t>Wing C</t>
  </si>
  <si>
    <t>9th to 12th
13th Floor  (14th Floor as per builder)</t>
  </si>
  <si>
    <t>Flats - 70</t>
  </si>
  <si>
    <t>1 Wings</t>
  </si>
  <si>
    <t>As per RERA - 31/12/2027</t>
  </si>
  <si>
    <t>Pooja Kawale</t>
  </si>
  <si>
    <t>Pratik Niwate</t>
  </si>
  <si>
    <t>RATE 25000 by AKASH MOTE for CASE C1404 VERBAL 70% LTV 6CR LOAN  on 06/06/2025</t>
  </si>
  <si>
    <t>Recommended Rates of the Property have been revised on 06/06/2025.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</si>
</sst>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6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5" xfId="1" applyFont="1" applyBorder="1"/>
    <xf numFmtId="0" fontId="17" fillId="0" borderId="5" xfId="0" applyFont="1" applyBorder="1" applyProtection="1">
      <protection hidden="1"/>
    </xf>
    <xf numFmtId="1" fontId="0" fillId="0" borderId="5" xfId="0" applyNumberFormat="1" applyBorder="1"/>
    <xf numFmtId="1" fontId="0" fillId="0" borderId="5" xfId="0" applyNumberFormat="1" applyBorder="1" applyAlignment="1">
      <alignment horizontal="right"/>
    </xf>
    <xf numFmtId="1" fontId="0" fillId="0" borderId="7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8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20" xfId="1" applyFont="1" applyBorder="1" applyProtection="1">
      <protection hidden="1"/>
    </xf>
    <xf numFmtId="0" fontId="7" fillId="0" borderId="21" xfId="1" applyFont="1" applyBorder="1" applyProtection="1">
      <protection hidden="1"/>
    </xf>
    <xf numFmtId="0" fontId="7" fillId="0" borderId="5" xfId="1" applyFont="1" applyBorder="1" applyProtection="1">
      <protection hidden="1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3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3" xfId="1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7" xfId="0" applyNumberFormat="1" applyFont="1" applyBorder="1" applyAlignment="1" applyProtection="1">
      <alignment horizontal="center" vertical="center" wrapText="1"/>
      <protection locked="0"/>
    </xf>
    <xf numFmtId="1" fontId="8" fillId="0" borderId="18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1" fontId="10" fillId="0" borderId="18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center" wrapText="1"/>
      <protection locked="0"/>
    </xf>
    <xf numFmtId="1" fontId="8" fillId="0" borderId="13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4" fontId="6" fillId="0" borderId="3" xfId="1" applyNumberFormat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8" xfId="0" applyNumberFormat="1" applyFont="1" applyBorder="1" applyAlignment="1" applyProtection="1">
      <alignment horizontal="center" vertical="top" wrapText="1"/>
      <protection locked="0"/>
    </xf>
    <xf numFmtId="1" fontId="8" fillId="0" borderId="19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8" fillId="2" borderId="3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3" xfId="1" applyNumberFormat="1" applyFont="1" applyBorder="1" applyAlignment="1" applyProtection="1">
      <alignment horizontal="center" vertical="center" wrapText="1"/>
      <protection locked="0"/>
    </xf>
    <xf numFmtId="168" fontId="6" fillId="0" borderId="13" xfId="1" applyNumberFormat="1" applyFont="1" applyBorder="1" applyAlignment="1" applyProtection="1">
      <alignment horizontal="center" vertical="center" wrapText="1"/>
      <protection locked="0"/>
    </xf>
    <xf numFmtId="168" fontId="6" fillId="0" borderId="4" xfId="1" applyNumberFormat="1" applyFont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1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8" fillId="0" borderId="3" xfId="0" applyNumberFormat="1" applyFont="1" applyBorder="1" applyAlignment="1" applyProtection="1">
      <alignment vertical="top" wrapText="1"/>
      <protection locked="0"/>
    </xf>
    <xf numFmtId="1" fontId="8" fillId="0" borderId="13" xfId="0" applyNumberFormat="1" applyFont="1" applyBorder="1" applyAlignment="1" applyProtection="1">
      <alignment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0" fillId="0" borderId="3" xfId="0" applyNumberFormat="1" applyFont="1" applyBorder="1" applyAlignment="1" applyProtection="1">
      <alignment vertical="top" wrapText="1"/>
      <protection locked="0"/>
    </xf>
    <xf numFmtId="1" fontId="10" fillId="0" borderId="13" xfId="0" applyNumberFormat="1" applyFont="1" applyBorder="1" applyAlignment="1" applyProtection="1">
      <alignment vertical="top" wrapText="1"/>
      <protection locked="0"/>
    </xf>
    <xf numFmtId="1" fontId="10" fillId="0" borderId="4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1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top"/>
      <protection locked="0"/>
    </xf>
    <xf numFmtId="0" fontId="24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68" fontId="7" fillId="0" borderId="3" xfId="1" applyNumberFormat="1" applyFont="1" applyBorder="1" applyAlignment="1" applyProtection="1">
      <alignment horizontal="center" vertical="center" wrapText="1"/>
      <protection locked="0"/>
    </xf>
    <xf numFmtId="168" fontId="7" fillId="0" borderId="13" xfId="1" applyNumberFormat="1" applyFont="1" applyBorder="1" applyAlignment="1" applyProtection="1">
      <alignment horizontal="center" vertical="center" wrapText="1"/>
      <protection locked="0"/>
    </xf>
    <xf numFmtId="168" fontId="7" fillId="0" borderId="4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225134</xdr:colOff>
      <xdr:row>289</xdr:row>
      <xdr:rowOff>0</xdr:rowOff>
    </xdr:from>
    <xdr:to>
      <xdr:col>7</xdr:col>
      <xdr:colOff>488403</xdr:colOff>
      <xdr:row>304</xdr:row>
      <xdr:rowOff>118124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34" y="58587409"/>
          <a:ext cx="5934974" cy="31055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225134</xdr:colOff>
      <xdr:row>305</xdr:row>
      <xdr:rowOff>91491</xdr:rowOff>
    </xdr:from>
    <xdr:to>
      <xdr:col>7</xdr:col>
      <xdr:colOff>493429</xdr:colOff>
      <xdr:row>325</xdr:row>
      <xdr:rowOff>196719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34" y="61865446"/>
          <a:ext cx="5940000" cy="40884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464972</xdr:colOff>
      <xdr:row>311</xdr:row>
      <xdr:rowOff>152855</xdr:rowOff>
    </xdr:from>
    <xdr:to>
      <xdr:col>4</xdr:col>
      <xdr:colOff>231176</xdr:colOff>
      <xdr:row>321</xdr:row>
      <xdr:rowOff>140286</xdr:rowOff>
    </xdr:to>
    <xdr:sp macro="" textlink="">
      <xdr:nvSpPr>
        <xdr:cNvPr id="4" name="Rectangle 3"/>
        <xdr:cNvSpPr/>
      </xdr:nvSpPr>
      <xdr:spPr>
        <a:xfrm rot="809743">
          <a:off x="2872199" y="63121764"/>
          <a:ext cx="710045" cy="1979022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216475</xdr:colOff>
      <xdr:row>246</xdr:row>
      <xdr:rowOff>112567</xdr:rowOff>
    </xdr:from>
    <xdr:to>
      <xdr:col>7</xdr:col>
      <xdr:colOff>490611</xdr:colOff>
      <xdr:row>266</xdr:row>
      <xdr:rowOff>89386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209396" y="47645191"/>
          <a:ext cx="3960000" cy="59458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87396</xdr:colOff>
      <xdr:row>267</xdr:row>
      <xdr:rowOff>45500</xdr:rowOff>
    </xdr:from>
    <xdr:to>
      <xdr:col>6</xdr:col>
      <xdr:colOff>619691</xdr:colOff>
      <xdr:row>284</xdr:row>
      <xdr:rowOff>118330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9396" y="52753386"/>
          <a:ext cx="4680000" cy="34585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3</xdr:col>
      <xdr:colOff>632114</xdr:colOff>
      <xdr:row>260</xdr:row>
      <xdr:rowOff>177511</xdr:rowOff>
    </xdr:from>
    <xdr:ext cx="596253" cy="264560"/>
    <xdr:sp macro="" textlink="">
      <xdr:nvSpPr>
        <xdr:cNvPr id="15" name="TextBox 14"/>
        <xdr:cNvSpPr txBox="1"/>
      </xdr:nvSpPr>
      <xdr:spPr>
        <a:xfrm>
          <a:off x="3041939" y="44459236"/>
          <a:ext cx="596253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C</a:t>
          </a:r>
          <a:endParaRPr lang="en-IN" sz="1100" b="1"/>
        </a:p>
      </xdr:txBody>
    </xdr:sp>
    <xdr:clientData/>
  </xdr:oneCellAnchor>
  <xdr:twoCellAnchor>
    <xdr:from>
      <xdr:col>3</xdr:col>
      <xdr:colOff>619125</xdr:colOff>
      <xdr:row>255</xdr:row>
      <xdr:rowOff>138546</xdr:rowOff>
    </xdr:from>
    <xdr:to>
      <xdr:col>4</xdr:col>
      <xdr:colOff>571500</xdr:colOff>
      <xdr:row>260</xdr:row>
      <xdr:rowOff>155863</xdr:rowOff>
    </xdr:to>
    <xdr:sp macro="" textlink="">
      <xdr:nvSpPr>
        <xdr:cNvPr id="16" name="Rectangle 15"/>
        <xdr:cNvSpPr/>
      </xdr:nvSpPr>
      <xdr:spPr>
        <a:xfrm>
          <a:off x="3028950" y="43420146"/>
          <a:ext cx="895350" cy="1017442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9</xdr:col>
      <xdr:colOff>114300</xdr:colOff>
      <xdr:row>205</xdr:row>
      <xdr:rowOff>63500</xdr:rowOff>
    </xdr:from>
    <xdr:ext cx="655116" cy="264560"/>
    <xdr:sp macro="" textlink="">
      <xdr:nvSpPr>
        <xdr:cNvPr id="23" name="TextBox 22"/>
        <xdr:cNvSpPr txBox="1"/>
      </xdr:nvSpPr>
      <xdr:spPr>
        <a:xfrm>
          <a:off x="8026400" y="33356550"/>
          <a:ext cx="65511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Tower C</a:t>
          </a:r>
        </a:p>
      </xdr:txBody>
    </xdr:sp>
    <xdr:clientData/>
  </xdr:oneCellAnchor>
  <xdr:twoCellAnchor>
    <xdr:from>
      <xdr:col>0</xdr:col>
      <xdr:colOff>298450</xdr:colOff>
      <xdr:row>206</xdr:row>
      <xdr:rowOff>82550</xdr:rowOff>
    </xdr:from>
    <xdr:to>
      <xdr:col>7</xdr:col>
      <xdr:colOff>408102</xdr:colOff>
      <xdr:row>240</xdr:row>
      <xdr:rowOff>26625</xdr:rowOff>
    </xdr:to>
    <xdr:grpSp>
      <xdr:nvGrpSpPr>
        <xdr:cNvPr id="7" name="Group 6"/>
        <xdr:cNvGrpSpPr/>
      </xdr:nvGrpSpPr>
      <xdr:grpSpPr>
        <a:xfrm>
          <a:off x="298450" y="33769300"/>
          <a:ext cx="6065952" cy="6630625"/>
          <a:chOff x="298450" y="33769300"/>
          <a:chExt cx="6065952" cy="6630625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450" y="337693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78450" y="37879925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4402" y="337693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4402" y="37879925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TextBox 26"/>
          <xdr:cNvSpPr txBox="1"/>
        </xdr:nvSpPr>
        <xdr:spPr>
          <a:xfrm>
            <a:off x="1104900" y="33915350"/>
            <a:ext cx="65511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Tower 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101974</xdr:colOff>
      <xdr:row>52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ETgJwgpSrYrtxhi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288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7265625" style="36" customWidth="1"/>
    <col min="4" max="4" width="14.1796875" style="36" customWidth="1"/>
    <col min="5" max="6" width="11.7265625" style="36" customWidth="1"/>
    <col min="7" max="7" width="11.453125" style="36" customWidth="1"/>
    <col min="8" max="8" width="10.54296875" style="36" customWidth="1"/>
    <col min="9" max="9" width="17.453125" style="17" customWidth="1"/>
    <col min="10" max="10" width="11.453125" style="17" customWidth="1"/>
    <col min="11" max="11" width="10.54296875" style="17" bestFit="1" customWidth="1"/>
    <col min="12" max="12" width="10.5429687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7265625" style="17" customWidth="1"/>
    <col min="17" max="247" width="9.1796875" style="17"/>
    <col min="248" max="248" width="8.7265625" style="17" customWidth="1"/>
    <col min="249" max="249" width="9.81640625" style="17" customWidth="1"/>
    <col min="250" max="250" width="14.453125" style="17" customWidth="1"/>
    <col min="251" max="251" width="7.2695312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7265625" style="17" customWidth="1"/>
    <col min="505" max="505" width="9.81640625" style="17" customWidth="1"/>
    <col min="506" max="506" width="14.453125" style="17" customWidth="1"/>
    <col min="507" max="507" width="7.2695312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7265625" style="17" customWidth="1"/>
    <col min="761" max="761" width="9.81640625" style="17" customWidth="1"/>
    <col min="762" max="762" width="14.453125" style="17" customWidth="1"/>
    <col min="763" max="763" width="7.2695312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7265625" style="17" customWidth="1"/>
    <col min="1017" max="1017" width="9.81640625" style="17" customWidth="1"/>
    <col min="1018" max="1018" width="14.453125" style="17" customWidth="1"/>
    <col min="1019" max="1019" width="7.2695312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7265625" style="17" customWidth="1"/>
    <col min="1273" max="1273" width="9.81640625" style="17" customWidth="1"/>
    <col min="1274" max="1274" width="14.453125" style="17" customWidth="1"/>
    <col min="1275" max="1275" width="7.2695312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7265625" style="17" customWidth="1"/>
    <col min="1529" max="1529" width="9.81640625" style="17" customWidth="1"/>
    <col min="1530" max="1530" width="14.453125" style="17" customWidth="1"/>
    <col min="1531" max="1531" width="7.2695312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7265625" style="17" customWidth="1"/>
    <col min="1785" max="1785" width="9.81640625" style="17" customWidth="1"/>
    <col min="1786" max="1786" width="14.453125" style="17" customWidth="1"/>
    <col min="1787" max="1787" width="7.2695312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7265625" style="17" customWidth="1"/>
    <col min="2041" max="2041" width="9.81640625" style="17" customWidth="1"/>
    <col min="2042" max="2042" width="14.453125" style="17" customWidth="1"/>
    <col min="2043" max="2043" width="7.2695312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7265625" style="17" customWidth="1"/>
    <col min="2297" max="2297" width="9.81640625" style="17" customWidth="1"/>
    <col min="2298" max="2298" width="14.453125" style="17" customWidth="1"/>
    <col min="2299" max="2299" width="7.2695312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7265625" style="17" customWidth="1"/>
    <col min="2553" max="2553" width="9.81640625" style="17" customWidth="1"/>
    <col min="2554" max="2554" width="14.453125" style="17" customWidth="1"/>
    <col min="2555" max="2555" width="7.2695312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7265625" style="17" customWidth="1"/>
    <col min="2809" max="2809" width="9.81640625" style="17" customWidth="1"/>
    <col min="2810" max="2810" width="14.453125" style="17" customWidth="1"/>
    <col min="2811" max="2811" width="7.2695312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7265625" style="17" customWidth="1"/>
    <col min="3065" max="3065" width="9.81640625" style="17" customWidth="1"/>
    <col min="3066" max="3066" width="14.453125" style="17" customWidth="1"/>
    <col min="3067" max="3067" width="7.2695312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7265625" style="17" customWidth="1"/>
    <col min="3321" max="3321" width="9.81640625" style="17" customWidth="1"/>
    <col min="3322" max="3322" width="14.453125" style="17" customWidth="1"/>
    <col min="3323" max="3323" width="7.2695312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7265625" style="17" customWidth="1"/>
    <col min="3577" max="3577" width="9.81640625" style="17" customWidth="1"/>
    <col min="3578" max="3578" width="14.453125" style="17" customWidth="1"/>
    <col min="3579" max="3579" width="7.2695312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7265625" style="17" customWidth="1"/>
    <col min="3833" max="3833" width="9.81640625" style="17" customWidth="1"/>
    <col min="3834" max="3834" width="14.453125" style="17" customWidth="1"/>
    <col min="3835" max="3835" width="7.2695312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7265625" style="17" customWidth="1"/>
    <col min="4089" max="4089" width="9.81640625" style="17" customWidth="1"/>
    <col min="4090" max="4090" width="14.453125" style="17" customWidth="1"/>
    <col min="4091" max="4091" width="7.2695312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7265625" style="17" customWidth="1"/>
    <col min="4345" max="4345" width="9.81640625" style="17" customWidth="1"/>
    <col min="4346" max="4346" width="14.453125" style="17" customWidth="1"/>
    <col min="4347" max="4347" width="7.2695312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7265625" style="17" customWidth="1"/>
    <col min="4601" max="4601" width="9.81640625" style="17" customWidth="1"/>
    <col min="4602" max="4602" width="14.453125" style="17" customWidth="1"/>
    <col min="4603" max="4603" width="7.2695312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7265625" style="17" customWidth="1"/>
    <col min="4857" max="4857" width="9.81640625" style="17" customWidth="1"/>
    <col min="4858" max="4858" width="14.453125" style="17" customWidth="1"/>
    <col min="4859" max="4859" width="7.2695312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7265625" style="17" customWidth="1"/>
    <col min="5113" max="5113" width="9.81640625" style="17" customWidth="1"/>
    <col min="5114" max="5114" width="14.453125" style="17" customWidth="1"/>
    <col min="5115" max="5115" width="7.2695312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7265625" style="17" customWidth="1"/>
    <col min="5369" max="5369" width="9.81640625" style="17" customWidth="1"/>
    <col min="5370" max="5370" width="14.453125" style="17" customWidth="1"/>
    <col min="5371" max="5371" width="7.2695312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7265625" style="17" customWidth="1"/>
    <col min="5625" max="5625" width="9.81640625" style="17" customWidth="1"/>
    <col min="5626" max="5626" width="14.453125" style="17" customWidth="1"/>
    <col min="5627" max="5627" width="7.2695312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7265625" style="17" customWidth="1"/>
    <col min="5881" max="5881" width="9.81640625" style="17" customWidth="1"/>
    <col min="5882" max="5882" width="14.453125" style="17" customWidth="1"/>
    <col min="5883" max="5883" width="7.2695312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7265625" style="17" customWidth="1"/>
    <col min="6137" max="6137" width="9.81640625" style="17" customWidth="1"/>
    <col min="6138" max="6138" width="14.453125" style="17" customWidth="1"/>
    <col min="6139" max="6139" width="7.2695312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7265625" style="17" customWidth="1"/>
    <col min="6393" max="6393" width="9.81640625" style="17" customWidth="1"/>
    <col min="6394" max="6394" width="14.453125" style="17" customWidth="1"/>
    <col min="6395" max="6395" width="7.2695312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7265625" style="17" customWidth="1"/>
    <col min="6649" max="6649" width="9.81640625" style="17" customWidth="1"/>
    <col min="6650" max="6650" width="14.453125" style="17" customWidth="1"/>
    <col min="6651" max="6651" width="7.2695312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7265625" style="17" customWidth="1"/>
    <col min="6905" max="6905" width="9.81640625" style="17" customWidth="1"/>
    <col min="6906" max="6906" width="14.453125" style="17" customWidth="1"/>
    <col min="6907" max="6907" width="7.2695312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7265625" style="17" customWidth="1"/>
    <col min="7161" max="7161" width="9.81640625" style="17" customWidth="1"/>
    <col min="7162" max="7162" width="14.453125" style="17" customWidth="1"/>
    <col min="7163" max="7163" width="7.2695312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7265625" style="17" customWidth="1"/>
    <col min="7417" max="7417" width="9.81640625" style="17" customWidth="1"/>
    <col min="7418" max="7418" width="14.453125" style="17" customWidth="1"/>
    <col min="7419" max="7419" width="7.2695312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7265625" style="17" customWidth="1"/>
    <col min="7673" max="7673" width="9.81640625" style="17" customWidth="1"/>
    <col min="7674" max="7674" width="14.453125" style="17" customWidth="1"/>
    <col min="7675" max="7675" width="7.2695312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7265625" style="17" customWidth="1"/>
    <col min="7929" max="7929" width="9.81640625" style="17" customWidth="1"/>
    <col min="7930" max="7930" width="14.453125" style="17" customWidth="1"/>
    <col min="7931" max="7931" width="7.2695312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7265625" style="17" customWidth="1"/>
    <col min="8185" max="8185" width="9.81640625" style="17" customWidth="1"/>
    <col min="8186" max="8186" width="14.453125" style="17" customWidth="1"/>
    <col min="8187" max="8187" width="7.2695312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7265625" style="17" customWidth="1"/>
    <col min="8441" max="8441" width="9.81640625" style="17" customWidth="1"/>
    <col min="8442" max="8442" width="14.453125" style="17" customWidth="1"/>
    <col min="8443" max="8443" width="7.2695312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7265625" style="17" customWidth="1"/>
    <col min="8697" max="8697" width="9.81640625" style="17" customWidth="1"/>
    <col min="8698" max="8698" width="14.453125" style="17" customWidth="1"/>
    <col min="8699" max="8699" width="7.2695312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7265625" style="17" customWidth="1"/>
    <col min="8953" max="8953" width="9.81640625" style="17" customWidth="1"/>
    <col min="8954" max="8954" width="14.453125" style="17" customWidth="1"/>
    <col min="8955" max="8955" width="7.2695312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7265625" style="17" customWidth="1"/>
    <col min="9209" max="9209" width="9.81640625" style="17" customWidth="1"/>
    <col min="9210" max="9210" width="14.453125" style="17" customWidth="1"/>
    <col min="9211" max="9211" width="7.2695312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7265625" style="17" customWidth="1"/>
    <col min="9465" max="9465" width="9.81640625" style="17" customWidth="1"/>
    <col min="9466" max="9466" width="14.453125" style="17" customWidth="1"/>
    <col min="9467" max="9467" width="7.2695312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7265625" style="17" customWidth="1"/>
    <col min="9721" max="9721" width="9.81640625" style="17" customWidth="1"/>
    <col min="9722" max="9722" width="14.453125" style="17" customWidth="1"/>
    <col min="9723" max="9723" width="7.2695312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7265625" style="17" customWidth="1"/>
    <col min="9977" max="9977" width="9.81640625" style="17" customWidth="1"/>
    <col min="9978" max="9978" width="14.453125" style="17" customWidth="1"/>
    <col min="9979" max="9979" width="7.2695312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7265625" style="17" customWidth="1"/>
    <col min="10233" max="10233" width="9.81640625" style="17" customWidth="1"/>
    <col min="10234" max="10234" width="14.453125" style="17" customWidth="1"/>
    <col min="10235" max="10235" width="7.2695312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7265625" style="17" customWidth="1"/>
    <col min="10489" max="10489" width="9.81640625" style="17" customWidth="1"/>
    <col min="10490" max="10490" width="14.453125" style="17" customWidth="1"/>
    <col min="10491" max="10491" width="7.2695312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7265625" style="17" customWidth="1"/>
    <col min="10745" max="10745" width="9.81640625" style="17" customWidth="1"/>
    <col min="10746" max="10746" width="14.453125" style="17" customWidth="1"/>
    <col min="10747" max="10747" width="7.2695312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7265625" style="17" customWidth="1"/>
    <col min="11001" max="11001" width="9.81640625" style="17" customWidth="1"/>
    <col min="11002" max="11002" width="14.453125" style="17" customWidth="1"/>
    <col min="11003" max="11003" width="7.2695312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7265625" style="17" customWidth="1"/>
    <col min="11257" max="11257" width="9.81640625" style="17" customWidth="1"/>
    <col min="11258" max="11258" width="14.453125" style="17" customWidth="1"/>
    <col min="11259" max="11259" width="7.2695312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7265625" style="17" customWidth="1"/>
    <col min="11513" max="11513" width="9.81640625" style="17" customWidth="1"/>
    <col min="11514" max="11514" width="14.453125" style="17" customWidth="1"/>
    <col min="11515" max="11515" width="7.2695312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7265625" style="17" customWidth="1"/>
    <col min="11769" max="11769" width="9.81640625" style="17" customWidth="1"/>
    <col min="11770" max="11770" width="14.453125" style="17" customWidth="1"/>
    <col min="11771" max="11771" width="7.2695312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7265625" style="17" customWidth="1"/>
    <col min="12025" max="12025" width="9.81640625" style="17" customWidth="1"/>
    <col min="12026" max="12026" width="14.453125" style="17" customWidth="1"/>
    <col min="12027" max="12027" width="7.2695312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7265625" style="17" customWidth="1"/>
    <col min="12281" max="12281" width="9.81640625" style="17" customWidth="1"/>
    <col min="12282" max="12282" width="14.453125" style="17" customWidth="1"/>
    <col min="12283" max="12283" width="7.2695312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7265625" style="17" customWidth="1"/>
    <col min="12537" max="12537" width="9.81640625" style="17" customWidth="1"/>
    <col min="12538" max="12538" width="14.453125" style="17" customWidth="1"/>
    <col min="12539" max="12539" width="7.2695312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7265625" style="17" customWidth="1"/>
    <col min="12793" max="12793" width="9.81640625" style="17" customWidth="1"/>
    <col min="12794" max="12794" width="14.453125" style="17" customWidth="1"/>
    <col min="12795" max="12795" width="7.2695312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7265625" style="17" customWidth="1"/>
    <col min="13049" max="13049" width="9.81640625" style="17" customWidth="1"/>
    <col min="13050" max="13050" width="14.453125" style="17" customWidth="1"/>
    <col min="13051" max="13051" width="7.2695312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7265625" style="17" customWidth="1"/>
    <col min="13305" max="13305" width="9.81640625" style="17" customWidth="1"/>
    <col min="13306" max="13306" width="14.453125" style="17" customWidth="1"/>
    <col min="13307" max="13307" width="7.2695312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7265625" style="17" customWidth="1"/>
    <col min="13561" max="13561" width="9.81640625" style="17" customWidth="1"/>
    <col min="13562" max="13562" width="14.453125" style="17" customWidth="1"/>
    <col min="13563" max="13563" width="7.2695312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7265625" style="17" customWidth="1"/>
    <col min="13817" max="13817" width="9.81640625" style="17" customWidth="1"/>
    <col min="13818" max="13818" width="14.453125" style="17" customWidth="1"/>
    <col min="13819" max="13819" width="7.2695312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7265625" style="17" customWidth="1"/>
    <col min="14073" max="14073" width="9.81640625" style="17" customWidth="1"/>
    <col min="14074" max="14074" width="14.453125" style="17" customWidth="1"/>
    <col min="14075" max="14075" width="7.2695312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7265625" style="17" customWidth="1"/>
    <col min="14329" max="14329" width="9.81640625" style="17" customWidth="1"/>
    <col min="14330" max="14330" width="14.453125" style="17" customWidth="1"/>
    <col min="14331" max="14331" width="7.2695312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7265625" style="17" customWidth="1"/>
    <col min="14585" max="14585" width="9.81640625" style="17" customWidth="1"/>
    <col min="14586" max="14586" width="14.453125" style="17" customWidth="1"/>
    <col min="14587" max="14587" width="7.2695312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7265625" style="17" customWidth="1"/>
    <col min="14841" max="14841" width="9.81640625" style="17" customWidth="1"/>
    <col min="14842" max="14842" width="14.453125" style="17" customWidth="1"/>
    <col min="14843" max="14843" width="7.2695312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7265625" style="17" customWidth="1"/>
    <col min="15097" max="15097" width="9.81640625" style="17" customWidth="1"/>
    <col min="15098" max="15098" width="14.453125" style="17" customWidth="1"/>
    <col min="15099" max="15099" width="7.2695312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7265625" style="17" customWidth="1"/>
    <col min="15353" max="15353" width="9.81640625" style="17" customWidth="1"/>
    <col min="15354" max="15354" width="14.453125" style="17" customWidth="1"/>
    <col min="15355" max="15355" width="7.2695312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7265625" style="17" customWidth="1"/>
    <col min="15609" max="15609" width="9.81640625" style="17" customWidth="1"/>
    <col min="15610" max="15610" width="14.453125" style="17" customWidth="1"/>
    <col min="15611" max="15611" width="7.2695312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7265625" style="17" customWidth="1"/>
    <col min="15865" max="15865" width="9.81640625" style="17" customWidth="1"/>
    <col min="15866" max="15866" width="14.453125" style="17" customWidth="1"/>
    <col min="15867" max="15867" width="7.2695312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7265625" style="17" customWidth="1"/>
    <col min="16121" max="16121" width="9.81640625" style="17" customWidth="1"/>
    <col min="16122" max="16122" width="14.453125" style="17" customWidth="1"/>
    <col min="16123" max="16123" width="7.2695312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8" ht="46.5" customHeight="1" x14ac:dyDescent="0.35">
      <c r="A1" s="143" t="s">
        <v>183</v>
      </c>
      <c r="B1" s="143"/>
      <c r="C1" s="143"/>
      <c r="D1" s="143"/>
      <c r="E1" s="143"/>
      <c r="F1" s="143"/>
      <c r="G1" s="143"/>
      <c r="H1" s="143"/>
    </row>
    <row r="2" spans="1:8" ht="16.5" customHeight="1" x14ac:dyDescent="0.35">
      <c r="A2" s="111" t="s">
        <v>0</v>
      </c>
      <c r="B2" s="111"/>
      <c r="C2" s="111"/>
      <c r="D2" s="111"/>
      <c r="E2" s="111"/>
      <c r="F2" s="111"/>
      <c r="G2" s="111"/>
      <c r="H2" s="111"/>
    </row>
    <row r="3" spans="1:8" x14ac:dyDescent="0.35">
      <c r="A3" s="106" t="s">
        <v>1</v>
      </c>
      <c r="B3" s="106"/>
      <c r="C3" s="106"/>
      <c r="D3" s="106"/>
      <c r="E3" s="106" t="str">
        <f ca="1">TEXT(TODAY(),"DD/MM/YYYY")</f>
        <v>18/07/2025</v>
      </c>
      <c r="F3" s="106"/>
      <c r="G3" s="106"/>
      <c r="H3" s="106"/>
    </row>
    <row r="4" spans="1:8" ht="15" customHeight="1" x14ac:dyDescent="0.35">
      <c r="A4" s="106" t="s">
        <v>2</v>
      </c>
      <c r="B4" s="106"/>
      <c r="C4" s="106"/>
      <c r="D4" s="106"/>
      <c r="E4" s="106" t="s">
        <v>216</v>
      </c>
      <c r="F4" s="106"/>
      <c r="G4" s="106"/>
      <c r="H4" s="106"/>
    </row>
    <row r="5" spans="1:8" x14ac:dyDescent="0.35">
      <c r="A5" s="106" t="s">
        <v>3</v>
      </c>
      <c r="B5" s="106"/>
      <c r="C5" s="106"/>
      <c r="D5" s="106"/>
      <c r="E5" s="145">
        <v>45848</v>
      </c>
      <c r="F5" s="106"/>
      <c r="G5" s="106"/>
      <c r="H5" s="106"/>
    </row>
    <row r="6" spans="1:8" ht="16.5" customHeight="1" x14ac:dyDescent="0.35">
      <c r="A6" s="106" t="s">
        <v>4</v>
      </c>
      <c r="B6" s="106"/>
      <c r="C6" s="106"/>
      <c r="D6" s="106"/>
      <c r="E6" s="106" t="s">
        <v>184</v>
      </c>
      <c r="F6" s="106"/>
      <c r="G6" s="106"/>
      <c r="H6" s="106"/>
    </row>
    <row r="7" spans="1:8" ht="15" customHeight="1" x14ac:dyDescent="0.35">
      <c r="A7" s="106" t="s">
        <v>5</v>
      </c>
      <c r="B7" s="106"/>
      <c r="C7" s="106"/>
      <c r="D7" s="106"/>
      <c r="E7" s="106" t="str">
        <f>E6</f>
        <v>Macrotech Developers Limited</v>
      </c>
      <c r="F7" s="106"/>
      <c r="G7" s="106"/>
      <c r="H7" s="106"/>
    </row>
    <row r="8" spans="1:8" x14ac:dyDescent="0.35">
      <c r="A8" s="106" t="s">
        <v>6</v>
      </c>
      <c r="B8" s="106"/>
      <c r="C8" s="106"/>
      <c r="D8" s="106"/>
      <c r="E8" s="144" t="s">
        <v>225</v>
      </c>
      <c r="F8" s="144"/>
      <c r="G8" s="144"/>
      <c r="H8" s="144"/>
    </row>
    <row r="9" spans="1:8" x14ac:dyDescent="0.35">
      <c r="A9" s="106" t="s">
        <v>176</v>
      </c>
      <c r="B9" s="106"/>
      <c r="C9" s="106"/>
      <c r="D9" s="106"/>
      <c r="E9" s="106" t="s">
        <v>185</v>
      </c>
      <c r="F9" s="106"/>
      <c r="G9" s="106"/>
      <c r="H9" s="106"/>
    </row>
    <row r="10" spans="1:8" x14ac:dyDescent="0.35">
      <c r="A10" s="106" t="s">
        <v>177</v>
      </c>
      <c r="B10" s="106"/>
      <c r="C10" s="106"/>
      <c r="D10" s="106"/>
      <c r="E10" s="106" t="s">
        <v>185</v>
      </c>
      <c r="F10" s="106"/>
      <c r="G10" s="106"/>
      <c r="H10" s="106"/>
    </row>
    <row r="11" spans="1:8" x14ac:dyDescent="0.35">
      <c r="A11" s="106" t="s">
        <v>7</v>
      </c>
      <c r="B11" s="106"/>
      <c r="C11" s="106"/>
      <c r="D11" s="106"/>
      <c r="E11" s="106" t="s">
        <v>226</v>
      </c>
      <c r="F11" s="106"/>
      <c r="G11" s="106"/>
      <c r="H11" s="106"/>
    </row>
    <row r="12" spans="1:8" hidden="1" x14ac:dyDescent="0.35">
      <c r="A12" s="106" t="s">
        <v>178</v>
      </c>
      <c r="B12" s="106"/>
      <c r="C12" s="106"/>
      <c r="D12" s="106"/>
      <c r="E12" s="106"/>
      <c r="F12" s="106"/>
      <c r="G12" s="106"/>
      <c r="H12" s="106"/>
    </row>
    <row r="13" spans="1:8" x14ac:dyDescent="0.35">
      <c r="A13" s="62" t="s">
        <v>8</v>
      </c>
      <c r="B13" s="62"/>
      <c r="C13" s="62"/>
      <c r="D13" s="62"/>
      <c r="E13" s="105" t="s">
        <v>186</v>
      </c>
      <c r="F13" s="105"/>
      <c r="G13" s="105"/>
      <c r="H13" s="105"/>
    </row>
    <row r="14" spans="1:8" x14ac:dyDescent="0.35">
      <c r="A14" s="62" t="s">
        <v>9</v>
      </c>
      <c r="B14" s="62"/>
      <c r="C14" s="62"/>
      <c r="D14" s="62"/>
      <c r="E14" s="105" t="s">
        <v>227</v>
      </c>
      <c r="F14" s="106"/>
      <c r="G14" s="106"/>
      <c r="H14" s="106"/>
    </row>
    <row r="15" spans="1:8" ht="48.75" customHeight="1" x14ac:dyDescent="0.35">
      <c r="A15" s="104" t="s">
        <v>10</v>
      </c>
      <c r="B15" s="104"/>
      <c r="C15" s="10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Lodha Acenza ­ Tower C, CTS No.78A to 78H, near Callista Golden Deck Chs, Western Express Highway, Gundavali Gaothan, Gundavali, Andheri East, Andheri, Mumbai - 400069.</v>
      </c>
      <c r="D15" s="104"/>
      <c r="E15" s="104"/>
      <c r="F15" s="104"/>
      <c r="G15" s="104"/>
      <c r="H15" s="104"/>
    </row>
    <row r="16" spans="1:8" x14ac:dyDescent="0.35">
      <c r="A16" s="105" t="s">
        <v>187</v>
      </c>
      <c r="B16" s="105"/>
      <c r="C16" s="105" t="s">
        <v>198</v>
      </c>
      <c r="D16" s="105"/>
      <c r="E16" s="105"/>
      <c r="F16" s="105"/>
      <c r="G16" s="105"/>
      <c r="H16" s="105"/>
    </row>
    <row r="17" spans="1:8" ht="15.75" customHeight="1" x14ac:dyDescent="0.35">
      <c r="A17" s="105" t="s">
        <v>172</v>
      </c>
      <c r="B17" s="105"/>
      <c r="C17" s="105" t="s">
        <v>199</v>
      </c>
      <c r="D17" s="105"/>
      <c r="E17" s="105"/>
      <c r="F17" s="105"/>
      <c r="G17" s="105"/>
      <c r="H17" s="105"/>
    </row>
    <row r="18" spans="1:8" ht="15.75" customHeight="1" x14ac:dyDescent="0.35">
      <c r="A18" s="104" t="s">
        <v>11</v>
      </c>
      <c r="B18" s="104"/>
      <c r="C18" s="106" t="s">
        <v>196</v>
      </c>
      <c r="D18" s="106"/>
      <c r="E18" s="104" t="s">
        <v>73</v>
      </c>
      <c r="F18" s="104"/>
      <c r="G18" s="105" t="s">
        <v>188</v>
      </c>
      <c r="H18" s="105"/>
    </row>
    <row r="19" spans="1:8" x14ac:dyDescent="0.35">
      <c r="A19" s="62" t="s">
        <v>13</v>
      </c>
      <c r="B19" s="62"/>
      <c r="C19" s="105" t="s">
        <v>197</v>
      </c>
      <c r="D19" s="105"/>
      <c r="E19" s="104" t="s">
        <v>12</v>
      </c>
      <c r="F19" s="104"/>
      <c r="G19" s="147" t="s">
        <v>179</v>
      </c>
      <c r="H19" s="147"/>
    </row>
    <row r="20" spans="1:8" x14ac:dyDescent="0.35">
      <c r="A20" s="62" t="s">
        <v>74</v>
      </c>
      <c r="B20" s="62"/>
      <c r="C20" s="105" t="s">
        <v>189</v>
      </c>
      <c r="D20" s="105"/>
      <c r="E20" s="104" t="s">
        <v>14</v>
      </c>
      <c r="F20" s="104"/>
      <c r="G20" s="105">
        <v>400069</v>
      </c>
      <c r="H20" s="105"/>
    </row>
    <row r="21" spans="1:8" ht="32.25" customHeight="1" x14ac:dyDescent="0.35">
      <c r="A21" s="62" t="s">
        <v>127</v>
      </c>
      <c r="B21" s="62"/>
      <c r="C21" s="105" t="s">
        <v>200</v>
      </c>
      <c r="D21" s="105"/>
      <c r="E21" s="104" t="s">
        <v>15</v>
      </c>
      <c r="F21" s="104"/>
      <c r="G21" s="105" t="s">
        <v>195</v>
      </c>
      <c r="H21" s="105"/>
    </row>
    <row r="22" spans="1:8" ht="15" customHeight="1" x14ac:dyDescent="0.35">
      <c r="A22" s="104" t="s">
        <v>77</v>
      </c>
      <c r="B22" s="104"/>
      <c r="C22" s="104"/>
      <c r="D22" s="104"/>
      <c r="E22" s="106" t="s">
        <v>16</v>
      </c>
      <c r="F22" s="106"/>
      <c r="G22" s="106"/>
      <c r="H22" s="106"/>
    </row>
    <row r="23" spans="1:8" ht="18.75" customHeight="1" x14ac:dyDescent="0.35">
      <c r="A23" s="104"/>
      <c r="B23" s="104"/>
      <c r="C23" s="104"/>
      <c r="D23" s="104"/>
      <c r="E23" s="106"/>
      <c r="F23" s="106"/>
      <c r="G23" s="106"/>
      <c r="H23" s="106"/>
    </row>
    <row r="24" spans="1:8" ht="15" customHeight="1" x14ac:dyDescent="0.35">
      <c r="A24" s="104" t="s">
        <v>17</v>
      </c>
      <c r="B24" s="104"/>
      <c r="C24" s="104"/>
      <c r="D24" s="104"/>
      <c r="E24" s="105" t="s">
        <v>18</v>
      </c>
      <c r="F24" s="105"/>
      <c r="G24" s="105"/>
      <c r="H24" s="105"/>
    </row>
    <row r="25" spans="1:8" ht="15" customHeight="1" x14ac:dyDescent="0.35">
      <c r="A25" s="62" t="s">
        <v>19</v>
      </c>
      <c r="B25" s="62"/>
      <c r="C25" s="62"/>
      <c r="D25" s="62"/>
      <c r="E25" s="105" t="str">
        <f>IF(AND(G19="Mumbai"),"Upper Class","Middle Class")</f>
        <v>Upper Class</v>
      </c>
      <c r="F25" s="105"/>
      <c r="G25" s="105"/>
      <c r="H25" s="105"/>
    </row>
    <row r="26" spans="1:8" x14ac:dyDescent="0.35">
      <c r="A26" s="62" t="s">
        <v>20</v>
      </c>
      <c r="B26" s="62"/>
      <c r="C26" s="62"/>
      <c r="D26" s="62"/>
      <c r="E26" s="105" t="s">
        <v>21</v>
      </c>
      <c r="F26" s="105"/>
      <c r="G26" s="105"/>
      <c r="H26" s="105"/>
    </row>
    <row r="27" spans="1:8" ht="15.75" customHeight="1" x14ac:dyDescent="0.35">
      <c r="A27" s="62" t="s">
        <v>22</v>
      </c>
      <c r="B27" s="62"/>
      <c r="C27" s="62"/>
      <c r="D27" s="62"/>
      <c r="E27" s="105" t="str">
        <f>IF(AND(G19="Mumbai"),"Developed","Developing")</f>
        <v>Developed</v>
      </c>
      <c r="F27" s="105"/>
      <c r="G27" s="105"/>
      <c r="H27" s="105"/>
    </row>
    <row r="28" spans="1:8" x14ac:dyDescent="0.35">
      <c r="A28" s="62" t="s">
        <v>23</v>
      </c>
      <c r="B28" s="62"/>
      <c r="C28" s="62"/>
      <c r="D28" s="62"/>
      <c r="E28" s="105" t="s">
        <v>24</v>
      </c>
      <c r="F28" s="105"/>
      <c r="G28" s="105"/>
      <c r="H28" s="105"/>
    </row>
    <row r="29" spans="1:8" ht="15.75" customHeight="1" x14ac:dyDescent="0.35">
      <c r="A29" s="62" t="s">
        <v>82</v>
      </c>
      <c r="B29" s="62"/>
      <c r="C29" s="62"/>
      <c r="D29" s="62"/>
      <c r="E29" s="105" t="s">
        <v>83</v>
      </c>
      <c r="F29" s="105"/>
      <c r="G29" s="105"/>
      <c r="H29" s="105"/>
    </row>
    <row r="30" spans="1:8" ht="15" customHeight="1" x14ac:dyDescent="0.35">
      <c r="A30" s="62" t="s">
        <v>32</v>
      </c>
      <c r="B30" s="62"/>
      <c r="C30" s="62"/>
      <c r="D30" s="62"/>
      <c r="E30" s="10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05"/>
      <c r="G30" s="105"/>
      <c r="H30" s="105"/>
    </row>
    <row r="31" spans="1:8" ht="15.75" customHeight="1" x14ac:dyDescent="0.35">
      <c r="A31" s="62" t="s">
        <v>94</v>
      </c>
      <c r="B31" s="62"/>
      <c r="C31" s="62"/>
      <c r="D31" s="62"/>
      <c r="E31" s="105" t="s">
        <v>33</v>
      </c>
      <c r="F31" s="105"/>
      <c r="G31" s="105"/>
      <c r="H31" s="105"/>
    </row>
    <row r="32" spans="1:8" s="18" customFormat="1" x14ac:dyDescent="0.35">
      <c r="A32" s="157" t="s">
        <v>95</v>
      </c>
      <c r="B32" s="157"/>
      <c r="C32" s="154" t="s">
        <v>180</v>
      </c>
      <c r="D32" s="155"/>
      <c r="E32" s="156"/>
      <c r="F32" s="154" t="s">
        <v>30</v>
      </c>
      <c r="G32" s="155"/>
      <c r="H32" s="156"/>
    </row>
    <row r="33" spans="1:11" s="18" customFormat="1" x14ac:dyDescent="0.35">
      <c r="A33" s="153" t="s">
        <v>25</v>
      </c>
      <c r="B33" s="153" t="s">
        <v>29</v>
      </c>
      <c r="C33" s="149" t="s">
        <v>196</v>
      </c>
      <c r="D33" s="150"/>
      <c r="E33" s="151"/>
      <c r="F33" s="149" t="s">
        <v>196</v>
      </c>
      <c r="G33" s="150"/>
      <c r="H33" s="151"/>
    </row>
    <row r="34" spans="1:11" ht="37.5" customHeight="1" x14ac:dyDescent="0.35">
      <c r="A34" s="146" t="s">
        <v>26</v>
      </c>
      <c r="B34" s="146" t="s">
        <v>29</v>
      </c>
      <c r="C34" s="146" t="s">
        <v>203</v>
      </c>
      <c r="D34" s="146"/>
      <c r="E34" s="146"/>
      <c r="F34" s="148" t="s">
        <v>201</v>
      </c>
      <c r="G34" s="148"/>
      <c r="H34" s="148"/>
    </row>
    <row r="35" spans="1:11" s="18" customFormat="1" x14ac:dyDescent="0.35">
      <c r="A35" s="153" t="s">
        <v>28</v>
      </c>
      <c r="B35" s="153" t="s">
        <v>29</v>
      </c>
      <c r="C35" s="152" t="s">
        <v>203</v>
      </c>
      <c r="D35" s="152"/>
      <c r="E35" s="152"/>
      <c r="F35" s="152" t="s">
        <v>200</v>
      </c>
      <c r="G35" s="152"/>
      <c r="H35" s="152"/>
    </row>
    <row r="36" spans="1:11" x14ac:dyDescent="0.35">
      <c r="A36" s="153" t="s">
        <v>27</v>
      </c>
      <c r="B36" s="153" t="s">
        <v>29</v>
      </c>
      <c r="C36" s="152" t="s">
        <v>203</v>
      </c>
      <c r="D36" s="152"/>
      <c r="E36" s="152"/>
      <c r="F36" s="152" t="s">
        <v>202</v>
      </c>
      <c r="G36" s="152"/>
      <c r="H36" s="152"/>
    </row>
    <row r="37" spans="1:11" x14ac:dyDescent="0.35">
      <c r="A37" s="62" t="s">
        <v>31</v>
      </c>
      <c r="B37" s="62"/>
      <c r="C37" s="62"/>
      <c r="D37" s="62"/>
      <c r="E37" s="62"/>
      <c r="F37" s="62"/>
      <c r="G37" s="62"/>
      <c r="H37" s="62"/>
    </row>
    <row r="38" spans="1:11" ht="15.75" customHeight="1" x14ac:dyDescent="0.35">
      <c r="A38" s="142" t="s">
        <v>174</v>
      </c>
      <c r="B38" s="142"/>
      <c r="C38" s="62" t="s">
        <v>214</v>
      </c>
      <c r="D38" s="62"/>
      <c r="E38" s="62"/>
      <c r="F38" s="62"/>
      <c r="G38" s="62"/>
      <c r="H38" s="62"/>
    </row>
    <row r="39" spans="1:11" x14ac:dyDescent="0.35">
      <c r="A39" s="142" t="s">
        <v>171</v>
      </c>
      <c r="B39" s="142"/>
      <c r="C39" s="174" t="s">
        <v>215</v>
      </c>
      <c r="D39" s="105"/>
      <c r="E39" s="105"/>
      <c r="F39" s="105"/>
      <c r="G39" s="105"/>
      <c r="H39" s="105"/>
    </row>
    <row r="40" spans="1:11" x14ac:dyDescent="0.35">
      <c r="A40" s="142" t="s">
        <v>34</v>
      </c>
      <c r="B40" s="142"/>
      <c r="C40" s="142"/>
      <c r="D40" s="142"/>
      <c r="E40" s="142"/>
      <c r="F40" s="142"/>
      <c r="G40" s="142"/>
      <c r="H40" s="142"/>
    </row>
    <row r="41" spans="1:11" x14ac:dyDescent="0.35">
      <c r="A41" s="62" t="s">
        <v>35</v>
      </c>
      <c r="B41" s="62"/>
      <c r="C41" s="62"/>
      <c r="D41" s="62"/>
      <c r="E41" s="158">
        <v>26196.62</v>
      </c>
      <c r="F41" s="158"/>
      <c r="G41" s="158"/>
      <c r="H41" s="158"/>
    </row>
    <row r="42" spans="1:11" x14ac:dyDescent="0.35">
      <c r="A42" s="62" t="s">
        <v>36</v>
      </c>
      <c r="B42" s="62"/>
      <c r="C42" s="62"/>
      <c r="D42" s="62"/>
      <c r="E42" s="90">
        <v>4</v>
      </c>
      <c r="F42" s="90"/>
      <c r="G42" s="90"/>
      <c r="H42" s="90"/>
    </row>
    <row r="43" spans="1:11" x14ac:dyDescent="0.35">
      <c r="A43" s="62" t="s">
        <v>37</v>
      </c>
      <c r="B43" s="62"/>
      <c r="C43" s="62"/>
      <c r="D43" s="62"/>
      <c r="E43" s="161">
        <f>E45/E41-E42</f>
        <v>1.9542574576414813</v>
      </c>
      <c r="F43" s="161"/>
      <c r="G43" s="161"/>
      <c r="H43" s="161"/>
    </row>
    <row r="44" spans="1:11" x14ac:dyDescent="0.35">
      <c r="A44" s="62" t="s">
        <v>38</v>
      </c>
      <c r="B44" s="62"/>
      <c r="C44" s="62"/>
      <c r="D44" s="62"/>
      <c r="E44" s="90">
        <f>E42+E43</f>
        <v>5.9542574576414813</v>
      </c>
      <c r="F44" s="90"/>
      <c r="G44" s="90"/>
      <c r="H44" s="90"/>
      <c r="K44" s="17">
        <f>30000/1.55</f>
        <v>19354.83870967742</v>
      </c>
    </row>
    <row r="45" spans="1:11" x14ac:dyDescent="0.35">
      <c r="A45" s="62" t="s">
        <v>93</v>
      </c>
      <c r="B45" s="62"/>
      <c r="C45" s="62"/>
      <c r="D45" s="62"/>
      <c r="E45" s="162">
        <f>73464.68+82516.74</f>
        <v>155981.41999999998</v>
      </c>
      <c r="F45" s="162"/>
      <c r="G45" s="162"/>
      <c r="H45" s="162"/>
    </row>
    <row r="46" spans="1:11" x14ac:dyDescent="0.35">
      <c r="A46" s="106" t="s">
        <v>39</v>
      </c>
      <c r="B46" s="106"/>
      <c r="C46" s="106"/>
      <c r="D46" s="106"/>
      <c r="E46" s="106" t="s">
        <v>233</v>
      </c>
      <c r="F46" s="106"/>
      <c r="G46" s="106"/>
      <c r="H46" s="106"/>
    </row>
    <row r="47" spans="1:11" x14ac:dyDescent="0.35">
      <c r="A47" s="142" t="s">
        <v>40</v>
      </c>
      <c r="B47" s="142"/>
      <c r="C47" s="142"/>
      <c r="D47" s="142"/>
      <c r="E47" s="142"/>
      <c r="F47" s="142"/>
      <c r="G47" s="142"/>
      <c r="H47" s="142"/>
    </row>
    <row r="48" spans="1:11" ht="33.75" customHeight="1" x14ac:dyDescent="0.35">
      <c r="A48" s="94" t="s">
        <v>159</v>
      </c>
      <c r="B48" s="92"/>
      <c r="C48" s="177" t="s">
        <v>190</v>
      </c>
      <c r="D48" s="178"/>
      <c r="E48" s="178"/>
      <c r="F48" s="178"/>
      <c r="G48" s="178"/>
      <c r="H48" s="179"/>
    </row>
    <row r="49" spans="1:14" ht="15.75" customHeight="1" x14ac:dyDescent="0.35">
      <c r="A49" s="94" t="s">
        <v>41</v>
      </c>
      <c r="B49" s="92"/>
      <c r="C49" s="94" t="s">
        <v>219</v>
      </c>
      <c r="D49" s="95"/>
      <c r="E49" s="92"/>
      <c r="F49" s="16" t="s">
        <v>42</v>
      </c>
      <c r="G49" s="91">
        <v>45114</v>
      </c>
      <c r="H49" s="92"/>
    </row>
    <row r="50" spans="1:14" x14ac:dyDescent="0.35">
      <c r="A50" s="94" t="s">
        <v>43</v>
      </c>
      <c r="B50" s="92"/>
      <c r="C50" s="94" t="str">
        <f>C49</f>
        <v>KE/PVT/0091/2004-0910/AP/C-10</v>
      </c>
      <c r="D50" s="95"/>
      <c r="E50" s="92"/>
      <c r="F50" s="16" t="s">
        <v>42</v>
      </c>
      <c r="G50" s="91">
        <f>G49</f>
        <v>45114</v>
      </c>
      <c r="H50" s="93"/>
    </row>
    <row r="51" spans="1:14" s="19" customFormat="1" ht="15.75" customHeight="1" x14ac:dyDescent="0.35">
      <c r="A51" s="165" t="s">
        <v>163</v>
      </c>
      <c r="B51" s="166"/>
      <c r="C51" s="94" t="s">
        <v>218</v>
      </c>
      <c r="D51" s="95"/>
      <c r="E51" s="92"/>
      <c r="F51" s="16" t="s">
        <v>42</v>
      </c>
      <c r="G51" s="91">
        <v>45118</v>
      </c>
      <c r="H51" s="93"/>
    </row>
    <row r="52" spans="1:14" s="19" customFormat="1" x14ac:dyDescent="0.35">
      <c r="A52" s="167"/>
      <c r="B52" s="168"/>
      <c r="C52" s="94" t="s">
        <v>228</v>
      </c>
      <c r="D52" s="95"/>
      <c r="E52" s="95"/>
      <c r="F52" s="95"/>
      <c r="G52" s="95"/>
      <c r="H52" s="92"/>
    </row>
    <row r="53" spans="1:14" x14ac:dyDescent="0.35">
      <c r="A53" s="100" t="s">
        <v>44</v>
      </c>
      <c r="B53" s="101"/>
      <c r="C53" s="100" t="s">
        <v>107</v>
      </c>
      <c r="D53" s="102"/>
      <c r="E53" s="101"/>
      <c r="F53" s="40" t="s">
        <v>42</v>
      </c>
      <c r="G53" s="107" t="s">
        <v>29</v>
      </c>
      <c r="H53" s="108"/>
    </row>
    <row r="54" spans="1:14" x14ac:dyDescent="0.35">
      <c r="A54" s="103" t="s">
        <v>46</v>
      </c>
      <c r="B54" s="103"/>
      <c r="C54" s="103"/>
      <c r="D54" s="103"/>
      <c r="E54" s="103"/>
      <c r="F54" s="103"/>
      <c r="G54" s="103"/>
      <c r="H54" s="103"/>
    </row>
    <row r="55" spans="1:14" x14ac:dyDescent="0.35">
      <c r="A55" s="104" t="s">
        <v>92</v>
      </c>
      <c r="B55" s="104"/>
      <c r="C55" s="104"/>
      <c r="D55" s="62">
        <v>15899.19</v>
      </c>
      <c r="E55" s="62"/>
      <c r="F55" s="62"/>
      <c r="G55" s="62"/>
      <c r="H55" s="62"/>
    </row>
    <row r="56" spans="1:14" x14ac:dyDescent="0.35">
      <c r="A56" s="105" t="s">
        <v>47</v>
      </c>
      <c r="B56" s="106"/>
      <c r="C56" s="106"/>
      <c r="D56" s="99" t="s">
        <v>232</v>
      </c>
      <c r="E56" s="99"/>
      <c r="F56" s="99"/>
      <c r="G56" s="99"/>
      <c r="H56" s="99"/>
      <c r="I56" s="20"/>
    </row>
    <row r="57" spans="1:14" x14ac:dyDescent="0.35">
      <c r="A57" s="96" t="s">
        <v>48</v>
      </c>
      <c r="B57" s="97"/>
      <c r="C57" s="164"/>
      <c r="D57" s="115" t="s">
        <v>229</v>
      </c>
      <c r="E57" s="163"/>
      <c r="F57" s="163"/>
      <c r="G57" s="163"/>
      <c r="H57" s="163"/>
    </row>
    <row r="58" spans="1:14" x14ac:dyDescent="0.35">
      <c r="A58" s="96" t="s">
        <v>90</v>
      </c>
      <c r="B58" s="97"/>
      <c r="C58" s="97"/>
      <c r="D58" s="98" t="s">
        <v>229</v>
      </c>
      <c r="E58" s="99"/>
      <c r="F58" s="99"/>
      <c r="G58" s="99"/>
      <c r="H58" s="99"/>
    </row>
    <row r="59" spans="1:14" ht="15.75" customHeight="1" x14ac:dyDescent="0.35">
      <c r="A59" s="62" t="s">
        <v>45</v>
      </c>
      <c r="B59" s="62"/>
      <c r="C59" s="62"/>
      <c r="D59" s="159" t="s">
        <v>234</v>
      </c>
      <c r="E59" s="159"/>
      <c r="F59" s="159"/>
      <c r="G59" s="159"/>
      <c r="H59" s="159"/>
      <c r="J59" s="21"/>
      <c r="K59" s="20"/>
      <c r="N59" s="20"/>
    </row>
    <row r="60" spans="1:14" ht="15.75" customHeight="1" x14ac:dyDescent="0.35">
      <c r="A60" s="62" t="s">
        <v>88</v>
      </c>
      <c r="B60" s="62"/>
      <c r="C60" s="62"/>
      <c r="D60" s="160" t="str">
        <f>(IF(G53="NA","60 Years After Completion",IF(G53&lt;&gt;"NA",""&amp;60-ROUNDDOWN((E3-G53)/360,0)&amp;" Years"," ")))</f>
        <v>60 Years After Completion</v>
      </c>
      <c r="E60" s="160"/>
      <c r="F60" s="160"/>
      <c r="G60" s="160"/>
      <c r="H60" s="160"/>
      <c r="N60" s="20"/>
    </row>
    <row r="61" spans="1:14" ht="15.75" customHeight="1" x14ac:dyDescent="0.35">
      <c r="A61" s="62" t="s">
        <v>89</v>
      </c>
      <c r="B61" s="62"/>
      <c r="C61" s="62"/>
      <c r="D61" s="104" t="s">
        <v>24</v>
      </c>
      <c r="E61" s="104"/>
      <c r="F61" s="104"/>
      <c r="G61" s="104"/>
      <c r="H61" s="104"/>
      <c r="J61" s="22"/>
      <c r="K61" s="22"/>
    </row>
    <row r="62" spans="1:14" ht="38.5" customHeight="1" x14ac:dyDescent="0.35">
      <c r="A62" s="62" t="s">
        <v>75</v>
      </c>
      <c r="B62" s="62"/>
      <c r="C62" s="62"/>
      <c r="D62" s="105" t="s">
        <v>191</v>
      </c>
      <c r="E62" s="104"/>
      <c r="F62" s="104"/>
      <c r="G62" s="104"/>
      <c r="H62" s="104"/>
    </row>
    <row r="63" spans="1:14" x14ac:dyDescent="0.35">
      <c r="A63" s="104" t="s">
        <v>155</v>
      </c>
      <c r="B63" s="104"/>
      <c r="C63" s="104"/>
      <c r="D63" s="104" t="s">
        <v>29</v>
      </c>
      <c r="E63" s="104"/>
      <c r="F63" s="104"/>
      <c r="G63" s="104"/>
      <c r="H63" s="104"/>
      <c r="I63" s="23"/>
      <c r="J63" s="23"/>
      <c r="K63" s="23"/>
      <c r="L63" s="23"/>
      <c r="M63" s="23"/>
      <c r="N63" s="23"/>
    </row>
    <row r="64" spans="1:14" ht="15.75" customHeight="1" x14ac:dyDescent="0.35">
      <c r="A64" s="62" t="s">
        <v>87</v>
      </c>
      <c r="B64" s="62"/>
      <c r="C64" s="62"/>
      <c r="D64" s="105" t="str">
        <f ca="1">(IF(G70&gt;95%,"Nothing",IF(G70&gt;0%,"Cement, Aggregate, Steel, etc",IF(G70=0%,"Work not yet Started"))))</f>
        <v>Cement, Aggregate, Steel, etc</v>
      </c>
      <c r="E64" s="105"/>
      <c r="F64" s="105"/>
      <c r="G64" s="105"/>
      <c r="H64" s="105"/>
      <c r="J64" s="22"/>
    </row>
    <row r="65" spans="1:11" ht="33.75" customHeight="1" thickBot="1" x14ac:dyDescent="0.4">
      <c r="A65" s="104" t="s">
        <v>120</v>
      </c>
      <c r="B65" s="104"/>
      <c r="C65" s="104"/>
      <c r="D65" s="105" t="str">
        <f ca="1">(IF(D64&gt;95%,"Nothing",IF(D64&gt;0%,"Cement, Aggregate, Steel, etc",IF(D64=0%,"Work not yet Started"))))</f>
        <v>Nothing</v>
      </c>
      <c r="E65" s="105"/>
      <c r="F65" s="105"/>
      <c r="G65" s="105"/>
      <c r="H65" s="105"/>
    </row>
    <row r="66" spans="1:11" x14ac:dyDescent="0.35">
      <c r="A66" s="116" t="s">
        <v>145</v>
      </c>
      <c r="B66" s="116"/>
      <c r="C66" s="116" t="s">
        <v>229</v>
      </c>
      <c r="D66" s="116"/>
      <c r="E66" s="116"/>
      <c r="F66" s="116"/>
      <c r="G66" s="116"/>
      <c r="H66" s="116"/>
      <c r="I66" s="50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 Completed",IF(C72&gt;0,", RCC upto "&amp;C72&amp;" Slab Completed",""))&amp;(IF(C73=H67,", Brickwork Completed",IF(C73&gt;0,", Brickwork upto "&amp;C73&amp;" Floor Completed",""))&amp;(IF(C74=H67,", Internal Plaster Completed",IF(C74&gt;0,", Internal Plaster upto "&amp;C74&amp;" Floor Completed",""))&amp;(IF(C75=H67,", External Plaster Completed",IF(C75&gt;0,", External Plaster upto "&amp;C75&amp;" Floor Completed",""))&amp;(IF(C76=H67,", Flooring Completed",IF(C76&gt;0,", Flooring upto "&amp;C76&amp;" Floor Completed",""))&amp;(IF(C77=H67,", Painting Completed",IF(C77&gt;0,", Painting upto "&amp;C77&amp;" Floor Completed",""))&amp;(IF(C78&gt;0,", Finishing upto "&amp;C78&amp;" Floor Completed","")&amp;(IF(C72&gt;0.5,".",""))))))))))))))</f>
        <v>Excavation work Completed. Plinth work completed, RCC upto 14 Slab Completed, Brickwork upto 13 Floor Completed, Internal Plaster upto 9.75 Floor Completed, External Plaster upto 9.1 Floor Completed.</v>
      </c>
      <c r="J66" s="51"/>
    </row>
    <row r="67" spans="1:11" x14ac:dyDescent="0.35">
      <c r="A67" s="61" t="s">
        <v>147</v>
      </c>
      <c r="B67" s="61">
        <v>1</v>
      </c>
      <c r="C67" s="61" t="s">
        <v>72</v>
      </c>
      <c r="D67" s="61">
        <v>1</v>
      </c>
      <c r="E67" s="61" t="s">
        <v>71</v>
      </c>
      <c r="F67" s="61">
        <v>0</v>
      </c>
      <c r="G67" s="61" t="s">
        <v>81</v>
      </c>
      <c r="H67" s="61">
        <f ca="1">--TRIM(RIGHT(SUBSTITUTE(LEFT(C66,_xlfn.AGGREGATE(16,6,FIND({0,1,2,3,4,5,6,7,8,9},C66,ROW(INDIRECT("1:"&amp;LEN(C66)))),1))," ",REPT(" ",LEN(C66))),LEN(C66)))</f>
        <v>15</v>
      </c>
      <c r="I67" s="22"/>
      <c r="J67" s="52"/>
    </row>
    <row r="68" spans="1:11" ht="49" customHeight="1" x14ac:dyDescent="0.35">
      <c r="A68" s="144" t="s">
        <v>91</v>
      </c>
      <c r="B68" s="144"/>
      <c r="C68" s="116" t="str">
        <f ca="1">I66</f>
        <v>Excavation work Completed. Plinth work completed, RCC upto 14 Slab Completed, Brickwork upto 13 Floor Completed, Internal Plaster upto 9.75 Floor Completed, External Plaster upto 9.1 Floor Completed.</v>
      </c>
      <c r="D68" s="116"/>
      <c r="E68" s="116"/>
      <c r="F68" s="116"/>
      <c r="G68" s="116"/>
      <c r="H68" s="116"/>
      <c r="I68" s="22" t="s">
        <v>223</v>
      </c>
      <c r="J68" s="52"/>
    </row>
    <row r="69" spans="1:11" ht="15.75" customHeight="1" x14ac:dyDescent="0.35">
      <c r="A69" s="175" t="s">
        <v>49</v>
      </c>
      <c r="B69" s="175"/>
      <c r="C69" s="58" t="s">
        <v>144</v>
      </c>
      <c r="D69" s="58" t="s">
        <v>84</v>
      </c>
      <c r="E69" s="175" t="s">
        <v>86</v>
      </c>
      <c r="F69" s="175"/>
      <c r="G69" s="175" t="s">
        <v>85</v>
      </c>
      <c r="H69" s="175"/>
      <c r="I69" s="14" t="s">
        <v>146</v>
      </c>
      <c r="J69" s="24">
        <f ca="1">H67*25%</f>
        <v>3.75</v>
      </c>
    </row>
    <row r="70" spans="1:11" x14ac:dyDescent="0.35">
      <c r="A70" s="175" t="s">
        <v>133</v>
      </c>
      <c r="B70" s="175"/>
      <c r="C70" s="53">
        <f ca="1">J71</f>
        <v>15</v>
      </c>
      <c r="D70" s="59">
        <f ca="1">((100/H67)*C70)/100</f>
        <v>1</v>
      </c>
      <c r="E70" s="176">
        <f t="shared" ref="E70" ca="1" si="0">(((C71/H67*10)+(40/(D67+F67+H67)*C72)+(7.5/(H67)*C73)+(7.5/(H67)*C74)+(10/H67*C75)+(10/H67*C76)+(5/H67*C77)+(5/H67*C78)+(5/H67*C79))/100)</f>
        <v>0.62441666666666662</v>
      </c>
      <c r="F70" s="176"/>
      <c r="G70" s="176">
        <f ca="1">((((C70/H67)*20)+((C71/H67)*25)+(30/(H67+F67+D67)*C72)+(5/H67*C73)+(5/H67*C74)+(5/H67*C75)+(5/H67*C76)+(0/H67*C77)+(0/H67*C78)+(5/H67*C79))/100)</f>
        <v>0.81866666666666665</v>
      </c>
      <c r="H70" s="176"/>
      <c r="I70" s="14" t="s">
        <v>102</v>
      </c>
      <c r="J70" s="25">
        <f ca="1">H67*50%</f>
        <v>7.5</v>
      </c>
    </row>
    <row r="71" spans="1:11" x14ac:dyDescent="0.35">
      <c r="A71" s="175" t="s">
        <v>50</v>
      </c>
      <c r="B71" s="175"/>
      <c r="C71" s="54">
        <f ca="1">J79</f>
        <v>15</v>
      </c>
      <c r="D71" s="59">
        <f ca="1">((100/H67)*C71)/100</f>
        <v>1</v>
      </c>
      <c r="E71" s="176"/>
      <c r="F71" s="176"/>
      <c r="G71" s="176"/>
      <c r="H71" s="176"/>
      <c r="I71" s="14" t="s">
        <v>103</v>
      </c>
      <c r="J71" s="25">
        <f ca="1">H67</f>
        <v>15</v>
      </c>
    </row>
    <row r="72" spans="1:11" ht="15.75" customHeight="1" x14ac:dyDescent="0.35">
      <c r="A72" s="175" t="s">
        <v>134</v>
      </c>
      <c r="B72" s="175"/>
      <c r="C72" s="54">
        <v>14</v>
      </c>
      <c r="D72" s="59">
        <f ca="1">((100/(D67+F67+H67))*C72)/100</f>
        <v>0.875</v>
      </c>
      <c r="E72" s="176"/>
      <c r="F72" s="176"/>
      <c r="G72" s="176"/>
      <c r="H72" s="176"/>
      <c r="I72" s="14" t="s">
        <v>104</v>
      </c>
      <c r="J72" s="26">
        <f ca="1">(IF(B67&gt;1,(H67/(B67+2)),H67/4))</f>
        <v>3.75</v>
      </c>
    </row>
    <row r="73" spans="1:11" ht="15.75" customHeight="1" x14ac:dyDescent="0.35">
      <c r="A73" s="175" t="s">
        <v>141</v>
      </c>
      <c r="B73" s="175" t="s">
        <v>135</v>
      </c>
      <c r="C73" s="54">
        <f>C72-1</f>
        <v>13</v>
      </c>
      <c r="D73" s="59">
        <f ca="1">((100/H67)*C73)/100</f>
        <v>0.8666666666666667</v>
      </c>
      <c r="E73" s="176"/>
      <c r="F73" s="176"/>
      <c r="G73" s="176"/>
      <c r="H73" s="176"/>
      <c r="I73" s="14" t="s">
        <v>105</v>
      </c>
      <c r="J73" s="26">
        <f ca="1">(IF(B67&gt;1,(H67/(B67+2)+J72),H67/4+J72))</f>
        <v>7.5</v>
      </c>
    </row>
    <row r="74" spans="1:11" ht="15.75" customHeight="1" x14ac:dyDescent="0.35">
      <c r="A74" s="175" t="s">
        <v>142</v>
      </c>
      <c r="B74" s="175" t="s">
        <v>135</v>
      </c>
      <c r="C74" s="54">
        <f>C73*0.75</f>
        <v>9.75</v>
      </c>
      <c r="D74" s="59">
        <f ca="1">((100/H67)*C74)/100</f>
        <v>0.65</v>
      </c>
      <c r="E74" s="176"/>
      <c r="F74" s="176"/>
      <c r="G74" s="176"/>
      <c r="H74" s="176"/>
      <c r="I74" s="14" t="s">
        <v>153</v>
      </c>
      <c r="J74" s="26">
        <f>(IF(B67&gt;1,(H67/(B67+2)+J73),0))</f>
        <v>0</v>
      </c>
    </row>
    <row r="75" spans="1:11" ht="15" customHeight="1" x14ac:dyDescent="0.35">
      <c r="A75" s="175" t="s">
        <v>140</v>
      </c>
      <c r="B75" s="175" t="s">
        <v>137</v>
      </c>
      <c r="C75" s="54">
        <f>C73*0.7</f>
        <v>9.1</v>
      </c>
      <c r="D75" s="59">
        <f ca="1">((100/(H67))*C75)/100</f>
        <v>0.60666666666666669</v>
      </c>
      <c r="E75" s="176"/>
      <c r="F75" s="176"/>
      <c r="G75" s="176"/>
      <c r="H75" s="176"/>
      <c r="I75" s="14" t="s">
        <v>148</v>
      </c>
      <c r="J75" s="26">
        <f>(IF(B67&gt;2,(H67/(B67+2)+J74),0))</f>
        <v>0</v>
      </c>
    </row>
    <row r="76" spans="1:11" ht="15.75" customHeight="1" x14ac:dyDescent="0.35">
      <c r="A76" s="175" t="s">
        <v>136</v>
      </c>
      <c r="B76" s="175" t="s">
        <v>136</v>
      </c>
      <c r="C76" s="53">
        <v>0</v>
      </c>
      <c r="D76" s="59">
        <f ca="1">((100/H67)*C76)/100</f>
        <v>0</v>
      </c>
      <c r="E76" s="176"/>
      <c r="F76" s="176"/>
      <c r="G76" s="176"/>
      <c r="H76" s="176"/>
      <c r="I76" s="14" t="s">
        <v>149</v>
      </c>
      <c r="J76" s="27">
        <f>(IF(B67&gt;3,(H67/(B67+2)+J75),0))</f>
        <v>0</v>
      </c>
    </row>
    <row r="77" spans="1:11" ht="15.75" customHeight="1" x14ac:dyDescent="0.35">
      <c r="A77" s="175" t="s">
        <v>143</v>
      </c>
      <c r="B77" s="175"/>
      <c r="C77" s="53">
        <v>0</v>
      </c>
      <c r="D77" s="59">
        <f ca="1">((100/H67)*C77)/100</f>
        <v>0</v>
      </c>
      <c r="E77" s="176"/>
      <c r="F77" s="176"/>
      <c r="G77" s="176"/>
      <c r="H77" s="176"/>
      <c r="I77" s="14" t="s">
        <v>150</v>
      </c>
      <c r="J77" s="26">
        <f>(IF(B67&gt;4,(H67/(B67+2)+J76),0))</f>
        <v>0</v>
      </c>
    </row>
    <row r="78" spans="1:11" ht="15.75" customHeight="1" x14ac:dyDescent="0.35">
      <c r="A78" s="175" t="s">
        <v>138</v>
      </c>
      <c r="B78" s="175" t="s">
        <v>138</v>
      </c>
      <c r="C78" s="53">
        <v>0</v>
      </c>
      <c r="D78" s="59">
        <f ca="1">((100/(H67))*C78)/100</f>
        <v>0</v>
      </c>
      <c r="E78" s="176"/>
      <c r="F78" s="176"/>
      <c r="G78" s="176"/>
      <c r="H78" s="176"/>
      <c r="I78" s="14" t="s">
        <v>154</v>
      </c>
      <c r="J78" s="26">
        <f ca="1">(IF(B67=1,(H67/(B67+3)+J73),IF(B67=0,(H67/4+J73),IF(B67&gt;1,0))))</f>
        <v>11.25</v>
      </c>
    </row>
    <row r="79" spans="1:11" ht="16" thickBot="1" x14ac:dyDescent="0.4">
      <c r="A79" s="175" t="s">
        <v>139</v>
      </c>
      <c r="B79" s="175"/>
      <c r="C79" s="53">
        <v>0</v>
      </c>
      <c r="D79" s="59">
        <f ca="1">((100/(H67))*C79)/100</f>
        <v>0</v>
      </c>
      <c r="E79" s="176"/>
      <c r="F79" s="176"/>
      <c r="G79" s="176"/>
      <c r="H79" s="176"/>
      <c r="I79" s="15" t="s">
        <v>106</v>
      </c>
      <c r="J79" s="28">
        <f ca="1">(IF(B67&gt;1.5,(H67/(B67+2)+J73+MAX(0,J74-J73)+MAX(0,J75-J74)+MAX(0,J76-J75)+MAX(0,J77-J76)+MAX(0,J78-J77)),IF(B67=1,(H67/(B67+3)+J78),IF(B67=0,H67/4+J78))))</f>
        <v>15</v>
      </c>
    </row>
    <row r="80" spans="1:11" x14ac:dyDescent="0.35">
      <c r="A80" s="180" t="s">
        <v>165</v>
      </c>
      <c r="B80" s="180"/>
      <c r="C80" s="180"/>
      <c r="D80" s="180"/>
      <c r="E80" s="180"/>
      <c r="F80" s="173" t="s">
        <v>169</v>
      </c>
      <c r="G80" s="173"/>
      <c r="H80" s="173"/>
      <c r="K80" s="17" t="s">
        <v>220</v>
      </c>
    </row>
    <row r="81" spans="1:12" x14ac:dyDescent="0.35">
      <c r="A81" s="62" t="s">
        <v>167</v>
      </c>
      <c r="B81" s="62"/>
      <c r="C81" s="62"/>
      <c r="D81" s="62"/>
      <c r="E81" s="62"/>
      <c r="F81" s="76">
        <v>25000</v>
      </c>
      <c r="G81" s="76"/>
      <c r="H81" s="76"/>
      <c r="I81" s="17" t="s">
        <v>237</v>
      </c>
      <c r="K81" s="17">
        <v>21000</v>
      </c>
      <c r="L81" s="17">
        <f>20000*1.6</f>
        <v>32000</v>
      </c>
    </row>
    <row r="82" spans="1:12" hidden="1" x14ac:dyDescent="0.35">
      <c r="A82" s="62" t="s">
        <v>166</v>
      </c>
      <c r="B82" s="62"/>
      <c r="C82" s="62"/>
      <c r="D82" s="62"/>
      <c r="E82" s="62"/>
      <c r="F82" s="76"/>
      <c r="G82" s="76"/>
      <c r="H82" s="76"/>
    </row>
    <row r="83" spans="1:12" hidden="1" x14ac:dyDescent="0.35">
      <c r="A83" s="62" t="s">
        <v>168</v>
      </c>
      <c r="B83" s="62"/>
      <c r="C83" s="62"/>
      <c r="D83" s="62"/>
      <c r="E83" s="62"/>
      <c r="F83" s="76"/>
      <c r="G83" s="76"/>
      <c r="H83" s="76"/>
    </row>
    <row r="84" spans="1:12" s="29" customFormat="1" hidden="1" x14ac:dyDescent="0.3">
      <c r="A84" s="62" t="s">
        <v>182</v>
      </c>
      <c r="B84" s="62"/>
      <c r="C84" s="62"/>
      <c r="D84" s="62"/>
      <c r="E84" s="62"/>
      <c r="F84" s="76"/>
      <c r="G84" s="76"/>
      <c r="H84" s="76"/>
    </row>
    <row r="85" spans="1:12" s="29" customFormat="1" hidden="1" x14ac:dyDescent="0.3">
      <c r="A85" s="62" t="s">
        <v>96</v>
      </c>
      <c r="B85" s="62"/>
      <c r="C85" s="62"/>
      <c r="D85" s="62"/>
      <c r="E85" s="62"/>
      <c r="F85" s="76"/>
      <c r="G85" s="76"/>
      <c r="H85" s="76"/>
    </row>
    <row r="86" spans="1:12" s="29" customFormat="1" hidden="1" x14ac:dyDescent="0.3">
      <c r="A86" s="62" t="s">
        <v>97</v>
      </c>
      <c r="B86" s="62"/>
      <c r="C86" s="62"/>
      <c r="D86" s="62"/>
      <c r="E86" s="62"/>
      <c r="F86" s="76"/>
      <c r="G86" s="76"/>
      <c r="H86" s="76"/>
    </row>
    <row r="87" spans="1:12" s="29" customFormat="1" hidden="1" x14ac:dyDescent="0.3">
      <c r="A87" s="62" t="s">
        <v>170</v>
      </c>
      <c r="B87" s="62"/>
      <c r="C87" s="62"/>
      <c r="D87" s="62"/>
      <c r="E87" s="62"/>
      <c r="F87" s="76"/>
      <c r="G87" s="76"/>
      <c r="H87" s="76"/>
    </row>
    <row r="88" spans="1:12" s="29" customFormat="1" hidden="1" x14ac:dyDescent="0.3">
      <c r="A88" s="62" t="s">
        <v>98</v>
      </c>
      <c r="B88" s="62"/>
      <c r="C88" s="62"/>
      <c r="D88" s="62"/>
      <c r="E88" s="62"/>
      <c r="F88" s="76"/>
      <c r="G88" s="76"/>
      <c r="H88" s="76"/>
    </row>
    <row r="89" spans="1:12" s="29" customFormat="1" hidden="1" x14ac:dyDescent="0.3">
      <c r="A89" s="62" t="s">
        <v>99</v>
      </c>
      <c r="B89" s="62"/>
      <c r="C89" s="62"/>
      <c r="D89" s="62"/>
      <c r="E89" s="62"/>
      <c r="F89" s="76"/>
      <c r="G89" s="76"/>
      <c r="H89" s="76"/>
    </row>
    <row r="90" spans="1:12" s="29" customFormat="1" hidden="1" x14ac:dyDescent="0.3">
      <c r="A90" s="62" t="s">
        <v>100</v>
      </c>
      <c r="B90" s="62"/>
      <c r="C90" s="62"/>
      <c r="D90" s="62"/>
      <c r="E90" s="62"/>
      <c r="F90" s="76"/>
      <c r="G90" s="76"/>
      <c r="H90" s="76"/>
    </row>
    <row r="91" spans="1:12" s="29" customFormat="1" hidden="1" x14ac:dyDescent="0.3">
      <c r="A91" s="62" t="s">
        <v>101</v>
      </c>
      <c r="B91" s="62"/>
      <c r="C91" s="62"/>
      <c r="D91" s="62"/>
      <c r="E91" s="62"/>
      <c r="F91" s="76"/>
      <c r="G91" s="76"/>
      <c r="H91" s="76"/>
    </row>
    <row r="92" spans="1:12" x14ac:dyDescent="0.35">
      <c r="A92" s="62" t="s">
        <v>51</v>
      </c>
      <c r="B92" s="62"/>
      <c r="C92" s="62"/>
      <c r="D92" s="62"/>
      <c r="E92" s="62"/>
      <c r="F92" s="76">
        <v>1000000</v>
      </c>
      <c r="G92" s="76"/>
      <c r="H92" s="76"/>
      <c r="K92" s="17">
        <v>25000</v>
      </c>
      <c r="L92" s="17">
        <f>L81/1.5</f>
        <v>21333.333333333332</v>
      </c>
    </row>
    <row r="93" spans="1:12" s="30" customFormat="1" x14ac:dyDescent="0.35">
      <c r="A93" s="142" t="s">
        <v>52</v>
      </c>
      <c r="B93" s="142"/>
      <c r="C93" s="142"/>
      <c r="D93" s="142"/>
      <c r="E93" s="142"/>
      <c r="F93" s="76">
        <f>F81*0.8</f>
        <v>20000</v>
      </c>
      <c r="G93" s="76"/>
      <c r="H93" s="76"/>
    </row>
    <row r="94" spans="1:12" s="31" customFormat="1" ht="15.75" hidden="1" customHeight="1" x14ac:dyDescent="0.35">
      <c r="A94" s="85" t="s">
        <v>76</v>
      </c>
      <c r="B94" s="85"/>
      <c r="C94" s="85"/>
      <c r="D94" s="85"/>
      <c r="E94" s="85"/>
      <c r="F94" s="85"/>
      <c r="G94" s="85"/>
      <c r="H94" s="85"/>
    </row>
    <row r="95" spans="1:12" s="31" customFormat="1" ht="15.75" hidden="1" customHeight="1" x14ac:dyDescent="0.35">
      <c r="A95" s="67" t="s">
        <v>53</v>
      </c>
      <c r="B95" s="67"/>
      <c r="C95" s="79" t="s">
        <v>79</v>
      </c>
      <c r="D95" s="79"/>
      <c r="E95" s="77" t="s">
        <v>54</v>
      </c>
      <c r="F95" s="77"/>
      <c r="G95" s="67" t="s">
        <v>55</v>
      </c>
      <c r="H95" s="67"/>
    </row>
    <row r="96" spans="1:12" s="31" customFormat="1" hidden="1" x14ac:dyDescent="0.35">
      <c r="A96" s="78"/>
      <c r="B96" s="78"/>
      <c r="C96" s="109"/>
      <c r="D96" s="109"/>
      <c r="E96" s="110"/>
      <c r="F96" s="110"/>
      <c r="G96" s="80"/>
      <c r="H96" s="80"/>
    </row>
    <row r="97" spans="1:14" s="31" customFormat="1" hidden="1" x14ac:dyDescent="0.35">
      <c r="A97" s="78"/>
      <c r="B97" s="78"/>
      <c r="C97" s="109"/>
      <c r="D97" s="109"/>
      <c r="E97" s="110"/>
      <c r="F97" s="110"/>
      <c r="G97" s="80"/>
      <c r="H97" s="80"/>
    </row>
    <row r="98" spans="1:14" s="31" customFormat="1" hidden="1" x14ac:dyDescent="0.35">
      <c r="A98" s="85" t="s">
        <v>158</v>
      </c>
      <c r="B98" s="85"/>
      <c r="C98" s="79"/>
      <c r="D98" s="79"/>
      <c r="E98" s="77"/>
      <c r="F98" s="77"/>
      <c r="G98" s="67"/>
      <c r="H98" s="67"/>
    </row>
    <row r="99" spans="1:14" s="31" customFormat="1" x14ac:dyDescent="0.35">
      <c r="A99" s="85" t="s">
        <v>70</v>
      </c>
      <c r="B99" s="85"/>
      <c r="C99" s="85"/>
      <c r="D99" s="85"/>
      <c r="E99" s="85"/>
      <c r="F99" s="85"/>
      <c r="G99" s="85"/>
      <c r="H99" s="85"/>
    </row>
    <row r="100" spans="1:14" s="31" customFormat="1" ht="15.75" customHeight="1" x14ac:dyDescent="0.35">
      <c r="A100" s="67" t="s">
        <v>53</v>
      </c>
      <c r="B100" s="67"/>
      <c r="C100" s="79" t="s">
        <v>79</v>
      </c>
      <c r="D100" s="79"/>
      <c r="E100" s="77" t="s">
        <v>54</v>
      </c>
      <c r="F100" s="77"/>
      <c r="G100" s="67" t="s">
        <v>55</v>
      </c>
      <c r="H100" s="67"/>
    </row>
    <row r="101" spans="1:14" s="31" customFormat="1" x14ac:dyDescent="0.35">
      <c r="A101" s="78" t="s">
        <v>192</v>
      </c>
      <c r="B101" s="78"/>
      <c r="C101" s="172">
        <f>COUNT(D121:D125)+COUNT(D127:D131)*6+COUNT(D133:D137)*5+COUNT(D140:D142)+COUNT(D145:D149)+COUNT(D152:D153)</f>
        <v>70</v>
      </c>
      <c r="D101" s="172"/>
      <c r="E101" s="170">
        <f>SUM(D121:D125)+SUM(D127:D131)*6+SUM(D133:D137)*5+SUM(D139:D142)+SUM(D145:D149)+SUM(D152:D153)</f>
        <v>121332.5012016</v>
      </c>
      <c r="F101" s="170"/>
      <c r="G101" s="170">
        <f>SUM(F121:F125)+SUM(F127:F131)*6+SUM(F133:F137)*5+SUM(F139:F142)+SUM(F145:F149)+SUM(F152:F153)</f>
        <v>188065.37686248001</v>
      </c>
      <c r="H101" s="170"/>
    </row>
    <row r="102" spans="1:14" s="31" customFormat="1" hidden="1" x14ac:dyDescent="0.35">
      <c r="A102" s="85" t="s">
        <v>158</v>
      </c>
      <c r="B102" s="85"/>
      <c r="C102" s="114">
        <f>SUM(C101:C101)</f>
        <v>70</v>
      </c>
      <c r="D102" s="114"/>
      <c r="E102" s="86">
        <f>SUM(E101:E101)</f>
        <v>121332.5012016</v>
      </c>
      <c r="F102" s="86"/>
      <c r="G102" s="67">
        <f>SUM(G101:G101)</f>
        <v>188065.37686248001</v>
      </c>
      <c r="H102" s="67"/>
    </row>
    <row r="103" spans="1:14" s="31" customFormat="1" ht="16" hidden="1" thickBot="1" x14ac:dyDescent="0.4">
      <c r="A103" s="81" t="s">
        <v>175</v>
      </c>
      <c r="B103" s="82"/>
      <c r="C103" s="83">
        <f>C98+C102</f>
        <v>70</v>
      </c>
      <c r="D103" s="83"/>
      <c r="E103" s="84">
        <f>E98+E102</f>
        <v>121332.5012016</v>
      </c>
      <c r="F103" s="84"/>
      <c r="G103" s="112">
        <f>G98+G102</f>
        <v>188065.37686248001</v>
      </c>
      <c r="H103" s="113"/>
    </row>
    <row r="104" spans="1:14" s="30" customFormat="1" x14ac:dyDescent="0.35">
      <c r="A104" s="173" t="s">
        <v>56</v>
      </c>
      <c r="B104" s="173"/>
      <c r="C104" s="173"/>
      <c r="D104" s="173"/>
      <c r="E104" s="173"/>
      <c r="F104" s="173"/>
      <c r="G104" s="173"/>
      <c r="H104" s="173"/>
    </row>
    <row r="105" spans="1:14" x14ac:dyDescent="0.35">
      <c r="A105" s="111" t="s">
        <v>181</v>
      </c>
      <c r="B105" s="111"/>
      <c r="C105" s="111"/>
      <c r="D105" s="111"/>
      <c r="E105" s="111"/>
      <c r="F105" s="111"/>
      <c r="G105" s="111"/>
      <c r="H105" s="111"/>
    </row>
    <row r="106" spans="1:14" ht="47.25" hidden="1" customHeight="1" x14ac:dyDescent="0.35">
      <c r="A106" s="68" t="s">
        <v>124</v>
      </c>
      <c r="B106" s="68" t="s">
        <v>123</v>
      </c>
      <c r="C106" s="68" t="s">
        <v>57</v>
      </c>
      <c r="D106" s="68" t="s">
        <v>58</v>
      </c>
      <c r="E106" s="70" t="s">
        <v>164</v>
      </c>
      <c r="F106" s="39" t="s">
        <v>156</v>
      </c>
      <c r="G106" s="72" t="s">
        <v>60</v>
      </c>
      <c r="H106" s="73"/>
    </row>
    <row r="107" spans="1:14" s="33" customFormat="1" hidden="1" x14ac:dyDescent="0.35">
      <c r="A107" s="69"/>
      <c r="B107" s="69"/>
      <c r="C107" s="69"/>
      <c r="D107" s="69"/>
      <c r="E107" s="71"/>
      <c r="F107" s="13">
        <v>0.45</v>
      </c>
      <c r="G107" s="74"/>
      <c r="H107" s="75"/>
    </row>
    <row r="108" spans="1:14" s="33" customFormat="1" hidden="1" x14ac:dyDescent="0.35">
      <c r="A108" s="87" t="s">
        <v>121</v>
      </c>
      <c r="B108" s="88"/>
      <c r="C108" s="88"/>
      <c r="D108" s="88"/>
      <c r="E108" s="88"/>
      <c r="F108" s="88"/>
      <c r="G108" s="88"/>
      <c r="H108" s="89"/>
      <c r="J108" s="32"/>
    </row>
    <row r="109" spans="1:14" s="33" customFormat="1" hidden="1" x14ac:dyDescent="0.35">
      <c r="A109" s="64">
        <v>1</v>
      </c>
      <c r="B109" s="65"/>
      <c r="C109" s="38"/>
      <c r="D109" s="38"/>
      <c r="E109" s="38">
        <v>0</v>
      </c>
      <c r="F109" s="38">
        <f>(D109+E109)*(($F$107)+1)</f>
        <v>0</v>
      </c>
      <c r="G109" s="64" t="str">
        <f>A108</f>
        <v>Ground Floor</v>
      </c>
      <c r="H109" s="65"/>
      <c r="I109" s="32"/>
      <c r="L109" s="169"/>
      <c r="M109" s="169"/>
      <c r="N109" s="32"/>
    </row>
    <row r="110" spans="1:14" s="33" customFormat="1" hidden="1" x14ac:dyDescent="0.35">
      <c r="A110" s="64">
        <f t="shared" ref="A110:A112" si="1">A109+1</f>
        <v>2</v>
      </c>
      <c r="B110" s="65"/>
      <c r="C110" s="38"/>
      <c r="D110" s="38"/>
      <c r="E110" s="38">
        <v>0</v>
      </c>
      <c r="F110" s="38">
        <f t="shared" ref="F110:F112" si="2">(D110+E110)*(($F$107)+1)</f>
        <v>0</v>
      </c>
      <c r="G110" s="64" t="str">
        <f t="shared" ref="G110:G112" si="3">G109</f>
        <v>Ground Floor</v>
      </c>
      <c r="H110" s="65"/>
      <c r="I110" s="32"/>
      <c r="L110" s="169"/>
      <c r="M110" s="169"/>
      <c r="N110" s="32"/>
    </row>
    <row r="111" spans="1:14" s="33" customFormat="1" hidden="1" x14ac:dyDescent="0.35">
      <c r="A111" s="64">
        <f t="shared" si="1"/>
        <v>3</v>
      </c>
      <c r="B111" s="65"/>
      <c r="C111" s="38"/>
      <c r="D111" s="38"/>
      <c r="E111" s="38">
        <v>0</v>
      </c>
      <c r="F111" s="38">
        <f t="shared" si="2"/>
        <v>0</v>
      </c>
      <c r="G111" s="64" t="str">
        <f t="shared" si="3"/>
        <v>Ground Floor</v>
      </c>
      <c r="H111" s="65"/>
      <c r="I111" s="32"/>
      <c r="L111" s="169"/>
      <c r="M111" s="169"/>
      <c r="N111" s="32"/>
    </row>
    <row r="112" spans="1:14" s="33" customFormat="1" hidden="1" x14ac:dyDescent="0.35">
      <c r="A112" s="64">
        <f t="shared" si="1"/>
        <v>4</v>
      </c>
      <c r="B112" s="65"/>
      <c r="C112" s="38"/>
      <c r="D112" s="38"/>
      <c r="E112" s="38">
        <v>0</v>
      </c>
      <c r="F112" s="38">
        <f t="shared" si="2"/>
        <v>0</v>
      </c>
      <c r="G112" s="64" t="str">
        <f t="shared" si="3"/>
        <v>Ground Floor</v>
      </c>
      <c r="H112" s="65"/>
      <c r="I112" s="32"/>
      <c r="L112" s="169"/>
      <c r="M112" s="169"/>
      <c r="N112" s="32"/>
    </row>
    <row r="113" spans="1:14" s="33" customFormat="1" hidden="1" x14ac:dyDescent="0.35">
      <c r="A113" s="64"/>
      <c r="B113" s="171"/>
      <c r="C113" s="171"/>
      <c r="D113" s="171"/>
      <c r="E113" s="171"/>
      <c r="F113" s="171"/>
      <c r="G113" s="171"/>
      <c r="H113" s="65"/>
      <c r="I113" s="32"/>
      <c r="N113" s="32"/>
    </row>
    <row r="114" spans="1:14" ht="47.25" customHeight="1" x14ac:dyDescent="0.35">
      <c r="A114" s="72" t="s">
        <v>125</v>
      </c>
      <c r="B114" s="72" t="s">
        <v>126</v>
      </c>
      <c r="C114" s="68" t="s">
        <v>57</v>
      </c>
      <c r="D114" s="68" t="s">
        <v>58</v>
      </c>
      <c r="E114" s="70" t="s">
        <v>59</v>
      </c>
      <c r="F114" s="39" t="s">
        <v>156</v>
      </c>
      <c r="G114" s="72" t="s">
        <v>60</v>
      </c>
      <c r="H114" s="73"/>
      <c r="I114" s="32"/>
    </row>
    <row r="115" spans="1:14" s="33" customFormat="1" x14ac:dyDescent="0.35">
      <c r="A115" s="74"/>
      <c r="B115" s="74"/>
      <c r="C115" s="69"/>
      <c r="D115" s="69"/>
      <c r="E115" s="71"/>
      <c r="F115" s="13">
        <v>0.55000000000000004</v>
      </c>
      <c r="G115" s="74"/>
      <c r="H115" s="75"/>
      <c r="I115" s="32"/>
    </row>
    <row r="116" spans="1:14" s="47" customFormat="1" x14ac:dyDescent="0.35">
      <c r="A116" s="87" t="s">
        <v>217</v>
      </c>
      <c r="B116" s="88"/>
      <c r="C116" s="88"/>
      <c r="D116" s="88"/>
      <c r="E116" s="88"/>
      <c r="F116" s="88"/>
      <c r="G116" s="88"/>
      <c r="H116" s="89"/>
      <c r="J116" s="32"/>
    </row>
    <row r="117" spans="1:14" s="44" customFormat="1" x14ac:dyDescent="0.35">
      <c r="A117" s="123" t="s">
        <v>230</v>
      </c>
      <c r="B117" s="124"/>
      <c r="C117" s="124"/>
      <c r="D117" s="124"/>
      <c r="E117" s="124"/>
      <c r="F117" s="124"/>
      <c r="G117" s="124"/>
      <c r="H117" s="125"/>
      <c r="J117" s="32"/>
    </row>
    <row r="118" spans="1:14" s="44" customFormat="1" x14ac:dyDescent="0.35">
      <c r="A118" s="87" t="s">
        <v>193</v>
      </c>
      <c r="B118" s="88"/>
      <c r="C118" s="88"/>
      <c r="D118" s="88"/>
      <c r="E118" s="88"/>
      <c r="F118" s="88"/>
      <c r="G118" s="88"/>
      <c r="H118" s="89"/>
      <c r="J118" s="32"/>
    </row>
    <row r="119" spans="1:14" s="44" customFormat="1" x14ac:dyDescent="0.35">
      <c r="A119" s="87" t="s">
        <v>194</v>
      </c>
      <c r="B119" s="88"/>
      <c r="C119" s="88"/>
      <c r="D119" s="88"/>
      <c r="E119" s="88"/>
      <c r="F119" s="88"/>
      <c r="G119" s="88"/>
      <c r="H119" s="89"/>
      <c r="J119" s="32"/>
      <c r="K119" s="49">
        <f>10.764</f>
        <v>10.763999999999999</v>
      </c>
    </row>
    <row r="120" spans="1:14" s="44" customFormat="1" x14ac:dyDescent="0.35">
      <c r="A120" s="87" t="s">
        <v>204</v>
      </c>
      <c r="B120" s="88"/>
      <c r="C120" s="88"/>
      <c r="D120" s="88"/>
      <c r="E120" s="88"/>
      <c r="F120" s="88"/>
      <c r="G120" s="88"/>
      <c r="H120" s="89"/>
      <c r="J120" s="32"/>
    </row>
    <row r="121" spans="1:14" s="44" customFormat="1" ht="15.75" customHeight="1" x14ac:dyDescent="0.35">
      <c r="A121" s="64">
        <v>1</v>
      </c>
      <c r="B121" s="65"/>
      <c r="C121" s="42">
        <v>4</v>
      </c>
      <c r="D121" s="49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21" s="43">
        <v>0</v>
      </c>
      <c r="F121" s="43">
        <f>D121*(($F$115)+1)+(IF(E121&lt;101,E121,IF(E121&lt;201,E121/2,IF(E121&lt;=301,E121/3,E121/4))))</f>
        <v>3192.7685961599996</v>
      </c>
      <c r="G121" s="117" t="str">
        <f>A120</f>
        <v>1st Floor For Residential</v>
      </c>
      <c r="H121" s="118"/>
      <c r="I121" s="32"/>
      <c r="L121" s="169"/>
      <c r="M121" s="169"/>
      <c r="N121" s="32"/>
    </row>
    <row r="122" spans="1:14" s="44" customFormat="1" ht="15.75" customHeight="1" x14ac:dyDescent="0.35">
      <c r="A122" s="64">
        <f t="shared" ref="A122:A125" si="4">A121+1</f>
        <v>2</v>
      </c>
      <c r="B122" s="65"/>
      <c r="C122" s="42" t="s">
        <v>207</v>
      </c>
      <c r="D122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22" s="43">
        <v>0</v>
      </c>
      <c r="F122" s="43">
        <f>D122*(($F$115)+1)+(IF(E122&lt;101,E122,IF(E122&lt;201,E122/2,IF(E122&lt;=301,E122/3,E122/4))))</f>
        <v>2893.9495689</v>
      </c>
      <c r="G122" s="119"/>
      <c r="H122" s="120"/>
      <c r="I122" s="32"/>
      <c r="L122" s="169"/>
      <c r="M122" s="169"/>
      <c r="N122" s="32"/>
    </row>
    <row r="123" spans="1:14" s="44" customFormat="1" ht="15.75" customHeight="1" x14ac:dyDescent="0.35">
      <c r="A123" s="64">
        <f t="shared" si="4"/>
        <v>3</v>
      </c>
      <c r="B123" s="65"/>
      <c r="C123" s="42" t="s">
        <v>207</v>
      </c>
      <c r="D123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23" s="43">
        <v>0</v>
      </c>
      <c r="F123" s="43">
        <f>D123*(($F$115)+1)+(IF(E123&lt;101,E123,IF(E123&lt;201,E123/2,IF(E123&lt;=301,E123/3,E123/4))))</f>
        <v>2893.9495689</v>
      </c>
      <c r="G123" s="119"/>
      <c r="H123" s="120"/>
      <c r="I123" s="32"/>
      <c r="L123" s="169"/>
      <c r="M123" s="169"/>
      <c r="N123" s="32"/>
    </row>
    <row r="124" spans="1:14" s="44" customFormat="1" ht="15.75" customHeight="1" x14ac:dyDescent="0.35">
      <c r="A124" s="64">
        <f t="shared" si="4"/>
        <v>4</v>
      </c>
      <c r="B124" s="65"/>
      <c r="C124" s="48">
        <v>4</v>
      </c>
      <c r="D124" s="49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24" s="43">
        <v>0</v>
      </c>
      <c r="F124" s="43">
        <f>D124*(($F$115)+1)+(IF(E124&lt;101,E124,IF(E124&lt;201,E124/2,IF(E124&lt;=301,E124/3,E124/4))))</f>
        <v>3192.7685961599996</v>
      </c>
      <c r="G124" s="119"/>
      <c r="H124" s="120"/>
      <c r="I124" s="32"/>
      <c r="L124" s="169"/>
      <c r="M124" s="169"/>
      <c r="N124" s="32"/>
    </row>
    <row r="125" spans="1:14" s="45" customFormat="1" ht="15.75" customHeight="1" x14ac:dyDescent="0.35">
      <c r="A125" s="64">
        <f t="shared" si="4"/>
        <v>5</v>
      </c>
      <c r="B125" s="65"/>
      <c r="C125" s="48" t="s">
        <v>206</v>
      </c>
      <c r="D125" s="49">
        <f>(1.5*0.85+0.88*0.85+3.18*2.13+5.73*4.23+2.5*1.83)*(10.764)</f>
        <v>404.82650520000004</v>
      </c>
      <c r="E125" s="46">
        <v>0</v>
      </c>
      <c r="F125" s="46">
        <f>D125*(($F$115)+1)+(IF(E125&lt;101,E125,IF(E125&lt;201,E125/2,IF(E125&lt;=301,E125/3,E125/4))))</f>
        <v>627.48108306000006</v>
      </c>
      <c r="G125" s="121"/>
      <c r="H125" s="122"/>
      <c r="I125" s="32"/>
      <c r="L125" s="169"/>
      <c r="M125" s="169"/>
      <c r="N125" s="32"/>
    </row>
    <row r="126" spans="1:14" s="45" customFormat="1" x14ac:dyDescent="0.35">
      <c r="A126" s="126" t="s">
        <v>205</v>
      </c>
      <c r="B126" s="126"/>
      <c r="C126" s="126"/>
      <c r="D126" s="126"/>
      <c r="E126" s="126"/>
      <c r="F126" s="126"/>
      <c r="G126" s="126"/>
      <c r="H126" s="126"/>
      <c r="J126" s="32"/>
    </row>
    <row r="127" spans="1:14" s="45" customFormat="1" ht="15.75" customHeight="1" x14ac:dyDescent="0.35">
      <c r="A127" s="66">
        <v>1</v>
      </c>
      <c r="B127" s="66"/>
      <c r="C127" s="42">
        <v>4</v>
      </c>
      <c r="D127" s="49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27" s="57">
        <v>0</v>
      </c>
      <c r="F127" s="57">
        <f>D127*(($F$115)+1)+(IF(E127&lt;101,E127,IF(E127&lt;201,E127/2,IF(E127&lt;=301,E127/3,E127/4))))</f>
        <v>3192.7685961599996</v>
      </c>
      <c r="G127" s="66" t="str">
        <f>A126</f>
        <v>2nd to 7th Floor</v>
      </c>
      <c r="H127" s="66"/>
      <c r="I127" s="32"/>
      <c r="L127" s="169"/>
      <c r="M127" s="169"/>
      <c r="N127" s="32"/>
    </row>
    <row r="128" spans="1:14" s="45" customFormat="1" ht="15.75" customHeight="1" x14ac:dyDescent="0.35">
      <c r="A128" s="66">
        <f t="shared" ref="A128:A131" si="5">A127+1</f>
        <v>2</v>
      </c>
      <c r="B128" s="66"/>
      <c r="C128" s="42" t="s">
        <v>207</v>
      </c>
      <c r="D128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28" s="57">
        <v>0</v>
      </c>
      <c r="F128" s="57">
        <f>D128*(($F$115)+1)+(IF(E128&lt;101,E128,IF(E128&lt;201,E128/2,IF(E128&lt;=301,E128/3,E128/4))))</f>
        <v>2893.9495689</v>
      </c>
      <c r="G128" s="66"/>
      <c r="H128" s="66"/>
      <c r="I128" s="32"/>
      <c r="L128" s="169"/>
      <c r="M128" s="169"/>
      <c r="N128" s="32"/>
    </row>
    <row r="129" spans="1:14" s="45" customFormat="1" ht="15.75" customHeight="1" x14ac:dyDescent="0.35">
      <c r="A129" s="66">
        <f t="shared" si="5"/>
        <v>3</v>
      </c>
      <c r="B129" s="66"/>
      <c r="C129" s="42" t="s">
        <v>207</v>
      </c>
      <c r="D129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29" s="57">
        <v>0</v>
      </c>
      <c r="F129" s="57">
        <f>D129*(($F$115)+1)+(IF(E129&lt;101,E129,IF(E129&lt;201,E129/2,IF(E129&lt;=301,E129/3,E129/4))))</f>
        <v>2893.9495689</v>
      </c>
      <c r="G129" s="66"/>
      <c r="H129" s="66"/>
      <c r="I129" s="32"/>
      <c r="L129" s="169"/>
      <c r="M129" s="169"/>
      <c r="N129" s="32"/>
    </row>
    <row r="130" spans="1:14" s="45" customFormat="1" ht="15.75" customHeight="1" x14ac:dyDescent="0.35">
      <c r="A130" s="66">
        <f t="shared" si="5"/>
        <v>4</v>
      </c>
      <c r="B130" s="66"/>
      <c r="C130" s="48">
        <v>4</v>
      </c>
      <c r="D130" s="49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30" s="57">
        <v>0</v>
      </c>
      <c r="F130" s="57">
        <f>D130*(($F$115)+1)+(IF(E130&lt;101,E130,IF(E130&lt;201,E130/2,IF(E130&lt;=301,E130/3,E130/4))))</f>
        <v>3192.7685961599996</v>
      </c>
      <c r="G130" s="66"/>
      <c r="H130" s="66"/>
      <c r="I130" s="32"/>
      <c r="L130" s="169"/>
      <c r="M130" s="169"/>
      <c r="N130" s="32"/>
    </row>
    <row r="131" spans="1:14" s="45" customFormat="1" ht="15.75" customHeight="1" x14ac:dyDescent="0.35">
      <c r="A131" s="66">
        <f t="shared" si="5"/>
        <v>5</v>
      </c>
      <c r="B131" s="66"/>
      <c r="C131" s="48" t="s">
        <v>206</v>
      </c>
      <c r="D131" s="49">
        <f>(1.5*0.85+0.88*0.85+3.18*2.13+5.73*4.23+2.5*1.83)*(10.764)</f>
        <v>404.82650520000004</v>
      </c>
      <c r="E131" s="57">
        <v>0</v>
      </c>
      <c r="F131" s="57">
        <f>D131*(($F$115)+1)+(IF(E131&lt;101,E131,IF(E131&lt;201,E131/2,IF(E131&lt;=301,E131/3,E131/4))))</f>
        <v>627.48108306000006</v>
      </c>
      <c r="G131" s="66"/>
      <c r="H131" s="66"/>
      <c r="I131" s="32"/>
      <c r="L131" s="169"/>
      <c r="M131" s="169"/>
      <c r="N131" s="32"/>
    </row>
    <row r="132" spans="1:14" s="45" customFormat="1" ht="32.25" customHeight="1" x14ac:dyDescent="0.35">
      <c r="A132" s="126" t="s">
        <v>231</v>
      </c>
      <c r="B132" s="126"/>
      <c r="C132" s="126"/>
      <c r="D132" s="126"/>
      <c r="E132" s="126"/>
      <c r="F132" s="126"/>
      <c r="G132" s="126"/>
      <c r="H132" s="126"/>
      <c r="J132" s="32"/>
    </row>
    <row r="133" spans="1:14" s="45" customFormat="1" ht="15.75" customHeight="1" x14ac:dyDescent="0.35">
      <c r="A133" s="66">
        <v>1</v>
      </c>
      <c r="B133" s="66"/>
      <c r="C133" s="42">
        <v>4</v>
      </c>
      <c r="D133" s="49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33" s="57">
        <v>0</v>
      </c>
      <c r="F133" s="57">
        <f>D133*(($F$115)+1)+(IF(E133&lt;101,E133,IF(E133&lt;201,E133/2,IF(E133&lt;=301,E133/3,E133/4))))</f>
        <v>3192.7685961599996</v>
      </c>
      <c r="G133" s="66" t="str">
        <f>A132</f>
        <v>9th to 12th
13th Floor  (14th Floor as per builder)</v>
      </c>
      <c r="H133" s="66"/>
      <c r="I133" s="32"/>
      <c r="L133" s="169"/>
      <c r="M133" s="169"/>
      <c r="N133" s="32"/>
    </row>
    <row r="134" spans="1:14" s="45" customFormat="1" ht="15.75" customHeight="1" x14ac:dyDescent="0.35">
      <c r="A134" s="66">
        <f t="shared" ref="A134:A137" si="6">A133+1</f>
        <v>2</v>
      </c>
      <c r="B134" s="66"/>
      <c r="C134" s="42" t="s">
        <v>207</v>
      </c>
      <c r="D134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34" s="57">
        <v>0</v>
      </c>
      <c r="F134" s="57">
        <f>D134*(($F$115)+1)+(IF(E134&lt;101,E134,IF(E134&lt;201,E134/2,IF(E134&lt;=301,E134/3,E134/4))))</f>
        <v>2893.9495689</v>
      </c>
      <c r="G134" s="66"/>
      <c r="H134" s="66"/>
      <c r="I134" s="32"/>
      <c r="L134" s="169"/>
      <c r="M134" s="169"/>
      <c r="N134" s="32"/>
    </row>
    <row r="135" spans="1:14" s="45" customFormat="1" ht="15.75" customHeight="1" x14ac:dyDescent="0.35">
      <c r="A135" s="66">
        <f t="shared" si="6"/>
        <v>3</v>
      </c>
      <c r="B135" s="66"/>
      <c r="C135" s="42" t="s">
        <v>207</v>
      </c>
      <c r="D135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35" s="57">
        <v>0</v>
      </c>
      <c r="F135" s="57">
        <f>D135*(($F$115)+1)+(IF(E135&lt;101,E135,IF(E135&lt;201,E135/2,IF(E135&lt;=301,E135/3,E135/4))))</f>
        <v>2893.9495689</v>
      </c>
      <c r="G135" s="66"/>
      <c r="H135" s="66"/>
      <c r="I135" s="32"/>
      <c r="L135" s="169"/>
      <c r="M135" s="169"/>
      <c r="N135" s="32"/>
    </row>
    <row r="136" spans="1:14" s="56" customFormat="1" ht="15.75" customHeight="1" x14ac:dyDescent="0.35">
      <c r="A136" s="66">
        <f t="shared" si="6"/>
        <v>4</v>
      </c>
      <c r="B136" s="66"/>
      <c r="C136" s="48">
        <v>4</v>
      </c>
      <c r="D136" s="49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36" s="57">
        <v>0</v>
      </c>
      <c r="F136" s="57">
        <f>D136*(($F$115)+1)+(IF(E136&lt;101,E136,IF(E136&lt;201,E136/2,IF(E136&lt;=301,E136/3,E136/4))))</f>
        <v>3192.7685961599996</v>
      </c>
      <c r="G136" s="66"/>
      <c r="H136" s="66"/>
      <c r="I136" s="32"/>
      <c r="L136" s="169"/>
      <c r="M136" s="169"/>
      <c r="N136" s="32"/>
    </row>
    <row r="137" spans="1:14" s="56" customFormat="1" ht="15.75" customHeight="1" x14ac:dyDescent="0.35">
      <c r="A137" s="66">
        <f t="shared" si="6"/>
        <v>5</v>
      </c>
      <c r="B137" s="66"/>
      <c r="C137" s="48" t="s">
        <v>206</v>
      </c>
      <c r="D137" s="49">
        <f>(1.5*0.85+0.88*0.85+3.18*2.13+5.73*4.23+2.5*1.83)*(10.764)</f>
        <v>404.82650520000004</v>
      </c>
      <c r="E137" s="57">
        <v>0</v>
      </c>
      <c r="F137" s="57">
        <f>D137*(($F$115)+1)+(IF(E137&lt;101,E137,IF(E137&lt;201,E137/2,IF(E137&lt;=301,E137/3,E137/4))))</f>
        <v>627.48108306000006</v>
      </c>
      <c r="G137" s="66"/>
      <c r="H137" s="66"/>
      <c r="I137" s="32"/>
      <c r="L137" s="169"/>
      <c r="M137" s="169"/>
      <c r="N137" s="32"/>
    </row>
    <row r="138" spans="1:14" s="45" customFormat="1" x14ac:dyDescent="0.35">
      <c r="A138" s="87" t="s">
        <v>208</v>
      </c>
      <c r="B138" s="88"/>
      <c r="C138" s="88"/>
      <c r="D138" s="88"/>
      <c r="E138" s="88"/>
      <c r="F138" s="88"/>
      <c r="G138" s="88"/>
      <c r="H138" s="89"/>
      <c r="J138" s="32"/>
    </row>
    <row r="139" spans="1:14" s="45" customFormat="1" ht="15.75" customHeight="1" x14ac:dyDescent="0.35">
      <c r="A139" s="64">
        <v>1</v>
      </c>
      <c r="B139" s="65"/>
      <c r="C139" s="127" t="s">
        <v>209</v>
      </c>
      <c r="D139" s="128"/>
      <c r="E139" s="128"/>
      <c r="F139" s="129"/>
      <c r="G139" s="117" t="str">
        <f>A138</f>
        <v>8th Floor (Part Refuge Area)</v>
      </c>
      <c r="H139" s="118"/>
      <c r="I139" s="32"/>
      <c r="J139" s="45">
        <f>20000*F139</f>
        <v>0</v>
      </c>
      <c r="L139" s="169"/>
      <c r="M139" s="169"/>
      <c r="N139" s="32"/>
    </row>
    <row r="140" spans="1:14" s="45" customFormat="1" ht="15.75" customHeight="1" x14ac:dyDescent="0.35">
      <c r="A140" s="64">
        <f t="shared" ref="A140:A141" si="7">A139+1</f>
        <v>2</v>
      </c>
      <c r="B140" s="65"/>
      <c r="C140" s="42" t="s">
        <v>207</v>
      </c>
      <c r="D140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40" s="46">
        <v>0</v>
      </c>
      <c r="F140" s="46">
        <f>D140*(($F$115)+1)+(IF(E140&lt;101,E140,IF(E140&lt;201,E140/2,IF(E140&lt;=301,E140/3,E140/4))))</f>
        <v>2893.9495689</v>
      </c>
      <c r="G140" s="119"/>
      <c r="H140" s="120"/>
      <c r="I140" s="32"/>
      <c r="L140" s="169"/>
      <c r="M140" s="169"/>
      <c r="N140" s="32"/>
    </row>
    <row r="141" spans="1:14" s="45" customFormat="1" ht="15.75" customHeight="1" x14ac:dyDescent="0.35">
      <c r="A141" s="64">
        <f t="shared" si="7"/>
        <v>3</v>
      </c>
      <c r="B141" s="65"/>
      <c r="C141" s="42" t="s">
        <v>207</v>
      </c>
      <c r="D141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41" s="46">
        <v>0</v>
      </c>
      <c r="F141" s="46">
        <f>D141*(($F$115)+1)+(IF(E141&lt;101,E141,IF(E141&lt;201,E141/2,IF(E141&lt;=301,E141/3,E141/4))))</f>
        <v>2893.9495689</v>
      </c>
      <c r="G141" s="119"/>
      <c r="H141" s="120"/>
      <c r="I141" s="32"/>
      <c r="L141" s="169"/>
      <c r="M141" s="169"/>
      <c r="N141" s="32"/>
    </row>
    <row r="142" spans="1:14" s="56" customFormat="1" ht="15.75" customHeight="1" x14ac:dyDescent="0.35">
      <c r="A142" s="64">
        <v>4</v>
      </c>
      <c r="B142" s="65"/>
      <c r="C142" s="42">
        <v>4</v>
      </c>
      <c r="D142" s="49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42" s="55">
        <v>0</v>
      </c>
      <c r="F142" s="55">
        <f>D142*(($F$115)+1)+(IF(E142&lt;101,E142,IF(E142&lt;201,E142/2,IF(E142&lt;=301,E142/3,E142/4))))</f>
        <v>3192.7685961599996</v>
      </c>
      <c r="G142" s="119"/>
      <c r="H142" s="120"/>
      <c r="I142" s="32"/>
      <c r="J142" s="56">
        <f>20000*F142</f>
        <v>63855371.923199989</v>
      </c>
      <c r="L142" s="169"/>
      <c r="M142" s="169"/>
      <c r="N142" s="32"/>
    </row>
    <row r="143" spans="1:14" s="45" customFormat="1" ht="15.75" customHeight="1" x14ac:dyDescent="0.35">
      <c r="A143" s="64">
        <v>5</v>
      </c>
      <c r="B143" s="65"/>
      <c r="C143" s="181" t="s">
        <v>209</v>
      </c>
      <c r="D143" s="182"/>
      <c r="E143" s="182"/>
      <c r="F143" s="183"/>
      <c r="G143" s="119"/>
      <c r="H143" s="120"/>
      <c r="I143" s="32"/>
      <c r="L143" s="169"/>
      <c r="M143" s="169"/>
      <c r="N143" s="32"/>
    </row>
    <row r="144" spans="1:14" s="45" customFormat="1" x14ac:dyDescent="0.35">
      <c r="A144" s="87" t="s">
        <v>221</v>
      </c>
      <c r="B144" s="88"/>
      <c r="C144" s="88"/>
      <c r="D144" s="88"/>
      <c r="E144" s="88"/>
      <c r="F144" s="88"/>
      <c r="G144" s="88"/>
      <c r="H144" s="89"/>
      <c r="J144" s="32"/>
    </row>
    <row r="145" spans="1:14" s="45" customFormat="1" ht="48" customHeight="1" x14ac:dyDescent="0.35">
      <c r="A145" s="64">
        <v>1</v>
      </c>
      <c r="B145" s="65"/>
      <c r="C145" s="42" t="s">
        <v>210</v>
      </c>
      <c r="D145" s="49">
        <f>(2*(3.66*1.8+6.07*5.1+4.77*0.6+3.52*5.25+1.05*1.9+2.4*4.25+1.3*1.22+3.41*4.68+1.83*1.57+0.75*0.86+1.49*2.58+3.38*3.29+3.43*1.35+1.83*1.58+0.75*0.85+1.46*2.58+3.91*6+4.01*3.32+3.94*0.2+3.89*1.05+2*(1.39*1.33+1.57*1.83+0.91*1.05)+1.59*1.35+6.07*2.25+2.35*1.5)-(2.4*3.2))*(10.764)</f>
        <v>4037.0338943999996</v>
      </c>
      <c r="E145" s="49">
        <v>0</v>
      </c>
      <c r="F145" s="46">
        <f>D145*(($F$115)+1)+(IF(E145&lt;101,E145,IF(E145&lt;201,E145/2,IF(E145&lt;=301,E145/3,E145/4))))</f>
        <v>6257.4025363199999</v>
      </c>
      <c r="G145" s="117" t="str">
        <f>A144</f>
        <v>14th Floor  (15th Floor as per builder)</v>
      </c>
      <c r="H145" s="118"/>
      <c r="I145" s="32"/>
      <c r="L145" s="169"/>
      <c r="M145" s="169"/>
      <c r="N145" s="32"/>
    </row>
    <row r="146" spans="1:14" s="45" customFormat="1" x14ac:dyDescent="0.35">
      <c r="A146" s="64">
        <f t="shared" ref="A146:A149" si="8">A145+1</f>
        <v>2</v>
      </c>
      <c r="B146" s="65"/>
      <c r="C146" s="42" t="s">
        <v>207</v>
      </c>
      <c r="D146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46" s="46">
        <v>0</v>
      </c>
      <c r="F146" s="46">
        <f>D146*(($F$115)+1)+(IF(E146&lt;101,E146,IF(E146&lt;201,E146/2,IF(E146&lt;=301,E146/3,E146/4))))</f>
        <v>2893.9495689</v>
      </c>
      <c r="G146" s="119"/>
      <c r="H146" s="120"/>
      <c r="I146" s="32"/>
      <c r="L146" s="169"/>
      <c r="M146" s="169"/>
      <c r="N146" s="32"/>
    </row>
    <row r="147" spans="1:14" s="45" customFormat="1" x14ac:dyDescent="0.35">
      <c r="A147" s="64">
        <f t="shared" si="8"/>
        <v>3</v>
      </c>
      <c r="B147" s="65"/>
      <c r="C147" s="42" t="s">
        <v>207</v>
      </c>
      <c r="D147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47" s="46">
        <v>0</v>
      </c>
      <c r="F147" s="46">
        <f>D147*(($F$115)+1)+(IF(E147&lt;101,E147,IF(E147&lt;201,E147/2,IF(E147&lt;=301,E147/3,E147/4))))</f>
        <v>2893.9495689</v>
      </c>
      <c r="G147" s="119"/>
      <c r="H147" s="120"/>
      <c r="I147" s="32"/>
      <c r="L147" s="169"/>
      <c r="M147" s="169"/>
      <c r="N147" s="32"/>
    </row>
    <row r="148" spans="1:14" s="45" customFormat="1" ht="15.75" customHeight="1" x14ac:dyDescent="0.35">
      <c r="A148" s="64">
        <f t="shared" si="8"/>
        <v>4</v>
      </c>
      <c r="B148" s="65"/>
      <c r="C148" s="42" t="s">
        <v>212</v>
      </c>
      <c r="D148" s="49">
        <f>(2*(3.66*1.8+6.07*5.1+4.77*0.6+3.52*5.25+1.05*1.9+2.4*4.25+1.3*1.22+3.41*4.68+1.83*1.57+0.75*0.86+1.49*2.58+3.38*3.29+3.43*1.35+1.83*1.58+0.75*0.85+1.46*2.58+3.91*6+4.01*3.32+3.94*0.2+3.89*1.05+2*(1.39*1.33+1.57*1.83+0.91*1.05)+1.59*1.35+6.07*2.25+2.35*1.5)+(1.5*0.85+0.88*0.85+3.18*2.13+5.73*4.23+2.5*1.83))*(10.764)</f>
        <v>4524.5279196000001</v>
      </c>
      <c r="E148" s="49">
        <v>0</v>
      </c>
      <c r="F148" s="46">
        <f>D148*(($F$115)+1)+(IF(E148&lt;101,E148,IF(E148&lt;201,E148/2,IF(E148&lt;=301,E148/3,E148/4))))</f>
        <v>7013.01827538</v>
      </c>
      <c r="G148" s="119"/>
      <c r="H148" s="120"/>
      <c r="I148" s="32"/>
      <c r="L148" s="169"/>
      <c r="M148" s="169"/>
      <c r="N148" s="32"/>
    </row>
    <row r="149" spans="1:14" s="56" customFormat="1" ht="15.75" customHeight="1" x14ac:dyDescent="0.35">
      <c r="A149" s="64">
        <f t="shared" si="8"/>
        <v>5</v>
      </c>
      <c r="B149" s="65"/>
      <c r="C149" s="48" t="s">
        <v>206</v>
      </c>
      <c r="D149" s="49">
        <f>(1.5*0.85+0.88*0.85+3.18*2.13+5.73*4.23+2.5*1.83)*(10.764)</f>
        <v>404.82650520000004</v>
      </c>
      <c r="E149" s="55">
        <v>0</v>
      </c>
      <c r="F149" s="55">
        <f>D149*(($F$115)+1)+(IF(E149&lt;101,E149,IF(E149&lt;201,E149/2,IF(E149&lt;=301,E149/3,E149/4))))</f>
        <v>627.48108306000006</v>
      </c>
      <c r="G149" s="121"/>
      <c r="H149" s="122"/>
      <c r="I149" s="32"/>
      <c r="L149" s="169"/>
      <c r="M149" s="169"/>
      <c r="N149" s="32"/>
    </row>
    <row r="150" spans="1:14" s="45" customFormat="1" x14ac:dyDescent="0.35">
      <c r="A150" s="87" t="s">
        <v>222</v>
      </c>
      <c r="B150" s="88"/>
      <c r="C150" s="88"/>
      <c r="D150" s="88"/>
      <c r="E150" s="88"/>
      <c r="F150" s="88"/>
      <c r="G150" s="88"/>
      <c r="H150" s="89"/>
      <c r="J150" s="32"/>
    </row>
    <row r="151" spans="1:14" s="45" customFormat="1" x14ac:dyDescent="0.35">
      <c r="A151" s="64">
        <v>1</v>
      </c>
      <c r="B151" s="65"/>
      <c r="C151" s="64" t="s">
        <v>211</v>
      </c>
      <c r="D151" s="171"/>
      <c r="E151" s="171"/>
      <c r="F151" s="65"/>
      <c r="G151" s="117" t="str">
        <f>A150</f>
        <v>15th Floor  (16th Floor as per builder)</v>
      </c>
      <c r="H151" s="118"/>
      <c r="I151" s="32"/>
      <c r="L151" s="169"/>
      <c r="M151" s="169"/>
      <c r="N151" s="32"/>
    </row>
    <row r="152" spans="1:14" s="56" customFormat="1" x14ac:dyDescent="0.35">
      <c r="A152" s="64">
        <f t="shared" ref="A152:A153" si="9">A151+1</f>
        <v>2</v>
      </c>
      <c r="B152" s="65"/>
      <c r="C152" s="42" t="s">
        <v>207</v>
      </c>
      <c r="D152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52" s="55">
        <v>0</v>
      </c>
      <c r="F152" s="55">
        <f>D152*(($F$115)+1)+(IF(E152&lt;101,E152,IF(E152&lt;201,E152/2,IF(E152&lt;=301,E152/3,E152/4))))</f>
        <v>2893.9495689</v>
      </c>
      <c r="G152" s="119"/>
      <c r="H152" s="120"/>
      <c r="I152" s="32"/>
      <c r="L152" s="169"/>
      <c r="M152" s="169"/>
      <c r="N152" s="32"/>
    </row>
    <row r="153" spans="1:14" s="56" customFormat="1" x14ac:dyDescent="0.35">
      <c r="A153" s="64">
        <f t="shared" si="9"/>
        <v>3</v>
      </c>
      <c r="B153" s="65"/>
      <c r="C153" s="42" t="s">
        <v>207</v>
      </c>
      <c r="D153" s="49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53" s="55">
        <v>0</v>
      </c>
      <c r="F153" s="55">
        <f>D153*(($F$115)+1)+(IF(E153&lt;101,E153,IF(E153&lt;201,E153/2,IF(E153&lt;=301,E153/3,E153/4))))</f>
        <v>2893.9495689</v>
      </c>
      <c r="G153" s="119"/>
      <c r="H153" s="120"/>
      <c r="I153" s="32"/>
      <c r="L153" s="169"/>
      <c r="M153" s="169"/>
      <c r="N153" s="32"/>
    </row>
    <row r="154" spans="1:14" s="45" customFormat="1" ht="15.75" customHeight="1" x14ac:dyDescent="0.35">
      <c r="A154" s="64">
        <v>4</v>
      </c>
      <c r="B154" s="65"/>
      <c r="C154" s="64" t="s">
        <v>211</v>
      </c>
      <c r="D154" s="171"/>
      <c r="E154" s="171"/>
      <c r="F154" s="65"/>
      <c r="G154" s="119"/>
      <c r="H154" s="120"/>
      <c r="I154" s="32"/>
      <c r="L154" s="169"/>
      <c r="M154" s="169"/>
      <c r="N154" s="32"/>
    </row>
    <row r="155" spans="1:14" s="33" customFormat="1" hidden="1" x14ac:dyDescent="0.35">
      <c r="A155" s="87" t="s">
        <v>121</v>
      </c>
      <c r="B155" s="88"/>
      <c r="C155" s="88"/>
      <c r="D155" s="88"/>
      <c r="E155" s="88"/>
      <c r="F155" s="88"/>
      <c r="G155" s="88"/>
      <c r="H155" s="89"/>
      <c r="J155" s="32"/>
    </row>
    <row r="156" spans="1:14" s="33" customFormat="1" hidden="1" x14ac:dyDescent="0.35">
      <c r="A156" s="64">
        <v>1</v>
      </c>
      <c r="B156" s="65"/>
      <c r="C156" s="42"/>
      <c r="D156" s="38"/>
      <c r="E156" s="38">
        <v>0</v>
      </c>
      <c r="F156" s="38">
        <f>D156*(($F$115)+1)+(IF(E156&lt;101,E156,IF(E156&lt;201,E156/2,IF(E156&lt;=301,E156/3,E156/4))))</f>
        <v>0</v>
      </c>
      <c r="G156" s="64" t="str">
        <f>A155</f>
        <v>Ground Floor</v>
      </c>
      <c r="H156" s="65"/>
      <c r="I156" s="32"/>
      <c r="L156" s="169"/>
      <c r="M156" s="169"/>
      <c r="N156" s="32"/>
    </row>
    <row r="157" spans="1:14" s="33" customFormat="1" hidden="1" x14ac:dyDescent="0.35">
      <c r="A157" s="64">
        <f t="shared" ref="A157:A159" si="10">A156+1</f>
        <v>2</v>
      </c>
      <c r="B157" s="65"/>
      <c r="C157" s="42"/>
      <c r="D157" s="38"/>
      <c r="E157" s="38">
        <v>0</v>
      </c>
      <c r="F157" s="38">
        <f>D157*(($F$115)+1)+(IF(E157&lt;101,E157,IF(E157&lt;201,E157/2,IF(E157&lt;=301,E157/3,E157/4))))</f>
        <v>0</v>
      </c>
      <c r="G157" s="64" t="str">
        <f t="shared" ref="G157:G159" si="11">G156</f>
        <v>Ground Floor</v>
      </c>
      <c r="H157" s="65"/>
      <c r="I157" s="32"/>
      <c r="L157" s="169"/>
      <c r="M157" s="169"/>
      <c r="N157" s="32"/>
    </row>
    <row r="158" spans="1:14" s="33" customFormat="1" hidden="1" x14ac:dyDescent="0.35">
      <c r="A158" s="64">
        <f t="shared" si="10"/>
        <v>3</v>
      </c>
      <c r="B158" s="65"/>
      <c r="C158" s="42"/>
      <c r="D158" s="38"/>
      <c r="E158" s="38">
        <v>0</v>
      </c>
      <c r="F158" s="38">
        <f>D158*(($F$115)+1)+(IF(E158&lt;101,E158,IF(E158&lt;201,E158/2,IF(E158&lt;=301,E158/3,E158/4))))</f>
        <v>0</v>
      </c>
      <c r="G158" s="64" t="str">
        <f t="shared" si="11"/>
        <v>Ground Floor</v>
      </c>
      <c r="H158" s="65"/>
      <c r="I158" s="32"/>
      <c r="L158" s="169"/>
      <c r="M158" s="169"/>
      <c r="N158" s="32"/>
    </row>
    <row r="159" spans="1:14" s="33" customFormat="1" hidden="1" x14ac:dyDescent="0.35">
      <c r="A159" s="64">
        <f t="shared" si="10"/>
        <v>4</v>
      </c>
      <c r="B159" s="65"/>
      <c r="C159" s="42"/>
      <c r="D159" s="38"/>
      <c r="E159" s="38">
        <v>0</v>
      </c>
      <c r="F159" s="38">
        <f>D159*(($F$115)+1)+(IF(E159&lt;101,E159,IF(E159&lt;201,E159/2,IF(E159&lt;=301,E159/3,E159/4))))</f>
        <v>0</v>
      </c>
      <c r="G159" s="64" t="str">
        <f t="shared" si="11"/>
        <v>Ground Floor</v>
      </c>
      <c r="H159" s="65"/>
      <c r="I159" s="32"/>
      <c r="L159" s="169"/>
      <c r="M159" s="169"/>
      <c r="N159" s="32"/>
    </row>
    <row r="160" spans="1:14" s="33" customFormat="1" hidden="1" x14ac:dyDescent="0.35">
      <c r="A160" s="126" t="s">
        <v>122</v>
      </c>
      <c r="B160" s="126"/>
      <c r="C160" s="126"/>
      <c r="D160" s="126"/>
      <c r="E160" s="126"/>
      <c r="F160" s="126"/>
      <c r="G160" s="126"/>
      <c r="H160" s="126"/>
      <c r="I160" s="32"/>
      <c r="L160" s="169"/>
      <c r="M160" s="169"/>
    </row>
    <row r="161" spans="1:14" s="33" customFormat="1" hidden="1" x14ac:dyDescent="0.35">
      <c r="A161" s="66">
        <f>LEFT(A160,SUM(LEN(A160)-LEN(SUBSTITUTE(A160,{"0","1","2","3","4","5","6","7","8","9"},""))))*100+1</f>
        <v>201</v>
      </c>
      <c r="B161" s="66"/>
      <c r="C161" s="42"/>
      <c r="D161" s="38"/>
      <c r="E161" s="38">
        <v>0</v>
      </c>
      <c r="F161" s="38">
        <f t="shared" ref="F161:F162" si="12">D161*(($F$115)+1)+(IF(E161&lt;101,E161,IF(E161&lt;201,E161/2,IF(E161&lt;=301,E161/3,E161/4))))</f>
        <v>0</v>
      </c>
      <c r="G161" s="66" t="str">
        <f>A160</f>
        <v>2nd Floor</v>
      </c>
      <c r="H161" s="66"/>
      <c r="I161" s="32"/>
      <c r="N161" s="32"/>
    </row>
    <row r="162" spans="1:14" s="33" customFormat="1" hidden="1" x14ac:dyDescent="0.35">
      <c r="A162" s="66">
        <f>A161+1</f>
        <v>202</v>
      </c>
      <c r="B162" s="66"/>
      <c r="C162" s="42"/>
      <c r="D162" s="38"/>
      <c r="E162" s="38">
        <v>0</v>
      </c>
      <c r="F162" s="38">
        <f t="shared" si="12"/>
        <v>0</v>
      </c>
      <c r="G162" s="66" t="str">
        <f>G161</f>
        <v>2nd Floor</v>
      </c>
      <c r="H162" s="66"/>
      <c r="I162" s="32"/>
      <c r="N162" s="32"/>
    </row>
    <row r="163" spans="1:14" s="33" customFormat="1" hidden="1" x14ac:dyDescent="0.35">
      <c r="A163" s="66">
        <f>A162+1</f>
        <v>203</v>
      </c>
      <c r="B163" s="66"/>
      <c r="C163" s="42"/>
      <c r="D163" s="38"/>
      <c r="E163" s="38">
        <v>0</v>
      </c>
      <c r="F163" s="38">
        <f>D163*(($F$115)+1)+(IF(E163&lt;101,E163,IF(E163&lt;201,E163/2,IF(E163&lt;=301,E163/3,E163/4))))</f>
        <v>0</v>
      </c>
      <c r="G163" s="66" t="str">
        <f>G162</f>
        <v>2nd Floor</v>
      </c>
      <c r="H163" s="66"/>
      <c r="I163" s="32"/>
      <c r="N163" s="32"/>
    </row>
    <row r="164" spans="1:14" s="33" customFormat="1" hidden="1" x14ac:dyDescent="0.35">
      <c r="A164" s="66">
        <f>A163+1</f>
        <v>204</v>
      </c>
      <c r="B164" s="66"/>
      <c r="C164" s="42"/>
      <c r="D164" s="38"/>
      <c r="E164" s="38">
        <v>0</v>
      </c>
      <c r="F164" s="38">
        <f>D164*(($F$115)+1)+(IF(E164&lt;101,E164,IF(E164&lt;201,E164/2,IF(E164&lt;=301,E164/3,E164/4))))</f>
        <v>0</v>
      </c>
      <c r="G164" s="66" t="str">
        <f>G163</f>
        <v>2nd Floor</v>
      </c>
      <c r="H164" s="66"/>
      <c r="I164" s="32"/>
      <c r="N164" s="32"/>
    </row>
    <row r="165" spans="1:14" s="33" customFormat="1" hidden="1" x14ac:dyDescent="0.35">
      <c r="A165" s="66">
        <f>A164+1</f>
        <v>205</v>
      </c>
      <c r="B165" s="66"/>
      <c r="C165" s="42"/>
      <c r="D165" s="38"/>
      <c r="E165" s="38">
        <v>0</v>
      </c>
      <c r="F165" s="38">
        <f>D165*(($F$115)+1)+(IF(E165&lt;101,E165,IF(E165&lt;201,E165/2,IF(E165&lt;=301,E165/3,E165/4))))</f>
        <v>0</v>
      </c>
      <c r="G165" s="66" t="str">
        <f>G164</f>
        <v>2nd Floor</v>
      </c>
      <c r="H165" s="66"/>
      <c r="I165" s="32"/>
      <c r="N165" s="32"/>
    </row>
    <row r="166" spans="1:14" s="33" customFormat="1" ht="15.75" hidden="1" customHeight="1" x14ac:dyDescent="0.35">
      <c r="A166" s="87" t="s">
        <v>157</v>
      </c>
      <c r="B166" s="88"/>
      <c r="C166" s="88"/>
      <c r="D166" s="88"/>
      <c r="E166" s="88"/>
      <c r="F166" s="88"/>
      <c r="G166" s="88"/>
      <c r="H166" s="89"/>
      <c r="I166" s="32"/>
    </row>
    <row r="167" spans="1:14" s="33" customFormat="1" hidden="1" x14ac:dyDescent="0.35">
      <c r="A167" s="64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10^ROW(INDIRECT("1:"&amp;LEN((LEFT(A166,SUM(LEN(A166)-LEN(SUBSTITUTE(A166,{"0","1","2"},""))))))))/10))*100+1&amp;""&amp;" ,..,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",LEN(A166))),LEN(A166)))))))/10))*100+1</f>
        <v>301 ,.., 1501</v>
      </c>
      <c r="B167" s="65"/>
      <c r="C167" s="42"/>
      <c r="D167" s="38"/>
      <c r="E167" s="38">
        <v>0</v>
      </c>
      <c r="F167" s="38">
        <f>D167*(($F$115)+1)+(IF(E167&lt;101,E167,IF(E167&lt;201,E167/2,IF(E167&lt;=301,E167/3,E167/4))))</f>
        <v>0</v>
      </c>
      <c r="G167" s="64" t="str">
        <f>A166</f>
        <v>3rd, 5th, 7th, 9th, 11th, 13th, 15th Floor</v>
      </c>
      <c r="H167" s="65"/>
      <c r="I167" s="32"/>
    </row>
    <row r="168" spans="1:14" s="33" customFormat="1" hidden="1" x14ac:dyDescent="0.35">
      <c r="A168" s="64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10^ROW(INDIRECT("1:"&amp;LEN((LEFT(A167,SUM(LEN(A167)-LEN(SUBSTITUTE(A167,{"0","1","2"},""))))))))/10))*1+1&amp;""&amp;" ,..,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",LEN(A167))),LEN(A167)))))))/10))*1+1</f>
        <v>302 ,.., 1502</v>
      </c>
      <c r="B168" s="65"/>
      <c r="C168" s="42"/>
      <c r="D168" s="38"/>
      <c r="E168" s="38">
        <v>0</v>
      </c>
      <c r="F168" s="38">
        <f>D168*(($F$115)+1)+(IF(E168&lt;101,E168,IF(E168&lt;201,E168/2,IF(E168&lt;=301,E168/3,E168/4))))</f>
        <v>0</v>
      </c>
      <c r="G168" s="64" t="str">
        <f>G167</f>
        <v>3rd, 5th, 7th, 9th, 11th, 13th, 15th Floor</v>
      </c>
      <c r="H168" s="65"/>
      <c r="I168" s="32"/>
    </row>
    <row r="169" spans="1:14" s="33" customFormat="1" ht="15.75" hidden="1" customHeight="1" x14ac:dyDescent="0.35">
      <c r="A169" s="64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,..,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303 ,.., 1503</v>
      </c>
      <c r="B169" s="65"/>
      <c r="C169" s="42"/>
      <c r="D169" s="38"/>
      <c r="E169" s="38">
        <v>0</v>
      </c>
      <c r="F169" s="38">
        <f>D169*(($F$115)+1)+(IF(E169&lt;101,E169,IF(E169&lt;201,E169/2,IF(E169&lt;=301,E169/3,E169/4))))</f>
        <v>0</v>
      </c>
      <c r="G169" s="64" t="str">
        <f>G168</f>
        <v>3rd, 5th, 7th, 9th, 11th, 13th, 15th Floor</v>
      </c>
      <c r="H169" s="65"/>
      <c r="I169" s="32"/>
    </row>
    <row r="170" spans="1:14" s="33" customFormat="1" ht="15.75" hidden="1" customHeight="1" x14ac:dyDescent="0.35">
      <c r="A170" s="64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,..,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304 ,.., 1504</v>
      </c>
      <c r="B170" s="65"/>
      <c r="C170" s="42"/>
      <c r="D170" s="38"/>
      <c r="E170" s="38">
        <v>0</v>
      </c>
      <c r="F170" s="38">
        <f>D170*(($F$115)+1)+(IF(E170&lt;101,E170,IF(E170&lt;201,E170/2,IF(E170&lt;=301,E170/3,E170/4))))</f>
        <v>0</v>
      </c>
      <c r="G170" s="64" t="str">
        <f>G169</f>
        <v>3rd, 5th, 7th, 9th, 11th, 13th, 15th Floor</v>
      </c>
      <c r="H170" s="65"/>
      <c r="I170" s="32"/>
    </row>
    <row r="171" spans="1:14" s="33" customFormat="1" ht="15.75" hidden="1" customHeight="1" x14ac:dyDescent="0.35">
      <c r="A171" s="64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305 ,.., 1505</v>
      </c>
      <c r="B171" s="65"/>
      <c r="C171" s="42"/>
      <c r="D171" s="38"/>
      <c r="E171" s="38">
        <v>0</v>
      </c>
      <c r="F171" s="38">
        <f>D171*(($F$115)+1)+(IF(E171&lt;101,E171,IF(E171&lt;201,E171/2,IF(E171&lt;=301,E171/3,E171/4))))</f>
        <v>0</v>
      </c>
      <c r="G171" s="64" t="str">
        <f>G170</f>
        <v>3rd, 5th, 7th, 9th, 11th, 13th, 15th Floor</v>
      </c>
      <c r="H171" s="65"/>
      <c r="I171" s="32"/>
    </row>
    <row r="172" spans="1:14" s="33" customFormat="1" hidden="1" x14ac:dyDescent="0.35">
      <c r="A172" s="87" t="s">
        <v>151</v>
      </c>
      <c r="B172" s="88"/>
      <c r="C172" s="88"/>
      <c r="D172" s="88"/>
      <c r="E172" s="88"/>
      <c r="F172" s="88"/>
      <c r="G172" s="88"/>
      <c r="H172" s="89"/>
      <c r="I172" s="32"/>
    </row>
    <row r="173" spans="1:14" s="33" customFormat="1" hidden="1" x14ac:dyDescent="0.35">
      <c r="A173" s="64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10^ROW(INDIRECT("1:"&amp;LEN((LEFT(A172,SUM(LEN(A172)-LEN(SUBSTITUTE(A172,{"0","1","2"},""))))))))/10))*100+1&amp;""&amp;" to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",LEN(A172))),LEN(A172)))))))/10))*100+1</f>
        <v>201 to 501</v>
      </c>
      <c r="B173" s="65"/>
      <c r="C173" s="42"/>
      <c r="D173" s="38"/>
      <c r="E173" s="38">
        <v>0</v>
      </c>
      <c r="F173" s="38">
        <f>D173*(($F$115)+1)+(IF(E173&lt;101,E173,IF(E173&lt;201,E173/2,IF(E173&lt;=301,E173/3,E173/4))))</f>
        <v>0</v>
      </c>
      <c r="G173" s="64" t="str">
        <f>A172</f>
        <v>2nd to 5th Floor</v>
      </c>
      <c r="H173" s="65"/>
      <c r="I173" s="32"/>
    </row>
    <row r="174" spans="1:14" s="33" customFormat="1" hidden="1" x14ac:dyDescent="0.35">
      <c r="A174" s="64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to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202 to 502</v>
      </c>
      <c r="B174" s="65"/>
      <c r="C174" s="42"/>
      <c r="D174" s="38"/>
      <c r="E174" s="38">
        <v>0</v>
      </c>
      <c r="F174" s="38">
        <f>D174*(($F$115)+1)+(IF(E174&lt;101,E174,IF(E174&lt;201,E174/2,IF(E174&lt;=301,E174/3,E174/4))))</f>
        <v>0</v>
      </c>
      <c r="G174" s="64" t="str">
        <f>G173</f>
        <v>2nd to 5th Floor</v>
      </c>
      <c r="H174" s="65"/>
      <c r="I174" s="32"/>
    </row>
    <row r="175" spans="1:14" s="33" customFormat="1" hidden="1" x14ac:dyDescent="0.35">
      <c r="A175" s="64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to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203 to 503</v>
      </c>
      <c r="B175" s="65"/>
      <c r="C175" s="42"/>
      <c r="D175" s="38"/>
      <c r="E175" s="38">
        <v>0</v>
      </c>
      <c r="F175" s="38">
        <f>D175*(($F$115)+1)+(IF(E175&lt;101,E175,IF(E175&lt;201,E175/2,IF(E175&lt;=301,E175/3,E175/4))))</f>
        <v>0</v>
      </c>
      <c r="G175" s="64" t="str">
        <f>G174</f>
        <v>2nd to 5th Floor</v>
      </c>
      <c r="H175" s="65"/>
      <c r="I175" s="32"/>
    </row>
    <row r="176" spans="1:14" s="33" customFormat="1" hidden="1" x14ac:dyDescent="0.35">
      <c r="A176" s="64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to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204 to 504</v>
      </c>
      <c r="B176" s="65"/>
      <c r="C176" s="42"/>
      <c r="D176" s="38"/>
      <c r="E176" s="38">
        <v>0</v>
      </c>
      <c r="F176" s="38">
        <f>D176*(($F$115)+1)+(IF(E176&lt;101,E176,IF(E176&lt;201,E176/2,IF(E176&lt;=301,E176/3,E176/4))))</f>
        <v>0</v>
      </c>
      <c r="G176" s="64" t="str">
        <f>G175</f>
        <v>2nd to 5th Floor</v>
      </c>
      <c r="H176" s="65"/>
      <c r="I176" s="32"/>
    </row>
    <row r="177" spans="1:9" s="33" customFormat="1" hidden="1" x14ac:dyDescent="0.35">
      <c r="A177" s="64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205 to 505</v>
      </c>
      <c r="B177" s="65"/>
      <c r="C177" s="42"/>
      <c r="D177" s="38"/>
      <c r="E177" s="38">
        <v>0</v>
      </c>
      <c r="F177" s="38">
        <f>D177*(($F$115)+1)+(IF(E177&lt;101,E177,IF(E177&lt;201,E177/2,IF(E177&lt;=301,E177/3,E177/4))))</f>
        <v>0</v>
      </c>
      <c r="G177" s="64" t="str">
        <f>G176</f>
        <v>2nd to 5th Floor</v>
      </c>
      <c r="H177" s="65"/>
      <c r="I177" s="32"/>
    </row>
    <row r="178" spans="1:9" s="33" customFormat="1" hidden="1" x14ac:dyDescent="0.35">
      <c r="A178" s="87" t="s">
        <v>152</v>
      </c>
      <c r="B178" s="88"/>
      <c r="C178" s="88"/>
      <c r="D178" s="88"/>
      <c r="E178" s="88"/>
      <c r="F178" s="88"/>
      <c r="G178" s="88"/>
      <c r="H178" s="89"/>
      <c r="I178" s="32"/>
    </row>
    <row r="179" spans="1:9" s="33" customFormat="1" hidden="1" x14ac:dyDescent="0.35">
      <c r="A179" s="64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10^ROW(INDIRECT("1:"&amp;LEN((LEFT(A178,SUM(LEN(A178)-LEN(SUBSTITUTE(A178,{"0","1","2"},""))))))))/10))*100+1&amp;""&amp;" &amp;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",LEN(A178))),LEN(A178)))))))/10))*100+1</f>
        <v>201 &amp; 501</v>
      </c>
      <c r="B179" s="65"/>
      <c r="C179" s="42"/>
      <c r="D179" s="38"/>
      <c r="E179" s="38">
        <v>0</v>
      </c>
      <c r="F179" s="38">
        <f>D179*(($F$115)+1)+(IF(E179&lt;101,E179,IF(E179&lt;201,E179/2,IF(E179&lt;=301,E179/3,E179/4))))</f>
        <v>0</v>
      </c>
      <c r="G179" s="64" t="str">
        <f>A178</f>
        <v>2nd &amp; 5th Floor</v>
      </c>
      <c r="H179" s="65"/>
      <c r="I179" s="32"/>
    </row>
    <row r="180" spans="1:9" s="33" customFormat="1" hidden="1" x14ac:dyDescent="0.35">
      <c r="A180" s="64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&amp;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202 &amp; 502</v>
      </c>
      <c r="B180" s="65"/>
      <c r="C180" s="42"/>
      <c r="D180" s="38"/>
      <c r="E180" s="38">
        <v>0</v>
      </c>
      <c r="F180" s="38">
        <f>D180*(($F$115)+1)+(IF(E180&lt;101,E180,IF(E180&lt;201,E180/2,IF(E180&lt;=301,E180/3,E180/4))))</f>
        <v>0</v>
      </c>
      <c r="G180" s="64" t="str">
        <f t="shared" ref="G180:G183" si="13">G179</f>
        <v>2nd &amp; 5th Floor</v>
      </c>
      <c r="H180" s="65"/>
      <c r="I180" s="32"/>
    </row>
    <row r="181" spans="1:9" s="33" customFormat="1" hidden="1" x14ac:dyDescent="0.35">
      <c r="A181" s="64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&amp;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203 &amp; 503</v>
      </c>
      <c r="B181" s="65"/>
      <c r="C181" s="42"/>
      <c r="D181" s="38"/>
      <c r="E181" s="38">
        <v>0</v>
      </c>
      <c r="F181" s="38">
        <f>D181*(($F$115)+1)+(IF(E181&lt;101,E181,IF(E181&lt;201,E181/2,IF(E181&lt;=301,E181/3,E181/4))))</f>
        <v>0</v>
      </c>
      <c r="G181" s="64" t="str">
        <f t="shared" si="13"/>
        <v>2nd &amp; 5th Floor</v>
      </c>
      <c r="H181" s="65"/>
      <c r="I181" s="32"/>
    </row>
    <row r="182" spans="1:9" s="33" customFormat="1" hidden="1" x14ac:dyDescent="0.35">
      <c r="A182" s="64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&amp;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204 &amp; 504</v>
      </c>
      <c r="B182" s="65"/>
      <c r="C182" s="42"/>
      <c r="D182" s="38"/>
      <c r="E182" s="38">
        <v>0</v>
      </c>
      <c r="F182" s="38">
        <f>D182*(($F$115)+1)+(IF(E182&lt;101,E182,IF(E182&lt;201,E182/2,IF(E182&lt;=301,E182/3,E182/4))))</f>
        <v>0</v>
      </c>
      <c r="G182" s="64" t="str">
        <f t="shared" si="13"/>
        <v>2nd &amp; 5th Floor</v>
      </c>
      <c r="H182" s="65"/>
      <c r="I182" s="32"/>
    </row>
    <row r="183" spans="1:9" s="33" customFormat="1" hidden="1" x14ac:dyDescent="0.35">
      <c r="A183" s="64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&amp;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205 &amp; 505</v>
      </c>
      <c r="B183" s="65"/>
      <c r="C183" s="42"/>
      <c r="D183" s="38"/>
      <c r="E183" s="38">
        <v>0</v>
      </c>
      <c r="F183" s="38">
        <f>D183*(($F$115)+1)+(IF(E183&lt;101,E183,IF(E183&lt;201,E183/2,IF(E183&lt;=301,E183/3,E183/4))))</f>
        <v>0</v>
      </c>
      <c r="G183" s="64" t="str">
        <f t="shared" si="13"/>
        <v>2nd &amp; 5th Floor</v>
      </c>
      <c r="H183" s="65"/>
      <c r="I183" s="32"/>
    </row>
    <row r="184" spans="1:9" s="31" customFormat="1" x14ac:dyDescent="0.35">
      <c r="A184" s="136" t="s">
        <v>68</v>
      </c>
      <c r="B184" s="136"/>
      <c r="C184" s="136"/>
      <c r="D184" s="136"/>
      <c r="E184" s="136"/>
      <c r="F184" s="136"/>
      <c r="G184" s="136"/>
      <c r="H184" s="136"/>
    </row>
    <row r="185" spans="1:9" s="31" customFormat="1" x14ac:dyDescent="0.35">
      <c r="A185" s="41" t="s">
        <v>161</v>
      </c>
      <c r="B185" s="137" t="s">
        <v>224</v>
      </c>
      <c r="C185" s="138"/>
      <c r="D185" s="138"/>
      <c r="E185" s="138"/>
      <c r="F185" s="138"/>
      <c r="G185" s="138"/>
      <c r="H185" s="139"/>
    </row>
    <row r="186" spans="1:9" s="31" customFormat="1" x14ac:dyDescent="0.35">
      <c r="A186" s="41" t="s">
        <v>161</v>
      </c>
      <c r="B186" s="130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86" s="131"/>
      <c r="D186" s="131"/>
      <c r="E186" s="131"/>
      <c r="F186" s="131"/>
      <c r="G186" s="131"/>
      <c r="H186" s="132"/>
    </row>
    <row r="187" spans="1:9" s="31" customFormat="1" x14ac:dyDescent="0.35">
      <c r="A187" s="41" t="s">
        <v>161</v>
      </c>
      <c r="B187" s="133" t="s">
        <v>128</v>
      </c>
      <c r="C187" s="134"/>
      <c r="D187" s="134"/>
      <c r="E187" s="134"/>
      <c r="F187" s="134"/>
      <c r="G187" s="134"/>
      <c r="H187" s="135"/>
    </row>
    <row r="188" spans="1:9" s="31" customFormat="1" x14ac:dyDescent="0.35">
      <c r="A188" s="41" t="s">
        <v>161</v>
      </c>
      <c r="B188" s="133" t="s">
        <v>213</v>
      </c>
      <c r="C188" s="134"/>
      <c r="D188" s="134"/>
      <c r="E188" s="134"/>
      <c r="F188" s="134"/>
      <c r="G188" s="134"/>
      <c r="H188" s="135"/>
    </row>
    <row r="189" spans="1:9" s="31" customFormat="1" x14ac:dyDescent="0.35">
      <c r="A189" s="41" t="s">
        <v>161</v>
      </c>
      <c r="B189" s="133" t="s">
        <v>160</v>
      </c>
      <c r="C189" s="134"/>
      <c r="D189" s="134"/>
      <c r="E189" s="134"/>
      <c r="F189" s="134"/>
      <c r="G189" s="134"/>
      <c r="H189" s="135"/>
    </row>
    <row r="190" spans="1:9" s="31" customFormat="1" x14ac:dyDescent="0.35">
      <c r="A190" s="41" t="s">
        <v>161</v>
      </c>
      <c r="B190" s="133" t="s">
        <v>129</v>
      </c>
      <c r="C190" s="134"/>
      <c r="D190" s="134"/>
      <c r="E190" s="134"/>
      <c r="F190" s="134"/>
      <c r="G190" s="134"/>
      <c r="H190" s="135"/>
    </row>
    <row r="191" spans="1:9" s="31" customFormat="1" ht="34.5" customHeight="1" x14ac:dyDescent="0.35">
      <c r="A191" s="41" t="s">
        <v>161</v>
      </c>
      <c r="B191" s="133" t="s">
        <v>162</v>
      </c>
      <c r="C191" s="134"/>
      <c r="D191" s="134"/>
      <c r="E191" s="134"/>
      <c r="F191" s="134"/>
      <c r="G191" s="134"/>
      <c r="H191" s="135"/>
    </row>
    <row r="192" spans="1:9" s="31" customFormat="1" x14ac:dyDescent="0.35">
      <c r="A192" s="41" t="s">
        <v>161</v>
      </c>
      <c r="B192" s="133" t="s">
        <v>130</v>
      </c>
      <c r="C192" s="134"/>
      <c r="D192" s="134"/>
      <c r="E192" s="134"/>
      <c r="F192" s="134"/>
      <c r="G192" s="134"/>
      <c r="H192" s="135"/>
    </row>
    <row r="193" spans="1:8" s="31" customFormat="1" x14ac:dyDescent="0.35">
      <c r="A193" s="60" t="s">
        <v>161</v>
      </c>
      <c r="B193" s="133" t="s">
        <v>238</v>
      </c>
      <c r="C193" s="134"/>
      <c r="D193" s="134"/>
      <c r="E193" s="134"/>
      <c r="F193" s="134"/>
      <c r="G193" s="134"/>
      <c r="H193" s="135"/>
    </row>
    <row r="194" spans="1:8" x14ac:dyDescent="0.35">
      <c r="A194" s="103" t="s">
        <v>61</v>
      </c>
      <c r="B194" s="103"/>
      <c r="C194" s="103"/>
      <c r="D194" s="103"/>
      <c r="E194" s="103"/>
      <c r="F194" s="103"/>
      <c r="G194" s="103"/>
      <c r="H194" s="103"/>
    </row>
    <row r="195" spans="1:8" x14ac:dyDescent="0.35">
      <c r="A195" s="62" t="s">
        <v>62</v>
      </c>
      <c r="B195" s="62"/>
      <c r="C195" s="62"/>
      <c r="D195" s="62"/>
      <c r="E195" s="62"/>
      <c r="F195" s="62"/>
      <c r="G195" s="62"/>
      <c r="H195" s="62"/>
    </row>
    <row r="196" spans="1:8" ht="15.75" customHeight="1" x14ac:dyDescent="0.35">
      <c r="A196" s="63" t="s">
        <v>63</v>
      </c>
      <c r="B196" s="63"/>
      <c r="C196" s="63"/>
      <c r="D196" s="63"/>
      <c r="E196" s="63"/>
      <c r="F196" s="63"/>
      <c r="G196" s="63"/>
      <c r="H196" s="63"/>
    </row>
    <row r="197" spans="1:8" x14ac:dyDescent="0.35">
      <c r="A197" s="62" t="s">
        <v>64</v>
      </c>
      <c r="B197" s="62"/>
      <c r="C197" s="62"/>
      <c r="D197" s="62"/>
      <c r="E197" s="62"/>
      <c r="F197" s="62"/>
      <c r="G197" s="62"/>
      <c r="H197" s="62"/>
    </row>
    <row r="198" spans="1:8" x14ac:dyDescent="0.35">
      <c r="A198" s="62" t="s">
        <v>65</v>
      </c>
      <c r="B198" s="62"/>
      <c r="C198" s="62"/>
      <c r="D198" s="62"/>
      <c r="E198" s="62"/>
      <c r="F198" s="62"/>
      <c r="G198" s="62"/>
      <c r="H198" s="62"/>
    </row>
    <row r="199" spans="1:8" x14ac:dyDescent="0.35">
      <c r="A199" s="62" t="s">
        <v>131</v>
      </c>
      <c r="B199" s="62"/>
      <c r="C199" s="62"/>
      <c r="D199" s="62"/>
      <c r="E199" s="62"/>
      <c r="F199" s="62"/>
      <c r="G199" s="62"/>
      <c r="H199" s="62"/>
    </row>
    <row r="200" spans="1:8" ht="31" customHeight="1" x14ac:dyDescent="0.35">
      <c r="A200" s="104" t="s">
        <v>132</v>
      </c>
      <c r="B200" s="104"/>
      <c r="C200" s="104"/>
      <c r="D200" s="104"/>
      <c r="E200" s="104"/>
      <c r="F200" s="104"/>
      <c r="G200" s="104"/>
      <c r="H200" s="104"/>
    </row>
    <row r="201" spans="1:8" x14ac:dyDescent="0.35">
      <c r="A201" s="141" t="s">
        <v>78</v>
      </c>
      <c r="B201" s="141"/>
      <c r="C201" s="141" t="s">
        <v>236</v>
      </c>
      <c r="D201" s="141"/>
      <c r="E201" s="141" t="s">
        <v>108</v>
      </c>
      <c r="F201" s="141"/>
      <c r="G201" s="141" t="s">
        <v>235</v>
      </c>
      <c r="H201" s="141"/>
    </row>
    <row r="202" spans="1:8" x14ac:dyDescent="0.35">
      <c r="A202" s="140" t="s">
        <v>80</v>
      </c>
      <c r="B202" s="140"/>
      <c r="C202" s="140"/>
      <c r="D202" s="140"/>
      <c r="E202" s="140"/>
      <c r="F202" s="140"/>
      <c r="G202" s="140"/>
      <c r="H202" s="140"/>
    </row>
    <row r="203" spans="1:8" x14ac:dyDescent="0.35">
      <c r="A203" s="140"/>
      <c r="B203" s="140"/>
      <c r="C203" s="140"/>
      <c r="D203" s="140"/>
      <c r="E203" s="140"/>
      <c r="F203" s="140"/>
      <c r="G203" s="140"/>
      <c r="H203" s="140"/>
    </row>
    <row r="204" spans="1:8" x14ac:dyDescent="0.35">
      <c r="A204" s="140"/>
      <c r="B204" s="140"/>
      <c r="C204" s="140"/>
      <c r="D204" s="140"/>
      <c r="E204" s="140"/>
      <c r="F204" s="140"/>
      <c r="G204" s="140"/>
      <c r="H204" s="140"/>
    </row>
    <row r="205" spans="1:8" x14ac:dyDescent="0.35">
      <c r="A205" s="140"/>
      <c r="B205" s="140"/>
      <c r="C205" s="140"/>
      <c r="D205" s="140"/>
      <c r="E205" s="140"/>
      <c r="F205" s="140"/>
      <c r="G205" s="140"/>
      <c r="H205" s="140"/>
    </row>
    <row r="206" spans="1:8" x14ac:dyDescent="0.35">
      <c r="A206" s="34" t="s">
        <v>66</v>
      </c>
      <c r="B206" s="35"/>
      <c r="C206" s="35"/>
      <c r="D206" s="34" t="str">
        <f>E8</f>
        <v>Lodha Acenza ­ Tower C</v>
      </c>
      <c r="F206" s="35"/>
      <c r="G206" s="35"/>
      <c r="H206" s="35"/>
    </row>
    <row r="207" spans="1:8" x14ac:dyDescent="0.35">
      <c r="A207" s="35"/>
      <c r="B207" s="35"/>
      <c r="C207" s="35"/>
      <c r="D207" s="35"/>
      <c r="E207" s="35"/>
      <c r="F207" s="35"/>
      <c r="G207" s="35"/>
      <c r="H207" s="35"/>
    </row>
    <row r="208" spans="1:8" x14ac:dyDescent="0.35">
      <c r="A208" s="35"/>
      <c r="B208" s="35"/>
      <c r="C208" s="35"/>
      <c r="D208" s="35"/>
      <c r="E208" s="35"/>
      <c r="F208" s="35"/>
      <c r="G208" s="35"/>
      <c r="H208" s="35"/>
    </row>
    <row r="209" ht="15" customHeight="1" x14ac:dyDescent="0.35"/>
    <row r="245" spans="1:1" x14ac:dyDescent="0.35">
      <c r="A245" s="37" t="s">
        <v>173</v>
      </c>
    </row>
    <row r="288" spans="1:1" x14ac:dyDescent="0.35">
      <c r="A288" s="37" t="s">
        <v>67</v>
      </c>
    </row>
  </sheetData>
  <mergeCells count="405">
    <mergeCell ref="L153:M153"/>
    <mergeCell ref="L160:M160"/>
    <mergeCell ref="L159:M159"/>
    <mergeCell ref="L156:M156"/>
    <mergeCell ref="B190:H190"/>
    <mergeCell ref="A181:B181"/>
    <mergeCell ref="G181:H181"/>
    <mergeCell ref="L140:M140"/>
    <mergeCell ref="A141:B141"/>
    <mergeCell ref="L141:M141"/>
    <mergeCell ref="A143:B143"/>
    <mergeCell ref="L143:M143"/>
    <mergeCell ref="C143:F143"/>
    <mergeCell ref="L151:M151"/>
    <mergeCell ref="B193:H193"/>
    <mergeCell ref="L154:M154"/>
    <mergeCell ref="C154:F154"/>
    <mergeCell ref="C151:F151"/>
    <mergeCell ref="L145:M145"/>
    <mergeCell ref="A146:B146"/>
    <mergeCell ref="L146:M146"/>
    <mergeCell ref="A147:B147"/>
    <mergeCell ref="L147:M147"/>
    <mergeCell ref="A148:B148"/>
    <mergeCell ref="L148:M148"/>
    <mergeCell ref="B191:H191"/>
    <mergeCell ref="L157:M157"/>
    <mergeCell ref="A158:B158"/>
    <mergeCell ref="G158:H158"/>
    <mergeCell ref="L158:M158"/>
    <mergeCell ref="L152:M152"/>
    <mergeCell ref="B189:H189"/>
    <mergeCell ref="F82:H82"/>
    <mergeCell ref="A82:E82"/>
    <mergeCell ref="G168:H168"/>
    <mergeCell ref="G164:H164"/>
    <mergeCell ref="G161:H161"/>
    <mergeCell ref="D106:D107"/>
    <mergeCell ref="A84:E84"/>
    <mergeCell ref="A109:B109"/>
    <mergeCell ref="A110:B110"/>
    <mergeCell ref="A119:H119"/>
    <mergeCell ref="A118:H118"/>
    <mergeCell ref="A149:B149"/>
    <mergeCell ref="A125:B125"/>
    <mergeCell ref="G121:H125"/>
    <mergeCell ref="A126:H126"/>
    <mergeCell ref="A123:B123"/>
    <mergeCell ref="A128:B128"/>
    <mergeCell ref="A138:H138"/>
    <mergeCell ref="A131:B131"/>
    <mergeCell ref="A134:B134"/>
    <mergeCell ref="A135:B135"/>
    <mergeCell ref="A137:B137"/>
    <mergeCell ref="A140:B140"/>
    <mergeCell ref="A39:B39"/>
    <mergeCell ref="C39:H39"/>
    <mergeCell ref="E69:F69"/>
    <mergeCell ref="G69:H69"/>
    <mergeCell ref="A70:B70"/>
    <mergeCell ref="E70:F79"/>
    <mergeCell ref="G70:H79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68:B68"/>
    <mergeCell ref="A62:C62"/>
    <mergeCell ref="A48:B48"/>
    <mergeCell ref="C48:H48"/>
    <mergeCell ref="C68:H68"/>
    <mergeCell ref="A69:B69"/>
    <mergeCell ref="L124:M124"/>
    <mergeCell ref="A120:H120"/>
    <mergeCell ref="A121:B121"/>
    <mergeCell ref="L121:M121"/>
    <mergeCell ref="A122:B122"/>
    <mergeCell ref="L123:M123"/>
    <mergeCell ref="G133:H137"/>
    <mergeCell ref="L149:M149"/>
    <mergeCell ref="L125:M125"/>
    <mergeCell ref="L122:M122"/>
    <mergeCell ref="L142:M142"/>
    <mergeCell ref="L136:M136"/>
    <mergeCell ref="L127:M127"/>
    <mergeCell ref="L128:M128"/>
    <mergeCell ref="A129:B129"/>
    <mergeCell ref="L129:M129"/>
    <mergeCell ref="A130:B130"/>
    <mergeCell ref="L130:M130"/>
    <mergeCell ref="L131:M131"/>
    <mergeCell ref="L133:M133"/>
    <mergeCell ref="L134:M134"/>
    <mergeCell ref="L135:M135"/>
    <mergeCell ref="L137:M137"/>
    <mergeCell ref="L139:M139"/>
    <mergeCell ref="A163:B163"/>
    <mergeCell ref="A91:E91"/>
    <mergeCell ref="G102:H102"/>
    <mergeCell ref="C97:D97"/>
    <mergeCell ref="E97:F97"/>
    <mergeCell ref="G97:H97"/>
    <mergeCell ref="A98:B98"/>
    <mergeCell ref="C98:D98"/>
    <mergeCell ref="E98:F98"/>
    <mergeCell ref="G98:H98"/>
    <mergeCell ref="A101:B101"/>
    <mergeCell ref="C101:D101"/>
    <mergeCell ref="E101:F101"/>
    <mergeCell ref="G100:H100"/>
    <mergeCell ref="A111:B111"/>
    <mergeCell ref="A104:H104"/>
    <mergeCell ref="G163:H163"/>
    <mergeCell ref="G110:H110"/>
    <mergeCell ref="G112:H112"/>
    <mergeCell ref="A106:A107"/>
    <mergeCell ref="A124:B124"/>
    <mergeCell ref="C38:H38"/>
    <mergeCell ref="A45:D45"/>
    <mergeCell ref="L112:M112"/>
    <mergeCell ref="L111:M111"/>
    <mergeCell ref="L110:M110"/>
    <mergeCell ref="L109:M109"/>
    <mergeCell ref="G101:H101"/>
    <mergeCell ref="F87:H87"/>
    <mergeCell ref="A81:E81"/>
    <mergeCell ref="A108:H108"/>
    <mergeCell ref="E106:E107"/>
    <mergeCell ref="G106:H107"/>
    <mergeCell ref="A44:D44"/>
    <mergeCell ref="A61:C61"/>
    <mergeCell ref="D61:H61"/>
    <mergeCell ref="A86:E86"/>
    <mergeCell ref="F86:H86"/>
    <mergeCell ref="A87:E87"/>
    <mergeCell ref="A89:E89"/>
    <mergeCell ref="F83:H83"/>
    <mergeCell ref="A88:E88"/>
    <mergeCell ref="A83:E83"/>
    <mergeCell ref="A112:B112"/>
    <mergeCell ref="F91:H91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6:D46"/>
    <mergeCell ref="A47:H47"/>
    <mergeCell ref="D57:H57"/>
    <mergeCell ref="A57:C57"/>
    <mergeCell ref="G50:H50"/>
    <mergeCell ref="A51:B52"/>
    <mergeCell ref="A49:B49"/>
    <mergeCell ref="C49:E49"/>
    <mergeCell ref="A38:B38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4:H34"/>
    <mergeCell ref="F33:H33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02:H205"/>
    <mergeCell ref="A201:B201"/>
    <mergeCell ref="E201:F201"/>
    <mergeCell ref="C201:D201"/>
    <mergeCell ref="G201:H201"/>
    <mergeCell ref="A94:H94"/>
    <mergeCell ref="A92:E92"/>
    <mergeCell ref="F92:H92"/>
    <mergeCell ref="A93:E93"/>
    <mergeCell ref="F93:H93"/>
    <mergeCell ref="A160:H160"/>
    <mergeCell ref="A169:B169"/>
    <mergeCell ref="A96:B96"/>
    <mergeCell ref="A197:H197"/>
    <mergeCell ref="A99:H99"/>
    <mergeCell ref="A200:H200"/>
    <mergeCell ref="A198:H198"/>
    <mergeCell ref="A194:H194"/>
    <mergeCell ref="A195:H195"/>
    <mergeCell ref="E100:F100"/>
    <mergeCell ref="B192:H192"/>
    <mergeCell ref="G111:H111"/>
    <mergeCell ref="G109:H109"/>
    <mergeCell ref="A157:B157"/>
    <mergeCell ref="B186:H186"/>
    <mergeCell ref="B187:H187"/>
    <mergeCell ref="B188:H188"/>
    <mergeCell ref="G179:H179"/>
    <mergeCell ref="G177:H177"/>
    <mergeCell ref="A184:H184"/>
    <mergeCell ref="A176:B176"/>
    <mergeCell ref="A177:B177"/>
    <mergeCell ref="G175:H175"/>
    <mergeCell ref="G180:H180"/>
    <mergeCell ref="A178:H178"/>
    <mergeCell ref="A179:B179"/>
    <mergeCell ref="A180:B180"/>
    <mergeCell ref="A183:B183"/>
    <mergeCell ref="G183:H183"/>
    <mergeCell ref="A182:B182"/>
    <mergeCell ref="G182:H182"/>
    <mergeCell ref="B185:H185"/>
    <mergeCell ref="A174:B174"/>
    <mergeCell ref="A175:B175"/>
    <mergeCell ref="A127:B127"/>
    <mergeCell ref="A173:B173"/>
    <mergeCell ref="A172:H172"/>
    <mergeCell ref="A166:H166"/>
    <mergeCell ref="A159:B159"/>
    <mergeCell ref="G169:H169"/>
    <mergeCell ref="G167:H167"/>
    <mergeCell ref="A156:B156"/>
    <mergeCell ref="A164:B164"/>
    <mergeCell ref="G165:H165"/>
    <mergeCell ref="G171:H171"/>
    <mergeCell ref="G170:H170"/>
    <mergeCell ref="A150:H150"/>
    <mergeCell ref="A151:B151"/>
    <mergeCell ref="G151:H154"/>
    <mergeCell ref="G174:H174"/>
    <mergeCell ref="G173:H173"/>
    <mergeCell ref="A170:B170"/>
    <mergeCell ref="A167:B167"/>
    <mergeCell ref="A168:B168"/>
    <mergeCell ref="A165:B165"/>
    <mergeCell ref="A162:B162"/>
    <mergeCell ref="B106:B107"/>
    <mergeCell ref="C106:C107"/>
    <mergeCell ref="A155:H155"/>
    <mergeCell ref="A139:B139"/>
    <mergeCell ref="G139:H143"/>
    <mergeCell ref="A154:B154"/>
    <mergeCell ref="G159:H159"/>
    <mergeCell ref="A142:B142"/>
    <mergeCell ref="G145:H149"/>
    <mergeCell ref="A152:B152"/>
    <mergeCell ref="A153:B153"/>
    <mergeCell ref="C114:C115"/>
    <mergeCell ref="A117:H117"/>
    <mergeCell ref="G127:H131"/>
    <mergeCell ref="A132:H132"/>
    <mergeCell ref="A133:B133"/>
    <mergeCell ref="A136:B136"/>
    <mergeCell ref="C139:F139"/>
    <mergeCell ref="G157:H157"/>
    <mergeCell ref="B114:B115"/>
    <mergeCell ref="A144:H144"/>
    <mergeCell ref="A145:B145"/>
    <mergeCell ref="A113:H113"/>
    <mergeCell ref="A114:A115"/>
    <mergeCell ref="D62:H62"/>
    <mergeCell ref="C96:D96"/>
    <mergeCell ref="E96:F96"/>
    <mergeCell ref="A65:C65"/>
    <mergeCell ref="D65:H65"/>
    <mergeCell ref="A105:H105"/>
    <mergeCell ref="G95:H95"/>
    <mergeCell ref="G103:H103"/>
    <mergeCell ref="C95:D95"/>
    <mergeCell ref="C102:D102"/>
    <mergeCell ref="A63:C63"/>
    <mergeCell ref="D63:H63"/>
    <mergeCell ref="A64:C64"/>
    <mergeCell ref="D64:H64"/>
    <mergeCell ref="A66:B66"/>
    <mergeCell ref="C66:H66"/>
    <mergeCell ref="A90:E90"/>
    <mergeCell ref="F84:H84"/>
    <mergeCell ref="A85:E85"/>
    <mergeCell ref="F89:H89"/>
    <mergeCell ref="F88:H88"/>
    <mergeCell ref="F80:H80"/>
    <mergeCell ref="F85:H85"/>
    <mergeCell ref="A80:E80"/>
    <mergeCell ref="E42:H42"/>
    <mergeCell ref="A42:D42"/>
    <mergeCell ref="G49:H49"/>
    <mergeCell ref="G51:H51"/>
    <mergeCell ref="D55:H55"/>
    <mergeCell ref="C51:E51"/>
    <mergeCell ref="A58:C58"/>
    <mergeCell ref="D58:H58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C52:H52"/>
    <mergeCell ref="A199:H199"/>
    <mergeCell ref="A196:H196"/>
    <mergeCell ref="G176:H176"/>
    <mergeCell ref="A161:B161"/>
    <mergeCell ref="A100:B100"/>
    <mergeCell ref="D114:D115"/>
    <mergeCell ref="E114:E115"/>
    <mergeCell ref="G114:H115"/>
    <mergeCell ref="F81:H81"/>
    <mergeCell ref="F90:H90"/>
    <mergeCell ref="E95:F95"/>
    <mergeCell ref="A95:B95"/>
    <mergeCell ref="A97:B97"/>
    <mergeCell ref="C100:D100"/>
    <mergeCell ref="G96:H96"/>
    <mergeCell ref="A103:B103"/>
    <mergeCell ref="C103:D103"/>
    <mergeCell ref="E103:F103"/>
    <mergeCell ref="A171:B171"/>
    <mergeCell ref="G156:H156"/>
    <mergeCell ref="A102:B102"/>
    <mergeCell ref="E102:F102"/>
    <mergeCell ref="A116:H116"/>
    <mergeCell ref="G162:H162"/>
  </mergeCells>
  <dataValidations count="8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"Mumbai,Thane,Palghar,Raigad,Pune"</formula1>
    </dataValidation>
    <dataValidation type="list" allowBlank="1" showInputMessage="1" showErrorMessage="1" sqref="E106:E107">
      <formula1>"Attached Loft area,Attached Terrace area,Attached Mezzanine area"</formula1>
    </dataValidation>
    <dataValidation type="list" allowBlank="1" showInputMessage="1" showErrorMessage="1" sqref="F107 F115">
      <formula1>"45%,50%,55%,60%"</formula1>
    </dataValidation>
    <dataValidation type="list" allowBlank="1" showInputMessage="1" showErrorMessage="1" sqref="G201:H201">
      <formula1>"Shruti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05" max="16383" man="1"/>
    <brk id="244" max="16383" man="1"/>
    <brk id="28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4" t="s">
        <v>109</v>
      </c>
      <c r="C3" s="184"/>
      <c r="D3" s="184"/>
      <c r="E3" s="184"/>
      <c r="F3" s="184"/>
      <c r="G3" s="184"/>
      <c r="H3" s="184"/>
    </row>
    <row r="4" spans="1:9" x14ac:dyDescent="0.35">
      <c r="A4" s="2"/>
      <c r="B4" s="3" t="s">
        <v>110</v>
      </c>
      <c r="C4" s="3" t="s">
        <v>111</v>
      </c>
      <c r="D4" s="3" t="s">
        <v>69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2025-07-18T10:35:36Z</cp:lastPrinted>
  <dcterms:created xsi:type="dcterms:W3CDTF">2019-07-16T09:29:46Z</dcterms:created>
  <dcterms:modified xsi:type="dcterms:W3CDTF">2025-07-18T10:36:38Z</dcterms:modified>
</cp:coreProperties>
</file>