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2-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2" i="1" l="1"/>
  <c r="M160" i="1"/>
  <c r="M161" i="1"/>
  <c r="M165" i="1"/>
  <c r="M166" i="1"/>
  <c r="M164" i="1"/>
  <c r="M167" i="1"/>
  <c r="L167" i="1"/>
  <c r="L160" i="1"/>
  <c r="L159" i="1"/>
  <c r="L158" i="1"/>
  <c r="L161" i="1"/>
  <c r="K163" i="1"/>
  <c r="I135" i="1"/>
  <c r="E168" i="1"/>
  <c r="E166" i="1"/>
  <c r="E165" i="1"/>
  <c r="E164" i="1"/>
  <c r="E162" i="1"/>
  <c r="E160" i="1"/>
  <c r="E159" i="1"/>
  <c r="E158" i="1"/>
  <c r="E8" i="1" l="1"/>
  <c r="I167" i="1"/>
  <c r="D168" i="1"/>
  <c r="D167" i="1"/>
  <c r="F167" i="1" s="1"/>
  <c r="K167" i="1" s="1"/>
  <c r="D166" i="1"/>
  <c r="D165" i="1"/>
  <c r="D164" i="1"/>
  <c r="F164" i="1" s="1"/>
  <c r="K164" i="1" s="1"/>
  <c r="D162" i="1"/>
  <c r="F162" i="1" s="1"/>
  <c r="K162" i="1" s="1"/>
  <c r="D161" i="1"/>
  <c r="D160" i="1"/>
  <c r="D159" i="1"/>
  <c r="D158" i="1"/>
  <c r="F158" i="1" s="1"/>
  <c r="K158" i="1" s="1"/>
  <c r="D152" i="1"/>
  <c r="F152" i="1" s="1"/>
  <c r="H152" i="1" s="1"/>
  <c r="D151" i="1"/>
  <c r="F151" i="1" s="1"/>
  <c r="H151" i="1" s="1"/>
  <c r="D150" i="1"/>
  <c r="F150" i="1" s="1"/>
  <c r="H150" i="1" s="1"/>
  <c r="D149" i="1"/>
  <c r="F149" i="1" s="1"/>
  <c r="H149" i="1" s="1"/>
  <c r="D148" i="1"/>
  <c r="D147" i="1"/>
  <c r="D146" i="1"/>
  <c r="D145" i="1"/>
  <c r="J156" i="1"/>
  <c r="I160" i="1"/>
  <c r="I158" i="1"/>
  <c r="I149" i="1"/>
  <c r="I146" i="1"/>
  <c r="C131" i="1" l="1"/>
  <c r="C132" i="1" s="1"/>
  <c r="F168" i="1"/>
  <c r="K168" i="1" s="1"/>
  <c r="F166" i="1"/>
  <c r="K166" i="1" s="1"/>
  <c r="C135" i="1"/>
  <c r="C136" i="1" s="1"/>
  <c r="F165" i="1"/>
  <c r="K165" i="1" s="1"/>
  <c r="F161" i="1"/>
  <c r="K161" i="1" s="1"/>
  <c r="F160" i="1"/>
  <c r="K160" i="1" s="1"/>
  <c r="F159" i="1"/>
  <c r="K159" i="1" s="1"/>
  <c r="E43" i="1"/>
  <c r="G135" i="1" l="1"/>
  <c r="G136" i="1" s="1"/>
  <c r="E135" i="1"/>
  <c r="E136"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L42" i="7" s="1"/>
  <c r="K42" i="7" s="1"/>
  <c r="I6" i="7"/>
  <c r="E6" i="7"/>
  <c r="E42" i="7" l="1"/>
  <c r="D42" i="7" s="1"/>
  <c r="D44" i="7" s="1"/>
  <c r="I42" i="7"/>
  <c r="H42" i="7" s="1"/>
  <c r="E44" i="7" l="1"/>
  <c r="E31" i="1"/>
  <c r="B200" i="1" l="1"/>
  <c r="F146" i="1" l="1"/>
  <c r="H146" i="1" s="1"/>
  <c r="F147" i="1"/>
  <c r="H147" i="1" s="1"/>
  <c r="F148" i="1"/>
  <c r="H148" i="1" s="1"/>
  <c r="F145" i="1"/>
  <c r="H145" i="1" l="1"/>
  <c r="G131" i="1" s="1"/>
  <c r="G132" i="1" s="1"/>
  <c r="E131" i="1"/>
  <c r="E132" i="1" s="1"/>
  <c r="G56" i="1"/>
  <c r="C56" i="1"/>
  <c r="S33" i="1" l="1"/>
  <c r="F11" i="5" l="1"/>
  <c r="G11" i="5" s="1"/>
  <c r="F10" i="5"/>
  <c r="G10" i="5" s="1"/>
  <c r="F9" i="5"/>
  <c r="G9" i="5" s="1"/>
  <c r="G8" i="5"/>
  <c r="F8" i="5"/>
  <c r="F7" i="5"/>
  <c r="G7" i="5" s="1"/>
  <c r="F6" i="5"/>
  <c r="G6" i="5" s="1"/>
  <c r="F5" i="5"/>
  <c r="G5" i="5" s="1"/>
  <c r="G12" i="5" s="1"/>
  <c r="D222" i="1"/>
  <c r="B201" i="1"/>
  <c r="F197" i="1"/>
  <c r="H197" i="1" s="1"/>
  <c r="F196" i="1"/>
  <c r="H196" i="1" s="1"/>
  <c r="F195" i="1"/>
  <c r="H195" i="1" s="1"/>
  <c r="F194" i="1"/>
  <c r="H194" i="1" s="1"/>
  <c r="F193" i="1"/>
  <c r="H193" i="1" s="1"/>
  <c r="F191" i="1"/>
  <c r="H191" i="1" s="1"/>
  <c r="F190" i="1"/>
  <c r="H190" i="1" s="1"/>
  <c r="F189" i="1"/>
  <c r="H189" i="1" s="1"/>
  <c r="F188" i="1"/>
  <c r="H188" i="1" s="1"/>
  <c r="F187" i="1"/>
  <c r="H187" i="1" s="1"/>
  <c r="F185" i="1"/>
  <c r="H185" i="1" s="1"/>
  <c r="F184" i="1"/>
  <c r="H184" i="1" s="1"/>
  <c r="F183" i="1"/>
  <c r="H183" i="1" s="1"/>
  <c r="F182" i="1"/>
  <c r="H182" i="1" s="1"/>
  <c r="F181" i="1"/>
  <c r="H181" i="1" s="1"/>
  <c r="F179" i="1"/>
  <c r="H179" i="1" s="1"/>
  <c r="F178" i="1"/>
  <c r="H178" i="1" s="1"/>
  <c r="F177" i="1"/>
  <c r="H177" i="1" s="1"/>
  <c r="F176" i="1"/>
  <c r="H176" i="1" s="1"/>
  <c r="F175" i="1"/>
  <c r="H175" i="1" s="1"/>
  <c r="A175" i="1"/>
  <c r="A176" i="1" s="1"/>
  <c r="A177" i="1" s="1"/>
  <c r="A178" i="1" s="1"/>
  <c r="A179" i="1" s="1"/>
  <c r="F173" i="1"/>
  <c r="H173" i="1" s="1"/>
  <c r="F172" i="1"/>
  <c r="H172" i="1" s="1"/>
  <c r="F171" i="1"/>
  <c r="H171" i="1" s="1"/>
  <c r="A171" i="1"/>
  <c r="A172" i="1" s="1"/>
  <c r="A173" i="1" s="1"/>
  <c r="F170" i="1"/>
  <c r="H170" i="1" s="1"/>
  <c r="A146" i="1"/>
  <c r="A147" i="1" s="1"/>
  <c r="A148" i="1" s="1"/>
  <c r="A149" i="1" s="1"/>
  <c r="A150" i="1" s="1"/>
  <c r="A151" i="1" s="1"/>
  <c r="A152" i="1" s="1"/>
  <c r="G137" i="1"/>
  <c r="E137" i="1"/>
  <c r="C137" i="1"/>
  <c r="F128" i="1"/>
  <c r="C101" i="1"/>
  <c r="C87" i="1"/>
  <c r="C73" i="1"/>
  <c r="D67" i="1"/>
  <c r="D62" i="1"/>
  <c r="C51" i="1"/>
  <c r="E44" i="1"/>
  <c r="E45" i="1" s="1"/>
  <c r="E28" i="1"/>
  <c r="E26" i="1"/>
  <c r="C16" i="1"/>
  <c r="I15" i="1"/>
  <c r="Z13" i="1"/>
  <c r="E3" i="1"/>
  <c r="A187" i="1"/>
  <c r="H88" i="1"/>
  <c r="A181" i="1"/>
  <c r="H102" i="1"/>
  <c r="A193" i="1"/>
  <c r="H74" i="1"/>
  <c r="J73" i="1" l="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C107" i="1"/>
  <c r="J101" i="1" s="1"/>
  <c r="J103" i="1" s="1"/>
  <c r="D110" i="1"/>
  <c r="D112" i="1"/>
  <c r="J106" i="1"/>
  <c r="C105" i="1" s="1"/>
  <c r="D105" i="1" s="1"/>
  <c r="D111" i="1"/>
  <c r="J105" i="1"/>
  <c r="D109" i="1"/>
  <c r="J104" i="1"/>
  <c r="D108" i="1"/>
  <c r="D114" i="1"/>
  <c r="D113" i="1"/>
  <c r="B102" i="1"/>
  <c r="B88" i="1"/>
  <c r="B74" i="1"/>
  <c r="J79" i="1" s="1"/>
  <c r="A188" i="1"/>
  <c r="A194" i="1"/>
  <c r="A182" i="1"/>
  <c r="C91" i="1" l="1"/>
  <c r="D91" i="1" s="1"/>
  <c r="I88" i="1" s="1"/>
  <c r="I89" i="1" s="1"/>
  <c r="D77" i="1"/>
  <c r="D107" i="1"/>
  <c r="J112" i="1"/>
  <c r="J109" i="1"/>
  <c r="J111" i="1"/>
  <c r="J110" i="1"/>
  <c r="J107" i="1"/>
  <c r="J108" i="1" s="1"/>
  <c r="J113" i="1" s="1"/>
  <c r="J114" i="1" s="1"/>
  <c r="C106" i="1" s="1"/>
  <c r="E105" i="1" s="1"/>
  <c r="J98" i="1"/>
  <c r="J95" i="1"/>
  <c r="J97" i="1"/>
  <c r="J96" i="1"/>
  <c r="J93" i="1"/>
  <c r="J94" i="1" s="1"/>
  <c r="J83" i="1"/>
  <c r="J82" i="1"/>
  <c r="J80" i="1"/>
  <c r="J85" i="1" s="1"/>
  <c r="J84" i="1"/>
  <c r="A189" i="1"/>
  <c r="A195" i="1"/>
  <c r="A183" i="1"/>
  <c r="J81" i="1" l="1"/>
  <c r="J86" i="1" s="1"/>
  <c r="G91" i="1"/>
  <c r="J99" i="1"/>
  <c r="J100" i="1" s="1"/>
  <c r="J88" i="1" s="1"/>
  <c r="I87" i="1" s="1"/>
  <c r="C89" i="1" s="1"/>
  <c r="D106" i="1"/>
  <c r="I102" i="1" s="1"/>
  <c r="J102" i="1"/>
  <c r="G105" i="1"/>
  <c r="A184" i="1"/>
  <c r="A190" i="1"/>
  <c r="A196" i="1"/>
  <c r="C78" i="1" l="1"/>
  <c r="E77" i="1" s="1"/>
  <c r="I103" i="1"/>
  <c r="I101" i="1" s="1"/>
  <c r="C103" i="1" s="1"/>
  <c r="A197" i="1"/>
  <c r="A191" i="1"/>
  <c r="A185" i="1"/>
  <c r="J74" i="1" l="1"/>
  <c r="D78" i="1"/>
  <c r="I74" i="1" s="1"/>
  <c r="I75" i="1" s="1"/>
  <c r="G77" i="1"/>
  <c r="D71" i="1" s="1"/>
  <c r="D72" i="1" s="1"/>
  <c r="F72" i="1" l="1"/>
  <c r="I73" i="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<sst xmlns="http://schemas.openxmlformats.org/spreadsheetml/2006/main" count="679" uniqueCount="391">
  <si>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</si>
  <si>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</si>
  <si>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</si>
  <si>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</si>
  <si>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</si>
  <si>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</si>
  <si>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</si>
  <si>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</si>
  <si>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</si>
  <si>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</si>
  <si>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</si>
  <si>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</si>
  <si>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</si>
  <si>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</si>
  <si>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</si>
  <si>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</si>
  <si>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</si>
  <si>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</si>
  <si>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</si>
  <si>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</si>
  <si>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</si>
  <si>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</si>
  <si>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</si>
  <si>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</si>
  <si>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</si>
  <si>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</si>
  <si>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</si>
  <si>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</si>
  <si>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</si>
  <si>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</si>
  <si>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</si>
  <si>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</si>
  <si>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</si>
  <si>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</si>
  <si>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</si>
  <si>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</si>
  <si>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</si>
  <si>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</si>
  <si>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</si>
  <si>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</si>
  <si>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</si>
  <si>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</si>
  <si>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</si>
  <si>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</si>
  <si>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</si>
  <si>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</si>
  <si>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</si>
  <si>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</si>
  <si>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</si>
  <si>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</si>
  <si>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</si>
  <si>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</si>
  <si>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</si>
  <si>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</si>
  <si>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</si>
  <si>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</si>
  <si>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</si>
  <si>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</si>
  <si>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</si>
  <si>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</si>
  <si>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</si>
  <si>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</si>
  <si>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</si>
  <si>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</si>
  <si>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</si>
  <si>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</si>
  <si>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</si>
  <si>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</si>
  <si>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</si>
  <si>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</si>
  <si>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</si>
  <si>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</si>
  <si>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</si>
  <si>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</si>
  <si>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</si>
  <si>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</si>
  <si>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</si>
  <si>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</si>
  <si>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</si>
  <si>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</si>
  <si>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</si>
  <si>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</si>
  <si>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</si>
  <si>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</si>
  <si>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</si>
  <si>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</si>
  <si>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</si>
  <si>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</si>
  <si>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</si>
  <si>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</si>
  <si>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</si>
  <si>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</si>
  <si>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</si>
  <si>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</si>
  <si>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</si>
  <si>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</si>
  <si>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</si>
  <si>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</si>
  <si>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</si>
  <si>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</si>
  <si>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</si>
  <si>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</si>
  <si>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</si>
  <si>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</si>
  <si>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</si>
  <si>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</si>
  <si>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</si>
  <si>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</si>
  <si>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</si>
  <si>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</si>
  <si>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</si>
  <si>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</si>
  <si>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</si>
  <si>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</si>
  <si>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</si>
  <si>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</si>
  <si>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</si>
  <si>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</si>
  <si>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</si>
  <si>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</si>
  <si>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</si>
  <si>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</si>
  <si>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</si>
  <si>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</si>
  <si>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</si>
  <si>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</si>
  <si>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</si>
  <si>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</si>
  <si>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</si>
  <si>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</si>
  <si>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</si>
  <si>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</si>
  <si>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</si>
  <si>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</si>
  <si>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</si>
  <si>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</si>
  <si>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</si>
  <si>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</si>
  <si>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</si>
  <si>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</si>
  <si>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</si>
  <si>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</si>
  <si>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</si>
  <si>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</si>
  <si>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</si>
  <si>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</si>
  <si>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</si>
  <si>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</si>
  <si>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</si>
  <si>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</si>
  <si>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</si>
  <si>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</si>
  <si>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</si>
  <si>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</si>
  <si>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</si>
  <si>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</si>
  <si>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</si>
  <si>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</si>
  <si>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</si>
  <si>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</si>
  <si>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</si>
  <si>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</si>
  <si>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</si>
  <si>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</si>
  <si>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</si>
  <si>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</si>
  <si>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</si>
  <si>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</si>
  <si>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</si>
  <si>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</si>
  <si>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</si>
  <si>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</si>
  <si>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</si>
  <si>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</si>
  <si>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</si>
  <si>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</si>
  <si>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</si>
  <si>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</si>
  <si>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</si>
  <si>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</si>
  <si>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</si>
  <si>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</si>
  <si>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</si>
  <si>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</si>
  <si>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</si>
  <si>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</si>
  <si>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</si>
  <si>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</si>
  <si>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</si>
  <si>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</si>
  <si>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</si>
  <si>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</si>
  <si>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</si>
  <si>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</si>
  <si>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</si>
  <si>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</si>
  <si>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</si>
  <si>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</si>
  <si>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</si>
  <si>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</si>
  <si>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</si>
  <si>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</si>
  <si>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</si>
  <si>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</si>
  <si>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</si>
  <si>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</si>
  <si>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</si>
  <si>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</si>
  <si>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</si>
  <si>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</si>
  <si>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</si>
  <si>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</si>
  <si>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</si>
  <si>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</si>
  <si>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</si>
  <si>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</si>
  <si>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</si>
  <si>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</si>
  <si>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</si>
  <si>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</si>
  <si>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</si>
  <si>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</si>
  <si>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</si>
  <si>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</si>
  <si>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</si>
  <si>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</si>
  <si>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</si>
  <si>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</si>
  <si>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</si>
  <si>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</si>
  <si>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</si>
  <si>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</si>
  <si>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</si>
  <si>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</si>
  <si>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</si>
  <si>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</si>
  <si>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</si>
  <si>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</si>
  <si>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</si>
  <si>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</si>
  <si>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</si>
  <si>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</si>
  <si>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</si>
  <si>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</si>
  <si>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</si>
  <si>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</si>
  <si>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</si>
  <si>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</si>
  <si>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</si>
  <si>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</si>
  <si>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</si>
  <si>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</si>
  <si>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</si>
  <si>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</si>
  <si>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</si>
  <si>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</si>
  <si>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</si>
  <si>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</si>
  <si>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</si>
  <si>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</si>
  <si>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</si>
  <si>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</si>
  <si>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</si>
  <si>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</si>
  <si>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</si>
  <si>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</si>
  <si>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</si>
  <si>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</si>
  <si>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</si>
  <si>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</si>
  <si>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</si>
  <si>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</si>
  <si>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</si>
  <si>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</si>
  <si>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</si>
  <si>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</si>
  <si>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</si>
  <si>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</si>
  <si>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</si>
  <si>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</si>
  <si>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</si>
  <si>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</si>
  <si>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</si>
  <si>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</si>
  <si>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</si>
  <si>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</si>
  <si>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</si>
  <si>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</si>
  <si>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</si>
  <si>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</si>
  <si>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</si>
  <si>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</si>
  <si>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</si>
  <si>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</si>
  <si>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</si>
  <si>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</si>
  <si>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</si>
  <si>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</si>
  <si>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</si>
  <si>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</si>
  <si>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</si>
  <si>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</si>
  <si>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</si>
  <si>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</si>
  <si>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</si>
  <si>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</si>
  <si>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</si>
  <si>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</si>
  <si>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</si>
  <si>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</si>
  <si>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</si>
  <si>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</si>
  <si>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</si>
  <si>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</si>
  <si>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</si>
  <si>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</si>
  <si>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</si>
  <si>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</si>
  <si>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</si>
  <si>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</si>
  <si>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</si>
  <si>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</si>
  <si>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</si>
  <si>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</si>
  <si>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</si>
  <si>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</si>
  <si>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</si>
  <si>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</si>
  <si>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</si>
  <si>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</si>
  <si>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</si>
  <si>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</si>
  <si>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P52000055718</t>
  </si>
  <si>
    <t>Paradise Superstructures</t>
  </si>
  <si>
    <t>Sai Platinum</t>
  </si>
  <si>
    <t xml:space="preserve">Aditi 8657998476
</t>
  </si>
  <si>
    <t>Rohinjan</t>
  </si>
  <si>
    <t>Valley Shilp Road</t>
  </si>
  <si>
    <t>Other Plot</t>
  </si>
  <si>
    <t>18 M W Road</t>
  </si>
  <si>
    <t>PMC/NRV/16353/JK-3293/2023</t>
  </si>
  <si>
    <t>PMC/TP/Rohinjan/93/1/21-23/16353/3293/2023</t>
  </si>
  <si>
    <t>2B + G + 1P + 2nd to 17th Floor (Total Builtup = 7660.75+338.06 = 7998.81)</t>
  </si>
  <si>
    <t>2B + G + 1P + 2nd to 17th Floor (Total Height = 58.350 Mtrs.)</t>
  </si>
  <si>
    <t>NAVI/WEST/B/011323/736787</t>
  </si>
  <si>
    <t>As per RERA - 30/12/2030</t>
  </si>
  <si>
    <t xml:space="preserve">2B + G + 1st to 17th Floor
</t>
  </si>
  <si>
    <t>1st Basement For Parking</t>
  </si>
  <si>
    <t>2nd Basement For Parking, Water &amp; Fire Tank &amp; Pump Room</t>
  </si>
  <si>
    <t>Ground Floor For Commercial, Meter Room, Fire Control Room &amp; Parking</t>
  </si>
  <si>
    <t>Shop</t>
  </si>
  <si>
    <t>1st Podium Floor For Amenities, Drivers Room, Creche &amp; Society Office</t>
  </si>
  <si>
    <t>2nd to 6th, 8th to 11th, 13th to 16th Floor For Residential</t>
  </si>
  <si>
    <t>2BHK</t>
  </si>
  <si>
    <t>3BHK</t>
  </si>
  <si>
    <t>7th, 12th &amp; 17th Floor (Part Refuge Area)</t>
  </si>
  <si>
    <t>1BHK</t>
  </si>
  <si>
    <t>Shops</t>
  </si>
  <si>
    <t>Flats</t>
  </si>
  <si>
    <t>Flats -80, Shops -8</t>
  </si>
  <si>
    <t>We considered Gross carpet area = Net carpet + Balcony</t>
  </si>
  <si>
    <t>Swimming Pool, Indoor Game, Fitness Center, Rooftop Lounge, Temple &amp; Meditation Center, Designer Podium Garden, Club House, Jogging Track, Kids Play Area, CCTV, Vastu Compliant  etc.</t>
  </si>
  <si>
    <t>93/1</t>
  </si>
  <si>
    <t>Survey No</t>
  </si>
  <si>
    <t xml:space="preserve">Sai World Empire </t>
  </si>
  <si>
    <t>7.5 KM from Kharghar Railway Station</t>
  </si>
  <si>
    <t>Kharghar East</t>
  </si>
  <si>
    <t>Building</t>
  </si>
  <si>
    <t>Sai World Lane</t>
  </si>
  <si>
    <t>19.0804502, 73.0741059</t>
  </si>
  <si>
    <t>https://maps.app.goo.gl/EevGFH8Fw6KfuXtq8</t>
  </si>
  <si>
    <t>Approved Plans, CC, Cost Sheet, Airport Noc, Fire Noc</t>
  </si>
  <si>
    <t>Outword/No/Pmc/Fire/2121/Ref.No.1220/2023/167
S. No. 93</t>
  </si>
  <si>
    <t xml:space="preserve">Airport Noc No
Site Elevation Height:
Permissible Top Elevation
</t>
  </si>
  <si>
    <t>11.83 M (AMSL)
160 M (AMSL)</t>
  </si>
  <si>
    <r>
      <t xml:space="preserve">Shop No.
</t>
    </r>
    <r>
      <rPr>
        <b/>
        <sz val="11"/>
        <color theme="1"/>
        <rFont val="Times New Roman"/>
        <family val="1"/>
      </rPr>
      <t>(Approved Plan)</t>
    </r>
  </si>
  <si>
    <r>
      <t xml:space="preserve">Flat No.
</t>
    </r>
    <r>
      <rPr>
        <b/>
        <sz val="11"/>
        <color theme="1"/>
        <rFont val="Times New Roman"/>
        <family val="1"/>
      </rPr>
      <t>(Approved Plan)</t>
    </r>
  </si>
  <si>
    <t>2B + G + 1st to 33rd Floor</t>
  </si>
  <si>
    <t>Builder Saleable Area</t>
  </si>
  <si>
    <r>
      <t xml:space="preserve">Proposed Amenities :                                                                                                                                                                                                                         </t>
    </r>
    <r>
      <rPr>
        <b/>
        <sz val="12"/>
        <color theme="1"/>
        <rFont val="Times New Roman"/>
        <family val="1"/>
      </rPr>
      <t xml:space="preserve">                                               </t>
    </r>
  </si>
  <si>
    <t>As per builder</t>
  </si>
  <si>
    <t>10K to 11K</t>
  </si>
  <si>
    <t>Balcony Area</t>
  </si>
  <si>
    <t>Pooja Kawale</t>
  </si>
  <si>
    <t>Rate 10000 &amp; Development + Club = 350000 by smith from cost sheet On 17/06/2025</t>
  </si>
  <si>
    <t>Development + Club Charges</t>
  </si>
  <si>
    <t>Recommended Rates &amp; Other charges of the Property have been revised on 17/06/2025.</t>
  </si>
  <si>
    <t>Other Charges</t>
  </si>
  <si>
    <t>Harish : 022 27839000</t>
  </si>
  <si>
    <t>Tushar Mohite</t>
  </si>
  <si>
    <t>Construction work is in process at the time of Visit (Labour found).
Internal photographs was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</si>
</sst>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wrapText="1"/>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0" fontId="6" fillId="0" borderId="1" xfId="1" applyFont="1" applyBorder="1" applyAlignment="1">
      <alignment horizontal="center" vertical="center"/>
    </xf>
    <xf numFmtId="0" fontId="6"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top" wrapText="1"/>
      <protection locked="0"/>
    </xf>
    <xf numFmtId="0" fontId="23" fillId="2" borderId="15" xfId="0" applyFont="1" applyFill="1" applyBorder="1"/>
    <xf numFmtId="0" fontId="24" fillId="0" borderId="9" xfId="0" applyFont="1" applyBorder="1"/>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8"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7" fillId="0" borderId="1" xfId="1" applyNumberFormat="1" applyFont="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1"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1" fontId="5" fillId="0" borderId="21" xfId="1" applyNumberFormat="1" applyFont="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7" fillId="0" borderId="16" xfId="1" applyFont="1" applyBorder="1" applyAlignment="1" applyProtection="1">
      <alignment horizontal="center" vertical="top"/>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2</xdr:col>
      <xdr:colOff>10870</xdr:colOff>
      <xdr:row>280</xdr:row>
      <xdr:rowOff>8181</xdr:rowOff>
    </xdr:from>
    <xdr:to>
      <xdr:col>5</xdr:col>
      <xdr:colOff>695929</xdr:colOff>
      <xdr:row>304</xdr:row>
      <xdr:rowOff>65040</xdr:rowOff>
    </xdr:to>
    <xdr:grpSp>
      <xdr:nvGrpSpPr>
        <xdr:cNvPr id="16" name="Group 15"/>
        <xdr:cNvGrpSpPr/>
      </xdr:nvGrpSpPr>
      <xdr:grpSpPr>
        <a:xfrm>
          <a:off x="1649170" y="46407631"/>
          <a:ext cx="3352059" cy="4781259"/>
          <a:chOff x="1568488" y="48596887"/>
          <a:chExt cx="3240000" cy="4897800"/>
        </a:xfrm>
      </xdr:grpSpPr>
      <xdr:pic>
        <xdr:nvPicPr>
          <xdr:cNvPr id="5" name="Picture 4"/>
          <xdr:cNvPicPr>
            <a:picLocks noChangeAspect="1"/>
          </xdr:cNvPicPr>
        </xdr:nvPicPr>
        <xdr:blipFill>
          <a:blip xmlns:r="http://schemas.openxmlformats.org/officeDocument/2006/relationships" r:embed="rId1"/>
          <a:stretch>
            <a:fillRect/>
          </a:stretch>
        </xdr:blipFill>
        <xdr:spPr>
          <a:xfrm rot="5400000">
            <a:off x="739588" y="49425787"/>
            <a:ext cx="4897800" cy="3240000"/>
          </a:xfrm>
          <a:prstGeom prst="rect">
            <a:avLst/>
          </a:prstGeom>
          <a:ln>
            <a:solidFill>
              <a:schemeClr val="tx1"/>
            </a:solidFill>
          </a:ln>
        </xdr:spPr>
      </xdr:pic>
      <xdr:cxnSp macro="">
        <xdr:nvCxnSpPr>
          <xdr:cNvPr id="12" name="Straight Arrow Connector 11"/>
          <xdr:cNvCxnSpPr/>
        </xdr:nvCxnSpPr>
        <xdr:spPr>
          <a:xfrm flipV="1">
            <a:off x="4504765" y="49115383"/>
            <a:ext cx="11206" cy="56029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168088</xdr:colOff>
      <xdr:row>280</xdr:row>
      <xdr:rowOff>11205</xdr:rowOff>
    </xdr:from>
    <xdr:to>
      <xdr:col>5</xdr:col>
      <xdr:colOff>694765</xdr:colOff>
      <xdr:row>282</xdr:row>
      <xdr:rowOff>123264</xdr:rowOff>
    </xdr:to>
    <xdr:sp macro="" textlink="">
      <xdr:nvSpPr>
        <xdr:cNvPr id="13" name="TextBox 12"/>
        <xdr:cNvSpPr txBox="1"/>
      </xdr:nvSpPr>
      <xdr:spPr>
        <a:xfrm>
          <a:off x="4280647" y="48599911"/>
          <a:ext cx="526677" cy="515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200" b="1">
              <a:solidFill>
                <a:srgbClr val="FF0000"/>
              </a:solidFill>
            </a:rPr>
            <a:t>N</a:t>
          </a:r>
        </a:p>
      </xdr:txBody>
    </xdr:sp>
    <xdr:clientData/>
  </xdr:twoCellAnchor>
  <xdr:twoCellAnchor>
    <xdr:from>
      <xdr:col>1</xdr:col>
      <xdr:colOff>717177</xdr:colOff>
      <xdr:row>262</xdr:row>
      <xdr:rowOff>145678</xdr:rowOff>
    </xdr:from>
    <xdr:to>
      <xdr:col>6</xdr:col>
      <xdr:colOff>64893</xdr:colOff>
      <xdr:row>279</xdr:row>
      <xdr:rowOff>23913</xdr:rowOff>
    </xdr:to>
    <xdr:grpSp>
      <xdr:nvGrpSpPr>
        <xdr:cNvPr id="19" name="Group 18"/>
        <xdr:cNvGrpSpPr/>
      </xdr:nvGrpSpPr>
      <xdr:grpSpPr>
        <a:xfrm>
          <a:off x="1517277" y="43001828"/>
          <a:ext cx="3633966" cy="3224685"/>
          <a:chOff x="1479177" y="45103678"/>
          <a:chExt cx="3437863" cy="3307235"/>
        </a:xfrm>
      </xdr:grpSpPr>
      <xdr:pic>
        <xdr:nvPicPr>
          <xdr:cNvPr id="4" name="Picture 3"/>
          <xdr:cNvPicPr>
            <a:picLocks noChangeAspect="1"/>
          </xdr:cNvPicPr>
        </xdr:nvPicPr>
        <xdr:blipFill>
          <a:blip xmlns:r="http://schemas.openxmlformats.org/officeDocument/2006/relationships" r:embed="rId2"/>
          <a:stretch>
            <a:fillRect/>
          </a:stretch>
        </xdr:blipFill>
        <xdr:spPr>
          <a:xfrm>
            <a:off x="1479177" y="45170913"/>
            <a:ext cx="3437863" cy="3240000"/>
          </a:xfrm>
          <a:prstGeom prst="rect">
            <a:avLst/>
          </a:prstGeom>
          <a:ln>
            <a:solidFill>
              <a:schemeClr val="tx1"/>
            </a:solidFill>
          </a:ln>
        </xdr:spPr>
      </xdr:pic>
      <xdr:grpSp>
        <xdr:nvGrpSpPr>
          <xdr:cNvPr id="18" name="Group 17"/>
          <xdr:cNvGrpSpPr/>
        </xdr:nvGrpSpPr>
        <xdr:grpSpPr>
          <a:xfrm>
            <a:off x="4381500" y="45103678"/>
            <a:ext cx="526677" cy="1075767"/>
            <a:chOff x="4381500" y="45103678"/>
            <a:chExt cx="526677" cy="1075767"/>
          </a:xfrm>
        </xdr:grpSpPr>
        <xdr:cxnSp macro="">
          <xdr:nvCxnSpPr>
            <xdr:cNvPr id="14" name="Straight Arrow Connector 13"/>
            <xdr:cNvCxnSpPr/>
          </xdr:nvCxnSpPr>
          <xdr:spPr>
            <a:xfrm flipV="1">
              <a:off x="4605618" y="45619150"/>
              <a:ext cx="11206" cy="56029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TextBox 14"/>
            <xdr:cNvSpPr txBox="1"/>
          </xdr:nvSpPr>
          <xdr:spPr>
            <a:xfrm>
              <a:off x="4381500" y="45103678"/>
              <a:ext cx="526677" cy="515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200" b="1">
                  <a:solidFill>
                    <a:srgbClr val="FF0000"/>
                  </a:solidFill>
                </a:rPr>
                <a:t>N</a:t>
              </a:r>
            </a:p>
          </xdr:txBody>
        </xdr:sp>
      </xdr:grpSp>
    </xdr:grpSp>
    <xdr:clientData/>
  </xdr:twoCellAnchor>
  <xdr:twoCellAnchor editAs="oneCell">
    <xdr:from>
      <xdr:col>10</xdr:col>
      <xdr:colOff>582706</xdr:colOff>
      <xdr:row>145</xdr:row>
      <xdr:rowOff>78443</xdr:rowOff>
    </xdr:from>
    <xdr:to>
      <xdr:col>14</xdr:col>
      <xdr:colOff>769414</xdr:colOff>
      <xdr:row>153</xdr:row>
      <xdr:rowOff>321939</xdr:rowOff>
    </xdr:to>
    <xdr:pic>
      <xdr:nvPicPr>
        <xdr:cNvPr id="20" name="Picture 19"/>
        <xdr:cNvPicPr>
          <a:picLocks noChangeAspect="1"/>
        </xdr:cNvPicPr>
      </xdr:nvPicPr>
      <xdr:blipFill>
        <a:blip xmlns:r="http://schemas.openxmlformats.org/officeDocument/2006/relationships" r:embed="rId3"/>
        <a:stretch>
          <a:fillRect/>
        </a:stretch>
      </xdr:blipFill>
      <xdr:spPr>
        <a:xfrm>
          <a:off x="8819030" y="25347708"/>
          <a:ext cx="3447619" cy="1857143"/>
        </a:xfrm>
        <a:prstGeom prst="rect">
          <a:avLst/>
        </a:prstGeom>
      </xdr:spPr>
    </xdr:pic>
    <xdr:clientData/>
  </xdr:twoCellAnchor>
  <xdr:twoCellAnchor editAs="oneCell">
    <xdr:from>
      <xdr:col>13</xdr:col>
      <xdr:colOff>806823</xdr:colOff>
      <xdr:row>157</xdr:row>
      <xdr:rowOff>134470</xdr:rowOff>
    </xdr:from>
    <xdr:to>
      <xdr:col>18</xdr:col>
      <xdr:colOff>641101</xdr:colOff>
      <xdr:row>166</xdr:row>
      <xdr:rowOff>14355</xdr:rowOff>
    </xdr:to>
    <xdr:pic>
      <xdr:nvPicPr>
        <xdr:cNvPr id="21" name="Picture 20"/>
        <xdr:cNvPicPr>
          <a:picLocks noChangeAspect="1"/>
        </xdr:cNvPicPr>
      </xdr:nvPicPr>
      <xdr:blipFill>
        <a:blip xmlns:r="http://schemas.openxmlformats.org/officeDocument/2006/relationships" r:embed="rId4"/>
        <a:stretch>
          <a:fillRect/>
        </a:stretch>
      </xdr:blipFill>
      <xdr:spPr>
        <a:xfrm>
          <a:off x="11463617" y="28025911"/>
          <a:ext cx="3476190" cy="1695238"/>
        </a:xfrm>
        <a:prstGeom prst="rect">
          <a:avLst/>
        </a:prstGeom>
      </xdr:spPr>
    </xdr:pic>
    <xdr:clientData/>
  </xdr:twoCellAnchor>
  <xdr:twoCellAnchor editAs="oneCell">
    <xdr:from>
      <xdr:col>13</xdr:col>
      <xdr:colOff>683559</xdr:colOff>
      <xdr:row>153</xdr:row>
      <xdr:rowOff>302560</xdr:rowOff>
    </xdr:from>
    <xdr:to>
      <xdr:col>18</xdr:col>
      <xdr:colOff>498790</xdr:colOff>
      <xdr:row>159</xdr:row>
      <xdr:rowOff>138238</xdr:rowOff>
    </xdr:to>
    <xdr:pic>
      <xdr:nvPicPr>
        <xdr:cNvPr id="22" name="Picture 21"/>
        <xdr:cNvPicPr>
          <a:picLocks noChangeAspect="1"/>
        </xdr:cNvPicPr>
      </xdr:nvPicPr>
      <xdr:blipFill>
        <a:blip xmlns:r="http://schemas.openxmlformats.org/officeDocument/2006/relationships" r:embed="rId5"/>
        <a:stretch>
          <a:fillRect/>
        </a:stretch>
      </xdr:blipFill>
      <xdr:spPr>
        <a:xfrm>
          <a:off x="11340353" y="27185472"/>
          <a:ext cx="3457143" cy="1247619"/>
        </a:xfrm>
        <a:prstGeom prst="rect">
          <a:avLst/>
        </a:prstGeom>
      </xdr:spPr>
    </xdr:pic>
    <xdr:clientData/>
  </xdr:twoCellAnchor>
  <xdr:twoCellAnchor editAs="oneCell">
    <xdr:from>
      <xdr:col>13</xdr:col>
      <xdr:colOff>515472</xdr:colOff>
      <xdr:row>167</xdr:row>
      <xdr:rowOff>56031</xdr:rowOff>
    </xdr:from>
    <xdr:to>
      <xdr:col>18</xdr:col>
      <xdr:colOff>292608</xdr:colOff>
      <xdr:row>200</xdr:row>
      <xdr:rowOff>57023</xdr:rowOff>
    </xdr:to>
    <xdr:pic>
      <xdr:nvPicPr>
        <xdr:cNvPr id="23" name="Picture 22"/>
        <xdr:cNvPicPr>
          <a:picLocks noChangeAspect="1"/>
        </xdr:cNvPicPr>
      </xdr:nvPicPr>
      <xdr:blipFill>
        <a:blip xmlns:r="http://schemas.openxmlformats.org/officeDocument/2006/relationships" r:embed="rId6"/>
        <a:stretch>
          <a:fillRect/>
        </a:stretch>
      </xdr:blipFill>
      <xdr:spPr>
        <a:xfrm>
          <a:off x="11172266" y="29964531"/>
          <a:ext cx="3419048" cy="1028571"/>
        </a:xfrm>
        <a:prstGeom prst="rect">
          <a:avLst/>
        </a:prstGeom>
      </xdr:spPr>
    </xdr:pic>
    <xdr:clientData/>
  </xdr:twoCellAnchor>
  <xdr:twoCellAnchor editAs="oneCell">
    <xdr:from>
      <xdr:col>9</xdr:col>
      <xdr:colOff>291354</xdr:colOff>
      <xdr:row>137</xdr:row>
      <xdr:rowOff>190500</xdr:rowOff>
    </xdr:from>
    <xdr:to>
      <xdr:col>11</xdr:col>
      <xdr:colOff>499574</xdr:colOff>
      <xdr:row>148</xdr:row>
      <xdr:rowOff>44514</xdr:rowOff>
    </xdr:to>
    <xdr:pic>
      <xdr:nvPicPr>
        <xdr:cNvPr id="24" name="Picture 23"/>
        <xdr:cNvPicPr>
          <a:picLocks noChangeAspect="1"/>
        </xdr:cNvPicPr>
      </xdr:nvPicPr>
      <xdr:blipFill>
        <a:blip xmlns:r="http://schemas.openxmlformats.org/officeDocument/2006/relationships" r:embed="rId7"/>
        <a:stretch>
          <a:fillRect/>
        </a:stretch>
      </xdr:blipFill>
      <xdr:spPr>
        <a:xfrm>
          <a:off x="7765678" y="24933088"/>
          <a:ext cx="1676190" cy="2476190"/>
        </a:xfrm>
        <a:prstGeom prst="rect">
          <a:avLst/>
        </a:prstGeom>
      </xdr:spPr>
    </xdr:pic>
    <xdr:clientData/>
  </xdr:twoCellAnchor>
  <xdr:twoCellAnchor editAs="oneCell">
    <xdr:from>
      <xdr:col>1</xdr:col>
      <xdr:colOff>381001</xdr:colOff>
      <xdr:row>306</xdr:row>
      <xdr:rowOff>33618</xdr:rowOff>
    </xdr:from>
    <xdr:to>
      <xdr:col>6</xdr:col>
      <xdr:colOff>252903</xdr:colOff>
      <xdr:row>324</xdr:row>
      <xdr:rowOff>2912</xdr:rowOff>
    </xdr:to>
    <xdr:pic>
      <xdr:nvPicPr>
        <xdr:cNvPr id="25" name="Picture 24"/>
        <xdr:cNvPicPr>
          <a:picLocks noChangeAspect="1"/>
        </xdr:cNvPicPr>
      </xdr:nvPicPr>
      <xdr:blipFill>
        <a:blip xmlns:r="http://schemas.openxmlformats.org/officeDocument/2006/relationships" r:embed="rId8"/>
        <a:stretch>
          <a:fillRect/>
        </a:stretch>
      </xdr:blipFill>
      <xdr:spPr>
        <a:xfrm>
          <a:off x="1143001" y="54068383"/>
          <a:ext cx="3962049" cy="3600000"/>
        </a:xfrm>
        <a:prstGeom prst="rect">
          <a:avLst/>
        </a:prstGeom>
        <a:ln>
          <a:solidFill>
            <a:schemeClr val="tx1"/>
          </a:solidFill>
        </a:ln>
      </xdr:spPr>
    </xdr:pic>
    <xdr:clientData/>
  </xdr:twoCellAnchor>
  <xdr:twoCellAnchor>
    <xdr:from>
      <xdr:col>1</xdr:col>
      <xdr:colOff>5160</xdr:colOff>
      <xdr:row>325</xdr:row>
      <xdr:rowOff>44608</xdr:rowOff>
    </xdr:from>
    <xdr:to>
      <xdr:col>6</xdr:col>
      <xdr:colOff>680949</xdr:colOff>
      <xdr:row>346</xdr:row>
      <xdr:rowOff>128784</xdr:rowOff>
    </xdr:to>
    <xdr:grpSp>
      <xdr:nvGrpSpPr>
        <xdr:cNvPr id="28" name="Group 27"/>
        <xdr:cNvGrpSpPr/>
      </xdr:nvGrpSpPr>
      <xdr:grpSpPr>
        <a:xfrm>
          <a:off x="805260" y="55302308"/>
          <a:ext cx="4962039" cy="4218026"/>
          <a:chOff x="811981" y="57855755"/>
          <a:chExt cx="4765936" cy="4320000"/>
        </a:xfrm>
      </xdr:grpSpPr>
      <xdr:pic>
        <xdr:nvPicPr>
          <xdr:cNvPr id="26" name="Picture 25"/>
          <xdr:cNvPicPr>
            <a:picLocks noChangeAspect="1"/>
          </xdr:cNvPicPr>
        </xdr:nvPicPr>
        <xdr:blipFill>
          <a:blip xmlns:r="http://schemas.openxmlformats.org/officeDocument/2006/relationships" r:embed="rId9"/>
          <a:stretch>
            <a:fillRect/>
          </a:stretch>
        </xdr:blipFill>
        <xdr:spPr>
          <a:xfrm>
            <a:off x="811981" y="57855755"/>
            <a:ext cx="4765936" cy="4320000"/>
          </a:xfrm>
          <a:prstGeom prst="rect">
            <a:avLst/>
          </a:prstGeom>
          <a:ln>
            <a:solidFill>
              <a:schemeClr val="tx1"/>
            </a:solidFill>
          </a:ln>
        </xdr:spPr>
      </xdr:pic>
      <xdr:sp macro="" textlink="">
        <xdr:nvSpPr>
          <xdr:cNvPr id="27" name="Rectangle 26"/>
          <xdr:cNvSpPr/>
        </xdr:nvSpPr>
        <xdr:spPr>
          <a:xfrm rot="19326618">
            <a:off x="2134512" y="58989477"/>
            <a:ext cx="1332087" cy="195776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9</xdr:col>
      <xdr:colOff>107950</xdr:colOff>
      <xdr:row>116</xdr:row>
      <xdr:rowOff>88901</xdr:rowOff>
    </xdr:from>
    <xdr:to>
      <xdr:col>12</xdr:col>
      <xdr:colOff>126050</xdr:colOff>
      <xdr:row>129</xdr:row>
      <xdr:rowOff>12039</xdr:rowOff>
    </xdr:to>
    <xdr:pic>
      <xdr:nvPicPr>
        <xdr:cNvPr id="36" name="Picture 35"/>
        <xdr:cNvPicPr>
          <a:picLocks noChangeAspect="1"/>
        </xdr:cNvPicPr>
      </xdr:nvPicPr>
      <xdr:blipFill>
        <a:blip xmlns:r="http://schemas.openxmlformats.org/officeDocument/2006/relationships" r:embed="rId10"/>
        <a:stretch>
          <a:fillRect/>
        </a:stretch>
      </xdr:blipFill>
      <xdr:spPr>
        <a:xfrm>
          <a:off x="7950200" y="20580351"/>
          <a:ext cx="2520000" cy="907388"/>
        </a:xfrm>
        <a:prstGeom prst="rect">
          <a:avLst/>
        </a:prstGeom>
        <a:ln>
          <a:solidFill>
            <a:schemeClr val="tx1"/>
          </a:solidFill>
        </a:ln>
      </xdr:spPr>
    </xdr:pic>
    <xdr:clientData/>
  </xdr:twoCellAnchor>
  <xdr:twoCellAnchor editAs="oneCell">
    <xdr:from>
      <xdr:col>9</xdr:col>
      <xdr:colOff>82550</xdr:colOff>
      <xdr:row>129</xdr:row>
      <xdr:rowOff>88900</xdr:rowOff>
    </xdr:from>
    <xdr:to>
      <xdr:col>12</xdr:col>
      <xdr:colOff>100650</xdr:colOff>
      <xdr:row>133</xdr:row>
      <xdr:rowOff>167296</xdr:rowOff>
    </xdr:to>
    <xdr:pic>
      <xdr:nvPicPr>
        <xdr:cNvPr id="37" name="Picture 36"/>
        <xdr:cNvPicPr>
          <a:picLocks noChangeAspect="1"/>
        </xdr:cNvPicPr>
      </xdr:nvPicPr>
      <xdr:blipFill>
        <a:blip xmlns:r="http://schemas.openxmlformats.org/officeDocument/2006/relationships" r:embed="rId11"/>
        <a:stretch>
          <a:fillRect/>
        </a:stretch>
      </xdr:blipFill>
      <xdr:spPr>
        <a:xfrm>
          <a:off x="7924800" y="21564600"/>
          <a:ext cx="2520000" cy="865796"/>
        </a:xfrm>
        <a:prstGeom prst="rect">
          <a:avLst/>
        </a:prstGeom>
        <a:ln>
          <a:solidFill>
            <a:schemeClr val="tx1"/>
          </a:solidFill>
        </a:ln>
      </xdr:spPr>
    </xdr:pic>
    <xdr:clientData/>
  </xdr:twoCellAnchor>
  <xdr:twoCellAnchor>
    <xdr:from>
      <xdr:col>0</xdr:col>
      <xdr:colOff>114300</xdr:colOff>
      <xdr:row>222</xdr:row>
      <xdr:rowOff>101600</xdr:rowOff>
    </xdr:from>
    <xdr:to>
      <xdr:col>7</xdr:col>
      <xdr:colOff>645895</xdr:colOff>
      <xdr:row>260</xdr:row>
      <xdr:rowOff>76200</xdr:rowOff>
    </xdr:to>
    <xdr:grpSp>
      <xdr:nvGrpSpPr>
        <xdr:cNvPr id="2" name="Group 1"/>
        <xdr:cNvGrpSpPr/>
      </xdr:nvGrpSpPr>
      <xdr:grpSpPr>
        <a:xfrm>
          <a:off x="114300" y="35090100"/>
          <a:ext cx="6386295" cy="7448550"/>
          <a:chOff x="114300" y="35090100"/>
          <a:chExt cx="6386295" cy="7448550"/>
        </a:xfrm>
      </xdr:grpSpPr>
      <xdr:pic>
        <xdr:nvPicPr>
          <xdr:cNvPr id="29" name="Picture 2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75024" y="35090100"/>
            <a:ext cx="3840000" cy="288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14300" y="38094375"/>
            <a:ext cx="2880000"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14300" y="40378650"/>
            <a:ext cx="1620000"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880595" y="40378650"/>
            <a:ext cx="1613250"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880595" y="38094375"/>
            <a:ext cx="1620000"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240387" y="35090100"/>
            <a:ext cx="2160000" cy="288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867447" y="40378650"/>
            <a:ext cx="2880000"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128857" y="38094375"/>
            <a:ext cx="162000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evGFH8Fw6KfuXtq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06"/>
  <sheetViews>
    <sheetView tabSelected="1" view="pageBreakPreview" zoomScaleNormal="100" zoomScaleSheetLayoutView="100" zoomScalePageLayoutView="85" workbookViewId="0">
      <selection activeCell="J4" sqref="J4"/>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01" t="s">
        <v>165</v>
      </c>
      <c r="B1" s="201"/>
      <c r="C1" s="201"/>
      <c r="D1" s="201"/>
      <c r="E1" s="201"/>
      <c r="F1" s="201"/>
      <c r="G1" s="201"/>
      <c r="H1" s="201"/>
    </row>
    <row r="2" spans="1:26" ht="16.5" customHeight="1" x14ac:dyDescent="0.35">
      <c r="A2" s="202" t="s">
        <v>0</v>
      </c>
      <c r="B2" s="202"/>
      <c r="C2" s="202"/>
      <c r="D2" s="202"/>
      <c r="E2" s="202"/>
      <c r="F2" s="202"/>
      <c r="G2" s="202"/>
      <c r="H2" s="202"/>
    </row>
    <row r="3" spans="1:26" x14ac:dyDescent="0.35">
      <c r="A3" s="203" t="s">
        <v>1</v>
      </c>
      <c r="B3" s="203"/>
      <c r="C3" s="203"/>
      <c r="D3" s="203"/>
      <c r="E3" s="203" t="str">
        <f ca="1">TEXT(TODAY(),"DD/MM/YYYY")</f>
        <v>22/07/2025</v>
      </c>
      <c r="F3" s="203"/>
      <c r="G3" s="203"/>
      <c r="H3" s="203"/>
      <c r="K3" s="58" t="s">
        <v>237</v>
      </c>
      <c r="L3" s="55" t="s">
        <v>235</v>
      </c>
      <c r="M3" s="55" t="s">
        <v>240</v>
      </c>
      <c r="N3" s="55" t="s">
        <v>238</v>
      </c>
      <c r="O3" s="55" t="s">
        <v>239</v>
      </c>
      <c r="P3" s="55" t="s">
        <v>241</v>
      </c>
    </row>
    <row r="4" spans="1:26" ht="15" customHeight="1" x14ac:dyDescent="0.35">
      <c r="A4" s="203" t="s">
        <v>234</v>
      </c>
      <c r="B4" s="203"/>
      <c r="C4" s="203"/>
      <c r="D4" s="203"/>
      <c r="E4" s="137" t="s">
        <v>235</v>
      </c>
      <c r="F4" s="137"/>
      <c r="G4" s="137"/>
      <c r="H4" s="137"/>
      <c r="K4" s="54" t="s">
        <v>236</v>
      </c>
      <c r="L4" s="55" t="s">
        <v>171</v>
      </c>
      <c r="M4" s="55" t="s">
        <v>245</v>
      </c>
      <c r="N4" s="55" t="s">
        <v>247</v>
      </c>
      <c r="O4" s="55" t="s">
        <v>249</v>
      </c>
      <c r="P4" s="55"/>
    </row>
    <row r="5" spans="1:26" ht="15" customHeight="1" x14ac:dyDescent="0.35">
      <c r="A5" s="203" t="s">
        <v>2</v>
      </c>
      <c r="B5" s="203"/>
      <c r="C5" s="203"/>
      <c r="D5" s="203"/>
      <c r="E5" s="137" t="s">
        <v>243</v>
      </c>
      <c r="F5" s="137"/>
      <c r="G5" s="137"/>
      <c r="H5" s="137"/>
      <c r="K5" s="54"/>
      <c r="L5" s="55" t="s">
        <v>242</v>
      </c>
      <c r="M5" s="55" t="s">
        <v>246</v>
      </c>
      <c r="N5" s="55" t="s">
        <v>248</v>
      </c>
      <c r="O5" s="55" t="s">
        <v>250</v>
      </c>
      <c r="P5" s="55"/>
    </row>
    <row r="6" spans="1:26" x14ac:dyDescent="0.35">
      <c r="A6" s="203" t="s">
        <v>3</v>
      </c>
      <c r="B6" s="203"/>
      <c r="C6" s="203"/>
      <c r="D6" s="203"/>
      <c r="E6" s="205">
        <v>45860</v>
      </c>
      <c r="F6" s="203"/>
      <c r="G6" s="203"/>
      <c r="H6" s="203"/>
      <c r="K6" s="54"/>
      <c r="L6" s="55" t="s">
        <v>243</v>
      </c>
      <c r="M6" s="55"/>
      <c r="N6" s="55"/>
      <c r="O6" s="55" t="s">
        <v>251</v>
      </c>
      <c r="P6" s="55"/>
    </row>
    <row r="7" spans="1:26" ht="16.5" customHeight="1" x14ac:dyDescent="0.35">
      <c r="A7" s="203" t="s">
        <v>4</v>
      </c>
      <c r="B7" s="203"/>
      <c r="C7" s="203"/>
      <c r="D7" s="203"/>
      <c r="E7" s="203" t="s">
        <v>333</v>
      </c>
      <c r="F7" s="203"/>
      <c r="G7" s="203"/>
      <c r="H7" s="203"/>
      <c r="K7" s="54"/>
      <c r="L7" s="55" t="s">
        <v>244</v>
      </c>
      <c r="M7" s="55"/>
      <c r="N7" s="55"/>
      <c r="O7" s="55" t="s">
        <v>251</v>
      </c>
      <c r="P7" s="55"/>
    </row>
    <row r="8" spans="1:26" ht="15" customHeight="1" x14ac:dyDescent="0.35">
      <c r="A8" s="203" t="s">
        <v>5</v>
      </c>
      <c r="B8" s="203"/>
      <c r="C8" s="203"/>
      <c r="D8" s="203"/>
      <c r="E8" s="203" t="str">
        <f>E7</f>
        <v>Paradise Superstructures</v>
      </c>
      <c r="F8" s="203"/>
      <c r="G8" s="203"/>
      <c r="H8" s="203"/>
      <c r="K8" s="54"/>
      <c r="L8" s="55"/>
      <c r="M8" s="55"/>
      <c r="N8" s="55"/>
      <c r="O8" s="55" t="s">
        <v>252</v>
      </c>
      <c r="P8" s="55"/>
    </row>
    <row r="9" spans="1:26" x14ac:dyDescent="0.35">
      <c r="A9" s="203" t="s">
        <v>6</v>
      </c>
      <c r="B9" s="203"/>
      <c r="C9" s="203"/>
      <c r="D9" s="203"/>
      <c r="E9" s="204" t="s">
        <v>334</v>
      </c>
      <c r="F9" s="204"/>
      <c r="G9" s="204"/>
      <c r="H9" s="204"/>
      <c r="K9" s="54"/>
      <c r="L9" s="55"/>
      <c r="M9" s="55"/>
      <c r="N9" s="55"/>
      <c r="O9" s="55" t="s">
        <v>253</v>
      </c>
      <c r="P9" s="55"/>
    </row>
    <row r="10" spans="1:26" x14ac:dyDescent="0.35">
      <c r="A10" s="203" t="s">
        <v>168</v>
      </c>
      <c r="B10" s="203"/>
      <c r="C10" s="203"/>
      <c r="D10" s="203"/>
      <c r="E10" s="200" t="s">
        <v>335</v>
      </c>
      <c r="F10" s="203"/>
      <c r="G10" s="203"/>
      <c r="H10" s="203"/>
      <c r="K10" s="54"/>
      <c r="L10" s="55"/>
      <c r="M10" s="55"/>
      <c r="N10" s="55"/>
      <c r="O10" s="55"/>
      <c r="P10" s="55"/>
    </row>
    <row r="11" spans="1:26" hidden="1" x14ac:dyDescent="0.35">
      <c r="A11" s="203" t="s">
        <v>169</v>
      </c>
      <c r="B11" s="203"/>
      <c r="C11" s="203"/>
      <c r="D11" s="203"/>
      <c r="E11" s="203" t="s">
        <v>388</v>
      </c>
      <c r="F11" s="203"/>
      <c r="G11" s="203"/>
      <c r="H11" s="203"/>
    </row>
    <row r="12" spans="1:26" x14ac:dyDescent="0.35">
      <c r="A12" s="203" t="s">
        <v>7</v>
      </c>
      <c r="B12" s="203"/>
      <c r="C12" s="203"/>
      <c r="D12" s="203"/>
      <c r="E12" s="203" t="s">
        <v>118</v>
      </c>
      <c r="F12" s="203"/>
      <c r="G12" s="203"/>
      <c r="H12" s="203"/>
    </row>
    <row r="13" spans="1:26" x14ac:dyDescent="0.35">
      <c r="A13" s="206" t="s">
        <v>172</v>
      </c>
      <c r="B13" s="206"/>
      <c r="C13" s="206"/>
      <c r="D13" s="206"/>
      <c r="E13" s="203" t="s">
        <v>28</v>
      </c>
      <c r="F13" s="203"/>
      <c r="G13" s="203"/>
      <c r="H13" s="203"/>
      <c r="S13" s="55" t="s">
        <v>179</v>
      </c>
      <c r="T13" s="55" t="s">
        <v>189</v>
      </c>
      <c r="U13" s="55" t="s">
        <v>173</v>
      </c>
      <c r="V13" s="55" t="s">
        <v>194</v>
      </c>
      <c r="W13" s="55" t="s">
        <v>212</v>
      </c>
      <c r="X13"/>
      <c r="Y13" t="s">
        <v>194</v>
      </c>
      <c r="Z13" t="e">
        <f ca="1">OFFSET($S$13,1,MATCH($G20,$S$13:$W$13,0)-1,15,1)</f>
        <v>#VALUE!</v>
      </c>
    </row>
    <row r="14" spans="1:26" ht="32.25" customHeight="1" x14ac:dyDescent="0.35">
      <c r="A14" s="199" t="s">
        <v>280</v>
      </c>
      <c r="B14" s="199"/>
      <c r="C14" s="199"/>
      <c r="D14" s="199"/>
      <c r="E14" s="136" t="s">
        <v>371</v>
      </c>
      <c r="F14" s="136"/>
      <c r="G14" s="136"/>
      <c r="H14" s="136"/>
      <c r="S14" s="55" t="s">
        <v>180</v>
      </c>
      <c r="T14" s="55" t="s">
        <v>187</v>
      </c>
      <c r="U14" s="55" t="s">
        <v>209</v>
      </c>
      <c r="V14" s="55" t="s">
        <v>195</v>
      </c>
      <c r="W14" s="55" t="s">
        <v>213</v>
      </c>
      <c r="X14"/>
      <c r="Y14"/>
      <c r="Z14"/>
    </row>
    <row r="15" spans="1:26" x14ac:dyDescent="0.35">
      <c r="A15" s="116" t="s">
        <v>8</v>
      </c>
      <c r="B15" s="116"/>
      <c r="C15" s="116"/>
      <c r="D15" s="116"/>
      <c r="E15" s="136" t="s">
        <v>332</v>
      </c>
      <c r="F15" s="137"/>
      <c r="G15" s="137"/>
      <c r="H15" s="137"/>
      <c r="I15" s="111" t="e">
        <f ca="1">OFFSET($D$5,1,MATCH($J13,$D$5:$H$5,0)-1,15,1)</f>
        <v>#N/A</v>
      </c>
      <c r="J15" s="112"/>
      <c r="K15" s="112"/>
      <c r="L15" s="112"/>
      <c r="M15" s="112"/>
      <c r="N15" s="112"/>
      <c r="O15" s="112"/>
      <c r="P15" s="112"/>
      <c r="S15" s="55" t="s">
        <v>181</v>
      </c>
      <c r="T15" s="55" t="s">
        <v>188</v>
      </c>
      <c r="U15" s="55" t="s">
        <v>210</v>
      </c>
      <c r="V15" s="55" t="s">
        <v>196</v>
      </c>
      <c r="W15" s="55" t="s">
        <v>226</v>
      </c>
      <c r="X15"/>
      <c r="Y15"/>
      <c r="Z15"/>
    </row>
    <row r="16" spans="1:26" ht="36.75" customHeight="1" x14ac:dyDescent="0.35">
      <c r="A16" s="122" t="s">
        <v>9</v>
      </c>
      <c r="B16" s="122"/>
      <c r="C16" s="122" t="str">
        <f>CONCATENATE((IF(OR(E9="",E9="NA"),"",E9)),", ",(IF(OR(A17="",A17="NA"),"",A17)),".",(IF(OR(C17="",C17="NA"),"",C17)),", near ",(IF(OR(C22="",C22="NA"),"",C22)),", ",(IF(OR(C19="",C19="NA"),"",C19)),", ",(IF(OR(C18="",C18="NA"),"",C18)),", ",(IF(OR(G19="",G19="NA"),"",G19)),", ",(IF(OR(C20="",C20="NA"),"",C20)),", ",(IF(OR(C21="",C21="NA"),"",C21)),", ",(IF(OR(G20="",G20="NA"),"",G20))," - ",(IF(OR(G21="",G21="NA"),"",G21)),".")</f>
        <v>Sai Platinum, Survey No.93/1, near Sai World Empire , Valley Shilp Road, Rohinjan, Rohinjan, Kharghar East, Panvel, Raigad - 410210.</v>
      </c>
      <c r="D16" s="122"/>
      <c r="E16" s="122"/>
      <c r="F16" s="122"/>
      <c r="G16" s="122"/>
      <c r="H16" s="122"/>
      <c r="S16" s="55" t="s">
        <v>182</v>
      </c>
      <c r="T16" s="55" t="s">
        <v>190</v>
      </c>
      <c r="U16" s="55" t="s">
        <v>211</v>
      </c>
      <c r="V16" s="55" t="s">
        <v>197</v>
      </c>
      <c r="W16" s="55" t="s">
        <v>214</v>
      </c>
      <c r="X16"/>
      <c r="Y16"/>
      <c r="Z16"/>
    </row>
    <row r="17" spans="1:26" x14ac:dyDescent="0.35">
      <c r="A17" s="136" t="s">
        <v>363</v>
      </c>
      <c r="B17" s="136"/>
      <c r="C17" s="136" t="s">
        <v>362</v>
      </c>
      <c r="D17" s="136"/>
      <c r="E17" s="136"/>
      <c r="F17" s="136"/>
      <c r="G17" s="136"/>
      <c r="H17" s="136"/>
      <c r="S17" s="55" t="s">
        <v>183</v>
      </c>
      <c r="T17" s="55" t="s">
        <v>191</v>
      </c>
      <c r="U17" s="55" t="s">
        <v>173</v>
      </c>
      <c r="V17" s="55" t="s">
        <v>198</v>
      </c>
      <c r="W17" s="55" t="s">
        <v>215</v>
      </c>
      <c r="X17"/>
      <c r="Y17"/>
      <c r="Z17"/>
    </row>
    <row r="18" spans="1:26" ht="15.75" customHeight="1" x14ac:dyDescent="0.35">
      <c r="A18" s="136" t="s">
        <v>163</v>
      </c>
      <c r="B18" s="136"/>
      <c r="C18" s="136" t="s">
        <v>336</v>
      </c>
      <c r="D18" s="136"/>
      <c r="E18" s="136"/>
      <c r="F18" s="136"/>
      <c r="G18" s="136"/>
      <c r="H18" s="136"/>
      <c r="S18" s="55" t="s">
        <v>184</v>
      </c>
      <c r="T18" s="55" t="s">
        <v>189</v>
      </c>
      <c r="U18" s="55"/>
      <c r="V18" s="55" t="s">
        <v>199</v>
      </c>
      <c r="W18" s="55" t="s">
        <v>216</v>
      </c>
      <c r="X18"/>
      <c r="Y18"/>
      <c r="Z18"/>
    </row>
    <row r="19" spans="1:26" ht="15.75" customHeight="1" x14ac:dyDescent="0.35">
      <c r="A19" s="136" t="s">
        <v>10</v>
      </c>
      <c r="B19" s="136"/>
      <c r="C19" s="137" t="s">
        <v>337</v>
      </c>
      <c r="D19" s="137"/>
      <c r="E19" s="136" t="s">
        <v>70</v>
      </c>
      <c r="F19" s="136"/>
      <c r="G19" s="136" t="s">
        <v>336</v>
      </c>
      <c r="H19" s="136"/>
      <c r="S19" s="55" t="s">
        <v>185</v>
      </c>
      <c r="T19" s="55" t="s">
        <v>192</v>
      </c>
      <c r="U19" s="55"/>
      <c r="V19" s="55" t="s">
        <v>200</v>
      </c>
      <c r="W19" s="55" t="s">
        <v>217</v>
      </c>
      <c r="X19"/>
      <c r="Y19"/>
      <c r="Z19"/>
    </row>
    <row r="20" spans="1:26" x14ac:dyDescent="0.35">
      <c r="A20" s="137" t="s">
        <v>12</v>
      </c>
      <c r="B20" s="137"/>
      <c r="C20" s="136" t="s">
        <v>366</v>
      </c>
      <c r="D20" s="136"/>
      <c r="E20" s="136" t="s">
        <v>11</v>
      </c>
      <c r="F20" s="136"/>
      <c r="G20" s="208" t="s">
        <v>194</v>
      </c>
      <c r="H20" s="208"/>
      <c r="S20" s="55" t="s">
        <v>186</v>
      </c>
      <c r="T20" s="55" t="s">
        <v>193</v>
      </c>
      <c r="U20" s="55"/>
      <c r="V20" s="55" t="s">
        <v>201</v>
      </c>
      <c r="W20" s="55" t="s">
        <v>218</v>
      </c>
      <c r="X20"/>
      <c r="Y20"/>
      <c r="Z20"/>
    </row>
    <row r="21" spans="1:26" x14ac:dyDescent="0.35">
      <c r="A21" s="137" t="s">
        <v>71</v>
      </c>
      <c r="B21" s="137"/>
      <c r="C21" s="136" t="s">
        <v>196</v>
      </c>
      <c r="D21" s="136"/>
      <c r="E21" s="136" t="s">
        <v>13</v>
      </c>
      <c r="F21" s="136"/>
      <c r="G21" s="136">
        <v>410210</v>
      </c>
      <c r="H21" s="136"/>
      <c r="S21" s="55"/>
      <c r="T21" s="55"/>
      <c r="U21" s="55"/>
      <c r="V21" s="55" t="s">
        <v>202</v>
      </c>
      <c r="W21" s="55" t="s">
        <v>219</v>
      </c>
      <c r="X21"/>
      <c r="Y21"/>
      <c r="Z21"/>
    </row>
    <row r="22" spans="1:26" ht="32.25" customHeight="1" x14ac:dyDescent="0.35">
      <c r="A22" s="137" t="s">
        <v>119</v>
      </c>
      <c r="B22" s="137"/>
      <c r="C22" s="136" t="s">
        <v>364</v>
      </c>
      <c r="D22" s="136"/>
      <c r="E22" s="136" t="s">
        <v>14</v>
      </c>
      <c r="F22" s="136"/>
      <c r="G22" s="136" t="s">
        <v>365</v>
      </c>
      <c r="H22" s="136"/>
      <c r="S22" s="55"/>
      <c r="T22" s="55"/>
      <c r="U22" s="55"/>
      <c r="V22" s="55" t="s">
        <v>203</v>
      </c>
      <c r="W22" s="55" t="s">
        <v>220</v>
      </c>
      <c r="X22"/>
      <c r="Y22"/>
      <c r="Z22"/>
    </row>
    <row r="23" spans="1:26" ht="15" customHeight="1" x14ac:dyDescent="0.35">
      <c r="A23" s="136" t="s">
        <v>73</v>
      </c>
      <c r="B23" s="136"/>
      <c r="C23" s="136"/>
      <c r="D23" s="136"/>
      <c r="E23" s="137" t="s">
        <v>15</v>
      </c>
      <c r="F23" s="137"/>
      <c r="G23" s="137"/>
      <c r="H23" s="137"/>
      <c r="S23" s="55"/>
      <c r="T23" s="55"/>
      <c r="U23" s="55"/>
      <c r="V23" s="55" t="s">
        <v>204</v>
      </c>
      <c r="W23" s="55" t="s">
        <v>221</v>
      </c>
      <c r="X23"/>
      <c r="Y23"/>
      <c r="Z23"/>
    </row>
    <row r="24" spans="1:26" ht="18.75" customHeight="1" x14ac:dyDescent="0.35">
      <c r="A24" s="136"/>
      <c r="B24" s="136"/>
      <c r="C24" s="136"/>
      <c r="D24" s="136"/>
      <c r="E24" s="137"/>
      <c r="F24" s="137"/>
      <c r="G24" s="137"/>
      <c r="H24" s="137"/>
      <c r="S24" s="55"/>
      <c r="T24" s="55"/>
      <c r="U24" s="55"/>
      <c r="V24" s="55" t="s">
        <v>205</v>
      </c>
      <c r="W24" s="55" t="s">
        <v>222</v>
      </c>
      <c r="X24"/>
      <c r="Y24"/>
      <c r="Z24"/>
    </row>
    <row r="25" spans="1:26" ht="15" customHeight="1" x14ac:dyDescent="0.35">
      <c r="A25" s="122" t="s">
        <v>16</v>
      </c>
      <c r="B25" s="122"/>
      <c r="C25" s="122"/>
      <c r="D25" s="122"/>
      <c r="E25" s="200" t="s">
        <v>17</v>
      </c>
      <c r="F25" s="200"/>
      <c r="G25" s="200"/>
      <c r="H25" s="200"/>
      <c r="S25" s="55"/>
      <c r="T25" s="55"/>
      <c r="U25" s="55"/>
      <c r="V25" s="55" t="s">
        <v>206</v>
      </c>
      <c r="W25" s="55" t="s">
        <v>223</v>
      </c>
      <c r="X25"/>
      <c r="Y25"/>
      <c r="Z25"/>
    </row>
    <row r="26" spans="1:26" ht="15" customHeight="1" x14ac:dyDescent="0.35">
      <c r="A26" s="116" t="s">
        <v>18</v>
      </c>
      <c r="B26" s="116"/>
      <c r="C26" s="116"/>
      <c r="D26" s="116"/>
      <c r="E26" s="200" t="str">
        <f>IF(AND(G20="Mumbai"),"Upper Class","Middle Class")</f>
        <v>Middle Class</v>
      </c>
      <c r="F26" s="200"/>
      <c r="G26" s="200"/>
      <c r="H26" s="200"/>
      <c r="S26" s="55"/>
      <c r="T26" s="55"/>
      <c r="U26" s="55"/>
      <c r="V26" s="55" t="s">
        <v>207</v>
      </c>
      <c r="W26" s="55" t="s">
        <v>224</v>
      </c>
      <c r="X26"/>
      <c r="Y26"/>
      <c r="Z26"/>
    </row>
    <row r="27" spans="1:26" x14ac:dyDescent="0.35">
      <c r="A27" s="116" t="s">
        <v>19</v>
      </c>
      <c r="B27" s="116"/>
      <c r="C27" s="116"/>
      <c r="D27" s="116"/>
      <c r="E27" s="200" t="s">
        <v>20</v>
      </c>
      <c r="F27" s="200"/>
      <c r="G27" s="200"/>
      <c r="H27" s="200"/>
      <c r="S27" s="55"/>
      <c r="T27" s="55"/>
      <c r="U27" s="55"/>
      <c r="V27" s="55" t="s">
        <v>208</v>
      </c>
      <c r="W27" s="55" t="s">
        <v>225</v>
      </c>
      <c r="X27"/>
      <c r="Y27"/>
      <c r="Z27"/>
    </row>
    <row r="28" spans="1:26" ht="15.75" customHeight="1" x14ac:dyDescent="0.35">
      <c r="A28" s="116" t="s">
        <v>21</v>
      </c>
      <c r="B28" s="116"/>
      <c r="C28" s="116"/>
      <c r="D28" s="116"/>
      <c r="E28" s="200" t="str">
        <f>IF(AND(G20="Mumbai"),"Developed","Developing")</f>
        <v>Developing</v>
      </c>
      <c r="F28" s="200"/>
      <c r="G28" s="200"/>
      <c r="H28" s="200"/>
    </row>
    <row r="29" spans="1:26" x14ac:dyDescent="0.35">
      <c r="A29" s="116" t="s">
        <v>22</v>
      </c>
      <c r="B29" s="116"/>
      <c r="C29" s="116"/>
      <c r="D29" s="116"/>
      <c r="E29" s="200" t="s">
        <v>23</v>
      </c>
      <c r="F29" s="200"/>
      <c r="G29" s="200"/>
      <c r="H29" s="200"/>
    </row>
    <row r="30" spans="1:26" ht="15.75" customHeight="1" x14ac:dyDescent="0.35">
      <c r="A30" s="116" t="s">
        <v>78</v>
      </c>
      <c r="B30" s="116"/>
      <c r="C30" s="116"/>
      <c r="D30" s="116"/>
      <c r="E30" s="200" t="s">
        <v>79</v>
      </c>
      <c r="F30" s="200"/>
      <c r="G30" s="200"/>
      <c r="H30" s="200"/>
    </row>
    <row r="31" spans="1:26" ht="15" customHeight="1" x14ac:dyDescent="0.35">
      <c r="A31" s="116" t="s">
        <v>30</v>
      </c>
      <c r="B31" s="116"/>
      <c r="C31" s="116"/>
      <c r="D31" s="116"/>
      <c r="E31" s="20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200"/>
      <c r="G31" s="200"/>
      <c r="H31" s="200"/>
    </row>
    <row r="32" spans="1:26" ht="15.75" customHeight="1" x14ac:dyDescent="0.35">
      <c r="A32" s="116" t="s">
        <v>90</v>
      </c>
      <c r="B32" s="116"/>
      <c r="C32" s="116"/>
      <c r="D32" s="116"/>
      <c r="E32" s="200" t="s">
        <v>31</v>
      </c>
      <c r="F32" s="200"/>
      <c r="G32" s="200"/>
      <c r="H32" s="200"/>
    </row>
    <row r="33" spans="1:19" s="22" customFormat="1" x14ac:dyDescent="0.35">
      <c r="A33" s="211" t="s">
        <v>91</v>
      </c>
      <c r="B33" s="211"/>
      <c r="C33" s="210" t="s">
        <v>174</v>
      </c>
      <c r="D33" s="210"/>
      <c r="E33" s="210"/>
      <c r="F33" s="210" t="s">
        <v>29</v>
      </c>
      <c r="G33" s="210"/>
      <c r="H33" s="210"/>
      <c r="S33" s="22" t="e">
        <f ca="1">OFFSET($S$13,1,MATCH($G20,$S$13:$W$13,0)-1,15,1)</f>
        <v>#VALUE!</v>
      </c>
    </row>
    <row r="34" spans="1:19" s="22" customFormat="1" x14ac:dyDescent="0.35">
      <c r="A34" s="209" t="s">
        <v>24</v>
      </c>
      <c r="B34" s="209" t="s">
        <v>28</v>
      </c>
      <c r="C34" s="207" t="s">
        <v>338</v>
      </c>
      <c r="D34" s="207"/>
      <c r="E34" s="207"/>
      <c r="F34" s="207" t="s">
        <v>367</v>
      </c>
      <c r="G34" s="207"/>
      <c r="H34" s="207"/>
    </row>
    <row r="35" spans="1:19" x14ac:dyDescent="0.35">
      <c r="A35" s="209" t="s">
        <v>25</v>
      </c>
      <c r="B35" s="209" t="s">
        <v>28</v>
      </c>
      <c r="C35" s="207" t="s">
        <v>339</v>
      </c>
      <c r="D35" s="207"/>
      <c r="E35" s="207"/>
      <c r="F35" s="207" t="s">
        <v>368</v>
      </c>
      <c r="G35" s="207"/>
      <c r="H35" s="207"/>
    </row>
    <row r="36" spans="1:19" s="22" customFormat="1" x14ac:dyDescent="0.35">
      <c r="A36" s="209" t="s">
        <v>27</v>
      </c>
      <c r="B36" s="209" t="s">
        <v>28</v>
      </c>
      <c r="C36" s="207" t="s">
        <v>338</v>
      </c>
      <c r="D36" s="207"/>
      <c r="E36" s="207"/>
      <c r="F36" s="207" t="s">
        <v>364</v>
      </c>
      <c r="G36" s="207"/>
      <c r="H36" s="207"/>
    </row>
    <row r="37" spans="1:19" x14ac:dyDescent="0.35">
      <c r="A37" s="209" t="s">
        <v>26</v>
      </c>
      <c r="B37" s="209" t="s">
        <v>28</v>
      </c>
      <c r="C37" s="207" t="s">
        <v>10</v>
      </c>
      <c r="D37" s="207"/>
      <c r="E37" s="207"/>
      <c r="F37" s="207" t="s">
        <v>10</v>
      </c>
      <c r="G37" s="207"/>
      <c r="H37" s="207"/>
    </row>
    <row r="38" spans="1:19" x14ac:dyDescent="0.35">
      <c r="A38" s="116" t="s">
        <v>281</v>
      </c>
      <c r="B38" s="116"/>
      <c r="C38" s="116"/>
      <c r="D38" s="116"/>
      <c r="E38" s="116"/>
      <c r="F38" s="116"/>
      <c r="G38" s="116"/>
      <c r="H38" s="116"/>
    </row>
    <row r="39" spans="1:19" ht="15.75" customHeight="1" x14ac:dyDescent="0.35">
      <c r="A39" s="116" t="s">
        <v>166</v>
      </c>
      <c r="B39" s="116"/>
      <c r="C39" s="195" t="s">
        <v>369</v>
      </c>
      <c r="D39" s="195"/>
      <c r="E39" s="195"/>
      <c r="F39" s="195"/>
      <c r="G39" s="195"/>
      <c r="H39" s="195"/>
    </row>
    <row r="40" spans="1:19" x14ac:dyDescent="0.35">
      <c r="A40" s="116" t="s">
        <v>162</v>
      </c>
      <c r="B40" s="116"/>
      <c r="C40" s="226" t="s">
        <v>370</v>
      </c>
      <c r="D40" s="200"/>
      <c r="E40" s="200"/>
      <c r="F40" s="200"/>
      <c r="G40" s="200"/>
      <c r="H40" s="200"/>
    </row>
    <row r="41" spans="1:19" x14ac:dyDescent="0.35">
      <c r="A41" s="195" t="s">
        <v>32</v>
      </c>
      <c r="B41" s="195"/>
      <c r="C41" s="195"/>
      <c r="D41" s="195"/>
      <c r="E41" s="195"/>
      <c r="F41" s="195"/>
      <c r="G41" s="195"/>
      <c r="H41" s="195"/>
    </row>
    <row r="42" spans="1:19" x14ac:dyDescent="0.35">
      <c r="A42" s="116" t="s">
        <v>33</v>
      </c>
      <c r="B42" s="116"/>
      <c r="C42" s="116"/>
      <c r="D42" s="116"/>
      <c r="E42" s="215">
        <v>3252.57</v>
      </c>
      <c r="F42" s="215"/>
      <c r="G42" s="215"/>
      <c r="H42" s="215"/>
    </row>
    <row r="43" spans="1:19" x14ac:dyDescent="0.35">
      <c r="A43" s="116" t="s">
        <v>34</v>
      </c>
      <c r="B43" s="116"/>
      <c r="C43" s="116"/>
      <c r="D43" s="116"/>
      <c r="E43" s="123">
        <f>3577.83/E42</f>
        <v>1.1000009223475589</v>
      </c>
      <c r="F43" s="123"/>
      <c r="G43" s="123"/>
      <c r="H43" s="123"/>
    </row>
    <row r="44" spans="1:19" x14ac:dyDescent="0.35">
      <c r="A44" s="116" t="s">
        <v>35</v>
      </c>
      <c r="B44" s="116"/>
      <c r="C44" s="116"/>
      <c r="D44" s="116"/>
      <c r="E44" s="123">
        <f>E46/E42-E43</f>
        <v>1.3592267038065287</v>
      </c>
      <c r="F44" s="123"/>
      <c r="G44" s="123"/>
      <c r="H44" s="123"/>
    </row>
    <row r="45" spans="1:19" x14ac:dyDescent="0.35">
      <c r="A45" s="116" t="s">
        <v>36</v>
      </c>
      <c r="B45" s="116"/>
      <c r="C45" s="116"/>
      <c r="D45" s="116"/>
      <c r="E45" s="123">
        <f>E43+E44</f>
        <v>2.4592276261540875</v>
      </c>
      <c r="F45" s="123"/>
      <c r="G45" s="123"/>
      <c r="H45" s="123"/>
    </row>
    <row r="46" spans="1:19" x14ac:dyDescent="0.35">
      <c r="A46" s="116" t="s">
        <v>89</v>
      </c>
      <c r="B46" s="116"/>
      <c r="C46" s="116"/>
      <c r="D46" s="116"/>
      <c r="E46" s="218">
        <v>7998.81</v>
      </c>
      <c r="F46" s="218"/>
      <c r="G46" s="218"/>
      <c r="H46" s="218"/>
    </row>
    <row r="47" spans="1:19" x14ac:dyDescent="0.35">
      <c r="A47" s="203" t="s">
        <v>37</v>
      </c>
      <c r="B47" s="203"/>
      <c r="C47" s="203"/>
      <c r="D47" s="203"/>
      <c r="E47" s="137" t="s">
        <v>118</v>
      </c>
      <c r="F47" s="137"/>
      <c r="G47" s="137"/>
      <c r="H47" s="137"/>
    </row>
    <row r="48" spans="1:19" x14ac:dyDescent="0.35">
      <c r="A48" s="195" t="s">
        <v>38</v>
      </c>
      <c r="B48" s="195"/>
      <c r="C48" s="195"/>
      <c r="D48" s="195"/>
      <c r="E48" s="195"/>
      <c r="F48" s="195"/>
      <c r="G48" s="195"/>
      <c r="H48" s="195"/>
    </row>
    <row r="49" spans="1:24" ht="33.75" customHeight="1" x14ac:dyDescent="0.35">
      <c r="A49" s="131" t="s">
        <v>151</v>
      </c>
      <c r="B49" s="132"/>
      <c r="C49" s="232" t="s">
        <v>271</v>
      </c>
      <c r="D49" s="233"/>
      <c r="E49" s="233"/>
      <c r="F49" s="233"/>
      <c r="G49" s="233"/>
      <c r="H49" s="234"/>
      <c r="R49" t="s">
        <v>254</v>
      </c>
      <c r="S49" t="s">
        <v>173</v>
      </c>
      <c r="T49" t="s">
        <v>179</v>
      </c>
      <c r="U49" t="s">
        <v>194</v>
      </c>
      <c r="V49" t="s">
        <v>189</v>
      </c>
    </row>
    <row r="50" spans="1:24" ht="15.75" customHeight="1" x14ac:dyDescent="0.35">
      <c r="A50" s="131" t="s">
        <v>39</v>
      </c>
      <c r="B50" s="132"/>
      <c r="C50" s="131" t="s">
        <v>340</v>
      </c>
      <c r="D50" s="133"/>
      <c r="E50" s="132"/>
      <c r="F50" s="18" t="s">
        <v>40</v>
      </c>
      <c r="G50" s="134">
        <v>45250</v>
      </c>
      <c r="H50" s="132"/>
      <c r="R50"/>
      <c r="S50" t="s">
        <v>255</v>
      </c>
      <c r="T50" t="s">
        <v>260</v>
      </c>
      <c r="U50" t="s">
        <v>271</v>
      </c>
      <c r="V50" t="s">
        <v>276</v>
      </c>
    </row>
    <row r="51" spans="1:24" x14ac:dyDescent="0.35">
      <c r="A51" s="131" t="s">
        <v>41</v>
      </c>
      <c r="B51" s="132"/>
      <c r="C51" s="131" t="str">
        <f>C50</f>
        <v>PMC/NRV/16353/JK-3293/2023</v>
      </c>
      <c r="D51" s="133"/>
      <c r="E51" s="132"/>
      <c r="F51" s="18" t="s">
        <v>40</v>
      </c>
      <c r="G51" s="134">
        <v>45250</v>
      </c>
      <c r="H51" s="132"/>
      <c r="R51"/>
      <c r="S51" t="s">
        <v>256</v>
      </c>
      <c r="T51" t="s">
        <v>261</v>
      </c>
      <c r="U51" t="s">
        <v>269</v>
      </c>
      <c r="V51" t="s">
        <v>277</v>
      </c>
    </row>
    <row r="52" spans="1:24" s="23" customFormat="1" ht="33.75" customHeight="1" x14ac:dyDescent="0.35">
      <c r="A52" s="152" t="s">
        <v>155</v>
      </c>
      <c r="B52" s="153"/>
      <c r="C52" s="131" t="s">
        <v>341</v>
      </c>
      <c r="D52" s="133"/>
      <c r="E52" s="132"/>
      <c r="F52" s="18" t="s">
        <v>40</v>
      </c>
      <c r="G52" s="134">
        <v>45250</v>
      </c>
      <c r="H52" s="132"/>
      <c r="R52"/>
      <c r="S52" t="s">
        <v>257</v>
      </c>
      <c r="T52" t="s">
        <v>262</v>
      </c>
      <c r="U52" t="s">
        <v>259</v>
      </c>
      <c r="V52" t="s">
        <v>278</v>
      </c>
    </row>
    <row r="53" spans="1:24" s="23" customFormat="1" ht="19.5" customHeight="1" x14ac:dyDescent="0.35">
      <c r="A53" s="154"/>
      <c r="B53" s="155"/>
      <c r="C53" s="131" t="s">
        <v>342</v>
      </c>
      <c r="D53" s="133"/>
      <c r="E53" s="133"/>
      <c r="F53" s="133"/>
      <c r="G53" s="133"/>
      <c r="H53" s="132"/>
      <c r="R53"/>
      <c r="S53" t="s">
        <v>258</v>
      </c>
      <c r="T53" t="s">
        <v>265</v>
      </c>
      <c r="U53" t="s">
        <v>272</v>
      </c>
    </row>
    <row r="54" spans="1:24" s="23" customFormat="1" ht="48.75" customHeight="1" x14ac:dyDescent="0.35">
      <c r="A54" s="140" t="s">
        <v>282</v>
      </c>
      <c r="B54" s="141"/>
      <c r="C54" s="144" t="s">
        <v>372</v>
      </c>
      <c r="D54" s="145"/>
      <c r="E54" s="146"/>
      <c r="F54" s="87" t="s">
        <v>40</v>
      </c>
      <c r="G54" s="147">
        <v>45146</v>
      </c>
      <c r="H54" s="146"/>
      <c r="R54"/>
      <c r="S54" t="s">
        <v>257</v>
      </c>
      <c r="T54" t="s">
        <v>262</v>
      </c>
      <c r="U54" t="s">
        <v>259</v>
      </c>
      <c r="V54" t="s">
        <v>278</v>
      </c>
    </row>
    <row r="55" spans="1:24" s="23" customFormat="1" ht="20.25" customHeight="1" x14ac:dyDescent="0.35">
      <c r="A55" s="142"/>
      <c r="B55" s="143"/>
      <c r="C55" s="229" t="s">
        <v>343</v>
      </c>
      <c r="D55" s="230"/>
      <c r="E55" s="230"/>
      <c r="F55" s="230"/>
      <c r="G55" s="230"/>
      <c r="H55" s="231"/>
      <c r="R55"/>
      <c r="S55" t="s">
        <v>259</v>
      </c>
      <c r="T55" t="s">
        <v>263</v>
      </c>
      <c r="U55" t="s">
        <v>273</v>
      </c>
      <c r="V55" s="21"/>
      <c r="W55" s="21"/>
      <c r="X55" s="21"/>
    </row>
    <row r="56" spans="1:24" s="23" customFormat="1" ht="34.5" hidden="1" customHeight="1" x14ac:dyDescent="0.35">
      <c r="A56" s="148" t="s">
        <v>283</v>
      </c>
      <c r="B56" s="149"/>
      <c r="C56" s="131" t="str">
        <f>C55</f>
        <v>2B + G + 1P + 2nd to 17th Floor (Total Height = 58.350 Mtrs.)</v>
      </c>
      <c r="D56" s="133"/>
      <c r="E56" s="132"/>
      <c r="F56" s="18" t="s">
        <v>40</v>
      </c>
      <c r="G56" s="131">
        <f>G55</f>
        <v>0</v>
      </c>
      <c r="H56" s="132"/>
      <c r="R56"/>
      <c r="S56" s="21"/>
      <c r="T56" t="s">
        <v>264</v>
      </c>
      <c r="U56" t="s">
        <v>274</v>
      </c>
      <c r="V56" s="21"/>
      <c r="W56" s="21"/>
      <c r="X56" s="21"/>
    </row>
    <row r="57" spans="1:24" s="23" customFormat="1" ht="41.25" hidden="1" customHeight="1" x14ac:dyDescent="0.35">
      <c r="A57" s="150"/>
      <c r="B57" s="151"/>
      <c r="C57" s="131"/>
      <c r="D57" s="133"/>
      <c r="E57" s="133"/>
      <c r="F57" s="133"/>
      <c r="G57" s="133"/>
      <c r="H57" s="132"/>
      <c r="R57"/>
      <c r="S57" s="21"/>
      <c r="T57" t="s">
        <v>266</v>
      </c>
      <c r="U57" t="s">
        <v>275</v>
      </c>
      <c r="V57" s="21"/>
      <c r="W57" s="21"/>
      <c r="X57" s="21"/>
    </row>
    <row r="58" spans="1:24" s="23" customFormat="1" ht="20.25" customHeight="1" x14ac:dyDescent="0.35">
      <c r="A58" s="140" t="s">
        <v>373</v>
      </c>
      <c r="B58" s="141"/>
      <c r="C58" s="144" t="s">
        <v>344</v>
      </c>
      <c r="D58" s="145"/>
      <c r="E58" s="146"/>
      <c r="F58" s="87" t="s">
        <v>40</v>
      </c>
      <c r="G58" s="147">
        <v>45043</v>
      </c>
      <c r="H58" s="146"/>
      <c r="R58"/>
      <c r="S58" s="21"/>
      <c r="T58" t="s">
        <v>267</v>
      </c>
      <c r="U58" s="21" t="s">
        <v>297</v>
      </c>
      <c r="V58" s="21"/>
      <c r="W58" s="21"/>
      <c r="X58" s="21"/>
    </row>
    <row r="59" spans="1:24" s="23" customFormat="1" ht="44.25" customHeight="1" x14ac:dyDescent="0.35">
      <c r="A59" s="142"/>
      <c r="B59" s="143"/>
      <c r="C59" s="144" t="s">
        <v>374</v>
      </c>
      <c r="D59" s="145"/>
      <c r="E59" s="145"/>
      <c r="F59" s="145"/>
      <c r="G59" s="145"/>
      <c r="H59" s="146"/>
      <c r="R59"/>
      <c r="S59" s="21"/>
      <c r="T59" t="s">
        <v>268</v>
      </c>
      <c r="U59" s="21"/>
      <c r="V59" s="21"/>
      <c r="W59" s="21"/>
      <c r="X59" s="21"/>
    </row>
    <row r="60" spans="1:24" x14ac:dyDescent="0.35">
      <c r="A60" s="117" t="s">
        <v>42</v>
      </c>
      <c r="B60" s="118"/>
      <c r="C60" s="117" t="s">
        <v>102</v>
      </c>
      <c r="D60" s="119"/>
      <c r="E60" s="118"/>
      <c r="F60" s="45" t="s">
        <v>40</v>
      </c>
      <c r="G60" s="138" t="s">
        <v>28</v>
      </c>
      <c r="H60" s="139"/>
      <c r="R60"/>
      <c r="T60" t="s">
        <v>270</v>
      </c>
    </row>
    <row r="61" spans="1:24" x14ac:dyDescent="0.35">
      <c r="A61" s="135" t="s">
        <v>44</v>
      </c>
      <c r="B61" s="135"/>
      <c r="C61" s="135"/>
      <c r="D61" s="135"/>
      <c r="E61" s="135"/>
      <c r="F61" s="135"/>
      <c r="G61" s="135"/>
      <c r="H61" s="135"/>
      <c r="T61" t="s">
        <v>279</v>
      </c>
    </row>
    <row r="62" spans="1:24" x14ac:dyDescent="0.35">
      <c r="A62" s="122" t="s">
        <v>88</v>
      </c>
      <c r="B62" s="122"/>
      <c r="C62" s="122"/>
      <c r="D62" s="116">
        <f>E46</f>
        <v>7998.81</v>
      </c>
      <c r="E62" s="116"/>
      <c r="F62" s="116"/>
      <c r="G62" s="116"/>
      <c r="H62" s="116"/>
      <c r="R62"/>
    </row>
    <row r="63" spans="1:24" x14ac:dyDescent="0.35">
      <c r="A63" s="136" t="s">
        <v>45</v>
      </c>
      <c r="B63" s="137"/>
      <c r="C63" s="137"/>
      <c r="D63" s="137" t="s">
        <v>359</v>
      </c>
      <c r="E63" s="137"/>
      <c r="F63" s="137"/>
      <c r="G63" s="137"/>
      <c r="H63" s="137"/>
      <c r="I63" s="24"/>
      <c r="R63"/>
    </row>
    <row r="64" spans="1:24" x14ac:dyDescent="0.35">
      <c r="A64" s="140" t="s">
        <v>46</v>
      </c>
      <c r="B64" s="156"/>
      <c r="C64" s="141"/>
      <c r="D64" s="222" t="s">
        <v>346</v>
      </c>
      <c r="E64" s="223"/>
      <c r="F64" s="223"/>
      <c r="G64" s="223"/>
      <c r="H64" s="223"/>
      <c r="R64"/>
    </row>
    <row r="65" spans="1:19" ht="15.75" customHeight="1" x14ac:dyDescent="0.35">
      <c r="A65" s="140" t="s">
        <v>86</v>
      </c>
      <c r="B65" s="156"/>
      <c r="C65" s="156"/>
      <c r="D65" s="157" t="s">
        <v>377</v>
      </c>
      <c r="E65" s="158"/>
      <c r="F65" s="158"/>
      <c r="G65" s="158"/>
      <c r="H65" s="159"/>
      <c r="R65"/>
    </row>
    <row r="66" spans="1:19" ht="15.75" customHeight="1" x14ac:dyDescent="0.35">
      <c r="A66" s="116" t="s">
        <v>43</v>
      </c>
      <c r="B66" s="116"/>
      <c r="C66" s="116"/>
      <c r="D66" s="216" t="s">
        <v>345</v>
      </c>
      <c r="E66" s="216"/>
      <c r="F66" s="216"/>
      <c r="G66" s="216"/>
      <c r="H66" s="216"/>
      <c r="J66" s="25"/>
      <c r="K66" s="24"/>
      <c r="N66" s="24"/>
      <c r="S66"/>
    </row>
    <row r="67" spans="1:19" ht="15.75" customHeight="1" x14ac:dyDescent="0.35">
      <c r="A67" s="116" t="s">
        <v>84</v>
      </c>
      <c r="B67" s="116"/>
      <c r="C67" s="116"/>
      <c r="D67" s="217" t="str">
        <f>(IF(G60="NA","60 Years After Completion",IF(G60&lt;&gt;"NA",""&amp;60-ROUNDDOWN((E3-G60)/360,0)&amp;" Years"," ")))</f>
        <v>60 Years After Completion</v>
      </c>
      <c r="E67" s="217"/>
      <c r="F67" s="217"/>
      <c r="G67" s="217"/>
      <c r="H67" s="217"/>
      <c r="N67" s="24"/>
      <c r="S67"/>
    </row>
    <row r="68" spans="1:19" ht="15.75" customHeight="1" x14ac:dyDescent="0.35">
      <c r="A68" s="116" t="s">
        <v>85</v>
      </c>
      <c r="B68" s="116"/>
      <c r="C68" s="116"/>
      <c r="D68" s="122" t="s">
        <v>23</v>
      </c>
      <c r="E68" s="122"/>
      <c r="F68" s="122"/>
      <c r="G68" s="122"/>
      <c r="H68" s="122"/>
      <c r="J68" s="26"/>
      <c r="K68" s="26"/>
      <c r="S68"/>
    </row>
    <row r="69" spans="1:19" ht="65.25" customHeight="1" x14ac:dyDescent="0.35">
      <c r="A69" s="199" t="s">
        <v>379</v>
      </c>
      <c r="B69" s="199"/>
      <c r="C69" s="199"/>
      <c r="D69" s="136" t="s">
        <v>361</v>
      </c>
      <c r="E69" s="136"/>
      <c r="F69" s="136"/>
      <c r="G69" s="136"/>
      <c r="H69" s="136"/>
      <c r="S69"/>
    </row>
    <row r="70" spans="1:19" x14ac:dyDescent="0.35">
      <c r="A70" s="122" t="s">
        <v>147</v>
      </c>
      <c r="B70" s="122"/>
      <c r="C70" s="122"/>
      <c r="D70" s="122" t="s">
        <v>28</v>
      </c>
      <c r="E70" s="122"/>
      <c r="F70" s="122"/>
      <c r="G70" s="122"/>
      <c r="H70" s="122"/>
      <c r="I70" s="27"/>
      <c r="J70" s="27"/>
      <c r="K70" s="27"/>
      <c r="L70" s="27"/>
      <c r="M70" s="27"/>
      <c r="N70" s="27"/>
    </row>
    <row r="71" spans="1:19" ht="15.75" customHeight="1" x14ac:dyDescent="0.35">
      <c r="A71" s="116" t="s">
        <v>83</v>
      </c>
      <c r="B71" s="116"/>
      <c r="C71" s="116"/>
      <c r="D71" s="200" t="str">
        <f ca="1">(IF(G77&gt;95%,"Nothing",IF(G77&gt;0%,"Cement, Aggregate, Steel, etc",IF(G77=0%,"Work not yet Started"))))</f>
        <v>Cement, Aggregate, Steel, etc</v>
      </c>
      <c r="E71" s="200"/>
      <c r="F71" s="200"/>
      <c r="G71" s="200"/>
      <c r="H71" s="200"/>
      <c r="J71" s="26"/>
      <c r="S71"/>
    </row>
    <row r="72" spans="1:19" ht="33.75" customHeight="1" thickBot="1" x14ac:dyDescent="0.4">
      <c r="A72" s="122" t="s">
        <v>115</v>
      </c>
      <c r="B72" s="122"/>
      <c r="C72" s="122"/>
      <c r="D72" s="200" t="str">
        <f ca="1">(IF(D71="Nothing","Yes",IF(D71="Cement, Aggregate, Steel, etc","Under Construction",IF(D71="Work not yet Started","Work not yet Started"))))</f>
        <v>Under Construction</v>
      </c>
      <c r="E72" s="200"/>
      <c r="F72" s="200" t="str">
        <f ca="1">(IF(D71="Nothing","Yes",IF(D71="Cement, Aggregate, Steel, etc","Under Construction",IF(D71="Work not yet Started","Work not yet Started"))))</f>
        <v>Under Construction</v>
      </c>
      <c r="G72" s="200"/>
      <c r="H72" s="200"/>
      <c r="S72"/>
    </row>
    <row r="73" spans="1:19" ht="15.75" customHeight="1" x14ac:dyDescent="0.35">
      <c r="A73" s="198" t="s">
        <v>137</v>
      </c>
      <c r="B73" s="198"/>
      <c r="C73" s="198" t="str">
        <f>D65</f>
        <v>2B + G + 1st to 33rd Floor</v>
      </c>
      <c r="D73" s="198"/>
      <c r="E73" s="198"/>
      <c r="F73" s="198"/>
      <c r="G73" s="198"/>
      <c r="H73" s="198"/>
      <c r="I73" s="94" t="str">
        <f ca="1">IF(D86=100%,"All work Completed. Possession granted to the Building.",IF(D85=100%,"All work Completed, Waiting for OC",I74&amp;""&amp;I75&amp;""&amp;J74&amp;""&amp;J73&amp;" "&amp;J75))</f>
        <v>Excavation, Plinth Completed, RCC upto 8 Slab, Brickwork upto 2 Floor, Internal Plaster upto 1 Floor Completed</v>
      </c>
      <c r="J73" s="5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8 Slab, Brickwork upto 2 Floor, Internal Plaster upto 1 Floor</v>
      </c>
      <c r="S73"/>
    </row>
    <row r="74" spans="1:19" x14ac:dyDescent="0.35">
      <c r="A74" s="91" t="s">
        <v>139</v>
      </c>
      <c r="B74" s="91">
        <f>IF(AND(ISNUMBER(SEARCH("1B",C73))),1,IF(AND(ISNUMBER(SEARCH("2B",C73))),2,IF(AND(ISNUMBER(SEARCH("3B",C73))),3,IF(AND(ISNUMBER(SEARCH("4B",C73))),4,IF(ISNUMBER(SEARCH("5B",C73)),5,0)))))</f>
        <v>2</v>
      </c>
      <c r="C74" s="91" t="s">
        <v>69</v>
      </c>
      <c r="D74" s="91">
        <v>1</v>
      </c>
      <c r="E74" s="91" t="s">
        <v>68</v>
      </c>
      <c r="F74" s="91">
        <v>0</v>
      </c>
      <c r="G74" s="91" t="s">
        <v>77</v>
      </c>
      <c r="H74" s="91">
        <f ca="1">--TRIM(RIGHT(SUBSTITUTE(LEFT(C73,_xlfn.AGGREGATE(16,6,FIND({0,1,2,3,4,5,6,7,8,9},C73,ROW(INDIRECT("1:"&amp;LEN(C73)))),1))," ",REPT(" ",LEN(C73))),LEN(C73)))</f>
        <v>33</v>
      </c>
      <c r="I74" s="95" t="str">
        <f ca="1">IF(D77=100%,"Excavation","")&amp;IF(D78=100%,", Plinth","")&amp;IF(D79=100%,", RCC Slab","")&amp;IF(D80=100%,", Brickwork","")&amp;IF(D81=100%,", Internal Plaster","")&amp;IF(D82=100%,", External Plaster","")&amp;IF(D83=100%,", Flooring","")&amp;IF(D84=100%,", Painting","")&amp;IF(D85=100%,", Building common Amenities","")</f>
        <v>Excavation, Plinth</v>
      </c>
      <c r="J74" s="5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5" customHeight="1" x14ac:dyDescent="0.35">
      <c r="A75" s="197" t="s">
        <v>87</v>
      </c>
      <c r="B75" s="197"/>
      <c r="C75" s="198" t="str">
        <f ca="1">I73</f>
        <v>Excavation, Plinth Completed, RCC upto 8 Slab, Brickwork upto 2 Floor, Internal Plaster upto 1 Floor Completed</v>
      </c>
      <c r="D75" s="198"/>
      <c r="E75" s="198"/>
      <c r="F75" s="198"/>
      <c r="G75" s="198"/>
      <c r="H75" s="198"/>
      <c r="I75" s="95" t="str">
        <f ca="1">IF(I74&lt;&gt;""," Completed","")</f>
        <v xml:space="preserve"> Completed</v>
      </c>
      <c r="J75" s="52" t="str">
        <f ca="1">IF(J73&lt;&gt;"","Completed","")</f>
        <v>Completed</v>
      </c>
      <c r="S75"/>
    </row>
    <row r="76" spans="1:19" ht="15.75" customHeight="1" x14ac:dyDescent="0.35">
      <c r="A76" s="130" t="s">
        <v>47</v>
      </c>
      <c r="B76" s="130"/>
      <c r="C76" s="96" t="s">
        <v>136</v>
      </c>
      <c r="D76" s="96" t="s">
        <v>80</v>
      </c>
      <c r="E76" s="130" t="s">
        <v>82</v>
      </c>
      <c r="F76" s="130"/>
      <c r="G76" s="130" t="s">
        <v>81</v>
      </c>
      <c r="H76" s="130"/>
      <c r="I76" s="13" t="s">
        <v>138</v>
      </c>
      <c r="J76" s="28">
        <f ca="1">H74*25%</f>
        <v>8.25</v>
      </c>
      <c r="S76"/>
    </row>
    <row r="77" spans="1:19" x14ac:dyDescent="0.35">
      <c r="A77" s="129" t="s">
        <v>125</v>
      </c>
      <c r="B77" s="130"/>
      <c r="C77" s="84">
        <f ca="1">J78</f>
        <v>33</v>
      </c>
      <c r="D77" s="19">
        <f ca="1">((100/H74)*C77)/100</f>
        <v>1</v>
      </c>
      <c r="E77" s="184">
        <f ca="1">(((C78/H74*10)+(40/(D74+F74+H74)*C79)+(7.5/(H74)*C80)+(7.5/(H74)*C81)+(10/H74*C82)+(10/H74*C83)+(5/H74*C84)+(5/H74*C85)+(5/H74*C86))/100)</f>
        <v>0.20093582887700534</v>
      </c>
      <c r="F77" s="185"/>
      <c r="G77" s="184">
        <f ca="1">((((C77/H74)*20)+((C78/H74)*25)+(30/(H74+F74+D74)*C79)+(5/H74*C80)+(5/H74*C81)+(5/H74*C82)+(5/H74*C83)+(0/H74*C84)+(0/H74*C85)+(5/H74*C86))/100)</f>
        <v>0.5251336898395722</v>
      </c>
      <c r="H77" s="212"/>
      <c r="I77" s="13" t="s">
        <v>97</v>
      </c>
      <c r="J77" s="29">
        <f ca="1">H74*50%</f>
        <v>16.5</v>
      </c>
    </row>
    <row r="78" spans="1:19" x14ac:dyDescent="0.35">
      <c r="A78" s="129" t="s">
        <v>48</v>
      </c>
      <c r="B78" s="130"/>
      <c r="C78" s="93">
        <f ca="1">J86</f>
        <v>33</v>
      </c>
      <c r="D78" s="19">
        <f ca="1">((100/H74)*C78)/100</f>
        <v>1</v>
      </c>
      <c r="E78" s="186"/>
      <c r="F78" s="187"/>
      <c r="G78" s="186"/>
      <c r="H78" s="213"/>
      <c r="I78" s="13" t="s">
        <v>98</v>
      </c>
      <c r="J78" s="29">
        <f ca="1">H74</f>
        <v>33</v>
      </c>
      <c r="S78"/>
    </row>
    <row r="79" spans="1:19" ht="15.75" customHeight="1" x14ac:dyDescent="0.35">
      <c r="A79" s="129" t="s">
        <v>126</v>
      </c>
      <c r="B79" s="130"/>
      <c r="C79" s="84">
        <v>8</v>
      </c>
      <c r="D79" s="19">
        <f ca="1">((100/(D74+F74+H74))*C79)/100</f>
        <v>0.23529411764705885</v>
      </c>
      <c r="E79" s="186"/>
      <c r="F79" s="187"/>
      <c r="G79" s="186"/>
      <c r="H79" s="213"/>
      <c r="I79" s="13" t="s">
        <v>99</v>
      </c>
      <c r="J79" s="30">
        <f ca="1">(IF(B74&gt;1,(H74/(B74+2)),H74/4))</f>
        <v>8.25</v>
      </c>
      <c r="S79"/>
    </row>
    <row r="80" spans="1:19" ht="15.75" customHeight="1" x14ac:dyDescent="0.35">
      <c r="A80" s="129" t="s">
        <v>133</v>
      </c>
      <c r="B80" s="130" t="s">
        <v>127</v>
      </c>
      <c r="C80" s="84">
        <v>2</v>
      </c>
      <c r="D80" s="19">
        <f ca="1">((100/H74)*C80)/100</f>
        <v>6.0606060606060608E-2</v>
      </c>
      <c r="E80" s="186"/>
      <c r="F80" s="187"/>
      <c r="G80" s="186"/>
      <c r="H80" s="213"/>
      <c r="I80" s="13" t="s">
        <v>100</v>
      </c>
      <c r="J80" s="30">
        <f ca="1">(IF(B74&gt;1,(H74/(B74+2)+J79),H74/4+J79))</f>
        <v>16.5</v>
      </c>
    </row>
    <row r="81" spans="1:10" ht="15.75" customHeight="1" x14ac:dyDescent="0.35">
      <c r="A81" s="129" t="s">
        <v>134</v>
      </c>
      <c r="B81" s="130" t="s">
        <v>127</v>
      </c>
      <c r="C81" s="84">
        <v>1</v>
      </c>
      <c r="D81" s="19">
        <f ca="1">((100/H74)*C81)/100</f>
        <v>3.0303030303030304E-2</v>
      </c>
      <c r="E81" s="186"/>
      <c r="F81" s="187"/>
      <c r="G81" s="186"/>
      <c r="H81" s="213"/>
      <c r="I81" s="13" t="s">
        <v>145</v>
      </c>
      <c r="J81" s="30">
        <f ca="1">(IF(B74&gt;1,(H74/(B74+2)+J80),0))</f>
        <v>24.75</v>
      </c>
    </row>
    <row r="82" spans="1:10" ht="15" customHeight="1" x14ac:dyDescent="0.35">
      <c r="A82" s="129" t="s">
        <v>132</v>
      </c>
      <c r="B82" s="130" t="s">
        <v>129</v>
      </c>
      <c r="C82" s="84">
        <v>0</v>
      </c>
      <c r="D82" s="19">
        <f ca="1">((100/(H74))*C82)/100</f>
        <v>0</v>
      </c>
      <c r="E82" s="186"/>
      <c r="F82" s="187"/>
      <c r="G82" s="186"/>
      <c r="H82" s="213"/>
      <c r="I82" s="13" t="s">
        <v>140</v>
      </c>
      <c r="J82" s="30">
        <f>(IF(B74&gt;2,(H74/(B74+2)+J81),0))</f>
        <v>0</v>
      </c>
    </row>
    <row r="83" spans="1:10" ht="15.75" customHeight="1" x14ac:dyDescent="0.35">
      <c r="A83" s="129" t="s">
        <v>128</v>
      </c>
      <c r="B83" s="130" t="s">
        <v>128</v>
      </c>
      <c r="C83" s="84">
        <v>0</v>
      </c>
      <c r="D83" s="19">
        <f ca="1">((100/H74)*C83)/100</f>
        <v>0</v>
      </c>
      <c r="E83" s="186"/>
      <c r="F83" s="187"/>
      <c r="G83" s="186"/>
      <c r="H83" s="213"/>
      <c r="I83" s="13" t="s">
        <v>141</v>
      </c>
      <c r="J83" s="31">
        <f>(IF(B74&gt;3,(H74/(B74+2)+J82),0))</f>
        <v>0</v>
      </c>
    </row>
    <row r="84" spans="1:10" ht="15.75" customHeight="1" x14ac:dyDescent="0.35">
      <c r="A84" s="129" t="s">
        <v>135</v>
      </c>
      <c r="B84" s="130"/>
      <c r="C84" s="84">
        <v>0</v>
      </c>
      <c r="D84" s="19">
        <f ca="1">((100/H74)*C84)/100</f>
        <v>0</v>
      </c>
      <c r="E84" s="186"/>
      <c r="F84" s="187"/>
      <c r="G84" s="186"/>
      <c r="H84" s="213"/>
      <c r="I84" s="13" t="s">
        <v>142</v>
      </c>
      <c r="J84" s="30">
        <f>(IF(B74&gt;4,(H74/(B74+2)+J83),0))</f>
        <v>0</v>
      </c>
    </row>
    <row r="85" spans="1:10" ht="15.75" customHeight="1" x14ac:dyDescent="0.35">
      <c r="A85" s="129" t="s">
        <v>130</v>
      </c>
      <c r="B85" s="130" t="s">
        <v>130</v>
      </c>
      <c r="C85" s="84">
        <v>0</v>
      </c>
      <c r="D85" s="19">
        <f ca="1">((100/(H74))*C85)/100</f>
        <v>0</v>
      </c>
      <c r="E85" s="186"/>
      <c r="F85" s="187"/>
      <c r="G85" s="186"/>
      <c r="H85" s="213"/>
      <c r="I85" s="13" t="s">
        <v>146</v>
      </c>
      <c r="J85" s="30">
        <f>(IF(B74=1,(H74/(B74+3)+J80),IF(B74=0,(H74/4+J80),IF(B74&gt;1,0))))</f>
        <v>0</v>
      </c>
    </row>
    <row r="86" spans="1:10" ht="16" thickBot="1" x14ac:dyDescent="0.4">
      <c r="A86" s="165" t="s">
        <v>131</v>
      </c>
      <c r="B86" s="166"/>
      <c r="C86" s="85">
        <v>0</v>
      </c>
      <c r="D86" s="20">
        <f ca="1">((100/(H74))*C86)/100</f>
        <v>0</v>
      </c>
      <c r="E86" s="188"/>
      <c r="F86" s="189"/>
      <c r="G86" s="188"/>
      <c r="H86" s="214"/>
      <c r="I86" s="15" t="s">
        <v>101</v>
      </c>
      <c r="J86" s="32">
        <f ca="1">(IF(B74&gt;1.5,(H74/(B74+2)+J80+MAX(0,J81-J80)+MAX(0,J82-J81)+MAX(0,J83-J82)+MAX(0,J84-J83)+MAX(0,J85-J84)),IF(B74=1,(H74/(B74+3)+J85),IF(B74=0,H74/4+J85))))</f>
        <v>33</v>
      </c>
    </row>
    <row r="87" spans="1:10" ht="15.75" hidden="1" customHeight="1" x14ac:dyDescent="0.35">
      <c r="A87" s="124" t="s">
        <v>137</v>
      </c>
      <c r="B87" s="125"/>
      <c r="C87" s="126" t="e">
        <f>#REF!</f>
        <v>#REF!</v>
      </c>
      <c r="D87" s="127"/>
      <c r="E87" s="127"/>
      <c r="F87" s="127"/>
      <c r="G87" s="127"/>
      <c r="H87" s="128"/>
      <c r="I87" s="49" t="e">
        <f ca="1">IF(D100=100%,"All work Completed. Possession granted to the Building.",IF(D99=100%,"All work Completed, Waiting for OC",I88&amp;""&amp;I89&amp;""&amp;J88&amp;""&amp;J87&amp;" "&amp;J89))</f>
        <v>#REF!</v>
      </c>
      <c r="J87" s="50"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35">
      <c r="A88" s="16" t="s">
        <v>139</v>
      </c>
      <c r="B88" s="53">
        <f>IF(AND(ISNUMBER(SEARCH("1B",C87))),1,IF(AND(ISNUMBER(SEARCH("2B",C87))),2,IF(AND(ISNUMBER(SEARCH("3B",C87))),3,IF(AND(ISNUMBER(SEARCH("4B",C87))),4,IF(ISNUMBER(SEARCH("5B",C87)),5,0)))))</f>
        <v>0</v>
      </c>
      <c r="C88" s="47" t="s">
        <v>69</v>
      </c>
      <c r="D88" s="47">
        <v>1</v>
      </c>
      <c r="E88" s="47" t="s">
        <v>68</v>
      </c>
      <c r="F88" s="14">
        <v>0</v>
      </c>
      <c r="G88" s="48" t="s">
        <v>77</v>
      </c>
      <c r="H88" s="17" t="e">
        <f ca="1">--TRIM(RIGHT(SUBSTITUTE(LEFT(C87,_xlfn.AGGREGATE(16,6,FIND({0,1,2,3,4,5,6,7,8,9},C87,ROW(INDIRECT("1:"&amp;LEN(C87)))),1))," ",REPT(" ",LEN(C87))),LEN(C87)))</f>
        <v>#REF!</v>
      </c>
      <c r="I88" s="51" t="e">
        <f ca="1">IF(D91=100%,"Excavation","")&amp;IF(D92=100%,", Plinth","")&amp;IF(D93=100%,", RCC Slab","")&amp;IF(D94=100%,", Brickwork","")&amp;IF(D95=100%,", Internal Plaster","")&amp;IF(D96=100%,", External Plaster","")&amp;IF(D97=100%,", Flooring","")&amp;IF(D98=100%,", Painting","")&amp;IF(D99=100%,", Building common Amenities","")</f>
        <v>#REF!</v>
      </c>
      <c r="J88" s="52"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35">
      <c r="A89" s="219" t="s">
        <v>87</v>
      </c>
      <c r="B89" s="204"/>
      <c r="C89" s="224" t="e">
        <f ca="1">(IF($G$60="NA",I87,"All work Completed. OC Received."))</f>
        <v>#REF!</v>
      </c>
      <c r="D89" s="224"/>
      <c r="E89" s="224"/>
      <c r="F89" s="224"/>
      <c r="G89" s="224"/>
      <c r="H89" s="225"/>
      <c r="I89" s="51" t="e">
        <f ca="1">IF(I88&lt;&gt;""," Completed","")</f>
        <v>#REF!</v>
      </c>
      <c r="J89" s="52" t="e">
        <f ca="1">IF(J87&lt;&gt;"","Completed","")</f>
        <v>#REF!</v>
      </c>
    </row>
    <row r="90" spans="1:10" ht="15.75" hidden="1" customHeight="1" x14ac:dyDescent="0.35">
      <c r="A90" s="129" t="s">
        <v>47</v>
      </c>
      <c r="B90" s="130"/>
      <c r="C90" s="43" t="s">
        <v>136</v>
      </c>
      <c r="D90" s="43" t="s">
        <v>80</v>
      </c>
      <c r="E90" s="130" t="s">
        <v>82</v>
      </c>
      <c r="F90" s="130"/>
      <c r="G90" s="130" t="s">
        <v>81</v>
      </c>
      <c r="H90" s="183"/>
      <c r="I90" s="13" t="s">
        <v>138</v>
      </c>
      <c r="J90" s="28" t="e">
        <f ca="1">H88*25%</f>
        <v>#REF!</v>
      </c>
    </row>
    <row r="91" spans="1:10" hidden="1" x14ac:dyDescent="0.35">
      <c r="A91" s="129" t="s">
        <v>125</v>
      </c>
      <c r="B91" s="130"/>
      <c r="C91" s="64" t="e">
        <f ca="1">J92</f>
        <v>#REF!</v>
      </c>
      <c r="D91" s="19" t="e">
        <f ca="1">((100/H88)*C91)/100</f>
        <v>#REF!</v>
      </c>
      <c r="E91" s="184" t="e">
        <f ca="1">(((C92/H88*10)+(40/(D88+F88+H88)*C93)+(7.5/(H88)*C94)+(7.5/(H88)*C95)+(10/H88*C96)+(10/H88*C97)+(5/H88*C98)+(5/H88*C99)+(5/H88*C100))/100)</f>
        <v>#REF!</v>
      </c>
      <c r="F91" s="185"/>
      <c r="G91" s="184" t="e">
        <f ca="1">((((C91/H88)*20)+((C92/H88)*25)+(30/(H88+F88+D88)*C93)+(5/H88*C94)+(5/H88*C95)+(5/H88*C96)+(5/H88*C97)+(0/H88*C98)+(0/H88*C99)+(5/H88*C100))/100)</f>
        <v>#REF!</v>
      </c>
      <c r="H91" s="212"/>
      <c r="I91" s="13" t="s">
        <v>97</v>
      </c>
      <c r="J91" s="29" t="e">
        <f ca="1">H88*50%</f>
        <v>#REF!</v>
      </c>
    </row>
    <row r="92" spans="1:10" hidden="1" x14ac:dyDescent="0.35">
      <c r="A92" s="129" t="s">
        <v>48</v>
      </c>
      <c r="B92" s="130"/>
      <c r="C92" s="65">
        <v>19</v>
      </c>
      <c r="D92" s="19" t="e">
        <f ca="1">((100/H88)*C92)/100</f>
        <v>#REF!</v>
      </c>
      <c r="E92" s="186"/>
      <c r="F92" s="187"/>
      <c r="G92" s="186"/>
      <c r="H92" s="213"/>
      <c r="I92" s="13" t="s">
        <v>98</v>
      </c>
      <c r="J92" s="29" t="e">
        <f ca="1">H88</f>
        <v>#REF!</v>
      </c>
    </row>
    <row r="93" spans="1:10" ht="15.75" hidden="1" customHeight="1" x14ac:dyDescent="0.35">
      <c r="A93" s="129" t="s">
        <v>126</v>
      </c>
      <c r="B93" s="130"/>
      <c r="C93" s="43">
        <v>0</v>
      </c>
      <c r="D93" s="19" t="e">
        <f ca="1">((100/(D88+F88+H88))*C93)/100</f>
        <v>#REF!</v>
      </c>
      <c r="E93" s="186"/>
      <c r="F93" s="187"/>
      <c r="G93" s="186"/>
      <c r="H93" s="213"/>
      <c r="I93" s="13" t="s">
        <v>99</v>
      </c>
      <c r="J93" s="30" t="e">
        <f ca="1">(IF(B88&gt;1,(H88/(B88+2)),H88/4))</f>
        <v>#REF!</v>
      </c>
    </row>
    <row r="94" spans="1:10" ht="15.75" hidden="1" customHeight="1" x14ac:dyDescent="0.35">
      <c r="A94" s="129" t="s">
        <v>133</v>
      </c>
      <c r="B94" s="130" t="s">
        <v>127</v>
      </c>
      <c r="C94" s="63">
        <v>0</v>
      </c>
      <c r="D94" s="19" t="e">
        <f ca="1">((100/H88)*C94)/100</f>
        <v>#REF!</v>
      </c>
      <c r="E94" s="186"/>
      <c r="F94" s="187"/>
      <c r="G94" s="186"/>
      <c r="H94" s="213"/>
      <c r="I94" s="13" t="s">
        <v>100</v>
      </c>
      <c r="J94" s="30" t="e">
        <f ca="1">(IF(B88&gt;1,(H88/(B88+2)+J93),H88/4+J93))</f>
        <v>#REF!</v>
      </c>
    </row>
    <row r="95" spans="1:10" ht="15.75" hidden="1" customHeight="1" x14ac:dyDescent="0.35">
      <c r="A95" s="129" t="s">
        <v>134</v>
      </c>
      <c r="B95" s="130" t="s">
        <v>127</v>
      </c>
      <c r="C95" s="63">
        <v>0</v>
      </c>
      <c r="D95" s="19" t="e">
        <f ca="1">((100/H88)*C95)/100</f>
        <v>#REF!</v>
      </c>
      <c r="E95" s="186"/>
      <c r="F95" s="187"/>
      <c r="G95" s="186"/>
      <c r="H95" s="213"/>
      <c r="I95" s="13" t="s">
        <v>145</v>
      </c>
      <c r="J95" s="30">
        <f>(IF(B88&gt;1,(H88/(B88+2)+J94),0))</f>
        <v>0</v>
      </c>
    </row>
    <row r="96" spans="1:10" ht="15" hidden="1" customHeight="1" x14ac:dyDescent="0.35">
      <c r="A96" s="129" t="s">
        <v>132</v>
      </c>
      <c r="B96" s="130" t="s">
        <v>129</v>
      </c>
      <c r="C96" s="63">
        <v>0</v>
      </c>
      <c r="D96" s="19" t="e">
        <f ca="1">((100/(H88))*C96)/100</f>
        <v>#REF!</v>
      </c>
      <c r="E96" s="186"/>
      <c r="F96" s="187"/>
      <c r="G96" s="186"/>
      <c r="H96" s="213"/>
      <c r="I96" s="13" t="s">
        <v>140</v>
      </c>
      <c r="J96" s="30">
        <f>(IF(B88&gt;2,(H88/(B88+2)+J95),0))</f>
        <v>0</v>
      </c>
    </row>
    <row r="97" spans="1:10" ht="15.75" hidden="1" customHeight="1" x14ac:dyDescent="0.35">
      <c r="A97" s="129" t="s">
        <v>128</v>
      </c>
      <c r="B97" s="130" t="s">
        <v>128</v>
      </c>
      <c r="C97" s="63">
        <v>0</v>
      </c>
      <c r="D97" s="19" t="e">
        <f ca="1">((100/H88)*C97)/100</f>
        <v>#REF!</v>
      </c>
      <c r="E97" s="186"/>
      <c r="F97" s="187"/>
      <c r="G97" s="186"/>
      <c r="H97" s="213"/>
      <c r="I97" s="13" t="s">
        <v>141</v>
      </c>
      <c r="J97" s="31">
        <f>(IF(B88&gt;3,(H88/(B88+2)+J96),0))</f>
        <v>0</v>
      </c>
    </row>
    <row r="98" spans="1:10" ht="15.75" hidden="1" customHeight="1" x14ac:dyDescent="0.35">
      <c r="A98" s="129" t="s">
        <v>135</v>
      </c>
      <c r="B98" s="130"/>
      <c r="C98" s="43">
        <v>0</v>
      </c>
      <c r="D98" s="19" t="e">
        <f ca="1">((100/H88)*C98)/100</f>
        <v>#REF!</v>
      </c>
      <c r="E98" s="186"/>
      <c r="F98" s="187"/>
      <c r="G98" s="186"/>
      <c r="H98" s="213"/>
      <c r="I98" s="13" t="s">
        <v>142</v>
      </c>
      <c r="J98" s="30">
        <f>(IF(B88&gt;4,(H88/(B88+2)+J97),0))</f>
        <v>0</v>
      </c>
    </row>
    <row r="99" spans="1:10" ht="15.75" hidden="1" customHeight="1" x14ac:dyDescent="0.35">
      <c r="A99" s="129" t="s">
        <v>130</v>
      </c>
      <c r="B99" s="130" t="s">
        <v>130</v>
      </c>
      <c r="C99" s="43">
        <v>0</v>
      </c>
      <c r="D99" s="19" t="e">
        <f ca="1">((100/(H88))*C99)/100</f>
        <v>#REF!</v>
      </c>
      <c r="E99" s="186"/>
      <c r="F99" s="187"/>
      <c r="G99" s="186"/>
      <c r="H99" s="213"/>
      <c r="I99" s="13" t="s">
        <v>146</v>
      </c>
      <c r="J99" s="30" t="e">
        <f ca="1">(IF(B88=1,(H88/(B88+3)+J94),IF(B88=0,(H88/4+J94),IF(B88&gt;1,0))))</f>
        <v>#REF!</v>
      </c>
    </row>
    <row r="100" spans="1:10" ht="16" hidden="1" thickBot="1" x14ac:dyDescent="0.4">
      <c r="A100" s="165" t="s">
        <v>131</v>
      </c>
      <c r="B100" s="166"/>
      <c r="C100" s="44">
        <v>0</v>
      </c>
      <c r="D100" s="20" t="e">
        <f ca="1">((100/(H88))*C100)/100</f>
        <v>#REF!</v>
      </c>
      <c r="E100" s="188"/>
      <c r="F100" s="189"/>
      <c r="G100" s="188"/>
      <c r="H100" s="214"/>
      <c r="I100" s="15" t="s">
        <v>101</v>
      </c>
      <c r="J100" s="32" t="e">
        <f ca="1">(IF(B88&gt;1.5,(H88/(B88+2)+J94+MAX(0,J95-J94)+MAX(0,J96-J95)+MAX(0,J97-J96)+MAX(0,J98-J97)+MAX(0,J99-J98)),IF(B88=1,(H88/(B88+3)+J99),IF(B88=0,H88/4+J99))))</f>
        <v>#REF!</v>
      </c>
    </row>
    <row r="101" spans="1:10" ht="15.75" hidden="1" customHeight="1" x14ac:dyDescent="0.35">
      <c r="A101" s="124" t="s">
        <v>137</v>
      </c>
      <c r="B101" s="125"/>
      <c r="C101" s="126" t="e">
        <f>#REF!</f>
        <v>#REF!</v>
      </c>
      <c r="D101" s="127"/>
      <c r="E101" s="127"/>
      <c r="F101" s="127"/>
      <c r="G101" s="127"/>
      <c r="H101" s="128"/>
      <c r="I101" s="49" t="e">
        <f ca="1">IF(D114=100%,"All work Completed. Possession granted to the Building.",IF(D113=100%,"All work Completed, Waiting for OC",I102&amp;""&amp;I103&amp;""&amp;J102&amp;""&amp;J101&amp;" "&amp;J103))</f>
        <v>#REF!</v>
      </c>
      <c r="J101" s="50"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row>
    <row r="102" spans="1:10" hidden="1" x14ac:dyDescent="0.35">
      <c r="A102" s="16" t="s">
        <v>139</v>
      </c>
      <c r="B102" s="53">
        <f>IF(AND(ISNUMBER(SEARCH("1B",C101))),1,IF(AND(ISNUMBER(SEARCH("2B",C101))),2,IF(AND(ISNUMBER(SEARCH("3B",C101))),3,IF(AND(ISNUMBER(SEARCH("4B",C101))),4,IF(ISNUMBER(SEARCH("5B",C101)),5,0)))))</f>
        <v>0</v>
      </c>
      <c r="C102" s="47" t="s">
        <v>69</v>
      </c>
      <c r="D102" s="47">
        <v>1</v>
      </c>
      <c r="E102" s="47" t="s">
        <v>68</v>
      </c>
      <c r="F102" s="14">
        <v>0</v>
      </c>
      <c r="G102" s="48" t="s">
        <v>77</v>
      </c>
      <c r="H102" s="17" t="e">
        <f ca="1">--TRIM(RIGHT(SUBSTITUTE(LEFT(C101,_xlfn.AGGREGATE(16,6,FIND({0,1,2,3,4,5,6,7,8,9},C101,ROW(INDIRECT("1:"&amp;LEN(C101)))),1))," ",REPT(" ",LEN(C101))),LEN(C101)))</f>
        <v>#REF!</v>
      </c>
      <c r="I102" s="51" t="e">
        <f ca="1">IF(D105=100%,"Excavation","")&amp;IF(D106=100%,", Plinth","")&amp;IF(D107=100%,", RCC Slab","")&amp;IF(D108=100%,", Brickwork","")&amp;IF(D109=100%,", Internal Plaster","")&amp;IF(D110=100%,", External Plaster","")&amp;IF(D111=100%,", Flooring","")&amp;IF(D112=100%,", Painting","")&amp;IF(D113=100%,", Building common Amenities","")</f>
        <v>#REF!</v>
      </c>
      <c r="J102" s="52"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row>
    <row r="103" spans="1:10" hidden="1" x14ac:dyDescent="0.35">
      <c r="A103" s="219" t="s">
        <v>87</v>
      </c>
      <c r="B103" s="204"/>
      <c r="C103" s="224" t="e">
        <f ca="1">(IF($G$60="NA",I101,"All work Completed. OC Received."))</f>
        <v>#REF!</v>
      </c>
      <c r="D103" s="224"/>
      <c r="E103" s="224"/>
      <c r="F103" s="224"/>
      <c r="G103" s="224"/>
      <c r="H103" s="225"/>
      <c r="I103" s="51" t="e">
        <f ca="1">IF(I102&lt;&gt;""," Completed","")</f>
        <v>#REF!</v>
      </c>
      <c r="J103" s="52" t="e">
        <f ca="1">IF(J101&lt;&gt;"","Completed","")</f>
        <v>#REF!</v>
      </c>
    </row>
    <row r="104" spans="1:10" ht="15.75" hidden="1" customHeight="1" x14ac:dyDescent="0.35">
      <c r="A104" s="129" t="s">
        <v>47</v>
      </c>
      <c r="B104" s="130"/>
      <c r="C104" s="43" t="s">
        <v>136</v>
      </c>
      <c r="D104" s="43" t="s">
        <v>80</v>
      </c>
      <c r="E104" s="130" t="s">
        <v>82</v>
      </c>
      <c r="F104" s="130"/>
      <c r="G104" s="130" t="s">
        <v>81</v>
      </c>
      <c r="H104" s="183"/>
      <c r="I104" s="13" t="s">
        <v>138</v>
      </c>
      <c r="J104" s="28" t="e">
        <f ca="1">H102*25%</f>
        <v>#REF!</v>
      </c>
    </row>
    <row r="105" spans="1:10" hidden="1" x14ac:dyDescent="0.35">
      <c r="A105" s="129" t="s">
        <v>125</v>
      </c>
      <c r="B105" s="130"/>
      <c r="C105" s="43" t="e">
        <f ca="1">J106</f>
        <v>#REF!</v>
      </c>
      <c r="D105" s="19" t="e">
        <f ca="1">((100/H102)*C105)/100</f>
        <v>#REF!</v>
      </c>
      <c r="E105" s="184" t="e">
        <f ca="1">(((C106/H102*10)+(40/(D102+F102+H102)*C107)+(7.5/(H102)*C108)+(7.5/(H102)*C109)+(10/H102*C110)+(10/H102*C111)+(5/H102*C112)+(5/H102*C113)+(5/H102*C114))/100)</f>
        <v>#REF!</v>
      </c>
      <c r="F105" s="185"/>
      <c r="G105" s="184" t="e">
        <f ca="1">((((C105/H102)*20)+((C106/H102)*25)+(30/(H102+F102+D102)*C107)+(5/H102*C108)+(5/H102*C109)+(5/H102*C110)+(5/H102*C111)+(0/H102*C112)+(0/H102*C113)+(5/H102*C114))/100)</f>
        <v>#REF!</v>
      </c>
      <c r="H105" s="212"/>
      <c r="I105" s="13" t="s">
        <v>97</v>
      </c>
      <c r="J105" s="29" t="e">
        <f ca="1">H102*50%</f>
        <v>#REF!</v>
      </c>
    </row>
    <row r="106" spans="1:10" hidden="1" x14ac:dyDescent="0.35">
      <c r="A106" s="129" t="s">
        <v>48</v>
      </c>
      <c r="B106" s="130"/>
      <c r="C106" s="43" t="e">
        <f ca="1">J114</f>
        <v>#REF!</v>
      </c>
      <c r="D106" s="19" t="e">
        <f ca="1">((100/H102)*C106)/100</f>
        <v>#REF!</v>
      </c>
      <c r="E106" s="186"/>
      <c r="F106" s="187"/>
      <c r="G106" s="186"/>
      <c r="H106" s="213"/>
      <c r="I106" s="13" t="s">
        <v>98</v>
      </c>
      <c r="J106" s="29" t="e">
        <f ca="1">H102</f>
        <v>#REF!</v>
      </c>
    </row>
    <row r="107" spans="1:10" ht="15.75" hidden="1" customHeight="1" x14ac:dyDescent="0.35">
      <c r="A107" s="129" t="s">
        <v>126</v>
      </c>
      <c r="B107" s="130"/>
      <c r="C107" s="43" t="e">
        <f ca="1">D102+H102</f>
        <v>#REF!</v>
      </c>
      <c r="D107" s="19" t="e">
        <f ca="1">((100/(D102+F102+H102))*C107)/100</f>
        <v>#REF!</v>
      </c>
      <c r="E107" s="186"/>
      <c r="F107" s="187"/>
      <c r="G107" s="186"/>
      <c r="H107" s="213"/>
      <c r="I107" s="13" t="s">
        <v>99</v>
      </c>
      <c r="J107" s="30" t="e">
        <f ca="1">(IF(B102&gt;1,(H102/(B102+2)),H102/4))</f>
        <v>#REF!</v>
      </c>
    </row>
    <row r="108" spans="1:10" ht="15.75" hidden="1" customHeight="1" x14ac:dyDescent="0.35">
      <c r="A108" s="129" t="s">
        <v>133</v>
      </c>
      <c r="B108" s="130" t="s">
        <v>127</v>
      </c>
      <c r="C108" s="43">
        <v>0</v>
      </c>
      <c r="D108" s="19" t="e">
        <f ca="1">((100/H102)*C108)/100</f>
        <v>#REF!</v>
      </c>
      <c r="E108" s="186"/>
      <c r="F108" s="187"/>
      <c r="G108" s="186"/>
      <c r="H108" s="213"/>
      <c r="I108" s="13" t="s">
        <v>100</v>
      </c>
      <c r="J108" s="30" t="e">
        <f ca="1">(IF(B102&gt;1,(H102/(B102+2)+J107),H102/4+J107))</f>
        <v>#REF!</v>
      </c>
    </row>
    <row r="109" spans="1:10" ht="15.75" hidden="1" customHeight="1" x14ac:dyDescent="0.35">
      <c r="A109" s="129" t="s">
        <v>134</v>
      </c>
      <c r="B109" s="130" t="s">
        <v>127</v>
      </c>
      <c r="C109" s="43">
        <v>0</v>
      </c>
      <c r="D109" s="19" t="e">
        <f ca="1">((100/H102)*C109)/100</f>
        <v>#REF!</v>
      </c>
      <c r="E109" s="186"/>
      <c r="F109" s="187"/>
      <c r="G109" s="186"/>
      <c r="H109" s="213"/>
      <c r="I109" s="13" t="s">
        <v>145</v>
      </c>
      <c r="J109" s="30">
        <f>(IF(B102&gt;1,(H102/(B102+2)+J108),0))</f>
        <v>0</v>
      </c>
    </row>
    <row r="110" spans="1:10" ht="15" hidden="1" customHeight="1" x14ac:dyDescent="0.35">
      <c r="A110" s="129" t="s">
        <v>132</v>
      </c>
      <c r="B110" s="130" t="s">
        <v>129</v>
      </c>
      <c r="C110" s="43">
        <v>0</v>
      </c>
      <c r="D110" s="19" t="e">
        <f ca="1">((100/(H102))*C110)/100</f>
        <v>#REF!</v>
      </c>
      <c r="E110" s="186"/>
      <c r="F110" s="187"/>
      <c r="G110" s="186"/>
      <c r="H110" s="213"/>
      <c r="I110" s="13" t="s">
        <v>140</v>
      </c>
      <c r="J110" s="30">
        <f>(IF(B102&gt;2,(H102/(B102+2)+J109),0))</f>
        <v>0</v>
      </c>
    </row>
    <row r="111" spans="1:10" ht="15.75" hidden="1" customHeight="1" x14ac:dyDescent="0.35">
      <c r="A111" s="129" t="s">
        <v>128</v>
      </c>
      <c r="B111" s="130" t="s">
        <v>128</v>
      </c>
      <c r="C111" s="43">
        <v>0</v>
      </c>
      <c r="D111" s="19" t="e">
        <f ca="1">((100/H102)*C111)/100</f>
        <v>#REF!</v>
      </c>
      <c r="E111" s="186"/>
      <c r="F111" s="187"/>
      <c r="G111" s="186"/>
      <c r="H111" s="213"/>
      <c r="I111" s="13" t="s">
        <v>141</v>
      </c>
      <c r="J111" s="31">
        <f>(IF(B102&gt;3,(H102/(B102+2)+J110),0))</f>
        <v>0</v>
      </c>
    </row>
    <row r="112" spans="1:10" ht="15.75" hidden="1" customHeight="1" x14ac:dyDescent="0.35">
      <c r="A112" s="129" t="s">
        <v>135</v>
      </c>
      <c r="B112" s="130"/>
      <c r="C112" s="43">
        <v>0</v>
      </c>
      <c r="D112" s="19" t="e">
        <f ca="1">((100/H102)*C112)/100</f>
        <v>#REF!</v>
      </c>
      <c r="E112" s="186"/>
      <c r="F112" s="187"/>
      <c r="G112" s="186"/>
      <c r="H112" s="213"/>
      <c r="I112" s="13" t="s">
        <v>142</v>
      </c>
      <c r="J112" s="30">
        <f>(IF(B102&gt;4,(H102/(B102+2)+J111),0))</f>
        <v>0</v>
      </c>
    </row>
    <row r="113" spans="1:22" ht="15.75" hidden="1" customHeight="1" x14ac:dyDescent="0.35">
      <c r="A113" s="129" t="s">
        <v>130</v>
      </c>
      <c r="B113" s="130" t="s">
        <v>130</v>
      </c>
      <c r="C113" s="43">
        <v>0</v>
      </c>
      <c r="D113" s="19" t="e">
        <f ca="1">((100/(H102))*C113)/100</f>
        <v>#REF!</v>
      </c>
      <c r="E113" s="186"/>
      <c r="F113" s="187"/>
      <c r="G113" s="186"/>
      <c r="H113" s="213"/>
      <c r="I113" s="13" t="s">
        <v>146</v>
      </c>
      <c r="J113" s="30" t="e">
        <f ca="1">(IF(B102=1,(H102/(B102+3)+J108),IF(B102=0,(H102/4+J108),IF(B102&gt;1,0))))</f>
        <v>#REF!</v>
      </c>
    </row>
    <row r="114" spans="1:22" ht="16" hidden="1" thickBot="1" x14ac:dyDescent="0.4">
      <c r="A114" s="165" t="s">
        <v>131</v>
      </c>
      <c r="B114" s="166"/>
      <c r="C114" s="44">
        <v>0</v>
      </c>
      <c r="D114" s="20" t="e">
        <f ca="1">((100/(H102))*C114)/100</f>
        <v>#REF!</v>
      </c>
      <c r="E114" s="188"/>
      <c r="F114" s="189"/>
      <c r="G114" s="188"/>
      <c r="H114" s="214"/>
      <c r="I114" s="15" t="s">
        <v>101</v>
      </c>
      <c r="J114" s="32" t="e">
        <f ca="1">(IF(B102&gt;1.5,(H102/(B102+2)+J108+MAX(0,J109-J108)+MAX(0,J110-J109)+MAX(0,J111-J110)+MAX(0,J112-J111)+MAX(0,J113-J112)),IF(B102=1,(H102/(B102+3)+J113),IF(B102=0,H102/4+J113))))</f>
        <v>#REF!</v>
      </c>
    </row>
    <row r="115" spans="1:22" x14ac:dyDescent="0.35">
      <c r="A115" s="235" t="s">
        <v>157</v>
      </c>
      <c r="B115" s="235"/>
      <c r="C115" s="235"/>
      <c r="D115" s="235"/>
      <c r="E115" s="235"/>
      <c r="F115" s="239" t="s">
        <v>161</v>
      </c>
      <c r="G115" s="239"/>
      <c r="H115" s="239"/>
      <c r="R115" t="s">
        <v>254</v>
      </c>
      <c r="S115" t="s">
        <v>173</v>
      </c>
      <c r="T115" t="s">
        <v>179</v>
      </c>
      <c r="U115" t="s">
        <v>194</v>
      </c>
      <c r="V115" t="s">
        <v>189</v>
      </c>
    </row>
    <row r="116" spans="1:22" x14ac:dyDescent="0.35">
      <c r="A116" s="116" t="s">
        <v>159</v>
      </c>
      <c r="B116" s="116"/>
      <c r="C116" s="116"/>
      <c r="D116" s="116"/>
      <c r="E116" s="116"/>
      <c r="F116" s="113">
        <v>10250</v>
      </c>
      <c r="G116" s="113"/>
      <c r="H116" s="113"/>
      <c r="I116" s="21" t="s">
        <v>381</v>
      </c>
      <c r="J116" s="21" t="s">
        <v>384</v>
      </c>
      <c r="R116"/>
      <c r="S116">
        <v>800000</v>
      </c>
      <c r="T116">
        <v>150000</v>
      </c>
      <c r="U116">
        <v>100000</v>
      </c>
      <c r="V116">
        <v>100000</v>
      </c>
    </row>
    <row r="117" spans="1:22" x14ac:dyDescent="0.35">
      <c r="A117" s="116" t="s">
        <v>158</v>
      </c>
      <c r="B117" s="116"/>
      <c r="C117" s="116"/>
      <c r="D117" s="116"/>
      <c r="E117" s="116"/>
      <c r="F117" s="113">
        <v>15000</v>
      </c>
      <c r="G117" s="113"/>
      <c r="H117" s="113"/>
      <c r="R117"/>
      <c r="S117">
        <v>900000</v>
      </c>
      <c r="T117">
        <v>200000</v>
      </c>
      <c r="U117">
        <v>150000</v>
      </c>
      <c r="V117">
        <v>150000</v>
      </c>
    </row>
    <row r="118" spans="1:22" hidden="1" x14ac:dyDescent="0.35">
      <c r="A118" s="116" t="s">
        <v>160</v>
      </c>
      <c r="B118" s="116"/>
      <c r="C118" s="116"/>
      <c r="D118" s="116"/>
      <c r="E118" s="116"/>
      <c r="F118" s="113"/>
      <c r="G118" s="113"/>
      <c r="H118" s="113"/>
      <c r="R118"/>
      <c r="S118">
        <v>1000000</v>
      </c>
      <c r="T118">
        <v>250000</v>
      </c>
      <c r="U118">
        <v>200000</v>
      </c>
      <c r="V118">
        <v>200000</v>
      </c>
    </row>
    <row r="119" spans="1:22" s="33" customFormat="1" hidden="1" x14ac:dyDescent="0.35">
      <c r="A119" s="116" t="s">
        <v>176</v>
      </c>
      <c r="B119" s="116"/>
      <c r="C119" s="116"/>
      <c r="D119" s="116"/>
      <c r="E119" s="116"/>
      <c r="F119" s="113"/>
      <c r="G119" s="113"/>
      <c r="H119" s="113"/>
      <c r="R119"/>
      <c r="S119">
        <v>1100000</v>
      </c>
      <c r="T119">
        <v>300000</v>
      </c>
      <c r="U119">
        <v>250000</v>
      </c>
      <c r="V119" s="23">
        <v>250000</v>
      </c>
    </row>
    <row r="120" spans="1:22" s="33" customFormat="1" hidden="1" x14ac:dyDescent="0.35">
      <c r="A120" s="116" t="s">
        <v>385</v>
      </c>
      <c r="B120" s="116"/>
      <c r="C120" s="116"/>
      <c r="D120" s="116"/>
      <c r="E120" s="116"/>
      <c r="F120" s="113">
        <v>350000</v>
      </c>
      <c r="G120" s="113"/>
      <c r="H120" s="113"/>
      <c r="R120"/>
      <c r="S120">
        <v>1200000</v>
      </c>
      <c r="T120">
        <v>350000</v>
      </c>
      <c r="U120">
        <v>300000</v>
      </c>
      <c r="V120">
        <v>300000</v>
      </c>
    </row>
    <row r="121" spans="1:22" s="33" customFormat="1" x14ac:dyDescent="0.35">
      <c r="A121" s="116" t="s">
        <v>387</v>
      </c>
      <c r="B121" s="116"/>
      <c r="C121" s="116"/>
      <c r="D121" s="116"/>
      <c r="E121" s="116"/>
      <c r="F121" s="113">
        <v>800000</v>
      </c>
      <c r="G121" s="113"/>
      <c r="H121" s="113"/>
      <c r="R121"/>
      <c r="S121">
        <v>1300000</v>
      </c>
      <c r="T121">
        <v>400000</v>
      </c>
      <c r="U121">
        <v>350000</v>
      </c>
      <c r="V121" s="23">
        <v>400000</v>
      </c>
    </row>
    <row r="122" spans="1:22" s="33" customFormat="1" hidden="1" x14ac:dyDescent="0.35">
      <c r="A122" s="116" t="s">
        <v>92</v>
      </c>
      <c r="B122" s="116"/>
      <c r="C122" s="116"/>
      <c r="D122" s="116"/>
      <c r="E122" s="116"/>
      <c r="F122" s="113"/>
      <c r="G122" s="113"/>
      <c r="H122" s="113"/>
      <c r="R122"/>
      <c r="S122">
        <v>1300000</v>
      </c>
      <c r="T122">
        <v>400000</v>
      </c>
      <c r="U122">
        <v>350000</v>
      </c>
      <c r="V122" s="23">
        <v>400000</v>
      </c>
    </row>
    <row r="123" spans="1:22" s="33" customFormat="1" hidden="1" x14ac:dyDescent="0.35">
      <c r="A123" s="116" t="s">
        <v>93</v>
      </c>
      <c r="B123" s="116"/>
      <c r="C123" s="116"/>
      <c r="D123" s="116"/>
      <c r="E123" s="116"/>
      <c r="F123" s="113"/>
      <c r="G123" s="113"/>
      <c r="H123" s="113"/>
      <c r="R123"/>
      <c r="S123">
        <v>1400000</v>
      </c>
      <c r="T123">
        <v>500000</v>
      </c>
      <c r="U123">
        <v>400000</v>
      </c>
      <c r="V123"/>
    </row>
    <row r="124" spans="1:22" s="33" customFormat="1" hidden="1" x14ac:dyDescent="0.35">
      <c r="A124" s="116" t="s">
        <v>94</v>
      </c>
      <c r="B124" s="116"/>
      <c r="C124" s="116"/>
      <c r="D124" s="116"/>
      <c r="E124" s="116"/>
      <c r="F124" s="113"/>
      <c r="G124" s="113"/>
      <c r="H124" s="113"/>
      <c r="R124"/>
      <c r="S124">
        <v>1500000</v>
      </c>
      <c r="T124">
        <v>600000</v>
      </c>
      <c r="U124">
        <v>500000</v>
      </c>
      <c r="V124" s="23"/>
    </row>
    <row r="125" spans="1:22" s="33" customFormat="1" hidden="1" x14ac:dyDescent="0.35">
      <c r="A125" s="116" t="s">
        <v>95</v>
      </c>
      <c r="B125" s="116"/>
      <c r="C125" s="116"/>
      <c r="D125" s="116"/>
      <c r="E125" s="116"/>
      <c r="F125" s="113"/>
      <c r="G125" s="113"/>
      <c r="H125" s="113"/>
      <c r="R125"/>
      <c r="S125">
        <v>1600000</v>
      </c>
      <c r="T125">
        <v>700000</v>
      </c>
      <c r="U125">
        <v>600000</v>
      </c>
      <c r="V125"/>
    </row>
    <row r="126" spans="1:22" s="33" customFormat="1" hidden="1" x14ac:dyDescent="0.35">
      <c r="A126" s="116" t="s">
        <v>96</v>
      </c>
      <c r="B126" s="116"/>
      <c r="C126" s="116"/>
      <c r="D126" s="116"/>
      <c r="E126" s="116"/>
      <c r="F126" s="113"/>
      <c r="G126" s="113"/>
      <c r="H126" s="113"/>
      <c r="R126"/>
      <c r="S126">
        <v>1700000</v>
      </c>
      <c r="T126">
        <v>800000</v>
      </c>
      <c r="U126">
        <v>700000</v>
      </c>
      <c r="V126" s="23"/>
    </row>
    <row r="127" spans="1:22" x14ac:dyDescent="0.35">
      <c r="A127" s="116" t="s">
        <v>49</v>
      </c>
      <c r="B127" s="116"/>
      <c r="C127" s="116"/>
      <c r="D127" s="116"/>
      <c r="E127" s="116"/>
      <c r="F127" s="194">
        <v>700000</v>
      </c>
      <c r="G127" s="194"/>
      <c r="H127" s="194"/>
      <c r="R127"/>
      <c r="S127">
        <v>1800000</v>
      </c>
      <c r="T127">
        <v>900000</v>
      </c>
      <c r="U127">
        <v>800000</v>
      </c>
    </row>
    <row r="128" spans="1:22" s="34" customFormat="1" x14ac:dyDescent="0.35">
      <c r="A128" s="195" t="s">
        <v>50</v>
      </c>
      <c r="B128" s="195"/>
      <c r="C128" s="195"/>
      <c r="D128" s="195"/>
      <c r="E128" s="195"/>
      <c r="F128" s="113">
        <f>F116*0.8</f>
        <v>8200</v>
      </c>
      <c r="G128" s="113"/>
      <c r="H128" s="113"/>
      <c r="R128" s="21"/>
      <c r="S128" s="21"/>
      <c r="T128">
        <v>1000000</v>
      </c>
      <c r="U128">
        <v>700000</v>
      </c>
      <c r="V128" s="21"/>
    </row>
    <row r="129" spans="1:22" s="35" customFormat="1" ht="15.75" customHeight="1" x14ac:dyDescent="0.35">
      <c r="A129" s="193" t="s">
        <v>72</v>
      </c>
      <c r="B129" s="193"/>
      <c r="C129" s="193"/>
      <c r="D129" s="193"/>
      <c r="E129" s="193"/>
      <c r="F129" s="193"/>
      <c r="G129" s="193"/>
      <c r="H129" s="193"/>
      <c r="R129"/>
      <c r="S129" s="21"/>
      <c r="T129"/>
      <c r="U129"/>
      <c r="V129" s="21"/>
    </row>
    <row r="130" spans="1:22" s="35" customFormat="1" ht="15.75" customHeight="1" x14ac:dyDescent="0.35">
      <c r="A130" s="115" t="s">
        <v>51</v>
      </c>
      <c r="B130" s="115"/>
      <c r="C130" s="121" t="s">
        <v>75</v>
      </c>
      <c r="D130" s="121"/>
      <c r="E130" s="120" t="s">
        <v>52</v>
      </c>
      <c r="F130" s="120"/>
      <c r="G130" s="115" t="s">
        <v>53</v>
      </c>
      <c r="H130" s="115"/>
      <c r="R130"/>
      <c r="S130" s="21"/>
      <c r="T130"/>
      <c r="U130" s="21"/>
      <c r="V130" s="21"/>
    </row>
    <row r="131" spans="1:22" s="35" customFormat="1" x14ac:dyDescent="0.35">
      <c r="A131" s="196" t="s">
        <v>357</v>
      </c>
      <c r="B131" s="196"/>
      <c r="C131" s="163">
        <f>COUNT(D145:D152)</f>
        <v>8</v>
      </c>
      <c r="D131" s="164"/>
      <c r="E131" s="163">
        <f t="shared" ref="E131" si="0">SUM(F145:F152)</f>
        <v>1877.2415999999998</v>
      </c>
      <c r="F131" s="164"/>
      <c r="G131" s="163">
        <f t="shared" ref="G131" si="1">SUM(H145:H152)</f>
        <v>2909.7244799999999</v>
      </c>
      <c r="H131" s="164"/>
      <c r="R131"/>
      <c r="S131" s="21"/>
      <c r="T131"/>
      <c r="U131" s="21"/>
      <c r="V131" s="21"/>
    </row>
    <row r="132" spans="1:22" s="35" customFormat="1" x14ac:dyDescent="0.35">
      <c r="A132" s="193" t="s">
        <v>150</v>
      </c>
      <c r="B132" s="193"/>
      <c r="C132" s="238">
        <f>SUM(C131)</f>
        <v>8</v>
      </c>
      <c r="D132" s="121"/>
      <c r="E132" s="238">
        <f t="shared" ref="E132" si="2">SUM(E131)</f>
        <v>1877.2415999999998</v>
      </c>
      <c r="F132" s="121"/>
      <c r="G132" s="238">
        <f t="shared" ref="G132" si="3">SUM(G131)</f>
        <v>2909.7244799999999</v>
      </c>
      <c r="H132" s="121"/>
      <c r="R132"/>
      <c r="S132" s="21"/>
      <c r="T132"/>
      <c r="U132" s="21"/>
      <c r="V132" s="21"/>
    </row>
    <row r="133" spans="1:22" s="35" customFormat="1" x14ac:dyDescent="0.35">
      <c r="A133" s="193" t="s">
        <v>67</v>
      </c>
      <c r="B133" s="193"/>
      <c r="C133" s="193"/>
      <c r="D133" s="193"/>
      <c r="E133" s="193"/>
      <c r="F133" s="193"/>
      <c r="G133" s="193"/>
      <c r="H133" s="193"/>
      <c r="T133"/>
    </row>
    <row r="134" spans="1:22" s="35" customFormat="1" ht="15.75" customHeight="1" x14ac:dyDescent="0.35">
      <c r="A134" s="115" t="s">
        <v>51</v>
      </c>
      <c r="B134" s="115"/>
      <c r="C134" s="121" t="s">
        <v>75</v>
      </c>
      <c r="D134" s="121"/>
      <c r="E134" s="120" t="s">
        <v>52</v>
      </c>
      <c r="F134" s="120"/>
      <c r="G134" s="115" t="s">
        <v>53</v>
      </c>
      <c r="H134" s="115"/>
      <c r="T134"/>
    </row>
    <row r="135" spans="1:22" s="35" customFormat="1" x14ac:dyDescent="0.35">
      <c r="A135" s="196" t="s">
        <v>358</v>
      </c>
      <c r="B135" s="196"/>
      <c r="C135" s="163">
        <f>COUNT(D158:D162)*13+COUNT(D164:D168)*3</f>
        <v>80</v>
      </c>
      <c r="D135" s="163"/>
      <c r="E135" s="163">
        <f t="shared" ref="E135" si="4">SUM(F158:F162)*13+SUM(F164:F168)*3</f>
        <v>60257.948399999994</v>
      </c>
      <c r="F135" s="163"/>
      <c r="G135" s="163">
        <f t="shared" ref="G135" si="5">SUM(H158:H162)*13+SUM(H164:H168)*3</f>
        <v>100065</v>
      </c>
      <c r="H135" s="163"/>
      <c r="I135" s="35">
        <f>5*16</f>
        <v>80</v>
      </c>
      <c r="T135"/>
    </row>
    <row r="136" spans="1:22" s="35" customFormat="1" ht="16" thickBot="1" x14ac:dyDescent="0.4">
      <c r="A136" s="237" t="s">
        <v>150</v>
      </c>
      <c r="B136" s="237"/>
      <c r="C136" s="167">
        <f>SUM(C135)</f>
        <v>80</v>
      </c>
      <c r="D136" s="168"/>
      <c r="E136" s="167">
        <f t="shared" ref="E136" si="6">SUM(E135)</f>
        <v>60257.948399999994</v>
      </c>
      <c r="F136" s="168"/>
      <c r="G136" s="167">
        <f t="shared" ref="G136" si="7">SUM(G135)</f>
        <v>100065</v>
      </c>
      <c r="H136" s="168"/>
      <c r="T136"/>
    </row>
    <row r="137" spans="1:22" s="35" customFormat="1" ht="16" thickBot="1" x14ac:dyDescent="0.4">
      <c r="A137" s="169" t="s">
        <v>167</v>
      </c>
      <c r="B137" s="170"/>
      <c r="C137" s="173">
        <f>C132+C136</f>
        <v>88</v>
      </c>
      <c r="D137" s="173"/>
      <c r="E137" s="174">
        <f>E132+E136</f>
        <v>62135.189999999995</v>
      </c>
      <c r="F137" s="174"/>
      <c r="G137" s="227">
        <f>G132+G136</f>
        <v>102974.72448</v>
      </c>
      <c r="H137" s="228"/>
      <c r="T137"/>
    </row>
    <row r="138" spans="1:22" s="34" customFormat="1" x14ac:dyDescent="0.35">
      <c r="A138" s="239" t="s">
        <v>54</v>
      </c>
      <c r="B138" s="239"/>
      <c r="C138" s="239"/>
      <c r="D138" s="239"/>
      <c r="E138" s="239"/>
      <c r="F138" s="239"/>
      <c r="G138" s="239"/>
      <c r="H138" s="239"/>
      <c r="T138" s="35"/>
    </row>
    <row r="139" spans="1:22" x14ac:dyDescent="0.35">
      <c r="A139" s="114" t="s">
        <v>175</v>
      </c>
      <c r="B139" s="114"/>
      <c r="C139" s="114"/>
      <c r="D139" s="114"/>
      <c r="E139" s="114"/>
      <c r="F139" s="114"/>
      <c r="G139" s="114"/>
      <c r="H139" s="114"/>
      <c r="T139" s="35"/>
    </row>
    <row r="140" spans="1:22" ht="47.25" customHeight="1" x14ac:dyDescent="0.35">
      <c r="A140" s="161" t="s">
        <v>375</v>
      </c>
      <c r="B140" s="161" t="s">
        <v>177</v>
      </c>
      <c r="C140" s="161" t="s">
        <v>55</v>
      </c>
      <c r="D140" s="161" t="s">
        <v>232</v>
      </c>
      <c r="E140" s="220" t="s">
        <v>156</v>
      </c>
      <c r="F140" s="161" t="s">
        <v>56</v>
      </c>
      <c r="G140" s="220" t="s">
        <v>57</v>
      </c>
      <c r="H140" s="88" t="s">
        <v>148</v>
      </c>
      <c r="T140" s="35"/>
    </row>
    <row r="141" spans="1:22" s="37" customFormat="1" x14ac:dyDescent="0.35">
      <c r="A141" s="162"/>
      <c r="B141" s="162"/>
      <c r="C141" s="162"/>
      <c r="D141" s="162"/>
      <c r="E141" s="221"/>
      <c r="F141" s="162"/>
      <c r="G141" s="221"/>
      <c r="H141" s="89">
        <v>0.55000000000000004</v>
      </c>
      <c r="T141" s="35"/>
    </row>
    <row r="142" spans="1:22" s="81" customFormat="1" x14ac:dyDescent="0.35">
      <c r="A142" s="182" t="s">
        <v>347</v>
      </c>
      <c r="B142" s="182"/>
      <c r="C142" s="182"/>
      <c r="D142" s="182"/>
      <c r="E142" s="182"/>
      <c r="F142" s="182"/>
      <c r="G142" s="182"/>
      <c r="H142" s="182"/>
      <c r="T142" s="35"/>
    </row>
    <row r="143" spans="1:22" s="81" customFormat="1" ht="15.75" customHeight="1" x14ac:dyDescent="0.35">
      <c r="A143" s="182" t="s">
        <v>348</v>
      </c>
      <c r="B143" s="182"/>
      <c r="C143" s="182"/>
      <c r="D143" s="182"/>
      <c r="E143" s="182"/>
      <c r="F143" s="182"/>
      <c r="G143" s="182"/>
      <c r="H143" s="182"/>
      <c r="T143" s="35"/>
    </row>
    <row r="144" spans="1:22" s="37" customFormat="1" x14ac:dyDescent="0.35">
      <c r="A144" s="182" t="s">
        <v>349</v>
      </c>
      <c r="B144" s="182"/>
      <c r="C144" s="182"/>
      <c r="D144" s="182"/>
      <c r="E144" s="182"/>
      <c r="F144" s="182"/>
      <c r="G144" s="182"/>
      <c r="H144" s="182"/>
      <c r="J144" s="36"/>
      <c r="T144" s="35"/>
    </row>
    <row r="145" spans="1:20" s="37" customFormat="1" ht="15.75" customHeight="1" x14ac:dyDescent="0.35">
      <c r="A145" s="109">
        <v>1</v>
      </c>
      <c r="B145" s="109"/>
      <c r="C145" s="97" t="s">
        <v>350</v>
      </c>
      <c r="D145" s="82">
        <f>(28.16)*(10.764)</f>
        <v>303.11424</v>
      </c>
      <c r="E145" s="97">
        <v>0</v>
      </c>
      <c r="F145" s="97">
        <f>D145+(IF(E145&lt;201,E145,IF(E145&lt;301,E145/2,E145/3)))</f>
        <v>303.11424</v>
      </c>
      <c r="G145" s="66">
        <v>0</v>
      </c>
      <c r="H145" s="97">
        <f>(F145+(IF(G145&lt;101,G145,IF(G145&lt;201,G145/2,IF(G145&lt;=301,G145/3,G145/4)))))*(($H$141)+1)</f>
        <v>469.82707199999999</v>
      </c>
      <c r="I145" s="36"/>
      <c r="L145" s="110"/>
      <c r="M145" s="110"/>
      <c r="N145" s="36"/>
      <c r="T145" s="35"/>
    </row>
    <row r="146" spans="1:20" s="37" customFormat="1" ht="15.75" customHeight="1" x14ac:dyDescent="0.35">
      <c r="A146" s="109">
        <f>A145+1</f>
        <v>2</v>
      </c>
      <c r="B146" s="109"/>
      <c r="C146" s="97" t="s">
        <v>350</v>
      </c>
      <c r="D146" s="82">
        <f>(19.91)*(10.764)</f>
        <v>214.31124</v>
      </c>
      <c r="E146" s="97">
        <v>0</v>
      </c>
      <c r="F146" s="97">
        <f t="shared" ref="F146:F148" si="8">D146+(IF(E146&lt;201,E146,IF(E146&lt;301,E146/2,E146/3)))</f>
        <v>214.31124</v>
      </c>
      <c r="G146" s="97">
        <v>0</v>
      </c>
      <c r="H146" s="97">
        <f t="shared" ref="H146:H148" si="9">(F146+(IF(G146&lt;101,G146,IF(G146&lt;201,G146/2,IF(G146&lt;=301,G146/3,G146/4)))))*(($H$141)+1)</f>
        <v>332.18242200000003</v>
      </c>
      <c r="I146" s="36">
        <f>3.2*(4.35+1.35)+2.8*0.4</f>
        <v>19.36</v>
      </c>
      <c r="L146" s="110"/>
      <c r="M146" s="110"/>
      <c r="N146" s="36"/>
      <c r="T146" s="34"/>
    </row>
    <row r="147" spans="1:20" s="37" customFormat="1" ht="15.75" customHeight="1" x14ac:dyDescent="0.35">
      <c r="A147" s="109">
        <f>A146+1</f>
        <v>3</v>
      </c>
      <c r="B147" s="109"/>
      <c r="C147" s="97" t="s">
        <v>350</v>
      </c>
      <c r="D147" s="82">
        <f>(29.37)*(10.764)</f>
        <v>316.13867999999997</v>
      </c>
      <c r="E147" s="97">
        <v>0</v>
      </c>
      <c r="F147" s="97">
        <f t="shared" si="8"/>
        <v>316.13867999999997</v>
      </c>
      <c r="G147" s="97">
        <v>0</v>
      </c>
      <c r="H147" s="97">
        <f t="shared" si="9"/>
        <v>490.01495399999993</v>
      </c>
      <c r="I147" s="36"/>
      <c r="L147" s="110"/>
      <c r="M147" s="110"/>
      <c r="N147" s="36"/>
      <c r="T147" s="21"/>
    </row>
    <row r="148" spans="1:20" s="37" customFormat="1" ht="15.75" customHeight="1" x14ac:dyDescent="0.35">
      <c r="A148" s="109">
        <f>A147+1</f>
        <v>4</v>
      </c>
      <c r="B148" s="109"/>
      <c r="C148" s="97" t="s">
        <v>350</v>
      </c>
      <c r="D148" s="82">
        <f>(18.98)*(10.764)</f>
        <v>204.30071999999998</v>
      </c>
      <c r="E148" s="97">
        <v>0</v>
      </c>
      <c r="F148" s="97">
        <f t="shared" si="8"/>
        <v>204.30071999999998</v>
      </c>
      <c r="G148" s="97">
        <v>0</v>
      </c>
      <c r="H148" s="97">
        <f t="shared" si="9"/>
        <v>316.66611599999999</v>
      </c>
      <c r="I148" s="36"/>
      <c r="L148" s="110"/>
      <c r="M148" s="110"/>
      <c r="N148" s="36"/>
      <c r="T148" s="21"/>
    </row>
    <row r="149" spans="1:20" s="81" customFormat="1" ht="15.75" customHeight="1" x14ac:dyDescent="0.35">
      <c r="A149" s="109">
        <f t="shared" ref="A149:A152" si="10">A148+1</f>
        <v>5</v>
      </c>
      <c r="B149" s="109"/>
      <c r="C149" s="97" t="s">
        <v>350</v>
      </c>
      <c r="D149" s="82">
        <f>(17.58)*(10.764)</f>
        <v>189.23111999999998</v>
      </c>
      <c r="E149" s="97">
        <v>0</v>
      </c>
      <c r="F149" s="97">
        <f>D149+(IF(E149&lt;201,E149,IF(E149&lt;301,E149/2,E149/3)))</f>
        <v>189.23111999999998</v>
      </c>
      <c r="G149" s="66">
        <v>0</v>
      </c>
      <c r="H149" s="97">
        <f>(F149+(IF(G149&lt;101,G149,IF(G149&lt;201,G149/2,IF(G149&lt;=301,G149/3,G149/4)))))*(($H$141)+1)</f>
        <v>293.30823599999997</v>
      </c>
      <c r="I149" s="36">
        <f>2.7*5.8+0.55*0.4+0.7*1.6</f>
        <v>17</v>
      </c>
      <c r="L149" s="110"/>
      <c r="M149" s="110"/>
      <c r="N149" s="36"/>
      <c r="T149" s="35"/>
    </row>
    <row r="150" spans="1:20" s="81" customFormat="1" ht="15.75" customHeight="1" x14ac:dyDescent="0.35">
      <c r="A150" s="109">
        <f t="shared" si="10"/>
        <v>6</v>
      </c>
      <c r="B150" s="109"/>
      <c r="C150" s="97" t="s">
        <v>350</v>
      </c>
      <c r="D150" s="82">
        <f>(17.68)*(10.764)</f>
        <v>190.30751999999998</v>
      </c>
      <c r="E150" s="97">
        <v>0</v>
      </c>
      <c r="F150" s="97">
        <f t="shared" ref="F150:F152" si="11">D150+(IF(E150&lt;201,E150,IF(E150&lt;301,E150/2,E150/3)))</f>
        <v>190.30751999999998</v>
      </c>
      <c r="G150" s="97">
        <v>0</v>
      </c>
      <c r="H150" s="97">
        <f t="shared" ref="H150:H152" si="12">(F150+(IF(G150&lt;101,G150,IF(G150&lt;201,G150/2,IF(G150&lt;=301,G150/3,G150/4)))))*(($H$141)+1)</f>
        <v>294.97665599999999</v>
      </c>
      <c r="I150" s="36"/>
      <c r="L150" s="110"/>
      <c r="M150" s="110"/>
      <c r="N150" s="36"/>
      <c r="T150" s="34"/>
    </row>
    <row r="151" spans="1:20" s="81" customFormat="1" ht="15.75" customHeight="1" x14ac:dyDescent="0.35">
      <c r="A151" s="109">
        <f t="shared" si="10"/>
        <v>7</v>
      </c>
      <c r="B151" s="109"/>
      <c r="C151" s="97" t="s">
        <v>350</v>
      </c>
      <c r="D151" s="82">
        <f>(14.34)*(10.764)</f>
        <v>154.35575999999998</v>
      </c>
      <c r="E151" s="97">
        <v>0</v>
      </c>
      <c r="F151" s="97">
        <f t="shared" si="11"/>
        <v>154.35575999999998</v>
      </c>
      <c r="G151" s="97">
        <v>0</v>
      </c>
      <c r="H151" s="97">
        <f t="shared" si="12"/>
        <v>239.25142799999998</v>
      </c>
      <c r="I151" s="36"/>
      <c r="L151" s="110"/>
      <c r="M151" s="110"/>
      <c r="N151" s="36"/>
      <c r="T151" s="21"/>
    </row>
    <row r="152" spans="1:20" s="81" customFormat="1" ht="15.75" customHeight="1" x14ac:dyDescent="0.35">
      <c r="A152" s="109">
        <f t="shared" si="10"/>
        <v>8</v>
      </c>
      <c r="B152" s="109"/>
      <c r="C152" s="86" t="s">
        <v>350</v>
      </c>
      <c r="D152" s="82">
        <f>(28.38)*(10.764)</f>
        <v>305.48231999999996</v>
      </c>
      <c r="E152" s="86">
        <v>0</v>
      </c>
      <c r="F152" s="86">
        <f t="shared" si="11"/>
        <v>305.48231999999996</v>
      </c>
      <c r="G152" s="86">
        <v>0</v>
      </c>
      <c r="H152" s="86">
        <f t="shared" si="12"/>
        <v>473.49759599999993</v>
      </c>
      <c r="I152" s="36"/>
      <c r="L152" s="110"/>
      <c r="M152" s="110"/>
      <c r="N152" s="36"/>
      <c r="T152" s="21"/>
    </row>
    <row r="153" spans="1:20" s="37" customFormat="1" x14ac:dyDescent="0.35">
      <c r="A153" s="101"/>
      <c r="B153" s="236"/>
      <c r="C153" s="236"/>
      <c r="D153" s="236"/>
      <c r="E153" s="236"/>
      <c r="F153" s="236"/>
      <c r="G153" s="236"/>
      <c r="H153" s="102"/>
      <c r="I153" s="36"/>
      <c r="N153" s="36"/>
    </row>
    <row r="154" spans="1:20" ht="47.25" customHeight="1" x14ac:dyDescent="0.35">
      <c r="A154" s="171" t="s">
        <v>376</v>
      </c>
      <c r="B154" s="161" t="s">
        <v>178</v>
      </c>
      <c r="C154" s="161" t="s">
        <v>55</v>
      </c>
      <c r="D154" s="161" t="s">
        <v>232</v>
      </c>
      <c r="E154" s="161" t="s">
        <v>382</v>
      </c>
      <c r="F154" s="161" t="s">
        <v>56</v>
      </c>
      <c r="G154" s="220" t="s">
        <v>57</v>
      </c>
      <c r="H154" s="88" t="s">
        <v>378</v>
      </c>
      <c r="I154" s="36"/>
      <c r="T154" s="37"/>
    </row>
    <row r="155" spans="1:20" s="37" customFormat="1" hidden="1" x14ac:dyDescent="0.35">
      <c r="A155" s="172"/>
      <c r="B155" s="162"/>
      <c r="C155" s="162"/>
      <c r="D155" s="162"/>
      <c r="E155" s="162"/>
      <c r="F155" s="162"/>
      <c r="G155" s="221"/>
      <c r="H155" s="89">
        <v>0.7</v>
      </c>
      <c r="I155" s="36"/>
    </row>
    <row r="156" spans="1:20" s="81" customFormat="1" x14ac:dyDescent="0.35">
      <c r="A156" s="103" t="s">
        <v>351</v>
      </c>
      <c r="B156" s="104"/>
      <c r="C156" s="104"/>
      <c r="D156" s="104"/>
      <c r="E156" s="104"/>
      <c r="F156" s="104"/>
      <c r="G156" s="104"/>
      <c r="H156" s="105"/>
      <c r="J156" s="82">
        <f>10.764</f>
        <v>10.763999999999999</v>
      </c>
    </row>
    <row r="157" spans="1:20" s="81" customFormat="1" ht="15.75" customHeight="1" x14ac:dyDescent="0.35">
      <c r="A157" s="103" t="s">
        <v>352</v>
      </c>
      <c r="B157" s="104"/>
      <c r="C157" s="104"/>
      <c r="D157" s="104"/>
      <c r="E157" s="104"/>
      <c r="F157" s="104"/>
      <c r="G157" s="104"/>
      <c r="H157" s="105"/>
      <c r="I157" s="36"/>
      <c r="L157" s="81" t="s">
        <v>380</v>
      </c>
    </row>
    <row r="158" spans="1:20" s="81" customFormat="1" ht="15.75" customHeight="1" x14ac:dyDescent="0.35">
      <c r="A158" s="101">
        <v>1</v>
      </c>
      <c r="B158" s="102"/>
      <c r="C158" s="80" t="s">
        <v>353</v>
      </c>
      <c r="D158" s="82">
        <f>(57.58)*(10.764)</f>
        <v>619.79111999999998</v>
      </c>
      <c r="E158" s="82">
        <f>(2.15*1)*(10.764)</f>
        <v>23.142599999999998</v>
      </c>
      <c r="F158" s="80">
        <f>D158+E158</f>
        <v>642.93371999999999</v>
      </c>
      <c r="G158" s="80">
        <v>0</v>
      </c>
      <c r="H158" s="82">
        <v>1100</v>
      </c>
      <c r="I158" s="36">
        <f>(3.05*5.86+2.15*2.75+3.26*3.05+3.65*3.35+1.35*2.15+1.35*2.15+3.41*0.9)</f>
        <v>54.83</v>
      </c>
      <c r="J158" s="82">
        <v>1100</v>
      </c>
      <c r="K158" s="81">
        <f>J158/F158</f>
        <v>1.710907307832602</v>
      </c>
      <c r="L158" s="81">
        <f>11200000/H158</f>
        <v>10181.818181818182</v>
      </c>
    </row>
    <row r="159" spans="1:20" s="81" customFormat="1" ht="15.75" customHeight="1" x14ac:dyDescent="0.35">
      <c r="A159" s="101">
        <v>2</v>
      </c>
      <c r="B159" s="102"/>
      <c r="C159" s="80" t="s">
        <v>353</v>
      </c>
      <c r="D159" s="82">
        <f>(57.58)*(10.764)</f>
        <v>619.79111999999998</v>
      </c>
      <c r="E159" s="82">
        <f>(2.15*1)*(10.764)</f>
        <v>23.142599999999998</v>
      </c>
      <c r="F159" s="80">
        <f>D159+E159</f>
        <v>642.93371999999999</v>
      </c>
      <c r="G159" s="80">
        <v>0</v>
      </c>
      <c r="H159" s="82">
        <v>1100</v>
      </c>
      <c r="I159" s="36"/>
      <c r="J159" s="82">
        <v>1100</v>
      </c>
      <c r="K159" s="83">
        <f t="shared" ref="K159:K168" si="13">J159/F159</f>
        <v>1.710907307832602</v>
      </c>
      <c r="L159" s="83">
        <f>11200000/H159</f>
        <v>10181.818181818182</v>
      </c>
    </row>
    <row r="160" spans="1:20" s="81" customFormat="1" ht="15.75" customHeight="1" x14ac:dyDescent="0.35">
      <c r="A160" s="101">
        <v>3</v>
      </c>
      <c r="B160" s="102"/>
      <c r="C160" s="80" t="s">
        <v>354</v>
      </c>
      <c r="D160" s="82">
        <f>(78.83)*(10.764)</f>
        <v>848.52611999999988</v>
      </c>
      <c r="E160" s="82">
        <f>(1.5*(3.05+3.05)+2.15*1)*(10.764)</f>
        <v>121.63319999999999</v>
      </c>
      <c r="F160" s="80">
        <f>D160+E160</f>
        <v>970.15931999999987</v>
      </c>
      <c r="G160" s="80">
        <v>0</v>
      </c>
      <c r="H160" s="82">
        <v>1580</v>
      </c>
      <c r="I160" s="36">
        <f>3.05*5.3+2.15*2.72+3.05*3.35+3.05*3.65+3.05*3.65+1.5*2.45+1.5*0.75+1.5*2.15+1.85*1.05+3.2*1.5+1.5*2.45</f>
        <v>72.937999999999988</v>
      </c>
      <c r="J160" s="82">
        <v>1580</v>
      </c>
      <c r="K160" s="83">
        <f t="shared" si="13"/>
        <v>1.6285984862774912</v>
      </c>
      <c r="L160" s="81">
        <f>15950000/H160</f>
        <v>10094.93670886076</v>
      </c>
      <c r="M160" s="81">
        <f>15000000/H160</f>
        <v>9493.67088607595</v>
      </c>
    </row>
    <row r="161" spans="1:20" s="81" customFormat="1" ht="15.75" customHeight="1" x14ac:dyDescent="0.35">
      <c r="A161" s="101">
        <v>4</v>
      </c>
      <c r="B161" s="102"/>
      <c r="C161" s="80" t="s">
        <v>353</v>
      </c>
      <c r="D161" s="82">
        <f>(53.6)*(10.764)</f>
        <v>576.95039999999995</v>
      </c>
      <c r="E161" s="82">
        <v>0</v>
      </c>
      <c r="F161" s="80">
        <f>D161+E161</f>
        <v>576.95039999999995</v>
      </c>
      <c r="G161" s="80">
        <v>0</v>
      </c>
      <c r="H161" s="90">
        <v>955</v>
      </c>
      <c r="I161" s="36"/>
      <c r="J161" s="90">
        <v>955</v>
      </c>
      <c r="K161" s="83">
        <f t="shared" si="13"/>
        <v>1.6552549404593533</v>
      </c>
      <c r="L161" s="81">
        <f>9750000/H161</f>
        <v>10209.424083769634</v>
      </c>
      <c r="M161" s="81">
        <f>9300000/H161</f>
        <v>9738.2198952879589</v>
      </c>
    </row>
    <row r="162" spans="1:20" s="81" customFormat="1" ht="15.75" customHeight="1" x14ac:dyDescent="0.35">
      <c r="A162" s="101">
        <v>5</v>
      </c>
      <c r="B162" s="102"/>
      <c r="C162" s="80" t="s">
        <v>354</v>
      </c>
      <c r="D162" s="82">
        <f>(78.83)*(10.764)</f>
        <v>848.52611999999988</v>
      </c>
      <c r="E162" s="82">
        <f>(1.5*(3.05+3.05)+2.15*1)*(10.764)</f>
        <v>121.63319999999999</v>
      </c>
      <c r="F162" s="80">
        <f>D162+E162</f>
        <v>970.15931999999987</v>
      </c>
      <c r="G162" s="80">
        <v>0</v>
      </c>
      <c r="H162" s="90">
        <v>1580</v>
      </c>
      <c r="I162" s="36"/>
      <c r="J162" s="90">
        <v>1580</v>
      </c>
      <c r="K162" s="83">
        <f t="shared" si="13"/>
        <v>1.6285984862774912</v>
      </c>
      <c r="N162" s="81">
        <f>16000000/H162</f>
        <v>10126.582278481013</v>
      </c>
    </row>
    <row r="163" spans="1:20" s="81" customFormat="1" ht="15.75" customHeight="1" x14ac:dyDescent="0.35">
      <c r="A163" s="103" t="s">
        <v>355</v>
      </c>
      <c r="B163" s="104"/>
      <c r="C163" s="104"/>
      <c r="D163" s="104"/>
      <c r="E163" s="104"/>
      <c r="F163" s="104"/>
      <c r="G163" s="104"/>
      <c r="H163" s="105"/>
      <c r="I163" s="36"/>
      <c r="J163" s="90"/>
      <c r="K163" s="83" t="e">
        <f t="shared" si="13"/>
        <v>#DIV/0!</v>
      </c>
    </row>
    <row r="164" spans="1:20" s="81" customFormat="1" ht="15.75" customHeight="1" x14ac:dyDescent="0.35">
      <c r="A164" s="101">
        <v>1</v>
      </c>
      <c r="B164" s="102"/>
      <c r="C164" s="80" t="s">
        <v>353</v>
      </c>
      <c r="D164" s="82">
        <f>(57.58)*(10.764)</f>
        <v>619.79111999999998</v>
      </c>
      <c r="E164" s="82">
        <f>(2.15*1)*(10.764)</f>
        <v>23.142599999999998</v>
      </c>
      <c r="F164" s="80">
        <f>D164+E164</f>
        <v>642.93371999999999</v>
      </c>
      <c r="G164" s="80">
        <v>0</v>
      </c>
      <c r="H164" s="82">
        <v>1100</v>
      </c>
      <c r="I164" s="36"/>
      <c r="J164" s="82">
        <v>1100</v>
      </c>
      <c r="K164" s="83">
        <f t="shared" si="13"/>
        <v>1.710907307832602</v>
      </c>
      <c r="M164" s="81">
        <f>9300000/H164</f>
        <v>8454.545454545454</v>
      </c>
    </row>
    <row r="165" spans="1:20" s="81" customFormat="1" ht="15.75" customHeight="1" x14ac:dyDescent="0.35">
      <c r="A165" s="101">
        <v>2</v>
      </c>
      <c r="B165" s="102"/>
      <c r="C165" s="80" t="s">
        <v>353</v>
      </c>
      <c r="D165" s="82">
        <f>(57.58)*(10.764)</f>
        <v>619.79111999999998</v>
      </c>
      <c r="E165" s="82">
        <f>(2.15*1)*(10.764)</f>
        <v>23.142599999999998</v>
      </c>
      <c r="F165" s="80">
        <f>D165+E165</f>
        <v>642.93371999999999</v>
      </c>
      <c r="G165" s="80">
        <v>0</v>
      </c>
      <c r="H165" s="82">
        <v>1100</v>
      </c>
      <c r="I165" s="36"/>
      <c r="J165" s="82">
        <v>1100</v>
      </c>
      <c r="K165" s="83">
        <f t="shared" si="13"/>
        <v>1.710907307832602</v>
      </c>
      <c r="M165" s="83">
        <f t="shared" ref="M165:M166" si="14">9300000/H165</f>
        <v>8454.545454545454</v>
      </c>
    </row>
    <row r="166" spans="1:20" s="81" customFormat="1" ht="15.75" customHeight="1" x14ac:dyDescent="0.35">
      <c r="A166" s="101">
        <v>3</v>
      </c>
      <c r="B166" s="102"/>
      <c r="C166" s="80" t="s">
        <v>354</v>
      </c>
      <c r="D166" s="82">
        <f>(78.83)*(10.764)</f>
        <v>848.52611999999988</v>
      </c>
      <c r="E166" s="82">
        <f>(1.5*(3.05+3.05)+2.15*1)*(10.764)</f>
        <v>121.63319999999999</v>
      </c>
      <c r="F166" s="80">
        <f>D166+E166</f>
        <v>970.15931999999987</v>
      </c>
      <c r="G166" s="80">
        <v>0</v>
      </c>
      <c r="H166" s="82">
        <v>1580</v>
      </c>
      <c r="I166" s="36"/>
      <c r="J166" s="82">
        <v>1580</v>
      </c>
      <c r="K166" s="83">
        <f t="shared" si="13"/>
        <v>1.6285984862774912</v>
      </c>
      <c r="M166" s="83">
        <f t="shared" si="14"/>
        <v>5886.0759493670885</v>
      </c>
    </row>
    <row r="167" spans="1:20" s="81" customFormat="1" ht="15.75" customHeight="1" x14ac:dyDescent="0.35">
      <c r="A167" s="101">
        <v>4</v>
      </c>
      <c r="B167" s="102"/>
      <c r="C167" s="80" t="s">
        <v>356</v>
      </c>
      <c r="D167" s="82">
        <f>(35.26)*(10.764)</f>
        <v>379.53863999999993</v>
      </c>
      <c r="E167" s="82">
        <v>0</v>
      </c>
      <c r="F167" s="80">
        <f>D167+E167</f>
        <v>379.53863999999993</v>
      </c>
      <c r="G167" s="80">
        <v>0</v>
      </c>
      <c r="H167" s="90">
        <v>630</v>
      </c>
      <c r="I167" s="36">
        <f>2.56*3.2+3.01*2.38+1.7*2.15+3.05*3.2+2.23*1.35+0.8*0.9+1.1*0.9</f>
        <v>33.491300000000003</v>
      </c>
      <c r="J167" s="90">
        <v>630</v>
      </c>
      <c r="K167" s="83">
        <f t="shared" si="13"/>
        <v>1.6599100423609046</v>
      </c>
      <c r="L167" s="81">
        <f>6500000/H167</f>
        <v>10317.460317460318</v>
      </c>
      <c r="M167" s="81">
        <f>6100000/H167</f>
        <v>9682.539682539682</v>
      </c>
    </row>
    <row r="168" spans="1:20" s="81" customFormat="1" ht="15.75" customHeight="1" x14ac:dyDescent="0.35">
      <c r="A168" s="101">
        <v>5</v>
      </c>
      <c r="B168" s="102"/>
      <c r="C168" s="80" t="s">
        <v>354</v>
      </c>
      <c r="D168" s="82">
        <f>(78.83)*(10.764)</f>
        <v>848.52611999999988</v>
      </c>
      <c r="E168" s="82">
        <f>(1.5*(3.05+3.05)+2.15*1)*(10.764)</f>
        <v>121.63319999999999</v>
      </c>
      <c r="F168" s="80">
        <f>D168+E168</f>
        <v>970.15931999999987</v>
      </c>
      <c r="G168" s="80">
        <v>0</v>
      </c>
      <c r="H168" s="90">
        <v>1580</v>
      </c>
      <c r="I168" s="36"/>
      <c r="J168" s="90">
        <v>1580</v>
      </c>
      <c r="K168" s="83">
        <f t="shared" si="13"/>
        <v>1.6285984862774912</v>
      </c>
    </row>
    <row r="169" spans="1:20" s="37" customFormat="1" hidden="1" x14ac:dyDescent="0.35">
      <c r="A169" s="103" t="s">
        <v>116</v>
      </c>
      <c r="B169" s="104"/>
      <c r="C169" s="104"/>
      <c r="D169" s="104"/>
      <c r="E169" s="104"/>
      <c r="F169" s="104"/>
      <c r="G169" s="104"/>
      <c r="H169" s="105"/>
      <c r="J169" s="36"/>
    </row>
    <row r="170" spans="1:20" s="37" customFormat="1" ht="15.75" hidden="1" customHeight="1" x14ac:dyDescent="0.35">
      <c r="A170" s="101">
        <v>1</v>
      </c>
      <c r="B170" s="102"/>
      <c r="C170" s="42"/>
      <c r="D170" s="42"/>
      <c r="E170" s="42">
        <v>0</v>
      </c>
      <c r="F170" s="42">
        <f>D170+E170</f>
        <v>0</v>
      </c>
      <c r="G170" s="56">
        <v>0</v>
      </c>
      <c r="H170" s="56">
        <f>F170*(($H$155)+1)+(IF(G170&lt;101,G170,IF(G170&lt;201,G170/2,IF(G170&lt;=301,G170/3,G170/4))))</f>
        <v>0</v>
      </c>
      <c r="I170" s="36"/>
      <c r="L170" s="110"/>
      <c r="M170" s="110"/>
      <c r="N170" s="36"/>
    </row>
    <row r="171" spans="1:20" s="37" customFormat="1" ht="15.75" hidden="1" customHeight="1" x14ac:dyDescent="0.35">
      <c r="A171" s="101">
        <f>A170+1</f>
        <v>2</v>
      </c>
      <c r="B171" s="102"/>
      <c r="C171" s="42"/>
      <c r="D171" s="42"/>
      <c r="E171" s="42">
        <v>0</v>
      </c>
      <c r="F171" s="56">
        <f>D171+E171</f>
        <v>0</v>
      </c>
      <c r="G171" s="56">
        <v>0</v>
      </c>
      <c r="H171" s="56">
        <f>F171*(($H$155)+1)+(IF(G171&lt;101,G171,IF(G171&lt;201,G171/2,IF(G171&lt;=301,G171/3,G171/4))))</f>
        <v>0</v>
      </c>
      <c r="I171" s="36"/>
      <c r="L171" s="110"/>
      <c r="M171" s="110"/>
      <c r="N171" s="36"/>
    </row>
    <row r="172" spans="1:20" s="37" customFormat="1" ht="15.75" hidden="1" customHeight="1" x14ac:dyDescent="0.35">
      <c r="A172" s="101">
        <f>A171+1</f>
        <v>3</v>
      </c>
      <c r="B172" s="102"/>
      <c r="C172" s="42"/>
      <c r="D172" s="42"/>
      <c r="E172" s="42">
        <v>0</v>
      </c>
      <c r="F172" s="56">
        <f>D172+E172</f>
        <v>0</v>
      </c>
      <c r="G172" s="56">
        <v>0</v>
      </c>
      <c r="H172" s="56">
        <f>F172*(($H$155)+1)+(IF(G172&lt;101,G172,IF(G172&lt;201,G172/2,IF(G172&lt;=301,G172/3,G172/4))))</f>
        <v>0</v>
      </c>
      <c r="I172" s="36"/>
      <c r="L172" s="110"/>
      <c r="M172" s="110"/>
      <c r="N172" s="36"/>
    </row>
    <row r="173" spans="1:20" s="37" customFormat="1" ht="15.75" hidden="1" customHeight="1" x14ac:dyDescent="0.35">
      <c r="A173" s="101">
        <f>A172+1</f>
        <v>4</v>
      </c>
      <c r="B173" s="102"/>
      <c r="C173" s="42"/>
      <c r="D173" s="42"/>
      <c r="E173" s="42">
        <v>0</v>
      </c>
      <c r="F173" s="56">
        <f>D173+E173</f>
        <v>0</v>
      </c>
      <c r="G173" s="56">
        <v>0</v>
      </c>
      <c r="H173" s="56">
        <f>F173*(($H$155)+1)+(IF(G173&lt;101,G173,IF(G173&lt;201,G173/2,IF(G173&lt;=301,G173/3,G173/4))))</f>
        <v>0</v>
      </c>
      <c r="I173" s="36"/>
      <c r="L173" s="110"/>
      <c r="M173" s="110"/>
      <c r="N173" s="36"/>
      <c r="T173" s="21"/>
    </row>
    <row r="174" spans="1:20" s="37" customFormat="1" hidden="1" x14ac:dyDescent="0.35">
      <c r="A174" s="182" t="s">
        <v>117</v>
      </c>
      <c r="B174" s="182"/>
      <c r="C174" s="182"/>
      <c r="D174" s="182"/>
      <c r="E174" s="182"/>
      <c r="F174" s="182"/>
      <c r="G174" s="182"/>
      <c r="H174" s="182"/>
      <c r="I174" s="36"/>
      <c r="L174" s="110"/>
      <c r="M174" s="110"/>
    </row>
    <row r="175" spans="1:20" s="37" customFormat="1" hidden="1" x14ac:dyDescent="0.35">
      <c r="A175" s="109">
        <f>LEFT(A174,SUM(LEN(A174)-LEN(SUBSTITUTE(A174,{"0","1","2","3","4","5","6","7","8","9"},""))))*100+1</f>
        <v>201</v>
      </c>
      <c r="B175" s="109"/>
      <c r="C175" s="42"/>
      <c r="D175" s="42"/>
      <c r="E175" s="56">
        <v>0</v>
      </c>
      <c r="F175" s="56">
        <f>D175+E175</f>
        <v>0</v>
      </c>
      <c r="G175" s="56">
        <v>0</v>
      </c>
      <c r="H175" s="56">
        <f>F175*(($H$155)+1)+(IF(G175&lt;101,G175,IF(G175&lt;201,G175/2,IF(G175&lt;=301,G175/3,G175/4))))</f>
        <v>0</v>
      </c>
      <c r="I175" s="36"/>
      <c r="N175" s="36"/>
    </row>
    <row r="176" spans="1:20" s="37" customFormat="1" hidden="1" x14ac:dyDescent="0.35">
      <c r="A176" s="109">
        <f>A175+1</f>
        <v>202</v>
      </c>
      <c r="B176" s="109"/>
      <c r="C176" s="42"/>
      <c r="D176" s="42"/>
      <c r="E176" s="56">
        <v>0</v>
      </c>
      <c r="F176" s="56">
        <f>D176+E176</f>
        <v>0</v>
      </c>
      <c r="G176" s="56">
        <v>0</v>
      </c>
      <c r="H176" s="56">
        <f>F176*(($H$155)+1)+(IF(G176&lt;101,G176,IF(G176&lt;201,G176/2,IF(G176&lt;=301,G176/3,G176/4))))</f>
        <v>0</v>
      </c>
      <c r="I176" s="36"/>
      <c r="N176" s="36"/>
    </row>
    <row r="177" spans="1:14" s="37" customFormat="1" hidden="1" x14ac:dyDescent="0.35">
      <c r="A177" s="109">
        <f>A176+1</f>
        <v>203</v>
      </c>
      <c r="B177" s="109"/>
      <c r="C177" s="42"/>
      <c r="D177" s="42"/>
      <c r="E177" s="56">
        <v>0</v>
      </c>
      <c r="F177" s="56">
        <f>D177+E177</f>
        <v>0</v>
      </c>
      <c r="G177" s="56">
        <v>0</v>
      </c>
      <c r="H177" s="56">
        <f>F177*(($H$155)+1)+(IF(G177&lt;101,G177,IF(G177&lt;201,G177/2,IF(G177&lt;=301,G177/3,G177/4))))</f>
        <v>0</v>
      </c>
      <c r="I177" s="36"/>
      <c r="N177" s="36"/>
    </row>
    <row r="178" spans="1:14" s="37" customFormat="1" hidden="1" x14ac:dyDescent="0.35">
      <c r="A178" s="109">
        <f>A177+1</f>
        <v>204</v>
      </c>
      <c r="B178" s="109"/>
      <c r="C178" s="42"/>
      <c r="D178" s="42"/>
      <c r="E178" s="56">
        <v>0</v>
      </c>
      <c r="F178" s="56">
        <f>D178+E178</f>
        <v>0</v>
      </c>
      <c r="G178" s="56">
        <v>0</v>
      </c>
      <c r="H178" s="56">
        <f>F178*(($H$155)+1)+(IF(G178&lt;101,G178,IF(G178&lt;201,G178/2,IF(G178&lt;=301,G178/3,G178/4))))</f>
        <v>0</v>
      </c>
      <c r="I178" s="36"/>
      <c r="N178" s="36"/>
    </row>
    <row r="179" spans="1:14" s="37" customFormat="1" ht="46.5" hidden="1" customHeight="1" x14ac:dyDescent="0.35">
      <c r="A179" s="109">
        <f>A178+1</f>
        <v>205</v>
      </c>
      <c r="B179" s="109"/>
      <c r="C179" s="42"/>
      <c r="D179" s="42"/>
      <c r="E179" s="56">
        <v>0</v>
      </c>
      <c r="F179" s="56">
        <f>D179+E179</f>
        <v>0</v>
      </c>
      <c r="G179" s="56">
        <v>0</v>
      </c>
      <c r="H179" s="56">
        <f>F179*(($H$155)+1)+(IF(G179&lt;101,G179,IF(G179&lt;201,G179/2,IF(G179&lt;=301,G179/3,G179/4))))</f>
        <v>0</v>
      </c>
      <c r="I179" s="36"/>
      <c r="N179" s="36"/>
    </row>
    <row r="180" spans="1:14" s="37" customFormat="1" ht="15.75" hidden="1" customHeight="1" x14ac:dyDescent="0.35">
      <c r="A180" s="103" t="s">
        <v>149</v>
      </c>
      <c r="B180" s="104"/>
      <c r="C180" s="104"/>
      <c r="D180" s="104"/>
      <c r="E180" s="104"/>
      <c r="F180" s="104"/>
      <c r="G180" s="104"/>
      <c r="H180" s="105"/>
      <c r="I180" s="36"/>
    </row>
    <row r="181" spans="1:14" s="37" customFormat="1" ht="15.75" hidden="1" customHeight="1" x14ac:dyDescent="0.35">
      <c r="A181" s="101"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10^ROW(INDIRECT("1:"&amp;LEN((LEFT(A180,SUM(LEN(A180)-LEN(SUBSTITUTE(A180,{"0","1","2"},""))))))))/10))*100+1&amp;""&amp;" ,..,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",LEN(A180))),LEN(A180)))))))/10))*100+1</f>
        <v>301 ,.., 1501</v>
      </c>
      <c r="B181" s="102"/>
      <c r="C181" s="42"/>
      <c r="D181" s="42"/>
      <c r="E181" s="56">
        <v>0</v>
      </c>
      <c r="F181" s="56">
        <f>D181+E181</f>
        <v>0</v>
      </c>
      <c r="G181" s="56">
        <v>0</v>
      </c>
      <c r="H181" s="56">
        <f>F181*(($H$155)+1)+(IF(G181&lt;101,G181,IF(G181&lt;201,G181/2,IF(G181&lt;=301,G181/3,G181/4))))</f>
        <v>0</v>
      </c>
      <c r="I181" s="36"/>
    </row>
    <row r="182" spans="1:14" s="37" customFormat="1" ht="15.75" hidden="1" customHeight="1" x14ac:dyDescent="0.35">
      <c r="A182" s="101"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302 ,.., 1502</v>
      </c>
      <c r="B182" s="102"/>
      <c r="C182" s="42"/>
      <c r="D182" s="42"/>
      <c r="E182" s="56">
        <v>0</v>
      </c>
      <c r="F182" s="56">
        <f>D182+E182</f>
        <v>0</v>
      </c>
      <c r="G182" s="56">
        <v>0</v>
      </c>
      <c r="H182" s="56">
        <f>F182*(($H$155)+1)+(IF(G182&lt;101,G182,IF(G182&lt;201,G182/2,IF(G182&lt;=301,G182/3,G182/4))))</f>
        <v>0</v>
      </c>
      <c r="I182" s="36"/>
    </row>
    <row r="183" spans="1:14" s="37" customFormat="1" ht="15.75" hidden="1" customHeight="1" x14ac:dyDescent="0.35">
      <c r="A183" s="101"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303 ,.., 1503</v>
      </c>
      <c r="B183" s="102"/>
      <c r="C183" s="42"/>
      <c r="D183" s="42"/>
      <c r="E183" s="56">
        <v>0</v>
      </c>
      <c r="F183" s="56">
        <f>D183+E183</f>
        <v>0</v>
      </c>
      <c r="G183" s="56">
        <v>0</v>
      </c>
      <c r="H183" s="56">
        <f>F183*(($H$155)+1)+(IF(G183&lt;101,G183,IF(G183&lt;201,G183/2,IF(G183&lt;=301,G183/3,G183/4))))</f>
        <v>0</v>
      </c>
      <c r="I183" s="36"/>
    </row>
    <row r="184" spans="1:14" s="37" customFormat="1" ht="15.75" hidden="1" customHeight="1" x14ac:dyDescent="0.35">
      <c r="A184" s="101"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304 ,.., 1504</v>
      </c>
      <c r="B184" s="102"/>
      <c r="C184" s="42"/>
      <c r="D184" s="42"/>
      <c r="E184" s="56">
        <v>0</v>
      </c>
      <c r="F184" s="56">
        <f>D184+E184</f>
        <v>0</v>
      </c>
      <c r="G184" s="56">
        <v>0</v>
      </c>
      <c r="H184" s="56">
        <f>F184*(($H$155)+1)+(IF(G184&lt;101,G184,IF(G184&lt;201,G184/2,IF(G184&lt;=301,G184/3,G184/4))))</f>
        <v>0</v>
      </c>
      <c r="I184" s="36"/>
    </row>
    <row r="185" spans="1:14" s="37" customFormat="1" ht="15.75" hidden="1" customHeight="1" x14ac:dyDescent="0.35">
      <c r="A185" s="101"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305 ,.., 1505</v>
      </c>
      <c r="B185" s="102"/>
      <c r="C185" s="42"/>
      <c r="D185" s="42"/>
      <c r="E185" s="56">
        <v>0</v>
      </c>
      <c r="F185" s="56">
        <f>D185+E185</f>
        <v>0</v>
      </c>
      <c r="G185" s="56">
        <v>0</v>
      </c>
      <c r="H185" s="56">
        <f>F185*(($H$155)+1)+(IF(G185&lt;101,G185,IF(G185&lt;201,G185/2,IF(G185&lt;=301,G185/3,G185/4))))</f>
        <v>0</v>
      </c>
      <c r="I185" s="36"/>
    </row>
    <row r="186" spans="1:14" s="37" customFormat="1" hidden="1" x14ac:dyDescent="0.35">
      <c r="A186" s="103" t="s">
        <v>143</v>
      </c>
      <c r="B186" s="104"/>
      <c r="C186" s="104"/>
      <c r="D186" s="104"/>
      <c r="E186" s="104"/>
      <c r="F186" s="104"/>
      <c r="G186" s="104"/>
      <c r="H186" s="105"/>
      <c r="I186" s="36"/>
    </row>
    <row r="187" spans="1:14" s="37" customFormat="1" ht="15.75" hidden="1" customHeight="1" x14ac:dyDescent="0.35">
      <c r="A187" s="101"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10^ROW(INDIRECT("1:"&amp;LEN((LEFT(A186,SUM(LEN(A186)-LEN(SUBSTITUTE(A186,{"0","1","2"},""))))))))/10))*100+1&amp;""&amp;" to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",LEN(A186))),LEN(A186)))))))/10))*100+1</f>
        <v>201 to 501</v>
      </c>
      <c r="B187" s="102"/>
      <c r="C187" s="42"/>
      <c r="D187" s="42"/>
      <c r="E187" s="56">
        <v>0</v>
      </c>
      <c r="F187" s="56">
        <f>D187+E187</f>
        <v>0</v>
      </c>
      <c r="G187" s="56">
        <v>0</v>
      </c>
      <c r="H187" s="56">
        <f>F187*(($H$155)+1)+(IF(G187&lt;101,G187,IF(G187&lt;201,G187/2,IF(G187&lt;=301,G187/3,G187/4))))</f>
        <v>0</v>
      </c>
      <c r="I187" s="36"/>
    </row>
    <row r="188" spans="1:14" s="37" customFormat="1" ht="15.75" hidden="1" customHeight="1" x14ac:dyDescent="0.35">
      <c r="A188" s="101"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to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202 to 502</v>
      </c>
      <c r="B188" s="102"/>
      <c r="C188" s="42"/>
      <c r="D188" s="42"/>
      <c r="E188" s="56">
        <v>0</v>
      </c>
      <c r="F188" s="56">
        <f>D188+E188</f>
        <v>0</v>
      </c>
      <c r="G188" s="56">
        <v>0</v>
      </c>
      <c r="H188" s="56">
        <f>F188*(($H$155)+1)+(IF(G188&lt;101,G188,IF(G188&lt;201,G188/2,IF(G188&lt;=301,G188/3,G188/4))))</f>
        <v>0</v>
      </c>
      <c r="I188" s="36"/>
    </row>
    <row r="189" spans="1:14" s="37" customFormat="1" ht="15.75" hidden="1" customHeight="1" x14ac:dyDescent="0.35">
      <c r="A189" s="101"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to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203 to 503</v>
      </c>
      <c r="B189" s="102"/>
      <c r="C189" s="42"/>
      <c r="D189" s="42"/>
      <c r="E189" s="56">
        <v>0</v>
      </c>
      <c r="F189" s="56">
        <f>D189+E189</f>
        <v>0</v>
      </c>
      <c r="G189" s="56">
        <v>0</v>
      </c>
      <c r="H189" s="56">
        <f>F189*(($H$155)+1)+(IF(G189&lt;101,G189,IF(G189&lt;201,G189/2,IF(G189&lt;=301,G189/3,G189/4))))</f>
        <v>0</v>
      </c>
      <c r="I189" s="36"/>
    </row>
    <row r="190" spans="1:14" s="37" customFormat="1" ht="15.75" hidden="1" customHeight="1" x14ac:dyDescent="0.35">
      <c r="A190" s="101"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to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204 to 504</v>
      </c>
      <c r="B190" s="102"/>
      <c r="C190" s="42"/>
      <c r="D190" s="42"/>
      <c r="E190" s="56">
        <v>0</v>
      </c>
      <c r="F190" s="56">
        <f>D190+E190</f>
        <v>0</v>
      </c>
      <c r="G190" s="56">
        <v>0</v>
      </c>
      <c r="H190" s="56">
        <f>F190*(($H$155)+1)+(IF(G190&lt;101,G190,IF(G190&lt;201,G190/2,IF(G190&lt;=301,G190/3,G190/4))))</f>
        <v>0</v>
      </c>
      <c r="I190" s="36"/>
    </row>
    <row r="191" spans="1:14" s="37" customFormat="1" ht="15.75" hidden="1" customHeight="1" x14ac:dyDescent="0.35">
      <c r="A191" s="101"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to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205 to 505</v>
      </c>
      <c r="B191" s="102"/>
      <c r="C191" s="42"/>
      <c r="D191" s="42"/>
      <c r="E191" s="56">
        <v>0</v>
      </c>
      <c r="F191" s="56">
        <f>D191+E191</f>
        <v>0</v>
      </c>
      <c r="G191" s="56">
        <v>0</v>
      </c>
      <c r="H191" s="56">
        <f>F191*(($H$155)+1)+(IF(G191&lt;101,G191,IF(G191&lt;201,G191/2,IF(G191&lt;=301,G191/3,G191/4))))</f>
        <v>0</v>
      </c>
      <c r="I191" s="36"/>
    </row>
    <row r="192" spans="1:14" s="37" customFormat="1" hidden="1" x14ac:dyDescent="0.35">
      <c r="A192" s="103" t="s">
        <v>144</v>
      </c>
      <c r="B192" s="104"/>
      <c r="C192" s="104"/>
      <c r="D192" s="104"/>
      <c r="E192" s="104"/>
      <c r="F192" s="104"/>
      <c r="G192" s="104"/>
      <c r="H192" s="105"/>
      <c r="I192" s="36"/>
    </row>
    <row r="193" spans="1:20" s="37" customFormat="1" ht="15.75" hidden="1" customHeight="1" x14ac:dyDescent="0.35">
      <c r="A193" s="101"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10^ROW(INDIRECT("1:"&amp;LEN((LEFT(A192,SUM(LEN(A192)-LEN(SUBSTITUTE(A192,{"0","1","2"},""))))))))/10))*100+1&amp;""&amp;" &amp;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",LEN(A192))),LEN(A192)))))))/10))*100+1</f>
        <v>201 &amp; 501</v>
      </c>
      <c r="B193" s="102"/>
      <c r="C193" s="42"/>
      <c r="D193" s="42"/>
      <c r="E193" s="56">
        <v>0</v>
      </c>
      <c r="F193" s="56">
        <f>D193+E193</f>
        <v>0</v>
      </c>
      <c r="G193" s="56">
        <v>0</v>
      </c>
      <c r="H193" s="56">
        <f>F193*(($H$155)+1)+(IF(G193&lt;101,G193,IF(G193&lt;201,G193/2,IF(G193&lt;=301,G193/3,G193/4))))</f>
        <v>0</v>
      </c>
      <c r="I193" s="36"/>
    </row>
    <row r="194" spans="1:20" s="37" customFormat="1" ht="15.75" hidden="1" customHeight="1" x14ac:dyDescent="0.35">
      <c r="A194" s="101"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&amp;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202 &amp; 502</v>
      </c>
      <c r="B194" s="102"/>
      <c r="C194" s="42"/>
      <c r="D194" s="42"/>
      <c r="E194" s="56">
        <v>0</v>
      </c>
      <c r="F194" s="56">
        <f>D194+E194</f>
        <v>0</v>
      </c>
      <c r="G194" s="56">
        <v>0</v>
      </c>
      <c r="H194" s="56">
        <f>F194*(($H$155)+1)+(IF(G194&lt;101,G194,IF(G194&lt;201,G194/2,IF(G194&lt;=301,G194/3,G194/4))))</f>
        <v>0</v>
      </c>
      <c r="I194" s="36"/>
    </row>
    <row r="195" spans="1:20" s="37" customFormat="1" ht="15.75" hidden="1" customHeight="1" x14ac:dyDescent="0.35">
      <c r="A195" s="101"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&amp;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203 &amp; 503</v>
      </c>
      <c r="B195" s="102"/>
      <c r="C195" s="42"/>
      <c r="D195" s="42"/>
      <c r="E195" s="56">
        <v>0</v>
      </c>
      <c r="F195" s="56">
        <f>D195+E195</f>
        <v>0</v>
      </c>
      <c r="G195" s="56">
        <v>0</v>
      </c>
      <c r="H195" s="56">
        <f>F195*(($H$155)+1)+(IF(G195&lt;101,G195,IF(G195&lt;201,G195/2,IF(G195&lt;=301,G195/3,G195/4))))</f>
        <v>0</v>
      </c>
      <c r="I195" s="36"/>
    </row>
    <row r="196" spans="1:20" s="37" customFormat="1" ht="15.75" hidden="1" customHeight="1" x14ac:dyDescent="0.35">
      <c r="A196" s="101"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&amp;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204 &amp; 504</v>
      </c>
      <c r="B196" s="102"/>
      <c r="C196" s="42"/>
      <c r="D196" s="42"/>
      <c r="E196" s="56">
        <v>0</v>
      </c>
      <c r="F196" s="56">
        <f>D196+E196</f>
        <v>0</v>
      </c>
      <c r="G196" s="56">
        <v>0</v>
      </c>
      <c r="H196" s="56">
        <f>F196*(($H$155)+1)+(IF(G196&lt;101,G196,IF(G196&lt;201,G196/2,IF(G196&lt;=301,G196/3,G196/4))))</f>
        <v>0</v>
      </c>
      <c r="I196" s="36"/>
    </row>
    <row r="197" spans="1:20" s="37" customFormat="1" ht="15.75" hidden="1" customHeight="1" x14ac:dyDescent="0.35">
      <c r="A197" s="101"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&amp;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205 &amp; 505</v>
      </c>
      <c r="B197" s="102"/>
      <c r="C197" s="42"/>
      <c r="D197" s="42"/>
      <c r="E197" s="56">
        <v>0</v>
      </c>
      <c r="F197" s="56">
        <f>D197+E197</f>
        <v>0</v>
      </c>
      <c r="G197" s="56">
        <v>0</v>
      </c>
      <c r="H197" s="56">
        <f>F197*(($H$155)+1)+(IF(G197&lt;101,G197,IF(G197&lt;201,G197/2,IF(G197&lt;=301,G197/3,G197/4))))</f>
        <v>0</v>
      </c>
      <c r="I197" s="36"/>
    </row>
    <row r="198" spans="1:20" s="35" customFormat="1" x14ac:dyDescent="0.35">
      <c r="A198" s="181" t="s">
        <v>65</v>
      </c>
      <c r="B198" s="181"/>
      <c r="C198" s="181"/>
      <c r="D198" s="181"/>
      <c r="E198" s="181"/>
      <c r="F198" s="181"/>
      <c r="G198" s="181"/>
      <c r="H198" s="181"/>
      <c r="T198" s="37"/>
    </row>
    <row r="199" spans="1:20" s="35" customFormat="1" ht="32.5" customHeight="1" x14ac:dyDescent="0.35">
      <c r="A199" s="46" t="s">
        <v>153</v>
      </c>
      <c r="B199" s="178" t="s">
        <v>390</v>
      </c>
      <c r="C199" s="179"/>
      <c r="D199" s="179"/>
      <c r="E199" s="179"/>
      <c r="F199" s="179"/>
      <c r="G199" s="179"/>
      <c r="H199" s="180"/>
      <c r="T199" s="37"/>
    </row>
    <row r="200" spans="1:20" s="35" customFormat="1" x14ac:dyDescent="0.35">
      <c r="A200" s="46" t="s">
        <v>153</v>
      </c>
      <c r="B200" s="175" t="str">
        <f>(IF(H154="Saleable area Loading :","We have considered Saleable area of Flats as per our Calculation.","We considered Saleable area of Flat as per Builder area Sheet."))</f>
        <v>We considered Saleable area of Flat as per Builder area Sheet.</v>
      </c>
      <c r="C200" s="176"/>
      <c r="D200" s="176"/>
      <c r="E200" s="176"/>
      <c r="F200" s="176"/>
      <c r="G200" s="176"/>
      <c r="H200" s="177"/>
      <c r="T200" s="37"/>
    </row>
    <row r="201" spans="1:20" s="35" customFormat="1" x14ac:dyDescent="0.35">
      <c r="A201" s="46" t="s">
        <v>153</v>
      </c>
      <c r="B201" s="175" t="str">
        <f>(IF(H140="Saleable area Loading :","We have considered Saleable area of Commercial as per our Calculation.","We considered Saleable area of Commercial as per Builder area Sheet."))</f>
        <v>We have considered Saleable area of Commercial as per our Calculation.</v>
      </c>
      <c r="C201" s="176"/>
      <c r="D201" s="176"/>
      <c r="E201" s="176"/>
      <c r="F201" s="176"/>
      <c r="G201" s="176"/>
      <c r="H201" s="177"/>
      <c r="T201" s="37"/>
    </row>
    <row r="202" spans="1:20" s="35" customFormat="1" x14ac:dyDescent="0.35">
      <c r="A202" s="46" t="s">
        <v>153</v>
      </c>
      <c r="B202" s="98" t="s">
        <v>120</v>
      </c>
      <c r="C202" s="99"/>
      <c r="D202" s="99"/>
      <c r="E202" s="99"/>
      <c r="F202" s="99"/>
      <c r="G202" s="99"/>
      <c r="H202" s="100"/>
      <c r="T202" s="37"/>
    </row>
    <row r="203" spans="1:20" s="35" customFormat="1" x14ac:dyDescent="0.35">
      <c r="A203" s="46" t="s">
        <v>153</v>
      </c>
      <c r="B203" s="98" t="s">
        <v>360</v>
      </c>
      <c r="C203" s="99"/>
      <c r="D203" s="99"/>
      <c r="E203" s="99"/>
      <c r="F203" s="99"/>
      <c r="G203" s="99"/>
      <c r="H203" s="100"/>
      <c r="T203" s="37"/>
    </row>
    <row r="204" spans="1:20" s="35" customFormat="1" x14ac:dyDescent="0.35">
      <c r="A204" s="46" t="s">
        <v>153</v>
      </c>
      <c r="B204" s="98" t="s">
        <v>152</v>
      </c>
      <c r="C204" s="99"/>
      <c r="D204" s="99"/>
      <c r="E204" s="99"/>
      <c r="F204" s="99"/>
      <c r="G204" s="99"/>
      <c r="H204" s="100"/>
    </row>
    <row r="205" spans="1:20" s="35" customFormat="1" x14ac:dyDescent="0.35">
      <c r="A205" s="46" t="s">
        <v>153</v>
      </c>
      <c r="B205" s="98" t="s">
        <v>121</v>
      </c>
      <c r="C205" s="99"/>
      <c r="D205" s="99"/>
      <c r="E205" s="99"/>
      <c r="F205" s="99"/>
      <c r="G205" s="99"/>
      <c r="H205" s="100"/>
    </row>
    <row r="206" spans="1:20" s="35" customFormat="1" ht="34.5" customHeight="1" x14ac:dyDescent="0.35">
      <c r="A206" s="46" t="s">
        <v>153</v>
      </c>
      <c r="B206" s="98" t="s">
        <v>154</v>
      </c>
      <c r="C206" s="99"/>
      <c r="D206" s="99"/>
      <c r="E206" s="99"/>
      <c r="F206" s="99"/>
      <c r="G206" s="99"/>
      <c r="H206" s="100"/>
    </row>
    <row r="207" spans="1:20" s="35" customFormat="1" x14ac:dyDescent="0.35">
      <c r="A207" s="46" t="s">
        <v>153</v>
      </c>
      <c r="B207" s="98" t="s">
        <v>122</v>
      </c>
      <c r="C207" s="99"/>
      <c r="D207" s="99"/>
      <c r="E207" s="99"/>
      <c r="F207" s="99"/>
      <c r="G207" s="99"/>
      <c r="H207" s="100"/>
    </row>
    <row r="208" spans="1:20" s="35" customFormat="1" hidden="1" x14ac:dyDescent="0.35">
      <c r="A208" s="57" t="s">
        <v>153</v>
      </c>
      <c r="B208" s="106" t="s">
        <v>233</v>
      </c>
      <c r="C208" s="107"/>
      <c r="D208" s="107"/>
      <c r="E208" s="107"/>
      <c r="F208" s="107"/>
      <c r="G208" s="107"/>
      <c r="H208" s="108"/>
    </row>
    <row r="209" spans="1:20" s="35" customFormat="1" x14ac:dyDescent="0.35">
      <c r="A209" s="92" t="s">
        <v>153</v>
      </c>
      <c r="B209" s="98" t="s">
        <v>386</v>
      </c>
      <c r="C209" s="99"/>
      <c r="D209" s="99"/>
      <c r="E209" s="99"/>
      <c r="F209" s="99"/>
      <c r="G209" s="99"/>
      <c r="H209" s="100"/>
    </row>
    <row r="210" spans="1:20" x14ac:dyDescent="0.35">
      <c r="A210" s="135" t="s">
        <v>58</v>
      </c>
      <c r="B210" s="135"/>
      <c r="C210" s="135"/>
      <c r="D210" s="135"/>
      <c r="E210" s="135"/>
      <c r="F210" s="135"/>
      <c r="G210" s="135"/>
      <c r="H210" s="135"/>
      <c r="T210" s="35"/>
    </row>
    <row r="211" spans="1:20" x14ac:dyDescent="0.35">
      <c r="A211" s="116" t="s">
        <v>59</v>
      </c>
      <c r="B211" s="116"/>
      <c r="C211" s="116"/>
      <c r="D211" s="116"/>
      <c r="E211" s="116"/>
      <c r="F211" s="116"/>
      <c r="G211" s="116"/>
      <c r="H211" s="116"/>
      <c r="T211" s="35"/>
    </row>
    <row r="212" spans="1:20" ht="15.75" customHeight="1" x14ac:dyDescent="0.35">
      <c r="A212" s="160" t="s">
        <v>60</v>
      </c>
      <c r="B212" s="160"/>
      <c r="C212" s="160"/>
      <c r="D212" s="160"/>
      <c r="E212" s="160"/>
      <c r="F212" s="160"/>
      <c r="G212" s="160"/>
      <c r="H212" s="160"/>
      <c r="T212" s="35"/>
    </row>
    <row r="213" spans="1:20" x14ac:dyDescent="0.35">
      <c r="A213" s="116" t="s">
        <v>61</v>
      </c>
      <c r="B213" s="116"/>
      <c r="C213" s="116"/>
      <c r="D213" s="116"/>
      <c r="E213" s="116"/>
      <c r="F213" s="116"/>
      <c r="G213" s="116"/>
      <c r="H213" s="116"/>
      <c r="T213" s="35"/>
    </row>
    <row r="214" spans="1:20" x14ac:dyDescent="0.35">
      <c r="A214" s="116" t="s">
        <v>62</v>
      </c>
      <c r="B214" s="116"/>
      <c r="C214" s="116"/>
      <c r="D214" s="116"/>
      <c r="E214" s="116"/>
      <c r="F214" s="116"/>
      <c r="G214" s="116"/>
      <c r="H214" s="116"/>
      <c r="T214" s="35"/>
    </row>
    <row r="215" spans="1:20" x14ac:dyDescent="0.35">
      <c r="A215" s="116" t="s">
        <v>123</v>
      </c>
      <c r="B215" s="116"/>
      <c r="C215" s="116"/>
      <c r="D215" s="116"/>
      <c r="E215" s="116"/>
      <c r="F215" s="116"/>
      <c r="G215" s="116"/>
      <c r="H215" s="116"/>
      <c r="T215" s="35"/>
    </row>
    <row r="216" spans="1:20" ht="34" customHeight="1" x14ac:dyDescent="0.35">
      <c r="A216" s="122" t="s">
        <v>124</v>
      </c>
      <c r="B216" s="122"/>
      <c r="C216" s="122"/>
      <c r="D216" s="122"/>
      <c r="E216" s="122"/>
      <c r="F216" s="122"/>
      <c r="G216" s="122"/>
      <c r="H216" s="122"/>
    </row>
    <row r="217" spans="1:20" x14ac:dyDescent="0.35">
      <c r="A217" s="191" t="s">
        <v>74</v>
      </c>
      <c r="B217" s="191"/>
      <c r="C217" s="191" t="s">
        <v>389</v>
      </c>
      <c r="D217" s="191"/>
      <c r="E217" s="191" t="s">
        <v>103</v>
      </c>
      <c r="F217" s="191"/>
      <c r="G217" s="192" t="s">
        <v>383</v>
      </c>
      <c r="H217" s="192"/>
    </row>
    <row r="218" spans="1:20" x14ac:dyDescent="0.35">
      <c r="A218" s="190" t="s">
        <v>76</v>
      </c>
      <c r="B218" s="190"/>
      <c r="C218" s="190"/>
      <c r="D218" s="190"/>
      <c r="E218" s="190"/>
      <c r="F218" s="190"/>
      <c r="G218" s="190"/>
      <c r="H218" s="190"/>
    </row>
    <row r="219" spans="1:20" x14ac:dyDescent="0.35">
      <c r="A219" s="190"/>
      <c r="B219" s="190"/>
      <c r="C219" s="190"/>
      <c r="D219" s="190"/>
      <c r="E219" s="190"/>
      <c r="F219" s="190"/>
      <c r="G219" s="190"/>
      <c r="H219" s="190"/>
    </row>
    <row r="220" spans="1:20" x14ac:dyDescent="0.35">
      <c r="A220" s="190"/>
      <c r="B220" s="190"/>
      <c r="C220" s="190"/>
      <c r="D220" s="190"/>
      <c r="E220" s="190"/>
      <c r="F220" s="190"/>
      <c r="G220" s="190"/>
      <c r="H220" s="190"/>
    </row>
    <row r="221" spans="1:20" x14ac:dyDescent="0.35">
      <c r="A221" s="190"/>
      <c r="B221" s="190"/>
      <c r="C221" s="190"/>
      <c r="D221" s="190"/>
      <c r="E221" s="190"/>
      <c r="F221" s="190"/>
      <c r="G221" s="190"/>
      <c r="H221" s="190"/>
    </row>
    <row r="222" spans="1:20" x14ac:dyDescent="0.35">
      <c r="A222" s="38" t="s">
        <v>63</v>
      </c>
      <c r="B222" s="39"/>
      <c r="C222" s="39"/>
      <c r="D222" s="38" t="str">
        <f>E9</f>
        <v>Sai Platinum</v>
      </c>
      <c r="F222" s="39"/>
      <c r="G222" s="39"/>
      <c r="H222" s="39"/>
    </row>
    <row r="223" spans="1:20" x14ac:dyDescent="0.35">
      <c r="A223" s="39"/>
      <c r="B223" s="39"/>
      <c r="C223" s="39"/>
      <c r="D223" s="39"/>
      <c r="E223" s="39"/>
      <c r="F223" s="39"/>
      <c r="G223" s="39"/>
      <c r="H223" s="39"/>
    </row>
    <row r="224" spans="1:20" x14ac:dyDescent="0.35">
      <c r="A224" s="39"/>
      <c r="B224" s="39"/>
      <c r="C224" s="39"/>
      <c r="D224" s="39"/>
      <c r="E224" s="39"/>
      <c r="F224" s="39"/>
      <c r="G224" s="39"/>
      <c r="H224" s="39"/>
    </row>
    <row r="225" ht="15" customHeight="1" x14ac:dyDescent="0.35"/>
    <row r="263" spans="1:1" x14ac:dyDescent="0.35">
      <c r="A263" s="41" t="s">
        <v>164</v>
      </c>
    </row>
    <row r="306" spans="1:1" x14ac:dyDescent="0.35">
      <c r="A306" s="41" t="s">
        <v>64</v>
      </c>
    </row>
  </sheetData>
  <mergeCells count="375">
    <mergeCell ref="A153:H153"/>
    <mergeCell ref="E134:F134"/>
    <mergeCell ref="A121:E121"/>
    <mergeCell ref="F121:H121"/>
    <mergeCell ref="A136:B136"/>
    <mergeCell ref="E136:F136"/>
    <mergeCell ref="C103:H103"/>
    <mergeCell ref="A104:B104"/>
    <mergeCell ref="A126:E126"/>
    <mergeCell ref="G136:H136"/>
    <mergeCell ref="E132:F132"/>
    <mergeCell ref="G132:H132"/>
    <mergeCell ref="A132:B132"/>
    <mergeCell ref="C132:D132"/>
    <mergeCell ref="F115:H115"/>
    <mergeCell ref="F120:H120"/>
    <mergeCell ref="A138:H138"/>
    <mergeCell ref="A149:B149"/>
    <mergeCell ref="A49:B49"/>
    <mergeCell ref="C49:H49"/>
    <mergeCell ref="B204:H204"/>
    <mergeCell ref="A106:B106"/>
    <mergeCell ref="A107:B107"/>
    <mergeCell ref="G91:H100"/>
    <mergeCell ref="A92:B92"/>
    <mergeCell ref="A93:B93"/>
    <mergeCell ref="A94:B94"/>
    <mergeCell ref="F117:H117"/>
    <mergeCell ref="A117:E117"/>
    <mergeCell ref="D140:D141"/>
    <mergeCell ref="A119:E119"/>
    <mergeCell ref="A110:B110"/>
    <mergeCell ref="A112:B112"/>
    <mergeCell ref="A113:B113"/>
    <mergeCell ref="A118:E118"/>
    <mergeCell ref="A115:E115"/>
    <mergeCell ref="F119:H119"/>
    <mergeCell ref="G104:H104"/>
    <mergeCell ref="A103:B103"/>
    <mergeCell ref="G140:G141"/>
    <mergeCell ref="A188:B188"/>
    <mergeCell ref="A79:B79"/>
    <mergeCell ref="L174:M174"/>
    <mergeCell ref="A179:B179"/>
    <mergeCell ref="A176:B176"/>
    <mergeCell ref="A177:B177"/>
    <mergeCell ref="A187:B187"/>
    <mergeCell ref="A40:B40"/>
    <mergeCell ref="C40:H40"/>
    <mergeCell ref="F140:F141"/>
    <mergeCell ref="C131:D131"/>
    <mergeCell ref="E131:F131"/>
    <mergeCell ref="B140:B141"/>
    <mergeCell ref="A140:A141"/>
    <mergeCell ref="C154:C155"/>
    <mergeCell ref="G154:G155"/>
    <mergeCell ref="L173:M173"/>
    <mergeCell ref="L170:M170"/>
    <mergeCell ref="A171:B171"/>
    <mergeCell ref="G137:H137"/>
    <mergeCell ref="L171:M171"/>
    <mergeCell ref="A172:B172"/>
    <mergeCell ref="L172:M172"/>
    <mergeCell ref="C55:H55"/>
    <mergeCell ref="A173:B173"/>
    <mergeCell ref="A76:B76"/>
    <mergeCell ref="A39:B39"/>
    <mergeCell ref="C39:H39"/>
    <mergeCell ref="A46:D46"/>
    <mergeCell ref="L148:M148"/>
    <mergeCell ref="L147:M147"/>
    <mergeCell ref="L146:M146"/>
    <mergeCell ref="L145:M145"/>
    <mergeCell ref="A84:B84"/>
    <mergeCell ref="C135:D135"/>
    <mergeCell ref="E135:F135"/>
    <mergeCell ref="G135:H135"/>
    <mergeCell ref="A116:E116"/>
    <mergeCell ref="A101:B101"/>
    <mergeCell ref="C101:H101"/>
    <mergeCell ref="A144:H144"/>
    <mergeCell ref="E140:E141"/>
    <mergeCell ref="A91:B91"/>
    <mergeCell ref="A47:D47"/>
    <mergeCell ref="A48:H48"/>
    <mergeCell ref="D64:H64"/>
    <mergeCell ref="A64:C64"/>
    <mergeCell ref="A83:B83"/>
    <mergeCell ref="C89:H89"/>
    <mergeCell ref="A45:D45"/>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89:B8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A218:H221"/>
    <mergeCell ref="A217:B217"/>
    <mergeCell ref="E217:F217"/>
    <mergeCell ref="C217:D217"/>
    <mergeCell ref="G217:H217"/>
    <mergeCell ref="A129:H129"/>
    <mergeCell ref="A127:E127"/>
    <mergeCell ref="F127:H127"/>
    <mergeCell ref="A128:E128"/>
    <mergeCell ref="F128:H128"/>
    <mergeCell ref="A174:H174"/>
    <mergeCell ref="A135:B135"/>
    <mergeCell ref="A183:B183"/>
    <mergeCell ref="A131:B131"/>
    <mergeCell ref="A213:H213"/>
    <mergeCell ref="A133:H133"/>
    <mergeCell ref="A216:H216"/>
    <mergeCell ref="A214:H214"/>
    <mergeCell ref="A210:H210"/>
    <mergeCell ref="G134:H134"/>
    <mergeCell ref="A185:B185"/>
    <mergeCell ref="C140:C141"/>
    <mergeCell ref="B154:B155"/>
    <mergeCell ref="A211:H211"/>
    <mergeCell ref="E90:F90"/>
    <mergeCell ref="G90:H90"/>
    <mergeCell ref="A122:E122"/>
    <mergeCell ref="F122:H122"/>
    <mergeCell ref="A124:E124"/>
    <mergeCell ref="F118:H118"/>
    <mergeCell ref="A123:E123"/>
    <mergeCell ref="A108:B108"/>
    <mergeCell ref="A109:B109"/>
    <mergeCell ref="E91:F100"/>
    <mergeCell ref="A98:B98"/>
    <mergeCell ref="A99:B99"/>
    <mergeCell ref="E104:F104"/>
    <mergeCell ref="E105:F114"/>
    <mergeCell ref="A120:E120"/>
    <mergeCell ref="A100:B100"/>
    <mergeCell ref="A105:B105"/>
    <mergeCell ref="A154:A155"/>
    <mergeCell ref="F154:F155"/>
    <mergeCell ref="C137:D137"/>
    <mergeCell ref="E137:F137"/>
    <mergeCell ref="B207:H207"/>
    <mergeCell ref="B205:H205"/>
    <mergeCell ref="B201:H201"/>
    <mergeCell ref="A195:B195"/>
    <mergeCell ref="A192:H192"/>
    <mergeCell ref="A193:B193"/>
    <mergeCell ref="A194:B194"/>
    <mergeCell ref="A197:B197"/>
    <mergeCell ref="A196:B196"/>
    <mergeCell ref="B199:H199"/>
    <mergeCell ref="B200:H200"/>
    <mergeCell ref="B202:H202"/>
    <mergeCell ref="B203:H203"/>
    <mergeCell ref="A198:H198"/>
    <mergeCell ref="A190:B190"/>
    <mergeCell ref="A191:B191"/>
    <mergeCell ref="A186:H186"/>
    <mergeCell ref="A180:H180"/>
    <mergeCell ref="A142:H142"/>
    <mergeCell ref="A143:H143"/>
    <mergeCell ref="A65:C65"/>
    <mergeCell ref="D65:H65"/>
    <mergeCell ref="C51:E51"/>
    <mergeCell ref="A215:H215"/>
    <mergeCell ref="A212:H212"/>
    <mergeCell ref="A175:B175"/>
    <mergeCell ref="A134:B134"/>
    <mergeCell ref="D154:D155"/>
    <mergeCell ref="E154:E155"/>
    <mergeCell ref="A95:B95"/>
    <mergeCell ref="A96:B96"/>
    <mergeCell ref="A97:B97"/>
    <mergeCell ref="A111:B111"/>
    <mergeCell ref="F116:H116"/>
    <mergeCell ref="G131:H131"/>
    <mergeCell ref="A114:B114"/>
    <mergeCell ref="F123:H123"/>
    <mergeCell ref="C130:D130"/>
    <mergeCell ref="C136:D136"/>
    <mergeCell ref="A169:H169"/>
    <mergeCell ref="A184:B184"/>
    <mergeCell ref="A181:B181"/>
    <mergeCell ref="A145:B145"/>
    <mergeCell ref="A137:B137"/>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I15:P15"/>
    <mergeCell ref="F126:H126"/>
    <mergeCell ref="F124:H124"/>
    <mergeCell ref="A182:B182"/>
    <mergeCell ref="A139:H139"/>
    <mergeCell ref="G130:H130"/>
    <mergeCell ref="A125:E125"/>
    <mergeCell ref="A146:B146"/>
    <mergeCell ref="A60:B60"/>
    <mergeCell ref="C60:E60"/>
    <mergeCell ref="D62:H62"/>
    <mergeCell ref="F125:H125"/>
    <mergeCell ref="E130:F130"/>
    <mergeCell ref="A130:B130"/>
    <mergeCell ref="C134:D134"/>
    <mergeCell ref="D70:H70"/>
    <mergeCell ref="A71:C71"/>
    <mergeCell ref="E43:H43"/>
    <mergeCell ref="A43:D43"/>
    <mergeCell ref="A87:B87"/>
    <mergeCell ref="C87:H87"/>
    <mergeCell ref="A82:B82"/>
    <mergeCell ref="A50:B50"/>
    <mergeCell ref="C50:E50"/>
    <mergeCell ref="L149:M149"/>
    <mergeCell ref="A150:B150"/>
    <mergeCell ref="L150:M150"/>
    <mergeCell ref="A151:B151"/>
    <mergeCell ref="L151:M151"/>
    <mergeCell ref="A152:B152"/>
    <mergeCell ref="L152:M152"/>
    <mergeCell ref="A148:B148"/>
    <mergeCell ref="A147:B147"/>
    <mergeCell ref="B209:H209"/>
    <mergeCell ref="A165:B165"/>
    <mergeCell ref="A166:B166"/>
    <mergeCell ref="A167:B167"/>
    <mergeCell ref="A168:B168"/>
    <mergeCell ref="A156:H156"/>
    <mergeCell ref="A157:H157"/>
    <mergeCell ref="A158:B158"/>
    <mergeCell ref="A159:B159"/>
    <mergeCell ref="A160:B160"/>
    <mergeCell ref="A161:B161"/>
    <mergeCell ref="A162:B162"/>
    <mergeCell ref="A163:H163"/>
    <mergeCell ref="A164:B164"/>
    <mergeCell ref="B208:H208"/>
    <mergeCell ref="B206:H206"/>
    <mergeCell ref="A189:B189"/>
    <mergeCell ref="A178:B178"/>
    <mergeCell ref="A170:B170"/>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0:E141">
      <formula1>"Attached Loft area,Attached Otla area,Attached Mezzanine area"</formula1>
    </dataValidation>
    <dataValidation type="list" allowBlank="1" showInputMessage="1" showErrorMessage="1" sqref="G217:H217">
      <formula1>"Kunal Kadam,Pranita Mhatre,Shruti Fule,Pooja Kawale,Neha Dhokale,Shruti Tathare, Hitakshi Mhatre, Sachin Sawant"</formula1>
    </dataValidation>
    <dataValidation type="list" allowBlank="1" showInputMessage="1" showErrorMessage="1" sqref="F115:H115">
      <formula1>"On Saleable Area,On Builtup Area,On Carpet Area,On Plot Area"</formula1>
    </dataValidation>
    <dataValidation type="list" allowBlank="1" showInputMessage="1" showErrorMessage="1" sqref="F127:H127">
      <formula1>OFFSET($S$115,1,MATCH($G20,$S$115:$W$115,0)-1,15,1)</formula1>
    </dataValidation>
    <dataValidation type="list" allowBlank="1" showInputMessage="1" showErrorMessage="1" sqref="B140:B141">
      <formula1>"Shop No. (Sale Plan),Sale / Rehab,Sale / Mhada"</formula1>
    </dataValidation>
    <dataValidation type="list" allowBlank="1" showInputMessage="1" showErrorMessage="1" sqref="B154:B15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4:E155">
      <formula1>"Fungible area,Balcony Area,Chajja Area,Cornice Area,AP Area,WS Area"</formula1>
    </dataValidation>
    <dataValidation type="list" allowBlank="1" showInputMessage="1" showErrorMessage="1" sqref="H14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40 H154">
      <formula1>"Saleable area Loading :,Builder Saleable Area"</formula1>
    </dataValidation>
    <dataValidation type="list" allowBlank="1" showInputMessage="1" showErrorMessage="1" sqref="D140:D141 D154:D155">
      <formula1>"Carpet area,RERA Carpet area"</formula1>
    </dataValidation>
    <dataValidation type="list" allowBlank="1" showInputMessage="1" showErrorMessage="1" sqref="H155">
      <formula1>".45,.50,.55,.60,.70"</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21" max="16383" man="1"/>
    <brk id="262" max="16383" man="1"/>
    <brk id="30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0" t="s">
        <v>104</v>
      </c>
      <c r="C3" s="240"/>
      <c r="D3" s="240"/>
      <c r="E3" s="240"/>
      <c r="F3" s="240"/>
      <c r="G3" s="240"/>
      <c r="H3" s="240"/>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11</v>
      </c>
      <c r="D4" s="55" t="s">
        <v>179</v>
      </c>
      <c r="E4" s="55" t="s">
        <v>189</v>
      </c>
      <c r="F4" s="55" t="s">
        <v>173</v>
      </c>
      <c r="G4" s="55" t="s">
        <v>194</v>
      </c>
      <c r="H4" s="55" t="s">
        <v>212</v>
      </c>
      <c r="J4" t="s">
        <v>194</v>
      </c>
      <c r="K4" t="s">
        <v>210</v>
      </c>
    </row>
    <row r="5" spans="2:11" x14ac:dyDescent="0.35">
      <c r="B5" s="54"/>
      <c r="C5" s="54"/>
      <c r="D5" s="55" t="s">
        <v>180</v>
      </c>
      <c r="E5" s="55" t="s">
        <v>187</v>
      </c>
      <c r="F5" s="55" t="s">
        <v>209</v>
      </c>
      <c r="G5" s="55" t="s">
        <v>195</v>
      </c>
      <c r="H5" s="55" t="s">
        <v>213</v>
      </c>
    </row>
    <row r="6" spans="2:11" x14ac:dyDescent="0.35">
      <c r="B6" s="54"/>
      <c r="C6" s="54"/>
      <c r="D6" s="55" t="s">
        <v>181</v>
      </c>
      <c r="E6" s="55" t="s">
        <v>188</v>
      </c>
      <c r="F6" s="55" t="s">
        <v>210</v>
      </c>
      <c r="G6" s="55" t="s">
        <v>196</v>
      </c>
      <c r="H6" s="55" t="s">
        <v>226</v>
      </c>
    </row>
    <row r="7" spans="2:11" x14ac:dyDescent="0.35">
      <c r="B7" s="54"/>
      <c r="C7" s="54"/>
      <c r="D7" s="55" t="s">
        <v>182</v>
      </c>
      <c r="E7" s="55" t="s">
        <v>190</v>
      </c>
      <c r="F7" s="55" t="s">
        <v>211</v>
      </c>
      <c r="G7" s="55" t="s">
        <v>197</v>
      </c>
      <c r="H7" s="55" t="s">
        <v>214</v>
      </c>
    </row>
    <row r="8" spans="2:11" x14ac:dyDescent="0.35">
      <c r="B8" s="54"/>
      <c r="C8" s="54"/>
      <c r="D8" s="55" t="s">
        <v>183</v>
      </c>
      <c r="E8" s="55" t="s">
        <v>191</v>
      </c>
      <c r="F8" s="55"/>
      <c r="G8" s="55" t="s">
        <v>198</v>
      </c>
      <c r="H8" s="55" t="s">
        <v>215</v>
      </c>
    </row>
    <row r="9" spans="2:11" x14ac:dyDescent="0.35">
      <c r="B9" s="54"/>
      <c r="C9" s="54"/>
      <c r="D9" s="55" t="s">
        <v>184</v>
      </c>
      <c r="E9" s="55" t="s">
        <v>189</v>
      </c>
      <c r="F9" s="55"/>
      <c r="G9" s="55" t="s">
        <v>199</v>
      </c>
      <c r="H9" s="55" t="s">
        <v>216</v>
      </c>
    </row>
    <row r="10" spans="2:11" x14ac:dyDescent="0.35">
      <c r="B10" s="54"/>
      <c r="C10" s="54"/>
      <c r="D10" s="55" t="s">
        <v>185</v>
      </c>
      <c r="E10" s="55" t="s">
        <v>192</v>
      </c>
      <c r="F10" s="55"/>
      <c r="G10" s="55" t="s">
        <v>200</v>
      </c>
      <c r="H10" s="55" t="s">
        <v>217</v>
      </c>
    </row>
    <row r="11" spans="2:11" x14ac:dyDescent="0.35">
      <c r="B11" s="54"/>
      <c r="C11" s="54"/>
      <c r="D11" s="55" t="s">
        <v>186</v>
      </c>
      <c r="E11" s="55" t="s">
        <v>193</v>
      </c>
      <c r="F11" s="55"/>
      <c r="G11" s="55" t="s">
        <v>201</v>
      </c>
      <c r="H11" s="55" t="s">
        <v>218</v>
      </c>
    </row>
    <row r="12" spans="2:11" x14ac:dyDescent="0.35">
      <c r="B12" s="54"/>
      <c r="C12" s="54"/>
      <c r="D12" s="55"/>
      <c r="E12" s="55"/>
      <c r="F12" s="55"/>
      <c r="G12" s="55" t="s">
        <v>202</v>
      </c>
      <c r="H12" s="55" t="s">
        <v>219</v>
      </c>
    </row>
    <row r="13" spans="2:11" x14ac:dyDescent="0.35">
      <c r="B13" s="54"/>
      <c r="C13" s="54"/>
      <c r="D13" s="55"/>
      <c r="E13" s="55"/>
      <c r="F13" s="55"/>
      <c r="G13" s="55" t="s">
        <v>203</v>
      </c>
      <c r="H13" s="55" t="s">
        <v>220</v>
      </c>
    </row>
    <row r="14" spans="2:11" x14ac:dyDescent="0.35">
      <c r="B14" s="54"/>
      <c r="C14" s="54"/>
      <c r="D14" s="55"/>
      <c r="E14" s="55"/>
      <c r="F14" s="55"/>
      <c r="G14" s="55" t="s">
        <v>204</v>
      </c>
      <c r="H14" s="55" t="s">
        <v>221</v>
      </c>
    </row>
    <row r="15" spans="2:11" x14ac:dyDescent="0.35">
      <c r="B15" s="54"/>
      <c r="C15" s="54"/>
      <c r="D15" s="55"/>
      <c r="E15" s="55"/>
      <c r="F15" s="55"/>
      <c r="G15" s="55" t="s">
        <v>205</v>
      </c>
      <c r="H15" s="55" t="s">
        <v>222</v>
      </c>
    </row>
    <row r="16" spans="2:11" x14ac:dyDescent="0.35">
      <c r="B16" s="54"/>
      <c r="C16" s="54"/>
      <c r="D16" s="55"/>
      <c r="E16" s="55"/>
      <c r="F16" s="55"/>
      <c r="G16" s="55" t="s">
        <v>206</v>
      </c>
      <c r="H16" s="55" t="s">
        <v>223</v>
      </c>
    </row>
    <row r="17" spans="2:8" x14ac:dyDescent="0.35">
      <c r="B17" s="54"/>
      <c r="C17" s="54"/>
      <c r="D17" s="55"/>
      <c r="E17" s="55"/>
      <c r="F17" s="55"/>
      <c r="G17" s="55" t="s">
        <v>207</v>
      </c>
      <c r="H17" s="55" t="s">
        <v>224</v>
      </c>
    </row>
    <row r="18" spans="2:8" x14ac:dyDescent="0.35">
      <c r="B18" s="54"/>
      <c r="C18" s="54"/>
      <c r="D18" s="55"/>
      <c r="E18" s="55"/>
      <c r="F18" s="55"/>
      <c r="G18" s="55" t="s">
        <v>208</v>
      </c>
      <c r="H18" s="55"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58" t="s">
        <v>237</v>
      </c>
      <c r="D34" s="55" t="s">
        <v>235</v>
      </c>
      <c r="E34" s="55" t="s">
        <v>240</v>
      </c>
      <c r="F34" s="55" t="s">
        <v>238</v>
      </c>
      <c r="G34" s="55" t="s">
        <v>239</v>
      </c>
      <c r="H34" s="55" t="s">
        <v>241</v>
      </c>
      <c r="J34" t="s">
        <v>194</v>
      </c>
      <c r="K34" t="s">
        <v>210</v>
      </c>
    </row>
    <row r="35" spans="3:11" x14ac:dyDescent="0.35">
      <c r="C35" s="54" t="s">
        <v>236</v>
      </c>
      <c r="D35" s="55" t="s">
        <v>171</v>
      </c>
      <c r="E35" s="55" t="s">
        <v>245</v>
      </c>
      <c r="F35" s="55" t="s">
        <v>247</v>
      </c>
      <c r="G35" s="55" t="s">
        <v>249</v>
      </c>
      <c r="H35" s="55"/>
    </row>
    <row r="36" spans="3:11" x14ac:dyDescent="0.35">
      <c r="C36" s="54"/>
      <c r="D36" s="55" t="s">
        <v>242</v>
      </c>
      <c r="E36" s="55" t="s">
        <v>246</v>
      </c>
      <c r="F36" s="55" t="s">
        <v>248</v>
      </c>
      <c r="G36" s="55" t="s">
        <v>250</v>
      </c>
      <c r="H36" s="55"/>
    </row>
    <row r="37" spans="3:11" x14ac:dyDescent="0.35">
      <c r="C37" s="54"/>
      <c r="D37" s="55" t="s">
        <v>243</v>
      </c>
      <c r="E37" s="55"/>
      <c r="F37" s="55"/>
      <c r="G37" s="55" t="s">
        <v>251</v>
      </c>
      <c r="H37" s="55"/>
    </row>
    <row r="38" spans="3:11" x14ac:dyDescent="0.35">
      <c r="C38" s="54"/>
      <c r="D38" s="55" t="s">
        <v>244</v>
      </c>
      <c r="E38" s="55"/>
      <c r="F38" s="55"/>
      <c r="G38" s="55" t="s">
        <v>251</v>
      </c>
      <c r="H38" s="55"/>
    </row>
    <row r="39" spans="3:11" x14ac:dyDescent="0.35">
      <c r="C39" s="54"/>
      <c r="D39" s="55"/>
      <c r="E39" s="55"/>
      <c r="F39" s="55"/>
      <c r="G39" s="55" t="s">
        <v>252</v>
      </c>
      <c r="H39" s="55"/>
    </row>
    <row r="40" spans="3:11" x14ac:dyDescent="0.35">
      <c r="C40" s="54"/>
      <c r="D40" s="55"/>
      <c r="E40" s="55"/>
      <c r="F40" s="55"/>
      <c r="G40" s="55" t="s">
        <v>253</v>
      </c>
      <c r="H40" s="55"/>
    </row>
    <row r="41" spans="3:11" x14ac:dyDescent="0.35">
      <c r="C41" s="54"/>
      <c r="D41" s="55"/>
      <c r="E41" s="55"/>
      <c r="F41" s="55"/>
      <c r="G41" s="55"/>
      <c r="H41" s="55"/>
    </row>
    <row r="43" spans="3:11" x14ac:dyDescent="0.35">
      <c r="C43" t="s">
        <v>254</v>
      </c>
    </row>
    <row r="44" spans="3:11" x14ac:dyDescent="0.35">
      <c r="C44" t="s">
        <v>173</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179</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194</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189</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59">
        <v>1</v>
      </c>
      <c r="C2" s="62" t="s">
        <v>284</v>
      </c>
    </row>
    <row r="3" spans="2:3" x14ac:dyDescent="0.35">
      <c r="B3" s="59">
        <v>2</v>
      </c>
      <c r="C3" s="60" t="s">
        <v>285</v>
      </c>
    </row>
    <row r="4" spans="2:3" x14ac:dyDescent="0.35">
      <c r="B4" s="59">
        <v>3</v>
      </c>
      <c r="C4" s="61" t="s">
        <v>286</v>
      </c>
    </row>
    <row r="5" spans="2:3" x14ac:dyDescent="0.35">
      <c r="B5" s="59">
        <v>4</v>
      </c>
      <c r="C5" s="60" t="s">
        <v>287</v>
      </c>
    </row>
    <row r="6" spans="2:3" x14ac:dyDescent="0.35">
      <c r="B6" s="59">
        <v>5</v>
      </c>
      <c r="C6" s="61" t="s">
        <v>288</v>
      </c>
    </row>
    <row r="7" spans="2:3" ht="29" x14ac:dyDescent="0.35">
      <c r="B7" s="59">
        <v>6</v>
      </c>
      <c r="C7" s="60" t="s">
        <v>289</v>
      </c>
    </row>
    <row r="8" spans="2:3" ht="72.5" x14ac:dyDescent="0.35">
      <c r="B8" s="59">
        <v>7</v>
      </c>
      <c r="C8" s="60" t="s">
        <v>290</v>
      </c>
    </row>
    <row r="9" spans="2:3" x14ac:dyDescent="0.35">
      <c r="B9" s="59">
        <v>8</v>
      </c>
      <c r="C9" s="61" t="s">
        <v>291</v>
      </c>
    </row>
    <row r="10" spans="2:3" x14ac:dyDescent="0.35">
      <c r="B10" s="59">
        <v>9</v>
      </c>
      <c r="C10" s="61" t="s">
        <v>292</v>
      </c>
    </row>
    <row r="11" spans="2:3" x14ac:dyDescent="0.35">
      <c r="B11" s="59">
        <v>10</v>
      </c>
      <c r="C11" s="61" t="s">
        <v>293</v>
      </c>
    </row>
    <row r="12" spans="2:3" x14ac:dyDescent="0.35">
      <c r="B12" s="59">
        <v>11</v>
      </c>
      <c r="C12" s="61" t="s">
        <v>294</v>
      </c>
    </row>
    <row r="13" spans="2:3" x14ac:dyDescent="0.35">
      <c r="B13" s="59">
        <v>12</v>
      </c>
      <c r="C13" s="61" t="s">
        <v>295</v>
      </c>
    </row>
    <row r="14" spans="2:3" x14ac:dyDescent="0.35">
      <c r="B14" s="59">
        <v>13</v>
      </c>
      <c r="C14" s="61" t="s">
        <v>296</v>
      </c>
    </row>
    <row r="15" spans="2:3" x14ac:dyDescent="0.35">
      <c r="B15" s="59">
        <v>14</v>
      </c>
      <c r="C15" s="61" t="s">
        <v>286</v>
      </c>
    </row>
    <row r="16" spans="2:3" x14ac:dyDescent="0.35">
      <c r="B16" s="59">
        <v>15</v>
      </c>
      <c r="C16" s="61" t="s">
        <v>298</v>
      </c>
    </row>
    <row r="17" spans="2:3" ht="31.5" customHeight="1" x14ac:dyDescent="0.35">
      <c r="B17" s="67">
        <v>16</v>
      </c>
      <c r="C17" s="69" t="s">
        <v>299</v>
      </c>
    </row>
    <row r="18" spans="2:3" x14ac:dyDescent="0.35">
      <c r="B18" s="68">
        <v>17</v>
      </c>
      <c r="C18" s="69" t="s">
        <v>300</v>
      </c>
    </row>
    <row r="19" spans="2:3" x14ac:dyDescent="0.35">
      <c r="B19" s="67">
        <v>18</v>
      </c>
      <c r="C19" s="59" t="s">
        <v>301</v>
      </c>
    </row>
    <row r="20" spans="2:3" x14ac:dyDescent="0.35">
      <c r="B20" s="68">
        <v>19</v>
      </c>
      <c r="C20" s="59" t="s">
        <v>302</v>
      </c>
    </row>
    <row r="21" spans="2:3" x14ac:dyDescent="0.35">
      <c r="B21" s="70">
        <v>20</v>
      </c>
      <c r="C21" s="59" t="s">
        <v>303</v>
      </c>
    </row>
    <row r="22" spans="2:3" x14ac:dyDescent="0.35">
      <c r="B22" s="68">
        <v>21</v>
      </c>
      <c r="C22" s="59" t="s">
        <v>301</v>
      </c>
    </row>
    <row r="23" spans="2:3" s="78" customFormat="1" ht="29.25" customHeight="1" x14ac:dyDescent="0.35">
      <c r="B23" s="77">
        <v>22</v>
      </c>
      <c r="C23" s="62" t="s">
        <v>330</v>
      </c>
    </row>
    <row r="24" spans="2:3" s="78" customFormat="1" ht="30.75" customHeight="1" x14ac:dyDescent="0.35">
      <c r="B24" s="79">
        <v>23</v>
      </c>
      <c r="C24" s="62" t="s">
        <v>331</v>
      </c>
    </row>
    <row r="25" spans="2:3" x14ac:dyDescent="0.35">
      <c r="B25" s="70">
        <v>24</v>
      </c>
      <c r="C25" s="59"/>
    </row>
    <row r="26" spans="2:3" x14ac:dyDescent="0.35">
      <c r="B26" s="68">
        <v>25</v>
      </c>
      <c r="C26" s="5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54"/>
    <col min="2" max="2" width="12.26953125" style="54" customWidth="1"/>
    <col min="3" max="16384" width="9.1796875" style="54"/>
  </cols>
  <sheetData>
    <row r="2" spans="1:12" x14ac:dyDescent="0.35">
      <c r="B2" s="71" t="s">
        <v>304</v>
      </c>
      <c r="C2" s="241"/>
      <c r="D2" s="241"/>
    </row>
    <row r="3" spans="1:12" x14ac:dyDescent="0.35">
      <c r="D3" s="72"/>
      <c r="E3" s="72"/>
      <c r="F3" s="72"/>
      <c r="G3" s="72"/>
      <c r="H3" s="72"/>
      <c r="I3" s="72"/>
    </row>
    <row r="4" spans="1:12" x14ac:dyDescent="0.35">
      <c r="A4" s="71" t="s">
        <v>66</v>
      </c>
      <c r="B4" s="73" t="s">
        <v>305</v>
      </c>
      <c r="C4" s="242" t="s">
        <v>306</v>
      </c>
      <c r="D4" s="242"/>
      <c r="E4" s="242"/>
      <c r="F4" s="73"/>
      <c r="G4" s="243" t="s">
        <v>307</v>
      </c>
      <c r="H4" s="243"/>
      <c r="I4" s="243"/>
      <c r="J4" s="244" t="s">
        <v>308</v>
      </c>
      <c r="K4" s="244"/>
      <c r="L4" s="244"/>
    </row>
    <row r="5" spans="1:12" x14ac:dyDescent="0.35">
      <c r="A5" s="71"/>
      <c r="B5" s="73"/>
      <c r="C5" s="73" t="s">
        <v>309</v>
      </c>
      <c r="D5" s="73" t="s">
        <v>310</v>
      </c>
      <c r="E5" s="73" t="s">
        <v>311</v>
      </c>
      <c r="F5" s="73"/>
      <c r="G5" s="73" t="s">
        <v>309</v>
      </c>
      <c r="H5" s="73" t="s">
        <v>310</v>
      </c>
      <c r="I5" s="73" t="s">
        <v>311</v>
      </c>
      <c r="J5" s="73" t="s">
        <v>309</v>
      </c>
      <c r="K5" s="73" t="s">
        <v>310</v>
      </c>
      <c r="L5" s="73" t="s">
        <v>311</v>
      </c>
    </row>
    <row r="6" spans="1:12" x14ac:dyDescent="0.35">
      <c r="B6" s="55" t="s">
        <v>312</v>
      </c>
      <c r="C6" s="55"/>
      <c r="D6" s="55"/>
      <c r="E6" s="55">
        <f>C6*D6</f>
        <v>0</v>
      </c>
      <c r="F6" s="55" t="s">
        <v>329</v>
      </c>
      <c r="G6" s="55"/>
      <c r="H6" s="55"/>
      <c r="I6" s="55">
        <f>G6*H6</f>
        <v>0</v>
      </c>
      <c r="J6" s="55"/>
      <c r="K6" s="55"/>
      <c r="L6" s="55">
        <f>J6*K6</f>
        <v>0</v>
      </c>
    </row>
    <row r="7" spans="1:12" x14ac:dyDescent="0.35">
      <c r="B7" s="55"/>
      <c r="C7" s="55"/>
      <c r="D7" s="55"/>
      <c r="E7" s="55">
        <f t="shared" ref="E7:E41" si="0">C7*D7</f>
        <v>0</v>
      </c>
      <c r="F7" s="55" t="s">
        <v>329</v>
      </c>
      <c r="G7" s="55"/>
      <c r="H7" s="55"/>
      <c r="I7" s="55">
        <f t="shared" ref="I7:I35" si="1">G7*H7</f>
        <v>0</v>
      </c>
      <c r="J7" s="55"/>
      <c r="K7" s="55"/>
      <c r="L7" s="55">
        <f t="shared" ref="L7:L35" si="2">J7*K7</f>
        <v>0</v>
      </c>
    </row>
    <row r="8" spans="1:12" x14ac:dyDescent="0.35">
      <c r="B8" s="55"/>
      <c r="C8" s="55"/>
      <c r="D8" s="55"/>
      <c r="E8" s="55">
        <f t="shared" si="0"/>
        <v>0</v>
      </c>
      <c r="F8" s="55"/>
      <c r="G8" s="55"/>
      <c r="H8" s="55"/>
      <c r="I8" s="55">
        <f t="shared" si="1"/>
        <v>0</v>
      </c>
      <c r="J8" s="55"/>
      <c r="K8" s="55"/>
      <c r="L8" s="55">
        <f t="shared" si="2"/>
        <v>0</v>
      </c>
    </row>
    <row r="9" spans="1:12" x14ac:dyDescent="0.35">
      <c r="B9" s="55"/>
      <c r="C9" s="55"/>
      <c r="D9" s="55"/>
      <c r="E9" s="55">
        <f t="shared" si="0"/>
        <v>0</v>
      </c>
      <c r="F9" s="55" t="s">
        <v>313</v>
      </c>
      <c r="G9" s="55"/>
      <c r="H9" s="55"/>
      <c r="I9" s="55">
        <f t="shared" si="1"/>
        <v>0</v>
      </c>
      <c r="J9" s="55"/>
      <c r="K9" s="55"/>
      <c r="L9" s="55">
        <f t="shared" si="2"/>
        <v>0</v>
      </c>
    </row>
    <row r="10" spans="1:12" x14ac:dyDescent="0.35">
      <c r="B10" s="55" t="s">
        <v>314</v>
      </c>
      <c r="C10" s="55"/>
      <c r="D10" s="55"/>
      <c r="E10" s="55">
        <f t="shared" si="0"/>
        <v>0</v>
      </c>
      <c r="F10" s="55" t="s">
        <v>313</v>
      </c>
      <c r="G10" s="55"/>
      <c r="H10" s="55"/>
      <c r="I10" s="55">
        <f t="shared" si="1"/>
        <v>0</v>
      </c>
      <c r="J10" s="55"/>
      <c r="K10" s="55"/>
      <c r="L10" s="55">
        <f t="shared" si="2"/>
        <v>0</v>
      </c>
    </row>
    <row r="11" spans="1:12" x14ac:dyDescent="0.35">
      <c r="B11" s="55"/>
      <c r="C11" s="55"/>
      <c r="D11" s="55"/>
      <c r="E11" s="55">
        <f t="shared" si="0"/>
        <v>0</v>
      </c>
      <c r="F11" s="55" t="s">
        <v>315</v>
      </c>
      <c r="G11" s="55"/>
      <c r="H11" s="55"/>
      <c r="I11" s="55">
        <f t="shared" si="1"/>
        <v>0</v>
      </c>
      <c r="J11" s="55"/>
      <c r="K11" s="55"/>
      <c r="L11" s="55">
        <f t="shared" si="2"/>
        <v>0</v>
      </c>
    </row>
    <row r="12" spans="1:12" x14ac:dyDescent="0.35">
      <c r="B12" s="55"/>
      <c r="C12" s="55"/>
      <c r="D12" s="55"/>
      <c r="E12" s="55">
        <f t="shared" si="0"/>
        <v>0</v>
      </c>
      <c r="F12" s="55"/>
      <c r="G12" s="55"/>
      <c r="H12" s="55"/>
      <c r="I12" s="55">
        <f t="shared" si="1"/>
        <v>0</v>
      </c>
      <c r="J12" s="55"/>
      <c r="K12" s="55"/>
      <c r="L12" s="55">
        <f t="shared" si="2"/>
        <v>0</v>
      </c>
    </row>
    <row r="13" spans="1:12" x14ac:dyDescent="0.35">
      <c r="B13" s="55"/>
      <c r="C13" s="55"/>
      <c r="D13" s="55"/>
      <c r="E13" s="55">
        <f t="shared" si="0"/>
        <v>0</v>
      </c>
      <c r="F13" s="55"/>
      <c r="G13" s="55"/>
      <c r="H13" s="55"/>
      <c r="I13" s="55">
        <f t="shared" si="1"/>
        <v>0</v>
      </c>
      <c r="J13" s="55"/>
      <c r="K13" s="55"/>
      <c r="L13" s="55">
        <f t="shared" si="2"/>
        <v>0</v>
      </c>
    </row>
    <row r="14" spans="1:12" x14ac:dyDescent="0.35">
      <c r="B14" s="55" t="s">
        <v>316</v>
      </c>
      <c r="C14" s="55"/>
      <c r="D14" s="55"/>
      <c r="E14" s="55">
        <f t="shared" si="0"/>
        <v>0</v>
      </c>
      <c r="F14" s="55" t="s">
        <v>313</v>
      </c>
      <c r="G14" s="55"/>
      <c r="H14" s="55"/>
      <c r="I14" s="55">
        <f t="shared" si="1"/>
        <v>0</v>
      </c>
      <c r="J14" s="55"/>
      <c r="K14" s="55"/>
      <c r="L14" s="55">
        <f t="shared" si="2"/>
        <v>0</v>
      </c>
    </row>
    <row r="15" spans="1:12" x14ac:dyDescent="0.35">
      <c r="B15" s="55"/>
      <c r="C15" s="55"/>
      <c r="D15" s="55"/>
      <c r="E15" s="55">
        <f t="shared" si="0"/>
        <v>0</v>
      </c>
      <c r="F15" s="55" t="s">
        <v>315</v>
      </c>
      <c r="G15" s="55"/>
      <c r="H15" s="55"/>
      <c r="I15" s="55">
        <f t="shared" si="1"/>
        <v>0</v>
      </c>
      <c r="J15" s="55"/>
      <c r="K15" s="55"/>
      <c r="L15" s="55">
        <f t="shared" si="2"/>
        <v>0</v>
      </c>
    </row>
    <row r="16" spans="1:12" x14ac:dyDescent="0.35">
      <c r="B16" s="55"/>
      <c r="C16" s="55"/>
      <c r="D16" s="55"/>
      <c r="E16" s="55">
        <f t="shared" si="0"/>
        <v>0</v>
      </c>
      <c r="F16" s="55"/>
      <c r="G16" s="55"/>
      <c r="H16" s="55"/>
      <c r="I16" s="55">
        <f t="shared" si="1"/>
        <v>0</v>
      </c>
      <c r="J16" s="55"/>
      <c r="K16" s="55"/>
      <c r="L16" s="55">
        <f t="shared" si="2"/>
        <v>0</v>
      </c>
    </row>
    <row r="17" spans="2:12" x14ac:dyDescent="0.35">
      <c r="B17" s="55"/>
      <c r="C17" s="55"/>
      <c r="D17" s="55"/>
      <c r="E17" s="55">
        <f t="shared" si="0"/>
        <v>0</v>
      </c>
      <c r="F17" s="55"/>
      <c r="G17" s="55"/>
      <c r="H17" s="55"/>
      <c r="I17" s="55">
        <f t="shared" si="1"/>
        <v>0</v>
      </c>
      <c r="J17" s="55"/>
      <c r="K17" s="55"/>
      <c r="L17" s="55">
        <f t="shared" si="2"/>
        <v>0</v>
      </c>
    </row>
    <row r="18" spans="2:12" x14ac:dyDescent="0.35">
      <c r="B18" s="55" t="s">
        <v>317</v>
      </c>
      <c r="C18" s="55"/>
      <c r="D18" s="55"/>
      <c r="E18" s="55">
        <f t="shared" si="0"/>
        <v>0</v>
      </c>
      <c r="F18" s="55" t="s">
        <v>313</v>
      </c>
      <c r="G18" s="55"/>
      <c r="H18" s="55"/>
      <c r="I18" s="55">
        <f t="shared" si="1"/>
        <v>0</v>
      </c>
      <c r="J18" s="55"/>
      <c r="K18" s="55"/>
      <c r="L18" s="55">
        <f t="shared" si="2"/>
        <v>0</v>
      </c>
    </row>
    <row r="19" spans="2:12" x14ac:dyDescent="0.35">
      <c r="B19" s="55"/>
      <c r="C19" s="55"/>
      <c r="D19" s="55"/>
      <c r="E19" s="55">
        <f t="shared" si="0"/>
        <v>0</v>
      </c>
      <c r="F19" s="55" t="s">
        <v>315</v>
      </c>
      <c r="G19" s="55"/>
      <c r="H19" s="55"/>
      <c r="I19" s="55">
        <f t="shared" si="1"/>
        <v>0</v>
      </c>
      <c r="J19" s="55"/>
      <c r="K19" s="55"/>
      <c r="L19" s="55">
        <f t="shared" si="2"/>
        <v>0</v>
      </c>
    </row>
    <row r="20" spans="2:12" x14ac:dyDescent="0.35">
      <c r="B20" s="55"/>
      <c r="C20" s="55"/>
      <c r="D20" s="55"/>
      <c r="E20" s="55">
        <f t="shared" si="0"/>
        <v>0</v>
      </c>
      <c r="F20" s="55"/>
      <c r="G20" s="55"/>
      <c r="H20" s="55"/>
      <c r="I20" s="55">
        <f t="shared" si="1"/>
        <v>0</v>
      </c>
      <c r="J20" s="55"/>
      <c r="K20" s="55"/>
      <c r="L20" s="55">
        <f t="shared" si="2"/>
        <v>0</v>
      </c>
    </row>
    <row r="21" spans="2:12" x14ac:dyDescent="0.35">
      <c r="B21" s="55" t="s">
        <v>318</v>
      </c>
      <c r="C21" s="55"/>
      <c r="D21" s="55"/>
      <c r="E21" s="55">
        <f t="shared" si="0"/>
        <v>0</v>
      </c>
      <c r="F21" s="55" t="s">
        <v>313</v>
      </c>
      <c r="G21" s="55"/>
      <c r="H21" s="55"/>
      <c r="I21" s="55">
        <f t="shared" si="1"/>
        <v>0</v>
      </c>
      <c r="J21" s="55"/>
      <c r="K21" s="55"/>
      <c r="L21" s="55">
        <f t="shared" si="2"/>
        <v>0</v>
      </c>
    </row>
    <row r="22" spans="2:12" x14ac:dyDescent="0.35">
      <c r="B22" s="55"/>
      <c r="C22" s="55"/>
      <c r="D22" s="55"/>
      <c r="E22" s="55">
        <f t="shared" si="0"/>
        <v>0</v>
      </c>
      <c r="F22" s="55" t="s">
        <v>315</v>
      </c>
      <c r="G22" s="55"/>
      <c r="H22" s="55"/>
      <c r="I22" s="55">
        <f t="shared" si="1"/>
        <v>0</v>
      </c>
      <c r="J22" s="55"/>
      <c r="K22" s="55"/>
      <c r="L22" s="55">
        <f t="shared" si="2"/>
        <v>0</v>
      </c>
    </row>
    <row r="23" spans="2:12" x14ac:dyDescent="0.35">
      <c r="B23" s="55"/>
      <c r="C23" s="55"/>
      <c r="D23" s="55"/>
      <c r="E23" s="55">
        <f t="shared" si="0"/>
        <v>0</v>
      </c>
      <c r="F23" s="55"/>
      <c r="G23" s="55"/>
      <c r="H23" s="55"/>
      <c r="I23" s="55">
        <f t="shared" si="1"/>
        <v>0</v>
      </c>
      <c r="J23" s="55"/>
      <c r="K23" s="55"/>
      <c r="L23" s="55">
        <f t="shared" si="2"/>
        <v>0</v>
      </c>
    </row>
    <row r="24" spans="2:12" x14ac:dyDescent="0.35">
      <c r="B24" s="55" t="s">
        <v>319</v>
      </c>
      <c r="C24" s="55"/>
      <c r="D24" s="55"/>
      <c r="E24" s="55">
        <f t="shared" si="0"/>
        <v>0</v>
      </c>
      <c r="F24" s="55" t="s">
        <v>320</v>
      </c>
      <c r="G24" s="55"/>
      <c r="H24" s="55"/>
      <c r="I24" s="55">
        <f t="shared" si="1"/>
        <v>0</v>
      </c>
      <c r="J24" s="55"/>
      <c r="K24" s="55"/>
      <c r="L24" s="55">
        <f t="shared" si="2"/>
        <v>0</v>
      </c>
    </row>
    <row r="25" spans="2:12" x14ac:dyDescent="0.35">
      <c r="B25" s="55"/>
      <c r="C25" s="55"/>
      <c r="D25" s="55"/>
      <c r="E25" s="55">
        <f t="shared" ref="E25:E27" si="3">C25*D25</f>
        <v>0</v>
      </c>
      <c r="F25" s="55" t="s">
        <v>320</v>
      </c>
      <c r="G25" s="55"/>
      <c r="H25" s="55"/>
      <c r="I25" s="55">
        <f t="shared" ref="I25:I27" si="4">G25*H25</f>
        <v>0</v>
      </c>
      <c r="J25" s="55"/>
      <c r="K25" s="55"/>
      <c r="L25" s="55">
        <f t="shared" ref="L25:L27" si="5">J25*K25</f>
        <v>0</v>
      </c>
    </row>
    <row r="26" spans="2:12" x14ac:dyDescent="0.35">
      <c r="B26" s="55"/>
      <c r="C26" s="55"/>
      <c r="D26" s="55"/>
      <c r="E26" s="55">
        <f t="shared" si="3"/>
        <v>0</v>
      </c>
      <c r="F26" s="55" t="s">
        <v>320</v>
      </c>
      <c r="G26" s="55"/>
      <c r="H26" s="55"/>
      <c r="I26" s="55">
        <f t="shared" si="4"/>
        <v>0</v>
      </c>
      <c r="J26" s="55"/>
      <c r="K26" s="55"/>
      <c r="L26" s="55">
        <f t="shared" si="5"/>
        <v>0</v>
      </c>
    </row>
    <row r="27" spans="2:12" x14ac:dyDescent="0.35">
      <c r="B27" s="55"/>
      <c r="C27" s="55"/>
      <c r="D27" s="55"/>
      <c r="E27" s="55">
        <f t="shared" si="3"/>
        <v>0</v>
      </c>
      <c r="F27" s="55" t="s">
        <v>320</v>
      </c>
      <c r="G27" s="55"/>
      <c r="H27" s="55"/>
      <c r="I27" s="55">
        <f t="shared" si="4"/>
        <v>0</v>
      </c>
      <c r="J27" s="55"/>
      <c r="K27" s="55"/>
      <c r="L27" s="55">
        <f t="shared" si="5"/>
        <v>0</v>
      </c>
    </row>
    <row r="28" spans="2:12" x14ac:dyDescent="0.35">
      <c r="B28" s="55" t="s">
        <v>321</v>
      </c>
      <c r="C28" s="55"/>
      <c r="D28" s="55"/>
      <c r="E28" s="55">
        <f t="shared" si="0"/>
        <v>0</v>
      </c>
      <c r="F28" s="55" t="s">
        <v>320</v>
      </c>
      <c r="G28" s="55"/>
      <c r="H28" s="55"/>
      <c r="I28" s="55">
        <f t="shared" si="1"/>
        <v>0</v>
      </c>
      <c r="J28" s="55"/>
      <c r="K28" s="55"/>
      <c r="L28" s="55">
        <f t="shared" si="2"/>
        <v>0</v>
      </c>
    </row>
    <row r="29" spans="2:12" x14ac:dyDescent="0.35">
      <c r="B29" s="55" t="s">
        <v>322</v>
      </c>
      <c r="C29" s="55"/>
      <c r="D29" s="55"/>
      <c r="E29" s="55">
        <f t="shared" si="0"/>
        <v>0</v>
      </c>
      <c r="F29" s="55" t="s">
        <v>320</v>
      </c>
      <c r="G29" s="55"/>
      <c r="H29" s="55"/>
      <c r="I29" s="55">
        <f t="shared" si="1"/>
        <v>0</v>
      </c>
      <c r="J29" s="55"/>
      <c r="K29" s="55"/>
      <c r="L29" s="55">
        <f t="shared" si="2"/>
        <v>0</v>
      </c>
    </row>
    <row r="30" spans="2:12" x14ac:dyDescent="0.35">
      <c r="B30" s="55" t="s">
        <v>326</v>
      </c>
      <c r="C30" s="55"/>
      <c r="D30" s="55"/>
      <c r="E30" s="55">
        <f t="shared" si="0"/>
        <v>0</v>
      </c>
      <c r="F30" s="55"/>
      <c r="G30" s="55"/>
      <c r="H30" s="55"/>
      <c r="I30" s="55">
        <f t="shared" si="1"/>
        <v>0</v>
      </c>
      <c r="J30" s="55"/>
      <c r="K30" s="55"/>
      <c r="L30" s="55">
        <f t="shared" si="2"/>
        <v>0</v>
      </c>
    </row>
    <row r="31" spans="2:12" x14ac:dyDescent="0.35">
      <c r="B31" s="55"/>
      <c r="C31" s="55"/>
      <c r="D31" s="55"/>
      <c r="E31" s="55">
        <f t="shared" ref="E31:E32" si="6">C31*D31</f>
        <v>0</v>
      </c>
      <c r="F31" s="55"/>
      <c r="G31" s="55"/>
      <c r="H31" s="55"/>
      <c r="I31" s="55">
        <f t="shared" ref="I31:I32" si="7">G31*H31</f>
        <v>0</v>
      </c>
      <c r="J31" s="55"/>
      <c r="K31" s="55"/>
      <c r="L31" s="55">
        <f t="shared" ref="L31:L32" si="8">J31*K31</f>
        <v>0</v>
      </c>
    </row>
    <row r="32" spans="2:12" x14ac:dyDescent="0.35">
      <c r="B32" s="55"/>
      <c r="C32" s="55"/>
      <c r="D32" s="55"/>
      <c r="E32" s="55">
        <f t="shared" si="6"/>
        <v>0</v>
      </c>
      <c r="F32" s="55"/>
      <c r="G32" s="55"/>
      <c r="H32" s="55"/>
      <c r="I32" s="55">
        <f t="shared" si="7"/>
        <v>0</v>
      </c>
      <c r="J32" s="55"/>
      <c r="K32" s="55"/>
      <c r="L32" s="55">
        <f t="shared" si="8"/>
        <v>0</v>
      </c>
    </row>
    <row r="33" spans="2:12" x14ac:dyDescent="0.35">
      <c r="B33" s="55" t="s">
        <v>323</v>
      </c>
      <c r="C33" s="55"/>
      <c r="D33" s="55"/>
      <c r="E33" s="55">
        <f t="shared" si="0"/>
        <v>0</v>
      </c>
      <c r="F33" s="55"/>
      <c r="G33" s="55"/>
      <c r="H33" s="55"/>
      <c r="I33" s="55">
        <f t="shared" si="1"/>
        <v>0</v>
      </c>
      <c r="J33" s="55"/>
      <c r="K33" s="55"/>
      <c r="L33" s="55">
        <f t="shared" si="2"/>
        <v>0</v>
      </c>
    </row>
    <row r="34" spans="2:12" x14ac:dyDescent="0.35">
      <c r="B34" s="55" t="s">
        <v>327</v>
      </c>
      <c r="C34" s="55"/>
      <c r="D34" s="55"/>
      <c r="E34" s="55">
        <f t="shared" si="0"/>
        <v>0</v>
      </c>
      <c r="F34" s="55"/>
      <c r="G34" s="55"/>
      <c r="H34" s="55"/>
      <c r="I34" s="55">
        <f t="shared" si="1"/>
        <v>0</v>
      </c>
      <c r="J34" s="55"/>
      <c r="K34" s="55"/>
      <c r="L34" s="55">
        <f t="shared" si="2"/>
        <v>0</v>
      </c>
    </row>
    <row r="35" spans="2:12" x14ac:dyDescent="0.35">
      <c r="B35" s="55" t="s">
        <v>324</v>
      </c>
      <c r="C35" s="55"/>
      <c r="D35" s="55"/>
      <c r="E35" s="55">
        <f t="shared" si="0"/>
        <v>0</v>
      </c>
      <c r="F35" s="55"/>
      <c r="G35" s="55"/>
      <c r="H35" s="55"/>
      <c r="I35" s="55">
        <f t="shared" si="1"/>
        <v>0</v>
      </c>
      <c r="J35" s="55"/>
      <c r="K35" s="55"/>
      <c r="L35" s="55">
        <f t="shared" si="2"/>
        <v>0</v>
      </c>
    </row>
    <row r="36" spans="2:12" x14ac:dyDescent="0.35">
      <c r="B36" s="55" t="s">
        <v>325</v>
      </c>
      <c r="C36" s="55"/>
      <c r="D36" s="55"/>
      <c r="E36" s="55">
        <f t="shared" si="0"/>
        <v>0</v>
      </c>
      <c r="F36" s="55"/>
      <c r="G36" s="55"/>
      <c r="H36" s="55"/>
      <c r="I36" s="55">
        <f>G36*H36</f>
        <v>0</v>
      </c>
      <c r="J36" s="55"/>
      <c r="K36" s="55"/>
      <c r="L36" s="55">
        <f>J36*K36</f>
        <v>0</v>
      </c>
    </row>
    <row r="37" spans="2:12" x14ac:dyDescent="0.35">
      <c r="B37" s="55"/>
      <c r="C37" s="55"/>
      <c r="D37" s="55"/>
      <c r="E37" s="55">
        <f t="shared" ref="E37:E38" si="9">C37*D37</f>
        <v>0</v>
      </c>
      <c r="F37" s="55"/>
      <c r="G37" s="55"/>
      <c r="H37" s="55"/>
      <c r="I37" s="55">
        <f t="shared" ref="I37:I38" si="10">G37*H37</f>
        <v>0</v>
      </c>
      <c r="J37" s="55"/>
      <c r="K37" s="55"/>
      <c r="L37" s="55">
        <f t="shared" ref="L37:L38" si="11">J37*K37</f>
        <v>0</v>
      </c>
    </row>
    <row r="38" spans="2:12" x14ac:dyDescent="0.35">
      <c r="B38" s="55" t="s">
        <v>328</v>
      </c>
      <c r="C38" s="55"/>
      <c r="D38" s="55"/>
      <c r="E38" s="55">
        <f t="shared" si="9"/>
        <v>0</v>
      </c>
      <c r="F38" s="55"/>
      <c r="G38" s="55"/>
      <c r="H38" s="55"/>
      <c r="I38" s="55">
        <f t="shared" si="10"/>
        <v>0</v>
      </c>
      <c r="J38" s="55"/>
      <c r="K38" s="55"/>
      <c r="L38" s="55">
        <f t="shared" si="11"/>
        <v>0</v>
      </c>
    </row>
    <row r="39" spans="2:12" x14ac:dyDescent="0.35">
      <c r="B39" s="55"/>
      <c r="C39" s="55"/>
      <c r="D39" s="55"/>
      <c r="E39" s="55">
        <f t="shared" si="0"/>
        <v>0</v>
      </c>
      <c r="F39" s="55"/>
      <c r="G39" s="55"/>
      <c r="H39" s="55"/>
      <c r="I39" s="55">
        <f>G39*H39</f>
        <v>0</v>
      </c>
      <c r="J39" s="55"/>
      <c r="K39" s="55"/>
      <c r="L39" s="55">
        <f>J39*K39</f>
        <v>0</v>
      </c>
    </row>
    <row r="40" spans="2:12" x14ac:dyDescent="0.35">
      <c r="B40" s="55"/>
      <c r="C40" s="55"/>
      <c r="D40" s="55"/>
      <c r="E40" s="55">
        <f t="shared" si="0"/>
        <v>0</v>
      </c>
      <c r="F40" s="55"/>
      <c r="G40" s="55"/>
      <c r="H40" s="55"/>
      <c r="I40" s="55">
        <f>G40*H40</f>
        <v>0</v>
      </c>
      <c r="J40" s="55"/>
      <c r="K40" s="55"/>
      <c r="L40" s="55">
        <f>J40*K40</f>
        <v>0</v>
      </c>
    </row>
    <row r="41" spans="2:12" x14ac:dyDescent="0.35">
      <c r="B41" s="55"/>
      <c r="C41" s="55"/>
      <c r="D41" s="55"/>
      <c r="E41" s="55">
        <f t="shared" si="0"/>
        <v>0</v>
      </c>
      <c r="F41" s="55"/>
      <c r="G41" s="55"/>
      <c r="H41" s="55"/>
      <c r="I41" s="55">
        <f>G41*H41</f>
        <v>0</v>
      </c>
      <c r="J41" s="55"/>
      <c r="K41" s="55"/>
      <c r="L41" s="55">
        <f>J41*K41</f>
        <v>0</v>
      </c>
    </row>
    <row r="42" spans="2:12" x14ac:dyDescent="0.35">
      <c r="B42" s="55" t="s">
        <v>150</v>
      </c>
      <c r="C42" s="55"/>
      <c r="D42" s="55">
        <f>E42*10.764</f>
        <v>0</v>
      </c>
      <c r="E42" s="76">
        <f>SUM(E6:E41)</f>
        <v>0</v>
      </c>
      <c r="F42" s="55"/>
      <c r="G42" s="55"/>
      <c r="H42" s="55">
        <f>I42*10.764</f>
        <v>0</v>
      </c>
      <c r="I42" s="75">
        <f>SUM(I6:I41)</f>
        <v>0</v>
      </c>
      <c r="J42" s="55"/>
      <c r="K42" s="55">
        <f>L42*10.764</f>
        <v>0</v>
      </c>
      <c r="L42" s="74">
        <f>SUM(L6:L41)</f>
        <v>0</v>
      </c>
    </row>
    <row r="44" spans="2:12" x14ac:dyDescent="0.35">
      <c r="D44" s="54">
        <f>D42+H42</f>
        <v>0</v>
      </c>
      <c r="E44" s="5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2025-07-22T07:01:55Z</cp:lastPrinted>
  <dcterms:created xsi:type="dcterms:W3CDTF">2019-07-16T09:29:46Z</dcterms:created>
  <dcterms:modified xsi:type="dcterms:W3CDTF">2025-07-22T07:04:13Z</dcterms:modified>
</cp:coreProperties>
</file>