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18-07-2025\"/>
    </mc:Choice>
  </mc:AlternateContent>
  <bookViews>
    <workbookView xWindow="0" yWindow="0" windowWidth="19200" windowHeight="6640" tabRatio="725"/>
  </bookViews>
  <sheets>
    <sheet name="Report" sheetId="1" r:id="rId1"/>
    <sheet name="valuation" sheetId="5" r:id="rId2"/>
    <sheet name="Research" sheetId="4" r:id="rId3"/>
  </sheets>
  <definedNames>
    <definedName name="_xlnm.Print_Area" localSheetId="0">Report!$A$1:$H$363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7" i="1" l="1"/>
  <c r="I170" i="1" l="1"/>
  <c r="I171" i="1"/>
  <c r="I172" i="1"/>
  <c r="I173" i="1"/>
  <c r="I174" i="1"/>
  <c r="I175" i="1"/>
  <c r="I176" i="1"/>
  <c r="I169" i="1"/>
  <c r="D55" i="1"/>
  <c r="L161" i="1" l="1"/>
  <c r="L162" i="1"/>
  <c r="L163" i="1"/>
  <c r="L164" i="1"/>
  <c r="L165" i="1"/>
  <c r="L166" i="1"/>
  <c r="L167" i="1"/>
  <c r="L160" i="1"/>
  <c r="D153" i="1"/>
  <c r="D152" i="1"/>
  <c r="D151" i="1"/>
  <c r="D150" i="1"/>
  <c r="D149" i="1"/>
  <c r="D148" i="1"/>
  <c r="D147" i="1"/>
  <c r="D146" i="1"/>
  <c r="D145" i="1"/>
  <c r="D144" i="1"/>
  <c r="D143" i="1"/>
  <c r="D142" i="1"/>
  <c r="D138" i="1"/>
  <c r="C112" i="1" l="1"/>
  <c r="E112" i="1"/>
  <c r="D137" i="1"/>
  <c r="D136" i="1"/>
  <c r="D135" i="1"/>
  <c r="D134" i="1"/>
  <c r="D133" i="1"/>
  <c r="D132" i="1"/>
  <c r="D131" i="1"/>
  <c r="D130" i="1"/>
  <c r="D129" i="1"/>
  <c r="D128" i="1"/>
  <c r="D127" i="1"/>
  <c r="E214" i="1"/>
  <c r="D214" i="1"/>
  <c r="E213" i="1"/>
  <c r="D213" i="1"/>
  <c r="E212" i="1"/>
  <c r="D212" i="1"/>
  <c r="E211" i="1"/>
  <c r="D211" i="1"/>
  <c r="E210" i="1"/>
  <c r="D210" i="1"/>
  <c r="E209" i="1"/>
  <c r="D209" i="1"/>
  <c r="E208" i="1"/>
  <c r="D208" i="1"/>
  <c r="E207" i="1"/>
  <c r="D207" i="1"/>
  <c r="D205" i="1"/>
  <c r="D204" i="1"/>
  <c r="D203" i="1"/>
  <c r="D202" i="1"/>
  <c r="D201" i="1"/>
  <c r="D200" i="1"/>
  <c r="D199" i="1"/>
  <c r="D198" i="1"/>
  <c r="E196" i="1"/>
  <c r="D196" i="1"/>
  <c r="E195" i="1"/>
  <c r="D195" i="1"/>
  <c r="E194" i="1"/>
  <c r="D194" i="1"/>
  <c r="E193" i="1"/>
  <c r="D193" i="1"/>
  <c r="E192" i="1"/>
  <c r="D192" i="1"/>
  <c r="E191" i="1"/>
  <c r="D191" i="1"/>
  <c r="E190" i="1"/>
  <c r="D190" i="1"/>
  <c r="E189" i="1"/>
  <c r="D189" i="1"/>
  <c r="E185" i="1"/>
  <c r="D185" i="1"/>
  <c r="E184" i="1"/>
  <c r="D184" i="1"/>
  <c r="E183" i="1"/>
  <c r="D183" i="1"/>
  <c r="E182" i="1"/>
  <c r="D182" i="1"/>
  <c r="E181" i="1"/>
  <c r="D181" i="1"/>
  <c r="E180" i="1"/>
  <c r="D180" i="1"/>
  <c r="E179" i="1"/>
  <c r="D179" i="1"/>
  <c r="E178" i="1"/>
  <c r="D178" i="1"/>
  <c r="D176" i="1"/>
  <c r="N176" i="1" s="1"/>
  <c r="D175" i="1"/>
  <c r="N175" i="1" s="1"/>
  <c r="D174" i="1"/>
  <c r="N174" i="1" s="1"/>
  <c r="D173" i="1"/>
  <c r="N173" i="1" s="1"/>
  <c r="D172" i="1"/>
  <c r="N172" i="1" s="1"/>
  <c r="D171" i="1"/>
  <c r="N171" i="1" s="1"/>
  <c r="D170" i="1"/>
  <c r="N170" i="1" s="1"/>
  <c r="D169" i="1"/>
  <c r="N169" i="1" s="1"/>
  <c r="E167" i="1"/>
  <c r="D167" i="1"/>
  <c r="N167" i="1" s="1"/>
  <c r="E166" i="1"/>
  <c r="D166" i="1"/>
  <c r="N166" i="1" s="1"/>
  <c r="E165" i="1"/>
  <c r="D165" i="1"/>
  <c r="N165" i="1" s="1"/>
  <c r="E164" i="1"/>
  <c r="D164" i="1"/>
  <c r="N164" i="1" s="1"/>
  <c r="E163" i="1"/>
  <c r="D163" i="1"/>
  <c r="N163" i="1" s="1"/>
  <c r="E162" i="1"/>
  <c r="D162" i="1"/>
  <c r="N162" i="1" s="1"/>
  <c r="E161" i="1"/>
  <c r="D161" i="1"/>
  <c r="N161" i="1" s="1"/>
  <c r="E160" i="1"/>
  <c r="D160" i="1"/>
  <c r="N160" i="1" s="1"/>
  <c r="G207" i="1"/>
  <c r="A213" i="1"/>
  <c r="A214" i="1" s="1"/>
  <c r="A208" i="1"/>
  <c r="A209" i="1" s="1"/>
  <c r="A210" i="1" s="1"/>
  <c r="A211" i="1" s="1"/>
  <c r="G178" i="1"/>
  <c r="A184" i="1"/>
  <c r="A185" i="1" s="1"/>
  <c r="A179" i="1"/>
  <c r="A180" i="1" s="1"/>
  <c r="A181" i="1" s="1"/>
  <c r="A182" i="1" s="1"/>
  <c r="A204" i="1"/>
  <c r="A205" i="1" s="1"/>
  <c r="A199" i="1"/>
  <c r="A200" i="1" s="1"/>
  <c r="A201" i="1" s="1"/>
  <c r="A202" i="1" s="1"/>
  <c r="G198" i="1"/>
  <c r="A175" i="1"/>
  <c r="A176" i="1" s="1"/>
  <c r="J174" i="1"/>
  <c r="J171" i="1"/>
  <c r="J170" i="1"/>
  <c r="A170" i="1"/>
  <c r="A171" i="1" s="1"/>
  <c r="A172" i="1" s="1"/>
  <c r="A173" i="1" s="1"/>
  <c r="G169" i="1"/>
  <c r="G189" i="1"/>
  <c r="C117" i="1" l="1"/>
  <c r="C111" i="1"/>
  <c r="C113" i="1" s="1"/>
  <c r="E111" i="1"/>
  <c r="E113" i="1" s="1"/>
  <c r="E116" i="1"/>
  <c r="E117" i="1"/>
  <c r="C116" i="1"/>
  <c r="K169" i="1"/>
  <c r="J169" i="1"/>
  <c r="K164" i="1"/>
  <c r="K163" i="1"/>
  <c r="I163" i="1"/>
  <c r="K162" i="1"/>
  <c r="I162" i="1"/>
  <c r="J160" i="1"/>
  <c r="I160" i="1"/>
  <c r="A166" i="1"/>
  <c r="A167" i="1" s="1"/>
  <c r="A161" i="1"/>
  <c r="A162" i="1" s="1"/>
  <c r="A163" i="1" s="1"/>
  <c r="A164" i="1" s="1"/>
  <c r="G160" i="1"/>
  <c r="G142" i="1"/>
  <c r="F153" i="1"/>
  <c r="F152" i="1"/>
  <c r="F151" i="1"/>
  <c r="F150" i="1"/>
  <c r="F149" i="1"/>
  <c r="F148" i="1"/>
  <c r="F147" i="1"/>
  <c r="F146" i="1"/>
  <c r="F144" i="1"/>
  <c r="F143" i="1"/>
  <c r="F142" i="1"/>
  <c r="F137" i="1"/>
  <c r="F136" i="1"/>
  <c r="F133" i="1"/>
  <c r="F138" i="1"/>
  <c r="F135" i="1"/>
  <c r="F134" i="1"/>
  <c r="F132" i="1"/>
  <c r="F131" i="1"/>
  <c r="F130" i="1"/>
  <c r="F129" i="1"/>
  <c r="F128" i="1"/>
  <c r="F127" i="1"/>
  <c r="I129" i="1"/>
  <c r="I131" i="1"/>
  <c r="I127" i="1"/>
  <c r="G127" i="1"/>
  <c r="A152" i="1"/>
  <c r="A153" i="1" s="1"/>
  <c r="A148" i="1"/>
  <c r="A149" i="1" s="1"/>
  <c r="A150" i="1" s="1"/>
  <c r="F145" i="1"/>
  <c r="A143" i="1"/>
  <c r="A144" i="1" s="1"/>
  <c r="A145" i="1" s="1"/>
  <c r="A146" i="1" s="1"/>
  <c r="A133" i="1"/>
  <c r="A134" i="1" s="1"/>
  <c r="A135" i="1" s="1"/>
  <c r="A128" i="1"/>
  <c r="A129" i="1" s="1"/>
  <c r="A130" i="1" s="1"/>
  <c r="A131" i="1" s="1"/>
  <c r="A137" i="1"/>
  <c r="A138" i="1" s="1"/>
  <c r="E118" i="1" l="1"/>
  <c r="C118" i="1"/>
  <c r="G116" i="1"/>
  <c r="G111" i="1"/>
  <c r="G112" i="1"/>
  <c r="G50" i="1"/>
  <c r="G51" i="1" s="1"/>
  <c r="G113" i="1" l="1"/>
  <c r="Z12" i="1"/>
  <c r="I14" i="1"/>
  <c r="E119" i="1" l="1"/>
  <c r="C119" i="1"/>
  <c r="E43" i="1" l="1"/>
  <c r="E44" i="1" s="1"/>
  <c r="C15" i="1" l="1"/>
  <c r="E30" i="1" l="1"/>
  <c r="A190" i="1" l="1"/>
  <c r="A191" i="1" s="1"/>
  <c r="A192" i="1" s="1"/>
  <c r="A193" i="1" s="1"/>
  <c r="F108" i="1" l="1"/>
  <c r="B217" i="1" l="1"/>
  <c r="G117" i="1" l="1"/>
  <c r="B218" i="1"/>
  <c r="G118" i="1" l="1"/>
  <c r="G119" i="1" s="1"/>
  <c r="F11" i="5"/>
  <c r="G11" i="5" s="1"/>
  <c r="F10" i="5"/>
  <c r="G10" i="5" s="1"/>
  <c r="F9" i="5"/>
  <c r="G9" i="5" s="1"/>
  <c r="F8" i="5"/>
  <c r="G8" i="5" s="1"/>
  <c r="F7" i="5"/>
  <c r="G7" i="5" s="1"/>
  <c r="F6" i="5"/>
  <c r="G6" i="5" s="1"/>
  <c r="F5" i="5"/>
  <c r="G5" i="5" s="1"/>
  <c r="G12" i="5" s="1"/>
  <c r="D238" i="1"/>
  <c r="A195" i="1"/>
  <c r="A196" i="1" s="1"/>
  <c r="C81" i="1"/>
  <c r="B82" i="1" s="1"/>
  <c r="B68" i="1"/>
  <c r="C50" i="1"/>
  <c r="C51" i="1" s="1"/>
  <c r="E27" i="1"/>
  <c r="E25" i="1"/>
  <c r="E7" i="1"/>
  <c r="E3" i="1"/>
  <c r="D61" i="1" l="1"/>
  <c r="H82" i="1"/>
  <c r="H68" i="1"/>
  <c r="J86" i="1" l="1"/>
  <c r="C85" i="1" s="1"/>
  <c r="J84" i="1"/>
  <c r="J87" i="1"/>
  <c r="J88" i="1" s="1"/>
  <c r="J93" i="1" s="1"/>
  <c r="J81" i="1"/>
  <c r="J83" i="1" s="1"/>
  <c r="D89" i="1"/>
  <c r="D91" i="1"/>
  <c r="D94" i="1"/>
  <c r="D88" i="1"/>
  <c r="D92" i="1"/>
  <c r="D93" i="1"/>
  <c r="D90" i="1"/>
  <c r="J85" i="1"/>
  <c r="D80" i="1"/>
  <c r="D78" i="1"/>
  <c r="D77" i="1"/>
  <c r="D74" i="1"/>
  <c r="D76" i="1"/>
  <c r="J73" i="1"/>
  <c r="J74" i="1" s="1"/>
  <c r="J79" i="1" s="1"/>
  <c r="D79" i="1"/>
  <c r="J67" i="1"/>
  <c r="J69" i="1" s="1"/>
  <c r="D75" i="1"/>
  <c r="J71" i="1"/>
  <c r="J72" i="1"/>
  <c r="C71" i="1" s="1"/>
  <c r="J70" i="1"/>
  <c r="J89" i="1"/>
  <c r="J90" i="1" s="1"/>
  <c r="J91" i="1" s="1"/>
  <c r="J92" i="1" s="1"/>
  <c r="J75" i="1"/>
  <c r="J76" i="1" s="1"/>
  <c r="J77" i="1" s="1"/>
  <c r="J78" i="1" s="1"/>
  <c r="D87" i="1"/>
  <c r="D73" i="1"/>
  <c r="D71" i="1" l="1"/>
  <c r="D85" i="1"/>
  <c r="J80" i="1"/>
  <c r="J94" i="1"/>
  <c r="C86" i="1" s="1"/>
  <c r="C72" i="1" l="1"/>
  <c r="G71" i="1" s="1"/>
  <c r="D65" i="1" s="1"/>
  <c r="D66" i="1" s="1"/>
  <c r="J82" i="1"/>
  <c r="E85" i="1"/>
  <c r="G85" i="1"/>
  <c r="D86" i="1"/>
  <c r="I82" i="1" s="1"/>
  <c r="I83" i="1" s="1"/>
  <c r="E71" i="1" l="1"/>
  <c r="D72" i="1"/>
  <c r="I68" i="1" s="1"/>
  <c r="I69" i="1" s="1"/>
  <c r="J68" i="1"/>
  <c r="F66" i="1"/>
  <c r="I81" i="1"/>
  <c r="C83" i="1" s="1"/>
  <c r="I67" i="1" l="1"/>
  <c r="C69" i="1" s="1"/>
</calcChain>
</file>

<file path=xl/comments1.xml><?xml version="1.0" encoding="utf-8"?>
<comments xmlns="http://schemas.openxmlformats.org/spreadsheetml/2006/main">
  <authors>
    <author>Sachin</author>
  </authors>
  <commentList>
    <comment ref="E11" authorId="0" shapeId="0">
      <text>
        <r>
          <rPr>
            <b/>
            <sz val="9"/>
            <color indexed="81"/>
            <rFont val="Tahoma"/>
            <family val="2"/>
          </rPr>
          <t>Sachin:</t>
        </r>
        <r>
          <rPr>
            <sz val="9"/>
            <color indexed="81"/>
            <rFont val="Tahoma"/>
            <family val="2"/>
          </rPr>
          <t xml:space="preserve">
Building No. 
Tower No.
Wing 
Bunglow No., etc</t>
        </r>
      </text>
    </comment>
    <comment ref="E12" authorId="0" shapeId="0">
      <text>
        <r>
          <rPr>
            <b/>
            <sz val="9"/>
            <color indexed="81"/>
            <rFont val="Tahoma"/>
            <family val="2"/>
          </rPr>
          <t>Sachin:</t>
        </r>
        <r>
          <rPr>
            <sz val="9"/>
            <color indexed="81"/>
            <rFont val="Tahoma"/>
            <family val="2"/>
          </rPr>
          <t xml:space="preserve">
If exisiting Building is provided write it or else
NA</t>
        </r>
      </text>
    </comment>
    <comment ref="D5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<sst xmlns="http://schemas.openxmlformats.org/spreadsheetml/2006/main" count="504" uniqueCount="292">
  <si>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</si>
  <si>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</si>
  <si>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</si>
  <si>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</si>
  <si>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</si>
  <si>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</si>
  <si>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</si>
  <si>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</si>
  <si>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</si>
  <si>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</si>
  <si>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</si>
  <si>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</si>
  <si>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</si>
  <si>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</si>
  <si>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</si>
  <si>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</si>
  <si>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</si>
  <si>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</si>
  <si>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</si>
  <si>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</si>
  <si>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</si>
  <si>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</si>
  <si>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</si>
  <si>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</si>
  <si>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</si>
  <si>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</si>
  <si>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</si>
  <si>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</si>
  <si>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</si>
  <si>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</si>
  <si>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</si>
  <si>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</si>
  <si>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</si>
  <si>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</si>
  <si>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</si>
  <si>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</si>
  <si>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</si>
  <si>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</si>
  <si>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</si>
  <si>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</si>
  <si>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</si>
  <si>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</si>
  <si>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</si>
  <si>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</si>
  <si>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</si>
  <si>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</si>
  <si>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</si>
  <si>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</si>
  <si>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</si>
  <si>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</si>
  <si>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</si>
  <si>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</si>
  <si>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</si>
  <si>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</si>
  <si>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</si>
  <si>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</si>
  <si>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</si>
  <si>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</si>
  <si>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</si>
  <si>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</si>
  <si>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</si>
  <si>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</si>
  <si>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</si>
  <si>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</si>
  <si>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</si>
  <si>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</si>
  <si>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</si>
  <si>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</si>
  <si>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</si>
  <si>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</si>
  <si>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</si>
  <si>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</si>
  <si>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</si>
  <si>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</si>
  <si>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</si>
  <si>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</si>
  <si>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</si>
  <si>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</si>
  <si>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</si>
  <si>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</si>
  <si>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</si>
  <si>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</si>
  <si>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</si>
  <si>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</si>
  <si>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</si>
  <si>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</si>
  <si>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</si>
  <si>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</si>
  <si>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</si>
  <si>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</si>
  <si>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</si>
  <si>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</si>
  <si>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</si>
  <si>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</si>
  <si>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</si>
  <si>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</si>
  <si>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</si>
  <si>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</si>
  <si>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</si>
  <si>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</si>
  <si>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</si>
  <si>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</si>
  <si>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</si>
  <si>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</si>
  <si>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</si>
  <si>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</si>
  <si>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</si>
  <si>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</si>
  <si>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</si>
  <si>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</si>
  <si>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</si>
  <si>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</si>
  <si>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</si>
  <si>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</si>
  <si>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</si>
  <si>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</si>
  <si>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</si>
  <si>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</si>
  <si>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</si>
  <si>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</si>
  <si>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</si>
  <si>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</si>
  <si>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</si>
  <si>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</si>
  <si>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</si>
  <si>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</si>
  <si>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</si>
  <si>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</si>
  <si>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</si>
  <si>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</si>
  <si>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</si>
  <si>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</si>
  <si>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</si>
  <si>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</si>
  <si>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</si>
  <si>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</si>
  <si>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</si>
  <si>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</si>
  <si>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</si>
  <si>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</si>
  <si>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</si>
  <si>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</si>
  <si>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</si>
  <si>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</si>
  <si>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</si>
  <si>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</si>
  <si>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</si>
  <si>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</si>
  <si>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</si>
  <si>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</si>
  <si>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</si>
  <si>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</si>
  <si>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</si>
  <si>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</si>
  <si>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</si>
  <si>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</si>
  <si>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</si>
  <si>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</si>
  <si>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</si>
  <si>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</si>
  <si>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</si>
  <si>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</si>
  <si>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</si>
  <si>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</si>
  <si>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</si>
  <si>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</si>
  <si>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</si>
  <si>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</si>
  <si>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</si>
  <si>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</si>
  <si>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</si>
  <si>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</si>
  <si>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</si>
  <si>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</si>
  <si>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</si>
  <si>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</si>
  <si>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</si>
  <si>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</si>
  <si>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</si>
  <si>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</si>
  <si>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</si>
  <si>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</si>
  <si>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</si>
  <si>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</si>
  <si>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</si>
  <si>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</si>
  <si>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</si>
  <si>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</si>
  <si>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</si>
  <si>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</si>
  <si>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</si>
  <si>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</si>
  <si>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</si>
  <si>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</si>
  <si>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</si>
  <si>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</si>
  <si>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</si>
  <si>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</si>
  <si>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</si>
  <si>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</si>
  <si>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</si>
  <si>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</si>
  <si>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</si>
  <si>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</si>
  <si>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</si>
  <si>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</si>
  <si>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</si>
  <si>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</si>
  <si>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</si>
  <si>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</si>
  <si>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</si>
  <si>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</si>
  <si>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</si>
  <si>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</si>
  <si>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</si>
  <si>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</si>
  <si>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</si>
  <si>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</si>
  <si>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</si>
  <si>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</si>
  <si>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</si>
  <si>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</si>
  <si>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</si>
  <si>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</si>
  <si>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</si>
  <si>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</si>
  <si>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</si>
  <si>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</si>
  <si>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</si>
  <si>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Axis Sanpada</t>
  </si>
  <si>
    <t>M/s. Greenpath Realty Private Limited</t>
  </si>
  <si>
    <t>Anant Serene Park</t>
  </si>
  <si>
    <t>18.969611,73.193306</t>
  </si>
  <si>
    <t>https://maps.app.goo.gl/cyKzPkiHwxB8idLe8</t>
  </si>
  <si>
    <t>3.9 KM from Mohope Railway Station</t>
  </si>
  <si>
    <t>Mohope East</t>
  </si>
  <si>
    <t>P52000052516</t>
  </si>
  <si>
    <t>Survey No</t>
  </si>
  <si>
    <t>140/2</t>
  </si>
  <si>
    <t>Wardoli</t>
  </si>
  <si>
    <t>Interal Road</t>
  </si>
  <si>
    <t>Internal Road/ Kirki River</t>
  </si>
  <si>
    <t>Open Plot</t>
  </si>
  <si>
    <t>Area Widening 436.23 Sq.Mt/15 Mt. Wide Proposed Road</t>
  </si>
  <si>
    <t>12.0 M Wide Internal Road</t>
  </si>
  <si>
    <t>Open Space/Building/A.D.J.S.No.140/1</t>
  </si>
  <si>
    <t>9.00 M Wide Road/9-MT Buffer For Lake,A.D.J S.No.141</t>
  </si>
  <si>
    <t xml:space="preserve">Navi Mumbai Airport Influence Notified Area (NAINA)
</t>
  </si>
  <si>
    <t>CIDCO/NAINA/Panvel/Wardoli/BP-00603/CC/2023/0410</t>
  </si>
  <si>
    <t>02 Building</t>
  </si>
  <si>
    <t>Building 1-Wing A (Lily) = Gr + 1st to 7th Floor</t>
  </si>
  <si>
    <t>Building 2 -Wing B (Orchid) = Gr + 1st to 7th Floor</t>
  </si>
  <si>
    <t>Building No.1-Wing A (Lily) 
Building No.2 -Wing B (Orchid)</t>
  </si>
  <si>
    <t>Building No.1-Wing A (Lily) = Gr + 1st to 7th Floor
Building No.2 -Wing B (Orchid) = Gr + 1st to 7th Floor</t>
  </si>
  <si>
    <t>As per RERA - 31/12/2026</t>
  </si>
  <si>
    <t>Grand Club House, Indoor Gymnasium, Fitted Kitchen, Landscape Garden, Kids Play Area, Sr. Citizen Sitting Area, Yoga Deck, Jogging Track, Gazebo Sitting, Power Backup for Lifts and Common  Area, EV Charging, High Speed Elevators, AC Fitted Bed Room etc.</t>
  </si>
  <si>
    <r>
      <t xml:space="preserve">Proposed Amenities :                                                                                                                                                                                                                         </t>
    </r>
    <r>
      <rPr>
        <b/>
        <sz val="12"/>
        <color theme="1"/>
        <rFont val="Times New Roman"/>
        <family val="1"/>
      </rPr>
      <t xml:space="preserve">                                               </t>
    </r>
  </si>
  <si>
    <t>Building No.1</t>
  </si>
  <si>
    <t>Wing A (Lily)</t>
  </si>
  <si>
    <t>Ground Floor For Lobby, Meter Room &amp; Parking</t>
  </si>
  <si>
    <t>Building No.2</t>
  </si>
  <si>
    <t>Shop</t>
  </si>
  <si>
    <t>1st Floor For Residential</t>
  </si>
  <si>
    <t>b</t>
  </si>
  <si>
    <t>1BHK</t>
  </si>
  <si>
    <t>2BHK</t>
  </si>
  <si>
    <t>2nd, 4th &amp; 6th Floor</t>
  </si>
  <si>
    <t>3rd, 5th &amp; 7th Floor</t>
  </si>
  <si>
    <t>Wing B (Orchid)</t>
  </si>
  <si>
    <t>We considered Gross carpet area = Net carpet + Cantilever Open Balcony</t>
  </si>
  <si>
    <t>Approved Built-up area of Building 1 &amp; 2 
(Sq.Mt)</t>
  </si>
  <si>
    <t>Commercial Area Details : Shop</t>
  </si>
  <si>
    <t>Flats - 112, Shops - 24</t>
  </si>
  <si>
    <t>Mr. Jitesh Agarwal  &amp; 8108113311</t>
  </si>
  <si>
    <t>Vardoli lake &amp; ZP School</t>
  </si>
  <si>
    <t>Open Plot/ZP School</t>
  </si>
  <si>
    <t>Open plot/Vardoli lake</t>
  </si>
  <si>
    <t>Ground Floor For Commercial, Lobby, Meter Room &amp; Parking</t>
  </si>
  <si>
    <t xml:space="preserve">Building 1-Wing A (Lily) = Gr + 1st to 7th Floor
Building 2 -Wing B (Orchid) = Gr + 1st to 7th Floor
Total Net Built-up Area : 11405.84 Sq.m 
</t>
  </si>
  <si>
    <t>4K to 5K</t>
  </si>
  <si>
    <t>Builder Saleable area</t>
  </si>
  <si>
    <t>Approved Plans, CC, Sale Plans, Builder Saleable Area, Cost Sheet</t>
  </si>
  <si>
    <t>Permissible Sale FSI</t>
  </si>
  <si>
    <t>Total Approved sale Builtup area of the project (Sq.Mt)</t>
  </si>
  <si>
    <t>Miss. Prachi : 8108113355</t>
  </si>
  <si>
    <t>Building No.1 &amp; 2 = Construction work is in process.</t>
  </si>
  <si>
    <t>Pooja Kawale</t>
  </si>
  <si>
    <t>Nitesh patil</t>
  </si>
  <si>
    <t>RATE 4900 by SMITH VERBAL &amp; COST SHEET On 02/08/2025</t>
  </si>
  <si>
    <t>Park 3L by Smith On 07/08/2025</t>
  </si>
  <si>
    <t>Recommended Rates &amp; Other Charges of the Property have been revised on 02/08/2025, 07/08/2025 &amp; 08/08/2025.</t>
  </si>
  <si>
    <t>RATE 5000 by smith on 08/08/2025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</si>
</sst>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64" fontId="7" fillId="0" borderId="0" xfId="1" applyNumberFormat="1" applyFont="1" applyAlignment="1">
      <alignment horizontal="center" vertical="center"/>
    </xf>
    <xf numFmtId="0" fontId="7" fillId="0" borderId="1" xfId="1" applyFont="1" applyBorder="1" applyAlignment="1" applyProtection="1">
      <alignment horizontal="center" vertical="top"/>
      <protection locked="0"/>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0" fontId="7" fillId="0" borderId="0" xfId="1" applyFont="1" applyAlignment="1">
      <alignment horizontal="center" vertical="center"/>
    </xf>
    <xf numFmtId="0" fontId="7" fillId="0" borderId="1" xfId="1" applyFont="1"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25" fillId="2" borderId="14" xfId="0" applyFont="1" applyFill="1" applyBorder="1"/>
    <xf numFmtId="1" fontId="12"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9" fontId="8" fillId="0" borderId="1" xfId="8" applyFont="1" applyFill="1" applyBorder="1" applyAlignment="1" applyProtection="1">
      <alignment horizontal="center" vertical="top" wrapText="1"/>
      <protection locked="0"/>
    </xf>
    <xf numFmtId="1" fontId="8" fillId="0" borderId="7"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protection locked="0"/>
    </xf>
    <xf numFmtId="1" fontId="6" fillId="0" borderId="17" xfId="1" applyNumberFormat="1" applyFont="1" applyBorder="1" applyAlignment="1" applyProtection="1">
      <alignment horizontal="center" vertical="center"/>
      <protection locked="0"/>
    </xf>
    <xf numFmtId="1" fontId="6" fillId="0" borderId="24" xfId="1" applyNumberFormat="1" applyFont="1" applyBorder="1" applyAlignment="1" applyProtection="1">
      <alignment horizontal="center" vertical="center"/>
      <protection locked="0"/>
    </xf>
    <xf numFmtId="1" fontId="6" fillId="0" borderId="25" xfId="1" applyNumberFormat="1" applyFont="1" applyBorder="1" applyAlignment="1" applyProtection="1">
      <alignment horizontal="center" vertical="center"/>
      <protection locked="0"/>
    </xf>
    <xf numFmtId="1" fontId="6" fillId="0" borderId="18" xfId="1" applyNumberFormat="1" applyFont="1" applyBorder="1" applyAlignment="1" applyProtection="1">
      <alignment horizontal="center" vertical="center"/>
      <protection locked="0"/>
    </xf>
    <xf numFmtId="1" fontId="6" fillId="0" borderId="19" xfId="1" applyNumberFormat="1" applyFont="1" applyBorder="1" applyAlignment="1" applyProtection="1">
      <alignment horizontal="center" vertical="center"/>
      <protection locked="0"/>
    </xf>
    <xf numFmtId="1" fontId="8"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7" fillId="0" borderId="1" xfId="1" applyNumberFormat="1" applyFont="1" applyBorder="1" applyAlignment="1" applyProtection="1">
      <alignment horizontal="left" vertical="top"/>
      <protection locked="0"/>
    </xf>
    <xf numFmtId="0" fontId="10" fillId="0" borderId="21"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22" xfId="1" applyFont="1" applyBorder="1" applyAlignment="1" applyProtection="1">
      <alignment horizontal="left"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1" xfId="1" applyFont="1" applyFill="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23"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7"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4" fillId="0" borderId="1" xfId="1" applyNumberFormat="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8" fillId="0" borderId="15" xfId="1" applyFont="1" applyBorder="1" applyAlignment="1" applyProtection="1">
      <alignment horizontal="center" vertical="top"/>
      <protection locked="0"/>
    </xf>
    <xf numFmtId="1" fontId="10" fillId="0" borderId="32"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10"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center"/>
      <protection locked="0"/>
    </xf>
    <xf numFmtId="0" fontId="12" fillId="0" borderId="1" xfId="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7" fillId="0" borderId="0" xfId="1" applyFont="1" applyAlignment="1">
      <alignment horizontal="center" vertical="center"/>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8" fillId="0" borderId="15" xfId="1" applyFont="1" applyBorder="1" applyAlignment="1" applyProtection="1">
      <alignment horizontal="left" vertical="top"/>
      <protection locked="0"/>
    </xf>
    <xf numFmtId="0" fontId="7" fillId="0" borderId="7"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651353</xdr:colOff>
      <xdr:row>281</xdr:row>
      <xdr:rowOff>1</xdr:rowOff>
    </xdr:from>
    <xdr:to>
      <xdr:col>5</xdr:col>
      <xdr:colOff>497382</xdr:colOff>
      <xdr:row>295</xdr:row>
      <xdr:rowOff>22274</xdr:rowOff>
    </xdr:to>
    <xdr:pic>
      <xdr:nvPicPr>
        <xdr:cNvPr id="2" name="Picture 1"/>
        <xdr:cNvPicPr>
          <a:picLocks noChangeAspect="1"/>
        </xdr:cNvPicPr>
      </xdr:nvPicPr>
      <xdr:blipFill rotWithShape="1">
        <a:blip xmlns:r="http://schemas.openxmlformats.org/officeDocument/2006/relationships" r:embed="rId1"/>
        <a:srcRect l="2439" t="3609" r="2439" b="1030"/>
        <a:stretch/>
      </xdr:blipFill>
      <xdr:spPr>
        <a:xfrm>
          <a:off x="1469382" y="54438177"/>
          <a:ext cx="3600000" cy="2846154"/>
        </a:xfrm>
        <a:prstGeom prst="rect">
          <a:avLst/>
        </a:prstGeom>
        <a:ln w="9525">
          <a:solidFill>
            <a:schemeClr val="tx1"/>
          </a:solidFill>
        </a:ln>
      </xdr:spPr>
    </xdr:pic>
    <xdr:clientData/>
  </xdr:twoCellAnchor>
  <xdr:twoCellAnchor editAs="oneCell">
    <xdr:from>
      <xdr:col>1</xdr:col>
      <xdr:colOff>291353</xdr:colOff>
      <xdr:row>296</xdr:row>
      <xdr:rowOff>41462</xdr:rowOff>
    </xdr:from>
    <xdr:to>
      <xdr:col>6</xdr:col>
      <xdr:colOff>16941</xdr:colOff>
      <xdr:row>318</xdr:row>
      <xdr:rowOff>19226</xdr:rowOff>
    </xdr:to>
    <xdr:pic>
      <xdr:nvPicPr>
        <xdr:cNvPr id="3" name="Picture 2"/>
        <xdr:cNvPicPr>
          <a:picLocks noChangeAspect="1"/>
        </xdr:cNvPicPr>
      </xdr:nvPicPr>
      <xdr:blipFill rotWithShape="1">
        <a:blip xmlns:r="http://schemas.openxmlformats.org/officeDocument/2006/relationships" r:embed="rId2"/>
        <a:srcRect l="11932" t="22135" r="48244" b="5468"/>
        <a:stretch/>
      </xdr:blipFill>
      <xdr:spPr>
        <a:xfrm>
          <a:off x="1109382" y="57505227"/>
          <a:ext cx="4320000" cy="4415294"/>
        </a:xfrm>
        <a:prstGeom prst="rect">
          <a:avLst/>
        </a:prstGeom>
        <a:ln w="9525">
          <a:solidFill>
            <a:schemeClr val="tx1"/>
          </a:solidFill>
        </a:ln>
      </xdr:spPr>
    </xdr:pic>
    <xdr:clientData/>
  </xdr:twoCellAnchor>
  <xdr:twoCellAnchor>
    <xdr:from>
      <xdr:col>3</xdr:col>
      <xdr:colOff>696399</xdr:colOff>
      <xdr:row>300</xdr:row>
      <xdr:rowOff>118559</xdr:rowOff>
    </xdr:from>
    <xdr:to>
      <xdr:col>4</xdr:col>
      <xdr:colOff>282230</xdr:colOff>
      <xdr:row>308</xdr:row>
      <xdr:rowOff>6052</xdr:rowOff>
    </xdr:to>
    <xdr:sp macro="" textlink="">
      <xdr:nvSpPr>
        <xdr:cNvPr id="4" name="Rectangle 3"/>
        <xdr:cNvSpPr/>
      </xdr:nvSpPr>
      <xdr:spPr>
        <a:xfrm>
          <a:off x="3419428" y="67107324"/>
          <a:ext cx="594361" cy="1501140"/>
        </a:xfrm>
        <a:prstGeom prst="rect">
          <a:avLst/>
        </a:prstGeom>
        <a:noFill/>
        <a:ln w="19050">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700209</xdr:colOff>
      <xdr:row>308</xdr:row>
      <xdr:rowOff>62319</xdr:rowOff>
    </xdr:from>
    <xdr:to>
      <xdr:col>4</xdr:col>
      <xdr:colOff>286040</xdr:colOff>
      <xdr:row>315</xdr:row>
      <xdr:rowOff>151518</xdr:rowOff>
    </xdr:to>
    <xdr:sp macro="" textlink="">
      <xdr:nvSpPr>
        <xdr:cNvPr id="5" name="Rectangle 4"/>
        <xdr:cNvSpPr/>
      </xdr:nvSpPr>
      <xdr:spPr>
        <a:xfrm>
          <a:off x="3423238" y="68664731"/>
          <a:ext cx="594361" cy="1501140"/>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282230</xdr:colOff>
      <xdr:row>303</xdr:row>
      <xdr:rowOff>125511</xdr:rowOff>
    </xdr:from>
    <xdr:to>
      <xdr:col>6</xdr:col>
      <xdr:colOff>506348</xdr:colOff>
      <xdr:row>304</xdr:row>
      <xdr:rowOff>200804</xdr:rowOff>
    </xdr:to>
    <xdr:sp macro="" textlink="">
      <xdr:nvSpPr>
        <xdr:cNvPr id="6" name="TextBox 6"/>
        <xdr:cNvSpPr txBox="1"/>
      </xdr:nvSpPr>
      <xdr:spPr>
        <a:xfrm>
          <a:off x="4013789" y="67719393"/>
          <a:ext cx="190500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CC0000"/>
              </a:solidFill>
            </a:rPr>
            <a:t>Wing A (Lily)</a:t>
          </a:r>
          <a:endParaRPr lang="en-IN" sz="1200" b="1">
            <a:solidFill>
              <a:srgbClr val="CC0000"/>
            </a:solidFill>
          </a:endParaRPr>
        </a:p>
      </xdr:txBody>
    </xdr:sp>
    <xdr:clientData/>
  </xdr:twoCellAnchor>
  <xdr:twoCellAnchor>
    <xdr:from>
      <xdr:col>4</xdr:col>
      <xdr:colOff>282230</xdr:colOff>
      <xdr:row>311</xdr:row>
      <xdr:rowOff>45072</xdr:rowOff>
    </xdr:from>
    <xdr:to>
      <xdr:col>6</xdr:col>
      <xdr:colOff>506348</xdr:colOff>
      <xdr:row>312</xdr:row>
      <xdr:rowOff>120365</xdr:rowOff>
    </xdr:to>
    <xdr:sp macro="" textlink="">
      <xdr:nvSpPr>
        <xdr:cNvPr id="7" name="TextBox 7"/>
        <xdr:cNvSpPr txBox="1"/>
      </xdr:nvSpPr>
      <xdr:spPr>
        <a:xfrm>
          <a:off x="4013789" y="69252601"/>
          <a:ext cx="190500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2060"/>
              </a:solidFill>
            </a:rPr>
            <a:t>Wing B (Orchid)</a:t>
          </a:r>
          <a:endParaRPr lang="en-IN" sz="1200" b="1">
            <a:solidFill>
              <a:srgbClr val="002060"/>
            </a:solidFill>
          </a:endParaRPr>
        </a:p>
      </xdr:txBody>
    </xdr:sp>
    <xdr:clientData/>
  </xdr:twoCellAnchor>
  <xdr:twoCellAnchor editAs="oneCell">
    <xdr:from>
      <xdr:col>0</xdr:col>
      <xdr:colOff>672353</xdr:colOff>
      <xdr:row>322</xdr:row>
      <xdr:rowOff>123264</xdr:rowOff>
    </xdr:from>
    <xdr:to>
      <xdr:col>6</xdr:col>
      <xdr:colOff>659912</xdr:colOff>
      <xdr:row>340</xdr:row>
      <xdr:rowOff>148649</xdr:rowOff>
    </xdr:to>
    <xdr:pic>
      <xdr:nvPicPr>
        <xdr:cNvPr id="9" name="Picture 8"/>
        <xdr:cNvPicPr>
          <a:picLocks noChangeAspect="1"/>
        </xdr:cNvPicPr>
      </xdr:nvPicPr>
      <xdr:blipFill rotWithShape="1">
        <a:blip xmlns:r="http://schemas.openxmlformats.org/officeDocument/2006/relationships" r:embed="rId3"/>
        <a:srcRect l="24817" t="26562" r="23499" b="11198"/>
        <a:stretch/>
      </xdr:blipFill>
      <xdr:spPr>
        <a:xfrm>
          <a:off x="672353" y="63436499"/>
          <a:ext cx="5400000" cy="3656091"/>
        </a:xfrm>
        <a:prstGeom prst="rect">
          <a:avLst/>
        </a:prstGeom>
        <a:ln w="9525">
          <a:solidFill>
            <a:schemeClr val="tx1"/>
          </a:solidFill>
        </a:ln>
      </xdr:spPr>
    </xdr:pic>
    <xdr:clientData/>
  </xdr:twoCellAnchor>
  <xdr:twoCellAnchor>
    <xdr:from>
      <xdr:col>0</xdr:col>
      <xdr:colOff>672353</xdr:colOff>
      <xdr:row>341</xdr:row>
      <xdr:rowOff>161735</xdr:rowOff>
    </xdr:from>
    <xdr:to>
      <xdr:col>6</xdr:col>
      <xdr:colOff>659912</xdr:colOff>
      <xdr:row>360</xdr:row>
      <xdr:rowOff>92961</xdr:rowOff>
    </xdr:to>
    <xdr:grpSp>
      <xdr:nvGrpSpPr>
        <xdr:cNvPr id="11" name="Group 10"/>
        <xdr:cNvGrpSpPr/>
      </xdr:nvGrpSpPr>
      <xdr:grpSpPr>
        <a:xfrm>
          <a:off x="672353" y="71466462"/>
          <a:ext cx="5269604" cy="3660408"/>
          <a:chOff x="672353" y="76025559"/>
          <a:chExt cx="5400000" cy="3763637"/>
        </a:xfrm>
      </xdr:grpSpPr>
      <xdr:pic>
        <xdr:nvPicPr>
          <xdr:cNvPr id="8" name="Picture 7"/>
          <xdr:cNvPicPr>
            <a:picLocks noChangeAspect="1"/>
          </xdr:cNvPicPr>
        </xdr:nvPicPr>
        <xdr:blipFill rotWithShape="1">
          <a:blip xmlns:r="http://schemas.openxmlformats.org/officeDocument/2006/relationships" r:embed="rId4"/>
          <a:srcRect l="24231" t="16927" r="17790" b="11197"/>
          <a:stretch/>
        </xdr:blipFill>
        <xdr:spPr>
          <a:xfrm>
            <a:off x="672353" y="76025559"/>
            <a:ext cx="5400000" cy="3763637"/>
          </a:xfrm>
          <a:prstGeom prst="rect">
            <a:avLst/>
          </a:prstGeom>
          <a:ln w="12700">
            <a:solidFill>
              <a:schemeClr val="tx1"/>
            </a:solidFill>
          </a:ln>
        </xdr:spPr>
      </xdr:pic>
      <xdr:sp macro="" textlink="">
        <xdr:nvSpPr>
          <xdr:cNvPr id="10" name="Freeform 9"/>
          <xdr:cNvSpPr/>
        </xdr:nvSpPr>
        <xdr:spPr>
          <a:xfrm>
            <a:off x="2543734" y="77831453"/>
            <a:ext cx="997601" cy="1127166"/>
          </a:xfrm>
          <a:custGeom>
            <a:avLst/>
            <a:gdLst>
              <a:gd name="connsiteX0" fmla="*/ 243840 w 891540"/>
              <a:gd name="connsiteY0" fmla="*/ 99060 h 1097280"/>
              <a:gd name="connsiteX1" fmla="*/ 243840 w 891540"/>
              <a:gd name="connsiteY1" fmla="*/ 99060 h 1097280"/>
              <a:gd name="connsiteX2" fmla="*/ 312420 w 891540"/>
              <a:gd name="connsiteY2" fmla="*/ 83820 h 1097280"/>
              <a:gd name="connsiteX3" fmla="*/ 365760 w 891540"/>
              <a:gd name="connsiteY3" fmla="*/ 91440 h 1097280"/>
              <a:gd name="connsiteX4" fmla="*/ 396240 w 891540"/>
              <a:gd name="connsiteY4" fmla="*/ 91440 h 1097280"/>
              <a:gd name="connsiteX5" fmla="*/ 396240 w 891540"/>
              <a:gd name="connsiteY5" fmla="*/ 0 h 1097280"/>
              <a:gd name="connsiteX6" fmla="*/ 891540 w 891540"/>
              <a:gd name="connsiteY6" fmla="*/ 129540 h 1097280"/>
              <a:gd name="connsiteX7" fmla="*/ 815340 w 891540"/>
              <a:gd name="connsiteY7" fmla="*/ 457200 h 1097280"/>
              <a:gd name="connsiteX8" fmla="*/ 815340 w 891540"/>
              <a:gd name="connsiteY8" fmla="*/ 495300 h 1097280"/>
              <a:gd name="connsiteX9" fmla="*/ 723900 w 891540"/>
              <a:gd name="connsiteY9" fmla="*/ 541020 h 1097280"/>
              <a:gd name="connsiteX10" fmla="*/ 762000 w 891540"/>
              <a:gd name="connsiteY10" fmla="*/ 1051560 h 1097280"/>
              <a:gd name="connsiteX11" fmla="*/ 601980 w 891540"/>
              <a:gd name="connsiteY11" fmla="*/ 1097280 h 1097280"/>
              <a:gd name="connsiteX12" fmla="*/ 563880 w 891540"/>
              <a:gd name="connsiteY12" fmla="*/ 998220 h 1097280"/>
              <a:gd name="connsiteX13" fmla="*/ 350520 w 891540"/>
              <a:gd name="connsiteY13" fmla="*/ 975360 h 1097280"/>
              <a:gd name="connsiteX14" fmla="*/ 0 w 891540"/>
              <a:gd name="connsiteY14" fmla="*/ 571500 h 1097280"/>
              <a:gd name="connsiteX15" fmla="*/ 205740 w 891540"/>
              <a:gd name="connsiteY15" fmla="*/ 213360 h 1097280"/>
              <a:gd name="connsiteX16" fmla="*/ 243840 w 891540"/>
              <a:gd name="connsiteY16" fmla="*/ 99060 h 1097280"/>
              <a:gd name="connsiteX0" fmla="*/ 243840 w 891540"/>
              <a:gd name="connsiteY0" fmla="*/ 99060 h 1097280"/>
              <a:gd name="connsiteX1" fmla="*/ 243840 w 891540"/>
              <a:gd name="connsiteY1" fmla="*/ 99060 h 1097280"/>
              <a:gd name="connsiteX2" fmla="*/ 312420 w 891540"/>
              <a:gd name="connsiteY2" fmla="*/ 83820 h 1097280"/>
              <a:gd name="connsiteX3" fmla="*/ 365760 w 891540"/>
              <a:gd name="connsiteY3" fmla="*/ 91440 h 1097280"/>
              <a:gd name="connsiteX4" fmla="*/ 396240 w 891540"/>
              <a:gd name="connsiteY4" fmla="*/ 91440 h 1097280"/>
              <a:gd name="connsiteX5" fmla="*/ 396240 w 891540"/>
              <a:gd name="connsiteY5" fmla="*/ 0 h 1097280"/>
              <a:gd name="connsiteX6" fmla="*/ 891540 w 891540"/>
              <a:gd name="connsiteY6" fmla="*/ 129540 h 1097280"/>
              <a:gd name="connsiteX7" fmla="*/ 815340 w 891540"/>
              <a:gd name="connsiteY7" fmla="*/ 457200 h 1097280"/>
              <a:gd name="connsiteX8" fmla="*/ 815340 w 891540"/>
              <a:gd name="connsiteY8" fmla="*/ 495300 h 1097280"/>
              <a:gd name="connsiteX9" fmla="*/ 723900 w 891540"/>
              <a:gd name="connsiteY9" fmla="*/ 541020 h 1097280"/>
              <a:gd name="connsiteX10" fmla="*/ 762000 w 891540"/>
              <a:gd name="connsiteY10" fmla="*/ 1051560 h 1097280"/>
              <a:gd name="connsiteX11" fmla="*/ 601980 w 891540"/>
              <a:gd name="connsiteY11" fmla="*/ 1097280 h 1097280"/>
              <a:gd name="connsiteX12" fmla="*/ 563880 w 891540"/>
              <a:gd name="connsiteY12" fmla="*/ 998220 h 1097280"/>
              <a:gd name="connsiteX13" fmla="*/ 350520 w 891540"/>
              <a:gd name="connsiteY13" fmla="*/ 975360 h 1097280"/>
              <a:gd name="connsiteX14" fmla="*/ 0 w 891540"/>
              <a:gd name="connsiteY14" fmla="*/ 571500 h 1097280"/>
              <a:gd name="connsiteX15" fmla="*/ 64135 w 891540"/>
              <a:gd name="connsiteY15" fmla="*/ 373338 h 1097280"/>
              <a:gd name="connsiteX16" fmla="*/ 205740 w 891540"/>
              <a:gd name="connsiteY16" fmla="*/ 213360 h 1097280"/>
              <a:gd name="connsiteX17" fmla="*/ 243840 w 891540"/>
              <a:gd name="connsiteY17" fmla="*/ 99060 h 1097280"/>
              <a:gd name="connsiteX0" fmla="*/ 243840 w 891540"/>
              <a:gd name="connsiteY0" fmla="*/ 99060 h 1097280"/>
              <a:gd name="connsiteX1" fmla="*/ 243840 w 891540"/>
              <a:gd name="connsiteY1" fmla="*/ 99060 h 1097280"/>
              <a:gd name="connsiteX2" fmla="*/ 312420 w 891540"/>
              <a:gd name="connsiteY2" fmla="*/ 83820 h 1097280"/>
              <a:gd name="connsiteX3" fmla="*/ 365760 w 891540"/>
              <a:gd name="connsiteY3" fmla="*/ 91440 h 1097280"/>
              <a:gd name="connsiteX4" fmla="*/ 396240 w 891540"/>
              <a:gd name="connsiteY4" fmla="*/ 91440 h 1097280"/>
              <a:gd name="connsiteX5" fmla="*/ 396240 w 891540"/>
              <a:gd name="connsiteY5" fmla="*/ 0 h 1097280"/>
              <a:gd name="connsiteX6" fmla="*/ 891540 w 891540"/>
              <a:gd name="connsiteY6" fmla="*/ 129540 h 1097280"/>
              <a:gd name="connsiteX7" fmla="*/ 815340 w 891540"/>
              <a:gd name="connsiteY7" fmla="*/ 457200 h 1097280"/>
              <a:gd name="connsiteX8" fmla="*/ 815340 w 891540"/>
              <a:gd name="connsiteY8" fmla="*/ 495300 h 1097280"/>
              <a:gd name="connsiteX9" fmla="*/ 723900 w 891540"/>
              <a:gd name="connsiteY9" fmla="*/ 541020 h 1097280"/>
              <a:gd name="connsiteX10" fmla="*/ 762000 w 891540"/>
              <a:gd name="connsiteY10" fmla="*/ 1051560 h 1097280"/>
              <a:gd name="connsiteX11" fmla="*/ 601980 w 891540"/>
              <a:gd name="connsiteY11" fmla="*/ 1097280 h 1097280"/>
              <a:gd name="connsiteX12" fmla="*/ 563880 w 891540"/>
              <a:gd name="connsiteY12" fmla="*/ 998220 h 1097280"/>
              <a:gd name="connsiteX13" fmla="*/ 350520 w 891540"/>
              <a:gd name="connsiteY13" fmla="*/ 975360 h 1097280"/>
              <a:gd name="connsiteX14" fmla="*/ 64135 w 891540"/>
              <a:gd name="connsiteY14" fmla="*/ 757513 h 1097280"/>
              <a:gd name="connsiteX15" fmla="*/ 0 w 891540"/>
              <a:gd name="connsiteY15" fmla="*/ 571500 h 1097280"/>
              <a:gd name="connsiteX16" fmla="*/ 64135 w 891540"/>
              <a:gd name="connsiteY16" fmla="*/ 373338 h 1097280"/>
              <a:gd name="connsiteX17" fmla="*/ 205740 w 891540"/>
              <a:gd name="connsiteY17" fmla="*/ 213360 h 1097280"/>
              <a:gd name="connsiteX18" fmla="*/ 243840 w 891540"/>
              <a:gd name="connsiteY18" fmla="*/ 99060 h 1097280"/>
              <a:gd name="connsiteX0" fmla="*/ 243840 w 891540"/>
              <a:gd name="connsiteY0" fmla="*/ 99060 h 1097280"/>
              <a:gd name="connsiteX1" fmla="*/ 243840 w 891540"/>
              <a:gd name="connsiteY1" fmla="*/ 99060 h 1097280"/>
              <a:gd name="connsiteX2" fmla="*/ 312420 w 891540"/>
              <a:gd name="connsiteY2" fmla="*/ 83820 h 1097280"/>
              <a:gd name="connsiteX3" fmla="*/ 365760 w 891540"/>
              <a:gd name="connsiteY3" fmla="*/ 91440 h 1097280"/>
              <a:gd name="connsiteX4" fmla="*/ 396240 w 891540"/>
              <a:gd name="connsiteY4" fmla="*/ 91440 h 1097280"/>
              <a:gd name="connsiteX5" fmla="*/ 396240 w 891540"/>
              <a:gd name="connsiteY5" fmla="*/ 0 h 1097280"/>
              <a:gd name="connsiteX6" fmla="*/ 891540 w 891540"/>
              <a:gd name="connsiteY6" fmla="*/ 129540 h 1097280"/>
              <a:gd name="connsiteX7" fmla="*/ 815340 w 891540"/>
              <a:gd name="connsiteY7" fmla="*/ 457200 h 1097280"/>
              <a:gd name="connsiteX8" fmla="*/ 815340 w 891540"/>
              <a:gd name="connsiteY8" fmla="*/ 495300 h 1097280"/>
              <a:gd name="connsiteX9" fmla="*/ 723900 w 891540"/>
              <a:gd name="connsiteY9" fmla="*/ 541020 h 1097280"/>
              <a:gd name="connsiteX10" fmla="*/ 762000 w 891540"/>
              <a:gd name="connsiteY10" fmla="*/ 1051560 h 1097280"/>
              <a:gd name="connsiteX11" fmla="*/ 601980 w 891540"/>
              <a:gd name="connsiteY11" fmla="*/ 1097280 h 1097280"/>
              <a:gd name="connsiteX12" fmla="*/ 563880 w 891540"/>
              <a:gd name="connsiteY12" fmla="*/ 998220 h 1097280"/>
              <a:gd name="connsiteX13" fmla="*/ 350520 w 891540"/>
              <a:gd name="connsiteY13" fmla="*/ 975360 h 1097280"/>
              <a:gd name="connsiteX14" fmla="*/ 200660 w 891540"/>
              <a:gd name="connsiteY14" fmla="*/ 909913 h 1097280"/>
              <a:gd name="connsiteX15" fmla="*/ 64135 w 891540"/>
              <a:gd name="connsiteY15" fmla="*/ 757513 h 1097280"/>
              <a:gd name="connsiteX16" fmla="*/ 0 w 891540"/>
              <a:gd name="connsiteY16" fmla="*/ 571500 h 1097280"/>
              <a:gd name="connsiteX17" fmla="*/ 64135 w 891540"/>
              <a:gd name="connsiteY17" fmla="*/ 373338 h 1097280"/>
              <a:gd name="connsiteX18" fmla="*/ 205740 w 891540"/>
              <a:gd name="connsiteY18" fmla="*/ 213360 h 1097280"/>
              <a:gd name="connsiteX19" fmla="*/ 243840 w 891540"/>
              <a:gd name="connsiteY19" fmla="*/ 99060 h 1097280"/>
              <a:gd name="connsiteX0" fmla="*/ 243840 w 891540"/>
              <a:gd name="connsiteY0" fmla="*/ 99060 h 1097280"/>
              <a:gd name="connsiteX1" fmla="*/ 243840 w 891540"/>
              <a:gd name="connsiteY1" fmla="*/ 99060 h 1097280"/>
              <a:gd name="connsiteX2" fmla="*/ 312420 w 891540"/>
              <a:gd name="connsiteY2" fmla="*/ 83820 h 1097280"/>
              <a:gd name="connsiteX3" fmla="*/ 365760 w 891540"/>
              <a:gd name="connsiteY3" fmla="*/ 91440 h 1097280"/>
              <a:gd name="connsiteX4" fmla="*/ 396240 w 891540"/>
              <a:gd name="connsiteY4" fmla="*/ 91440 h 1097280"/>
              <a:gd name="connsiteX5" fmla="*/ 396240 w 891540"/>
              <a:gd name="connsiteY5" fmla="*/ 0 h 1097280"/>
              <a:gd name="connsiteX6" fmla="*/ 891540 w 891540"/>
              <a:gd name="connsiteY6" fmla="*/ 129540 h 1097280"/>
              <a:gd name="connsiteX7" fmla="*/ 815340 w 891540"/>
              <a:gd name="connsiteY7" fmla="*/ 457200 h 1097280"/>
              <a:gd name="connsiteX8" fmla="*/ 815340 w 891540"/>
              <a:gd name="connsiteY8" fmla="*/ 495300 h 1097280"/>
              <a:gd name="connsiteX9" fmla="*/ 723900 w 891540"/>
              <a:gd name="connsiteY9" fmla="*/ 541020 h 1097280"/>
              <a:gd name="connsiteX10" fmla="*/ 762000 w 891540"/>
              <a:gd name="connsiteY10" fmla="*/ 1051560 h 1097280"/>
              <a:gd name="connsiteX11" fmla="*/ 601980 w 891540"/>
              <a:gd name="connsiteY11" fmla="*/ 1097280 h 1097280"/>
              <a:gd name="connsiteX12" fmla="*/ 563880 w 891540"/>
              <a:gd name="connsiteY12" fmla="*/ 998220 h 1097280"/>
              <a:gd name="connsiteX13" fmla="*/ 350520 w 891540"/>
              <a:gd name="connsiteY13" fmla="*/ 975360 h 1097280"/>
              <a:gd name="connsiteX14" fmla="*/ 289560 w 891540"/>
              <a:gd name="connsiteY14" fmla="*/ 986113 h 1097280"/>
              <a:gd name="connsiteX15" fmla="*/ 200660 w 891540"/>
              <a:gd name="connsiteY15" fmla="*/ 909913 h 1097280"/>
              <a:gd name="connsiteX16" fmla="*/ 64135 w 891540"/>
              <a:gd name="connsiteY16" fmla="*/ 757513 h 1097280"/>
              <a:gd name="connsiteX17" fmla="*/ 0 w 891540"/>
              <a:gd name="connsiteY17" fmla="*/ 571500 h 1097280"/>
              <a:gd name="connsiteX18" fmla="*/ 64135 w 891540"/>
              <a:gd name="connsiteY18" fmla="*/ 373338 h 1097280"/>
              <a:gd name="connsiteX19" fmla="*/ 205740 w 891540"/>
              <a:gd name="connsiteY19" fmla="*/ 213360 h 1097280"/>
              <a:gd name="connsiteX20" fmla="*/ 243840 w 891540"/>
              <a:gd name="connsiteY20" fmla="*/ 99060 h 1097280"/>
              <a:gd name="connsiteX0" fmla="*/ 243840 w 891540"/>
              <a:gd name="connsiteY0" fmla="*/ 99060 h 1097280"/>
              <a:gd name="connsiteX1" fmla="*/ 243840 w 891540"/>
              <a:gd name="connsiteY1" fmla="*/ 99060 h 1097280"/>
              <a:gd name="connsiteX2" fmla="*/ 312420 w 891540"/>
              <a:gd name="connsiteY2" fmla="*/ 83820 h 1097280"/>
              <a:gd name="connsiteX3" fmla="*/ 365760 w 891540"/>
              <a:gd name="connsiteY3" fmla="*/ 91440 h 1097280"/>
              <a:gd name="connsiteX4" fmla="*/ 396240 w 891540"/>
              <a:gd name="connsiteY4" fmla="*/ 91440 h 1097280"/>
              <a:gd name="connsiteX5" fmla="*/ 396240 w 891540"/>
              <a:gd name="connsiteY5" fmla="*/ 0 h 1097280"/>
              <a:gd name="connsiteX6" fmla="*/ 891540 w 891540"/>
              <a:gd name="connsiteY6" fmla="*/ 129540 h 1097280"/>
              <a:gd name="connsiteX7" fmla="*/ 815340 w 891540"/>
              <a:gd name="connsiteY7" fmla="*/ 457200 h 1097280"/>
              <a:gd name="connsiteX8" fmla="*/ 815340 w 891540"/>
              <a:gd name="connsiteY8" fmla="*/ 495300 h 1097280"/>
              <a:gd name="connsiteX9" fmla="*/ 723900 w 891540"/>
              <a:gd name="connsiteY9" fmla="*/ 541020 h 1097280"/>
              <a:gd name="connsiteX10" fmla="*/ 762000 w 891540"/>
              <a:gd name="connsiteY10" fmla="*/ 1051560 h 1097280"/>
              <a:gd name="connsiteX11" fmla="*/ 601980 w 891540"/>
              <a:gd name="connsiteY11" fmla="*/ 1097280 h 1097280"/>
              <a:gd name="connsiteX12" fmla="*/ 563880 w 891540"/>
              <a:gd name="connsiteY12" fmla="*/ 998220 h 1097280"/>
              <a:gd name="connsiteX13" fmla="*/ 394335 w 891540"/>
              <a:gd name="connsiteY13" fmla="*/ 992463 h 1097280"/>
              <a:gd name="connsiteX14" fmla="*/ 350520 w 891540"/>
              <a:gd name="connsiteY14" fmla="*/ 975360 h 1097280"/>
              <a:gd name="connsiteX15" fmla="*/ 289560 w 891540"/>
              <a:gd name="connsiteY15" fmla="*/ 986113 h 1097280"/>
              <a:gd name="connsiteX16" fmla="*/ 200660 w 891540"/>
              <a:gd name="connsiteY16" fmla="*/ 909913 h 1097280"/>
              <a:gd name="connsiteX17" fmla="*/ 64135 w 891540"/>
              <a:gd name="connsiteY17" fmla="*/ 757513 h 1097280"/>
              <a:gd name="connsiteX18" fmla="*/ 0 w 891540"/>
              <a:gd name="connsiteY18" fmla="*/ 571500 h 1097280"/>
              <a:gd name="connsiteX19" fmla="*/ 64135 w 891540"/>
              <a:gd name="connsiteY19" fmla="*/ 373338 h 1097280"/>
              <a:gd name="connsiteX20" fmla="*/ 205740 w 891540"/>
              <a:gd name="connsiteY20" fmla="*/ 213360 h 1097280"/>
              <a:gd name="connsiteX21" fmla="*/ 243840 w 891540"/>
              <a:gd name="connsiteY21" fmla="*/ 99060 h 1097280"/>
              <a:gd name="connsiteX0" fmla="*/ 243840 w 891540"/>
              <a:gd name="connsiteY0" fmla="*/ 99060 h 1097280"/>
              <a:gd name="connsiteX1" fmla="*/ 243840 w 891540"/>
              <a:gd name="connsiteY1" fmla="*/ 99060 h 1097280"/>
              <a:gd name="connsiteX2" fmla="*/ 312420 w 891540"/>
              <a:gd name="connsiteY2" fmla="*/ 83820 h 1097280"/>
              <a:gd name="connsiteX3" fmla="*/ 365760 w 891540"/>
              <a:gd name="connsiteY3" fmla="*/ 91440 h 1097280"/>
              <a:gd name="connsiteX4" fmla="*/ 396240 w 891540"/>
              <a:gd name="connsiteY4" fmla="*/ 91440 h 1097280"/>
              <a:gd name="connsiteX5" fmla="*/ 396240 w 891540"/>
              <a:gd name="connsiteY5" fmla="*/ 0 h 1097280"/>
              <a:gd name="connsiteX6" fmla="*/ 891540 w 891540"/>
              <a:gd name="connsiteY6" fmla="*/ 129540 h 1097280"/>
              <a:gd name="connsiteX7" fmla="*/ 815340 w 891540"/>
              <a:gd name="connsiteY7" fmla="*/ 457200 h 1097280"/>
              <a:gd name="connsiteX8" fmla="*/ 815340 w 891540"/>
              <a:gd name="connsiteY8" fmla="*/ 495300 h 1097280"/>
              <a:gd name="connsiteX9" fmla="*/ 723900 w 891540"/>
              <a:gd name="connsiteY9" fmla="*/ 541020 h 1097280"/>
              <a:gd name="connsiteX10" fmla="*/ 762000 w 891540"/>
              <a:gd name="connsiteY10" fmla="*/ 1051560 h 1097280"/>
              <a:gd name="connsiteX11" fmla="*/ 601980 w 891540"/>
              <a:gd name="connsiteY11" fmla="*/ 1097280 h 1097280"/>
              <a:gd name="connsiteX12" fmla="*/ 563880 w 891540"/>
              <a:gd name="connsiteY12" fmla="*/ 998220 h 1097280"/>
              <a:gd name="connsiteX13" fmla="*/ 394335 w 891540"/>
              <a:gd name="connsiteY13" fmla="*/ 992463 h 1097280"/>
              <a:gd name="connsiteX14" fmla="*/ 347345 w 891540"/>
              <a:gd name="connsiteY14" fmla="*/ 994410 h 1097280"/>
              <a:gd name="connsiteX15" fmla="*/ 289560 w 891540"/>
              <a:gd name="connsiteY15" fmla="*/ 986113 h 1097280"/>
              <a:gd name="connsiteX16" fmla="*/ 200660 w 891540"/>
              <a:gd name="connsiteY16" fmla="*/ 909913 h 1097280"/>
              <a:gd name="connsiteX17" fmla="*/ 64135 w 891540"/>
              <a:gd name="connsiteY17" fmla="*/ 757513 h 1097280"/>
              <a:gd name="connsiteX18" fmla="*/ 0 w 891540"/>
              <a:gd name="connsiteY18" fmla="*/ 571500 h 1097280"/>
              <a:gd name="connsiteX19" fmla="*/ 64135 w 891540"/>
              <a:gd name="connsiteY19" fmla="*/ 373338 h 1097280"/>
              <a:gd name="connsiteX20" fmla="*/ 205740 w 891540"/>
              <a:gd name="connsiteY20" fmla="*/ 213360 h 1097280"/>
              <a:gd name="connsiteX21" fmla="*/ 243840 w 891540"/>
              <a:gd name="connsiteY21" fmla="*/ 99060 h 1097280"/>
              <a:gd name="connsiteX0" fmla="*/ 243840 w 891540"/>
              <a:gd name="connsiteY0" fmla="*/ 99060 h 1097280"/>
              <a:gd name="connsiteX1" fmla="*/ 243840 w 891540"/>
              <a:gd name="connsiteY1" fmla="*/ 99060 h 1097280"/>
              <a:gd name="connsiteX2" fmla="*/ 312420 w 891540"/>
              <a:gd name="connsiteY2" fmla="*/ 83820 h 1097280"/>
              <a:gd name="connsiteX3" fmla="*/ 365760 w 891540"/>
              <a:gd name="connsiteY3" fmla="*/ 91440 h 1097280"/>
              <a:gd name="connsiteX4" fmla="*/ 396240 w 891540"/>
              <a:gd name="connsiteY4" fmla="*/ 91440 h 1097280"/>
              <a:gd name="connsiteX5" fmla="*/ 396240 w 891540"/>
              <a:gd name="connsiteY5" fmla="*/ 0 h 1097280"/>
              <a:gd name="connsiteX6" fmla="*/ 891540 w 891540"/>
              <a:gd name="connsiteY6" fmla="*/ 129540 h 1097280"/>
              <a:gd name="connsiteX7" fmla="*/ 815340 w 891540"/>
              <a:gd name="connsiteY7" fmla="*/ 457200 h 1097280"/>
              <a:gd name="connsiteX8" fmla="*/ 815340 w 891540"/>
              <a:gd name="connsiteY8" fmla="*/ 495300 h 1097280"/>
              <a:gd name="connsiteX9" fmla="*/ 723900 w 891540"/>
              <a:gd name="connsiteY9" fmla="*/ 541020 h 1097280"/>
              <a:gd name="connsiteX10" fmla="*/ 762000 w 891540"/>
              <a:gd name="connsiteY10" fmla="*/ 1051560 h 1097280"/>
              <a:gd name="connsiteX11" fmla="*/ 601980 w 891540"/>
              <a:gd name="connsiteY11" fmla="*/ 1097280 h 1097280"/>
              <a:gd name="connsiteX12" fmla="*/ 563880 w 891540"/>
              <a:gd name="connsiteY12" fmla="*/ 998220 h 1097280"/>
              <a:gd name="connsiteX13" fmla="*/ 394335 w 891540"/>
              <a:gd name="connsiteY13" fmla="*/ 992463 h 1097280"/>
              <a:gd name="connsiteX14" fmla="*/ 347345 w 891540"/>
              <a:gd name="connsiteY14" fmla="*/ 994410 h 1097280"/>
              <a:gd name="connsiteX15" fmla="*/ 289560 w 891540"/>
              <a:gd name="connsiteY15" fmla="*/ 986113 h 1097280"/>
              <a:gd name="connsiteX16" fmla="*/ 200660 w 891540"/>
              <a:gd name="connsiteY16" fmla="*/ 909913 h 1097280"/>
              <a:gd name="connsiteX17" fmla="*/ 97472 w 891540"/>
              <a:gd name="connsiteY17" fmla="*/ 743225 h 1097280"/>
              <a:gd name="connsiteX18" fmla="*/ 0 w 891540"/>
              <a:gd name="connsiteY18" fmla="*/ 571500 h 1097280"/>
              <a:gd name="connsiteX19" fmla="*/ 64135 w 891540"/>
              <a:gd name="connsiteY19" fmla="*/ 373338 h 1097280"/>
              <a:gd name="connsiteX20" fmla="*/ 205740 w 891540"/>
              <a:gd name="connsiteY20" fmla="*/ 213360 h 1097280"/>
              <a:gd name="connsiteX21" fmla="*/ 243840 w 891540"/>
              <a:gd name="connsiteY21" fmla="*/ 99060 h 1097280"/>
              <a:gd name="connsiteX0" fmla="*/ 243840 w 891540"/>
              <a:gd name="connsiteY0" fmla="*/ 99060 h 1097280"/>
              <a:gd name="connsiteX1" fmla="*/ 243840 w 891540"/>
              <a:gd name="connsiteY1" fmla="*/ 99060 h 1097280"/>
              <a:gd name="connsiteX2" fmla="*/ 312420 w 891540"/>
              <a:gd name="connsiteY2" fmla="*/ 83820 h 1097280"/>
              <a:gd name="connsiteX3" fmla="*/ 365760 w 891540"/>
              <a:gd name="connsiteY3" fmla="*/ 91440 h 1097280"/>
              <a:gd name="connsiteX4" fmla="*/ 396240 w 891540"/>
              <a:gd name="connsiteY4" fmla="*/ 91440 h 1097280"/>
              <a:gd name="connsiteX5" fmla="*/ 396240 w 891540"/>
              <a:gd name="connsiteY5" fmla="*/ 0 h 1097280"/>
              <a:gd name="connsiteX6" fmla="*/ 891540 w 891540"/>
              <a:gd name="connsiteY6" fmla="*/ 129540 h 1097280"/>
              <a:gd name="connsiteX7" fmla="*/ 815340 w 891540"/>
              <a:gd name="connsiteY7" fmla="*/ 457200 h 1097280"/>
              <a:gd name="connsiteX8" fmla="*/ 815340 w 891540"/>
              <a:gd name="connsiteY8" fmla="*/ 495300 h 1097280"/>
              <a:gd name="connsiteX9" fmla="*/ 723900 w 891540"/>
              <a:gd name="connsiteY9" fmla="*/ 541020 h 1097280"/>
              <a:gd name="connsiteX10" fmla="*/ 762000 w 891540"/>
              <a:gd name="connsiteY10" fmla="*/ 1051560 h 1097280"/>
              <a:gd name="connsiteX11" fmla="*/ 601980 w 891540"/>
              <a:gd name="connsiteY11" fmla="*/ 1097280 h 1097280"/>
              <a:gd name="connsiteX12" fmla="*/ 563880 w 891540"/>
              <a:gd name="connsiteY12" fmla="*/ 998220 h 1097280"/>
              <a:gd name="connsiteX13" fmla="*/ 394335 w 891540"/>
              <a:gd name="connsiteY13" fmla="*/ 992463 h 1097280"/>
              <a:gd name="connsiteX14" fmla="*/ 347345 w 891540"/>
              <a:gd name="connsiteY14" fmla="*/ 994410 h 1097280"/>
              <a:gd name="connsiteX15" fmla="*/ 289560 w 891540"/>
              <a:gd name="connsiteY15" fmla="*/ 986113 h 1097280"/>
              <a:gd name="connsiteX16" fmla="*/ 200660 w 891540"/>
              <a:gd name="connsiteY16" fmla="*/ 909913 h 1097280"/>
              <a:gd name="connsiteX17" fmla="*/ 97472 w 891540"/>
              <a:gd name="connsiteY17" fmla="*/ 743225 h 1097280"/>
              <a:gd name="connsiteX18" fmla="*/ 0 w 891540"/>
              <a:gd name="connsiteY18" fmla="*/ 571500 h 1097280"/>
              <a:gd name="connsiteX19" fmla="*/ 97472 w 891540"/>
              <a:gd name="connsiteY19" fmla="*/ 382863 h 1097280"/>
              <a:gd name="connsiteX20" fmla="*/ 205740 w 891540"/>
              <a:gd name="connsiteY20" fmla="*/ 213360 h 1097280"/>
              <a:gd name="connsiteX21" fmla="*/ 243840 w 891540"/>
              <a:gd name="connsiteY21" fmla="*/ 99060 h 1097280"/>
              <a:gd name="connsiteX0" fmla="*/ 243840 w 891540"/>
              <a:gd name="connsiteY0" fmla="*/ 99060 h 1097280"/>
              <a:gd name="connsiteX1" fmla="*/ 243840 w 891540"/>
              <a:gd name="connsiteY1" fmla="*/ 99060 h 1097280"/>
              <a:gd name="connsiteX2" fmla="*/ 312420 w 891540"/>
              <a:gd name="connsiteY2" fmla="*/ 83820 h 1097280"/>
              <a:gd name="connsiteX3" fmla="*/ 365760 w 891540"/>
              <a:gd name="connsiteY3" fmla="*/ 91440 h 1097280"/>
              <a:gd name="connsiteX4" fmla="*/ 396240 w 891540"/>
              <a:gd name="connsiteY4" fmla="*/ 91440 h 1097280"/>
              <a:gd name="connsiteX5" fmla="*/ 396240 w 891540"/>
              <a:gd name="connsiteY5" fmla="*/ 0 h 1097280"/>
              <a:gd name="connsiteX6" fmla="*/ 891540 w 891540"/>
              <a:gd name="connsiteY6" fmla="*/ 129540 h 1097280"/>
              <a:gd name="connsiteX7" fmla="*/ 815340 w 891540"/>
              <a:gd name="connsiteY7" fmla="*/ 457200 h 1097280"/>
              <a:gd name="connsiteX8" fmla="*/ 815340 w 891540"/>
              <a:gd name="connsiteY8" fmla="*/ 495300 h 1097280"/>
              <a:gd name="connsiteX9" fmla="*/ 723900 w 891540"/>
              <a:gd name="connsiteY9" fmla="*/ 541020 h 1097280"/>
              <a:gd name="connsiteX10" fmla="*/ 762000 w 891540"/>
              <a:gd name="connsiteY10" fmla="*/ 1051560 h 1097280"/>
              <a:gd name="connsiteX11" fmla="*/ 601980 w 891540"/>
              <a:gd name="connsiteY11" fmla="*/ 1097280 h 1097280"/>
              <a:gd name="connsiteX12" fmla="*/ 563880 w 891540"/>
              <a:gd name="connsiteY12" fmla="*/ 998220 h 1097280"/>
              <a:gd name="connsiteX13" fmla="*/ 394335 w 891540"/>
              <a:gd name="connsiteY13" fmla="*/ 992463 h 1097280"/>
              <a:gd name="connsiteX14" fmla="*/ 347345 w 891540"/>
              <a:gd name="connsiteY14" fmla="*/ 994410 h 1097280"/>
              <a:gd name="connsiteX15" fmla="*/ 289560 w 891540"/>
              <a:gd name="connsiteY15" fmla="*/ 986113 h 1097280"/>
              <a:gd name="connsiteX16" fmla="*/ 210185 w 891540"/>
              <a:gd name="connsiteY16" fmla="*/ 895625 h 1097280"/>
              <a:gd name="connsiteX17" fmla="*/ 97472 w 891540"/>
              <a:gd name="connsiteY17" fmla="*/ 743225 h 1097280"/>
              <a:gd name="connsiteX18" fmla="*/ 0 w 891540"/>
              <a:gd name="connsiteY18" fmla="*/ 571500 h 1097280"/>
              <a:gd name="connsiteX19" fmla="*/ 97472 w 891540"/>
              <a:gd name="connsiteY19" fmla="*/ 382863 h 1097280"/>
              <a:gd name="connsiteX20" fmla="*/ 205740 w 891540"/>
              <a:gd name="connsiteY20" fmla="*/ 213360 h 1097280"/>
              <a:gd name="connsiteX21" fmla="*/ 243840 w 891540"/>
              <a:gd name="connsiteY21" fmla="*/ 99060 h 1097280"/>
              <a:gd name="connsiteX0" fmla="*/ 243840 w 891540"/>
              <a:gd name="connsiteY0" fmla="*/ 99060 h 1097280"/>
              <a:gd name="connsiteX1" fmla="*/ 243840 w 891540"/>
              <a:gd name="connsiteY1" fmla="*/ 99060 h 1097280"/>
              <a:gd name="connsiteX2" fmla="*/ 307652 w 891540"/>
              <a:gd name="connsiteY2" fmla="*/ 103502 h 1097280"/>
              <a:gd name="connsiteX3" fmla="*/ 365760 w 891540"/>
              <a:gd name="connsiteY3" fmla="*/ 91440 h 1097280"/>
              <a:gd name="connsiteX4" fmla="*/ 396240 w 891540"/>
              <a:gd name="connsiteY4" fmla="*/ 91440 h 1097280"/>
              <a:gd name="connsiteX5" fmla="*/ 396240 w 891540"/>
              <a:gd name="connsiteY5" fmla="*/ 0 h 1097280"/>
              <a:gd name="connsiteX6" fmla="*/ 891540 w 891540"/>
              <a:gd name="connsiteY6" fmla="*/ 129540 h 1097280"/>
              <a:gd name="connsiteX7" fmla="*/ 815340 w 891540"/>
              <a:gd name="connsiteY7" fmla="*/ 457200 h 1097280"/>
              <a:gd name="connsiteX8" fmla="*/ 815340 w 891540"/>
              <a:gd name="connsiteY8" fmla="*/ 495300 h 1097280"/>
              <a:gd name="connsiteX9" fmla="*/ 723900 w 891540"/>
              <a:gd name="connsiteY9" fmla="*/ 541020 h 1097280"/>
              <a:gd name="connsiteX10" fmla="*/ 762000 w 891540"/>
              <a:gd name="connsiteY10" fmla="*/ 1051560 h 1097280"/>
              <a:gd name="connsiteX11" fmla="*/ 601980 w 891540"/>
              <a:gd name="connsiteY11" fmla="*/ 1097280 h 1097280"/>
              <a:gd name="connsiteX12" fmla="*/ 563880 w 891540"/>
              <a:gd name="connsiteY12" fmla="*/ 998220 h 1097280"/>
              <a:gd name="connsiteX13" fmla="*/ 394335 w 891540"/>
              <a:gd name="connsiteY13" fmla="*/ 992463 h 1097280"/>
              <a:gd name="connsiteX14" fmla="*/ 347345 w 891540"/>
              <a:gd name="connsiteY14" fmla="*/ 994410 h 1097280"/>
              <a:gd name="connsiteX15" fmla="*/ 289560 w 891540"/>
              <a:gd name="connsiteY15" fmla="*/ 986113 h 1097280"/>
              <a:gd name="connsiteX16" fmla="*/ 210185 w 891540"/>
              <a:gd name="connsiteY16" fmla="*/ 895625 h 1097280"/>
              <a:gd name="connsiteX17" fmla="*/ 97472 w 891540"/>
              <a:gd name="connsiteY17" fmla="*/ 743225 h 1097280"/>
              <a:gd name="connsiteX18" fmla="*/ 0 w 891540"/>
              <a:gd name="connsiteY18" fmla="*/ 571500 h 1097280"/>
              <a:gd name="connsiteX19" fmla="*/ 97472 w 891540"/>
              <a:gd name="connsiteY19" fmla="*/ 382863 h 1097280"/>
              <a:gd name="connsiteX20" fmla="*/ 205740 w 891540"/>
              <a:gd name="connsiteY20" fmla="*/ 213360 h 1097280"/>
              <a:gd name="connsiteX21" fmla="*/ 243840 w 891540"/>
              <a:gd name="connsiteY21" fmla="*/ 99060 h 1097280"/>
              <a:gd name="connsiteX0" fmla="*/ 243840 w 891540"/>
              <a:gd name="connsiteY0" fmla="*/ 138423 h 1136643"/>
              <a:gd name="connsiteX1" fmla="*/ 243840 w 891540"/>
              <a:gd name="connsiteY1" fmla="*/ 138423 h 1136643"/>
              <a:gd name="connsiteX2" fmla="*/ 307652 w 891540"/>
              <a:gd name="connsiteY2" fmla="*/ 142865 h 1136643"/>
              <a:gd name="connsiteX3" fmla="*/ 365760 w 891540"/>
              <a:gd name="connsiteY3" fmla="*/ 130803 h 1136643"/>
              <a:gd name="connsiteX4" fmla="*/ 396240 w 891540"/>
              <a:gd name="connsiteY4" fmla="*/ 130803 h 1136643"/>
              <a:gd name="connsiteX5" fmla="*/ 396240 w 891540"/>
              <a:gd name="connsiteY5" fmla="*/ 0 h 1136643"/>
              <a:gd name="connsiteX6" fmla="*/ 891540 w 891540"/>
              <a:gd name="connsiteY6" fmla="*/ 168903 h 1136643"/>
              <a:gd name="connsiteX7" fmla="*/ 815340 w 891540"/>
              <a:gd name="connsiteY7" fmla="*/ 496563 h 1136643"/>
              <a:gd name="connsiteX8" fmla="*/ 815340 w 891540"/>
              <a:gd name="connsiteY8" fmla="*/ 534663 h 1136643"/>
              <a:gd name="connsiteX9" fmla="*/ 723900 w 891540"/>
              <a:gd name="connsiteY9" fmla="*/ 580383 h 1136643"/>
              <a:gd name="connsiteX10" fmla="*/ 762000 w 891540"/>
              <a:gd name="connsiteY10" fmla="*/ 1090923 h 1136643"/>
              <a:gd name="connsiteX11" fmla="*/ 601980 w 891540"/>
              <a:gd name="connsiteY11" fmla="*/ 1136643 h 1136643"/>
              <a:gd name="connsiteX12" fmla="*/ 563880 w 891540"/>
              <a:gd name="connsiteY12" fmla="*/ 1037583 h 1136643"/>
              <a:gd name="connsiteX13" fmla="*/ 394335 w 891540"/>
              <a:gd name="connsiteY13" fmla="*/ 1031826 h 1136643"/>
              <a:gd name="connsiteX14" fmla="*/ 347345 w 891540"/>
              <a:gd name="connsiteY14" fmla="*/ 1033773 h 1136643"/>
              <a:gd name="connsiteX15" fmla="*/ 289560 w 891540"/>
              <a:gd name="connsiteY15" fmla="*/ 1025476 h 1136643"/>
              <a:gd name="connsiteX16" fmla="*/ 210185 w 891540"/>
              <a:gd name="connsiteY16" fmla="*/ 934988 h 1136643"/>
              <a:gd name="connsiteX17" fmla="*/ 97472 w 891540"/>
              <a:gd name="connsiteY17" fmla="*/ 782588 h 1136643"/>
              <a:gd name="connsiteX18" fmla="*/ 0 w 891540"/>
              <a:gd name="connsiteY18" fmla="*/ 610863 h 1136643"/>
              <a:gd name="connsiteX19" fmla="*/ 97472 w 891540"/>
              <a:gd name="connsiteY19" fmla="*/ 422226 h 1136643"/>
              <a:gd name="connsiteX20" fmla="*/ 205740 w 891540"/>
              <a:gd name="connsiteY20" fmla="*/ 252723 h 1136643"/>
              <a:gd name="connsiteX21" fmla="*/ 243840 w 891540"/>
              <a:gd name="connsiteY21" fmla="*/ 138423 h 1136643"/>
              <a:gd name="connsiteX0" fmla="*/ 243840 w 891540"/>
              <a:gd name="connsiteY0" fmla="*/ 138423 h 1136643"/>
              <a:gd name="connsiteX1" fmla="*/ 243840 w 891540"/>
              <a:gd name="connsiteY1" fmla="*/ 138423 h 1136643"/>
              <a:gd name="connsiteX2" fmla="*/ 307652 w 891540"/>
              <a:gd name="connsiteY2" fmla="*/ 142865 h 1136643"/>
              <a:gd name="connsiteX3" fmla="*/ 365760 w 891540"/>
              <a:gd name="connsiteY3" fmla="*/ 130803 h 1136643"/>
              <a:gd name="connsiteX4" fmla="*/ 396240 w 891540"/>
              <a:gd name="connsiteY4" fmla="*/ 130803 h 1136643"/>
              <a:gd name="connsiteX5" fmla="*/ 396240 w 891540"/>
              <a:gd name="connsiteY5" fmla="*/ 0 h 1136643"/>
              <a:gd name="connsiteX6" fmla="*/ 686533 w 891540"/>
              <a:gd name="connsiteY6" fmla="*/ 78726 h 1136643"/>
              <a:gd name="connsiteX7" fmla="*/ 891540 w 891540"/>
              <a:gd name="connsiteY7" fmla="*/ 168903 h 1136643"/>
              <a:gd name="connsiteX8" fmla="*/ 815340 w 891540"/>
              <a:gd name="connsiteY8" fmla="*/ 496563 h 1136643"/>
              <a:gd name="connsiteX9" fmla="*/ 815340 w 891540"/>
              <a:gd name="connsiteY9" fmla="*/ 534663 h 1136643"/>
              <a:gd name="connsiteX10" fmla="*/ 723900 w 891540"/>
              <a:gd name="connsiteY10" fmla="*/ 580383 h 1136643"/>
              <a:gd name="connsiteX11" fmla="*/ 762000 w 891540"/>
              <a:gd name="connsiteY11" fmla="*/ 1090923 h 1136643"/>
              <a:gd name="connsiteX12" fmla="*/ 601980 w 891540"/>
              <a:gd name="connsiteY12" fmla="*/ 1136643 h 1136643"/>
              <a:gd name="connsiteX13" fmla="*/ 563880 w 891540"/>
              <a:gd name="connsiteY13" fmla="*/ 1037583 h 1136643"/>
              <a:gd name="connsiteX14" fmla="*/ 394335 w 891540"/>
              <a:gd name="connsiteY14" fmla="*/ 1031826 h 1136643"/>
              <a:gd name="connsiteX15" fmla="*/ 347345 w 891540"/>
              <a:gd name="connsiteY15" fmla="*/ 1033773 h 1136643"/>
              <a:gd name="connsiteX16" fmla="*/ 289560 w 891540"/>
              <a:gd name="connsiteY16" fmla="*/ 1025476 h 1136643"/>
              <a:gd name="connsiteX17" fmla="*/ 210185 w 891540"/>
              <a:gd name="connsiteY17" fmla="*/ 934988 h 1136643"/>
              <a:gd name="connsiteX18" fmla="*/ 97472 w 891540"/>
              <a:gd name="connsiteY18" fmla="*/ 782588 h 1136643"/>
              <a:gd name="connsiteX19" fmla="*/ 0 w 891540"/>
              <a:gd name="connsiteY19" fmla="*/ 610863 h 1136643"/>
              <a:gd name="connsiteX20" fmla="*/ 97472 w 891540"/>
              <a:gd name="connsiteY20" fmla="*/ 422226 h 1136643"/>
              <a:gd name="connsiteX21" fmla="*/ 205740 w 891540"/>
              <a:gd name="connsiteY21" fmla="*/ 252723 h 1136643"/>
              <a:gd name="connsiteX22" fmla="*/ 243840 w 891540"/>
              <a:gd name="connsiteY22" fmla="*/ 138423 h 1136643"/>
              <a:gd name="connsiteX0" fmla="*/ 243840 w 929681"/>
              <a:gd name="connsiteY0" fmla="*/ 138423 h 1136643"/>
              <a:gd name="connsiteX1" fmla="*/ 243840 w 929681"/>
              <a:gd name="connsiteY1" fmla="*/ 138423 h 1136643"/>
              <a:gd name="connsiteX2" fmla="*/ 307652 w 929681"/>
              <a:gd name="connsiteY2" fmla="*/ 142865 h 1136643"/>
              <a:gd name="connsiteX3" fmla="*/ 365760 w 929681"/>
              <a:gd name="connsiteY3" fmla="*/ 130803 h 1136643"/>
              <a:gd name="connsiteX4" fmla="*/ 396240 w 929681"/>
              <a:gd name="connsiteY4" fmla="*/ 130803 h 1136643"/>
              <a:gd name="connsiteX5" fmla="*/ 396240 w 929681"/>
              <a:gd name="connsiteY5" fmla="*/ 0 h 1136643"/>
              <a:gd name="connsiteX6" fmla="*/ 686533 w 929681"/>
              <a:gd name="connsiteY6" fmla="*/ 78726 h 1136643"/>
              <a:gd name="connsiteX7" fmla="*/ 929681 w 929681"/>
              <a:gd name="connsiteY7" fmla="*/ 144300 h 1136643"/>
              <a:gd name="connsiteX8" fmla="*/ 815340 w 929681"/>
              <a:gd name="connsiteY8" fmla="*/ 496563 h 1136643"/>
              <a:gd name="connsiteX9" fmla="*/ 815340 w 929681"/>
              <a:gd name="connsiteY9" fmla="*/ 534663 h 1136643"/>
              <a:gd name="connsiteX10" fmla="*/ 723900 w 929681"/>
              <a:gd name="connsiteY10" fmla="*/ 580383 h 1136643"/>
              <a:gd name="connsiteX11" fmla="*/ 762000 w 929681"/>
              <a:gd name="connsiteY11" fmla="*/ 1090923 h 1136643"/>
              <a:gd name="connsiteX12" fmla="*/ 601980 w 929681"/>
              <a:gd name="connsiteY12" fmla="*/ 1136643 h 1136643"/>
              <a:gd name="connsiteX13" fmla="*/ 563880 w 929681"/>
              <a:gd name="connsiteY13" fmla="*/ 1037583 h 1136643"/>
              <a:gd name="connsiteX14" fmla="*/ 394335 w 929681"/>
              <a:gd name="connsiteY14" fmla="*/ 1031826 h 1136643"/>
              <a:gd name="connsiteX15" fmla="*/ 347345 w 929681"/>
              <a:gd name="connsiteY15" fmla="*/ 1033773 h 1136643"/>
              <a:gd name="connsiteX16" fmla="*/ 289560 w 929681"/>
              <a:gd name="connsiteY16" fmla="*/ 1025476 h 1136643"/>
              <a:gd name="connsiteX17" fmla="*/ 210185 w 929681"/>
              <a:gd name="connsiteY17" fmla="*/ 934988 h 1136643"/>
              <a:gd name="connsiteX18" fmla="*/ 97472 w 929681"/>
              <a:gd name="connsiteY18" fmla="*/ 782588 h 1136643"/>
              <a:gd name="connsiteX19" fmla="*/ 0 w 929681"/>
              <a:gd name="connsiteY19" fmla="*/ 610863 h 1136643"/>
              <a:gd name="connsiteX20" fmla="*/ 97472 w 929681"/>
              <a:gd name="connsiteY20" fmla="*/ 422226 h 1136643"/>
              <a:gd name="connsiteX21" fmla="*/ 205740 w 929681"/>
              <a:gd name="connsiteY21" fmla="*/ 252723 h 1136643"/>
              <a:gd name="connsiteX22" fmla="*/ 243840 w 929681"/>
              <a:gd name="connsiteY22" fmla="*/ 138423 h 1136643"/>
              <a:gd name="connsiteX0" fmla="*/ 243840 w 929681"/>
              <a:gd name="connsiteY0" fmla="*/ 138423 h 1136643"/>
              <a:gd name="connsiteX1" fmla="*/ 243840 w 929681"/>
              <a:gd name="connsiteY1" fmla="*/ 138423 h 1136643"/>
              <a:gd name="connsiteX2" fmla="*/ 307652 w 929681"/>
              <a:gd name="connsiteY2" fmla="*/ 142865 h 1136643"/>
              <a:gd name="connsiteX3" fmla="*/ 381652 w 929681"/>
              <a:gd name="connsiteY3" fmla="*/ 137364 h 1136643"/>
              <a:gd name="connsiteX4" fmla="*/ 396240 w 929681"/>
              <a:gd name="connsiteY4" fmla="*/ 130803 h 1136643"/>
              <a:gd name="connsiteX5" fmla="*/ 396240 w 929681"/>
              <a:gd name="connsiteY5" fmla="*/ 0 h 1136643"/>
              <a:gd name="connsiteX6" fmla="*/ 686533 w 929681"/>
              <a:gd name="connsiteY6" fmla="*/ 78726 h 1136643"/>
              <a:gd name="connsiteX7" fmla="*/ 929681 w 929681"/>
              <a:gd name="connsiteY7" fmla="*/ 144300 h 1136643"/>
              <a:gd name="connsiteX8" fmla="*/ 815340 w 929681"/>
              <a:gd name="connsiteY8" fmla="*/ 496563 h 1136643"/>
              <a:gd name="connsiteX9" fmla="*/ 815340 w 929681"/>
              <a:gd name="connsiteY9" fmla="*/ 534663 h 1136643"/>
              <a:gd name="connsiteX10" fmla="*/ 723900 w 929681"/>
              <a:gd name="connsiteY10" fmla="*/ 580383 h 1136643"/>
              <a:gd name="connsiteX11" fmla="*/ 762000 w 929681"/>
              <a:gd name="connsiteY11" fmla="*/ 1090923 h 1136643"/>
              <a:gd name="connsiteX12" fmla="*/ 601980 w 929681"/>
              <a:gd name="connsiteY12" fmla="*/ 1136643 h 1136643"/>
              <a:gd name="connsiteX13" fmla="*/ 563880 w 929681"/>
              <a:gd name="connsiteY13" fmla="*/ 1037583 h 1136643"/>
              <a:gd name="connsiteX14" fmla="*/ 394335 w 929681"/>
              <a:gd name="connsiteY14" fmla="*/ 1031826 h 1136643"/>
              <a:gd name="connsiteX15" fmla="*/ 347345 w 929681"/>
              <a:gd name="connsiteY15" fmla="*/ 1033773 h 1136643"/>
              <a:gd name="connsiteX16" fmla="*/ 289560 w 929681"/>
              <a:gd name="connsiteY16" fmla="*/ 1025476 h 1136643"/>
              <a:gd name="connsiteX17" fmla="*/ 210185 w 929681"/>
              <a:gd name="connsiteY17" fmla="*/ 934988 h 1136643"/>
              <a:gd name="connsiteX18" fmla="*/ 97472 w 929681"/>
              <a:gd name="connsiteY18" fmla="*/ 782588 h 1136643"/>
              <a:gd name="connsiteX19" fmla="*/ 0 w 929681"/>
              <a:gd name="connsiteY19" fmla="*/ 610863 h 1136643"/>
              <a:gd name="connsiteX20" fmla="*/ 97472 w 929681"/>
              <a:gd name="connsiteY20" fmla="*/ 422226 h 1136643"/>
              <a:gd name="connsiteX21" fmla="*/ 205740 w 929681"/>
              <a:gd name="connsiteY21" fmla="*/ 252723 h 1136643"/>
              <a:gd name="connsiteX22" fmla="*/ 243840 w 929681"/>
              <a:gd name="connsiteY22" fmla="*/ 138423 h 11366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929681" h="1136643">
                <a:moveTo>
                  <a:pt x="243840" y="138423"/>
                </a:moveTo>
                <a:lnTo>
                  <a:pt x="243840" y="138423"/>
                </a:lnTo>
                <a:cubicBezTo>
                  <a:pt x="254475" y="139163"/>
                  <a:pt x="284683" y="143042"/>
                  <a:pt x="307652" y="142865"/>
                </a:cubicBezTo>
                <a:cubicBezTo>
                  <a:pt x="330621" y="142689"/>
                  <a:pt x="366887" y="139374"/>
                  <a:pt x="381652" y="137364"/>
                </a:cubicBezTo>
                <a:cubicBezTo>
                  <a:pt x="396417" y="135354"/>
                  <a:pt x="386080" y="130803"/>
                  <a:pt x="396240" y="130803"/>
                </a:cubicBezTo>
                <a:lnTo>
                  <a:pt x="396240" y="0"/>
                </a:lnTo>
                <a:cubicBezTo>
                  <a:pt x="478702" y="27882"/>
                  <a:pt x="604071" y="50844"/>
                  <a:pt x="686533" y="78726"/>
                </a:cubicBezTo>
                <a:lnTo>
                  <a:pt x="929681" y="144300"/>
                </a:lnTo>
                <a:lnTo>
                  <a:pt x="815340" y="496563"/>
                </a:lnTo>
                <a:lnTo>
                  <a:pt x="815340" y="534663"/>
                </a:lnTo>
                <a:lnTo>
                  <a:pt x="723900" y="580383"/>
                </a:lnTo>
                <a:lnTo>
                  <a:pt x="762000" y="1090923"/>
                </a:lnTo>
                <a:lnTo>
                  <a:pt x="601980" y="1136643"/>
                </a:lnTo>
                <a:lnTo>
                  <a:pt x="563880" y="1037583"/>
                </a:lnTo>
                <a:cubicBezTo>
                  <a:pt x="507365" y="1032489"/>
                  <a:pt x="450850" y="1036920"/>
                  <a:pt x="394335" y="1031826"/>
                </a:cubicBezTo>
                <a:lnTo>
                  <a:pt x="347345" y="1033773"/>
                </a:lnTo>
                <a:cubicBezTo>
                  <a:pt x="306388" y="1028580"/>
                  <a:pt x="314537" y="1036384"/>
                  <a:pt x="289560" y="1025476"/>
                </a:cubicBezTo>
                <a:cubicBezTo>
                  <a:pt x="264583" y="1014568"/>
                  <a:pt x="252518" y="969913"/>
                  <a:pt x="210185" y="934988"/>
                </a:cubicBezTo>
                <a:cubicBezTo>
                  <a:pt x="167852" y="900063"/>
                  <a:pt x="132503" y="831582"/>
                  <a:pt x="97472" y="782588"/>
                </a:cubicBezTo>
                <a:lnTo>
                  <a:pt x="0" y="610863"/>
                </a:lnTo>
                <a:cubicBezTo>
                  <a:pt x="22437" y="565976"/>
                  <a:pt x="75035" y="467113"/>
                  <a:pt x="97472" y="422226"/>
                </a:cubicBezTo>
                <a:lnTo>
                  <a:pt x="205740" y="252723"/>
                </a:lnTo>
                <a:lnTo>
                  <a:pt x="243840" y="138423"/>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oneCellAnchor>
    <xdr:from>
      <xdr:col>8</xdr:col>
      <xdr:colOff>1067954</xdr:colOff>
      <xdr:row>243</xdr:row>
      <xdr:rowOff>17318</xdr:rowOff>
    </xdr:from>
    <xdr:ext cx="708912" cy="311496"/>
    <xdr:sp macro="" textlink="">
      <xdr:nvSpPr>
        <xdr:cNvPr id="12" name="TextBox 11"/>
        <xdr:cNvSpPr txBox="1"/>
      </xdr:nvSpPr>
      <xdr:spPr>
        <a:xfrm>
          <a:off x="7891318" y="51885273"/>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A Wing</a:t>
          </a:r>
        </a:p>
      </xdr:txBody>
    </xdr:sp>
    <xdr:clientData/>
  </xdr:oneCellAnchor>
  <xdr:twoCellAnchor>
    <xdr:from>
      <xdr:col>0</xdr:col>
      <xdr:colOff>173182</xdr:colOff>
      <xdr:row>238</xdr:row>
      <xdr:rowOff>80818</xdr:rowOff>
    </xdr:from>
    <xdr:to>
      <xdr:col>7</xdr:col>
      <xdr:colOff>531443</xdr:colOff>
      <xdr:row>275</xdr:row>
      <xdr:rowOff>109192</xdr:rowOff>
    </xdr:to>
    <xdr:grpSp>
      <xdr:nvGrpSpPr>
        <xdr:cNvPr id="13" name="Group 12"/>
        <xdr:cNvGrpSpPr/>
      </xdr:nvGrpSpPr>
      <xdr:grpSpPr>
        <a:xfrm>
          <a:off x="173182" y="51175227"/>
          <a:ext cx="6442716" cy="7284692"/>
          <a:chOff x="173182" y="50973182"/>
          <a:chExt cx="6442716" cy="7284692"/>
        </a:xfrm>
      </xdr:grpSpPr>
      <xdr:pic>
        <xdr:nvPicPr>
          <xdr:cNvPr id="19" name="Picture 1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998148" y="56097874"/>
            <a:ext cx="1617750" cy="2160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432118" y="53823528"/>
            <a:ext cx="2876000" cy="216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563297" y="50973182"/>
            <a:ext cx="2049150" cy="2736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17373" y="53823528"/>
            <a:ext cx="2876000" cy="216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369965" y="50973182"/>
            <a:ext cx="2049150" cy="2736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214790" y="56097874"/>
            <a:ext cx="1617750" cy="216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73182" y="50973182"/>
            <a:ext cx="2049150" cy="2736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73182" y="56097874"/>
            <a:ext cx="2876000" cy="2160000"/>
          </a:xfrm>
          <a:prstGeom prst="rect">
            <a:avLst/>
          </a:prstGeom>
          <a:ln>
            <a:solidFill>
              <a:schemeClr val="tx1"/>
            </a:solidFill>
          </a:ln>
        </xdr:spPr>
      </xdr:pic>
      <xdr:sp macro="" textlink="">
        <xdr:nvSpPr>
          <xdr:cNvPr id="28" name="TextBox 27"/>
          <xdr:cNvSpPr txBox="1"/>
        </xdr:nvSpPr>
        <xdr:spPr>
          <a:xfrm>
            <a:off x="1316182" y="51204091"/>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36" name="TextBox 35"/>
          <xdr:cNvSpPr txBox="1"/>
        </xdr:nvSpPr>
        <xdr:spPr>
          <a:xfrm>
            <a:off x="3403283" y="51186773"/>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37" name="TextBox 36"/>
          <xdr:cNvSpPr txBox="1"/>
        </xdr:nvSpPr>
        <xdr:spPr>
          <a:xfrm>
            <a:off x="4713388" y="51100182"/>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 Wing</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yKzPkiHwxB8idLe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22"/>
  <sheetViews>
    <sheetView tabSelected="1" view="pageBreakPreview" zoomScale="110" zoomScaleNormal="100" zoomScaleSheetLayoutView="110" zoomScalePageLayoutView="85" workbookViewId="0">
      <selection activeCell="E9" sqref="E9:H9"/>
    </sheetView>
  </sheetViews>
  <sheetFormatPr defaultColWidth="9.1796875" defaultRowHeight="15.5" x14ac:dyDescent="0.35"/>
  <cols>
    <col min="1" max="1" width="11.453125" style="40" customWidth="1"/>
    <col min="2" max="2" width="12" style="40" customWidth="1"/>
    <col min="3" max="3" width="14.453125" style="40" customWidth="1"/>
    <col min="4" max="4" width="14.1796875" style="40" customWidth="1"/>
    <col min="5" max="6" width="11.7265625" style="40" customWidth="1"/>
    <col min="7" max="7" width="11.453125" style="40" customWidth="1"/>
    <col min="8" max="8" width="10.54296875" style="40" customWidth="1"/>
    <col min="9" max="9" width="17.453125" style="21" customWidth="1"/>
    <col min="10" max="10" width="11.453125" style="21" customWidth="1"/>
    <col min="11" max="11" width="10.54296875" style="21" bestFit="1" customWidth="1"/>
    <col min="12" max="12" width="10.54296875" style="21" customWidth="1"/>
    <col min="13" max="13" width="11.81640625" style="21" customWidth="1"/>
    <col min="14" max="14" width="12.54296875" style="21" customWidth="1"/>
    <col min="15" max="15" width="9.81640625" style="21" customWidth="1"/>
    <col min="16" max="16" width="11.7265625" style="21" customWidth="1"/>
    <col min="17"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80" t="s">
        <v>162</v>
      </c>
      <c r="B1" s="180"/>
      <c r="C1" s="180"/>
      <c r="D1" s="180"/>
      <c r="E1" s="180"/>
      <c r="F1" s="180"/>
      <c r="G1" s="180"/>
      <c r="H1" s="180"/>
    </row>
    <row r="2" spans="1:26" ht="16.5" customHeight="1" x14ac:dyDescent="0.35">
      <c r="A2" s="113" t="s">
        <v>0</v>
      </c>
      <c r="B2" s="113"/>
      <c r="C2" s="113"/>
      <c r="D2" s="113"/>
      <c r="E2" s="113"/>
      <c r="F2" s="113"/>
      <c r="G2" s="113"/>
      <c r="H2" s="113"/>
    </row>
    <row r="3" spans="1:26" x14ac:dyDescent="0.35">
      <c r="A3" s="137" t="s">
        <v>1</v>
      </c>
      <c r="B3" s="137"/>
      <c r="C3" s="137"/>
      <c r="D3" s="137"/>
      <c r="E3" s="137" t="str">
        <f ca="1">TEXT(TODAY(),"DD/MM/YYYY")</f>
        <v>08/08/2025</v>
      </c>
      <c r="F3" s="137"/>
      <c r="G3" s="137"/>
      <c r="H3" s="137"/>
    </row>
    <row r="4" spans="1:26" ht="15" customHeight="1" x14ac:dyDescent="0.35">
      <c r="A4" s="137" t="s">
        <v>2</v>
      </c>
      <c r="B4" s="137"/>
      <c r="C4" s="137"/>
      <c r="D4" s="137"/>
      <c r="E4" s="137" t="s">
        <v>229</v>
      </c>
      <c r="F4" s="137"/>
      <c r="G4" s="137"/>
      <c r="H4" s="137"/>
    </row>
    <row r="5" spans="1:26" x14ac:dyDescent="0.35">
      <c r="A5" s="137" t="s">
        <v>3</v>
      </c>
      <c r="B5" s="137"/>
      <c r="C5" s="137"/>
      <c r="D5" s="137"/>
      <c r="E5" s="182">
        <v>45857</v>
      </c>
      <c r="F5" s="137"/>
      <c r="G5" s="137"/>
      <c r="H5" s="137"/>
    </row>
    <row r="6" spans="1:26" ht="16.5" customHeight="1" x14ac:dyDescent="0.35">
      <c r="A6" s="137" t="s">
        <v>4</v>
      </c>
      <c r="B6" s="137"/>
      <c r="C6" s="137"/>
      <c r="D6" s="137"/>
      <c r="E6" s="137" t="s">
        <v>230</v>
      </c>
      <c r="F6" s="137"/>
      <c r="G6" s="137"/>
      <c r="H6" s="137"/>
    </row>
    <row r="7" spans="1:26" ht="15" customHeight="1" x14ac:dyDescent="0.35">
      <c r="A7" s="137" t="s">
        <v>5</v>
      </c>
      <c r="B7" s="137"/>
      <c r="C7" s="137"/>
      <c r="D7" s="137"/>
      <c r="E7" s="137" t="str">
        <f>E6</f>
        <v>M/s. Greenpath Realty Private Limited</v>
      </c>
      <c r="F7" s="137"/>
      <c r="G7" s="137"/>
      <c r="H7" s="137"/>
    </row>
    <row r="8" spans="1:26" x14ac:dyDescent="0.35">
      <c r="A8" s="137" t="s">
        <v>6</v>
      </c>
      <c r="B8" s="137"/>
      <c r="C8" s="137"/>
      <c r="D8" s="137"/>
      <c r="E8" s="181" t="s">
        <v>231</v>
      </c>
      <c r="F8" s="181"/>
      <c r="G8" s="181"/>
      <c r="H8" s="181"/>
    </row>
    <row r="9" spans="1:26" x14ac:dyDescent="0.35">
      <c r="A9" s="137" t="s">
        <v>165</v>
      </c>
      <c r="B9" s="137"/>
      <c r="C9" s="137"/>
      <c r="D9" s="137"/>
      <c r="E9" s="137" t="s">
        <v>273</v>
      </c>
      <c r="F9" s="137"/>
      <c r="G9" s="137"/>
      <c r="H9" s="137"/>
    </row>
    <row r="10" spans="1:26" x14ac:dyDescent="0.35">
      <c r="A10" s="137" t="s">
        <v>166</v>
      </c>
      <c r="B10" s="137"/>
      <c r="C10" s="137"/>
      <c r="D10" s="137"/>
      <c r="E10" s="137" t="s">
        <v>284</v>
      </c>
      <c r="F10" s="137"/>
      <c r="G10" s="137"/>
      <c r="H10" s="137"/>
    </row>
    <row r="11" spans="1:26" ht="32.25" customHeight="1" x14ac:dyDescent="0.35">
      <c r="A11" s="137" t="s">
        <v>7</v>
      </c>
      <c r="B11" s="137"/>
      <c r="C11" s="137"/>
      <c r="D11" s="137"/>
      <c r="E11" s="136" t="s">
        <v>252</v>
      </c>
      <c r="F11" s="137"/>
      <c r="G11" s="137"/>
      <c r="H11" s="137"/>
    </row>
    <row r="12" spans="1:26" x14ac:dyDescent="0.35">
      <c r="A12" s="137" t="s">
        <v>168</v>
      </c>
      <c r="B12" s="137"/>
      <c r="C12" s="137"/>
      <c r="D12" s="137"/>
      <c r="E12" s="137" t="s">
        <v>29</v>
      </c>
      <c r="F12" s="137"/>
      <c r="G12" s="137"/>
      <c r="H12" s="137"/>
      <c r="S12" s="57" t="s">
        <v>176</v>
      </c>
      <c r="T12" s="57" t="s">
        <v>186</v>
      </c>
      <c r="U12" s="57" t="s">
        <v>169</v>
      </c>
      <c r="V12" s="57" t="s">
        <v>191</v>
      </c>
      <c r="W12" s="57" t="s">
        <v>209</v>
      </c>
      <c r="X12"/>
      <c r="Y12" t="s">
        <v>191</v>
      </c>
      <c r="Z12" t="e">
        <f ca="1">OFFSET($S$12,1,MATCH($G19,$S$12:$W$12,0)-1,15,1)</f>
        <v>#VALUE!</v>
      </c>
    </row>
    <row r="13" spans="1:26" ht="33.75" customHeight="1" x14ac:dyDescent="0.35">
      <c r="A13" s="115" t="s">
        <v>8</v>
      </c>
      <c r="B13" s="115"/>
      <c r="C13" s="115"/>
      <c r="D13" s="115"/>
      <c r="E13" s="136" t="s">
        <v>281</v>
      </c>
      <c r="F13" s="136"/>
      <c r="G13" s="136"/>
      <c r="H13" s="136"/>
      <c r="S13" s="57" t="s">
        <v>177</v>
      </c>
      <c r="T13" s="57" t="s">
        <v>184</v>
      </c>
      <c r="U13" s="57" t="s">
        <v>206</v>
      </c>
      <c r="V13" s="57" t="s">
        <v>192</v>
      </c>
      <c r="W13" s="57" t="s">
        <v>210</v>
      </c>
      <c r="X13"/>
      <c r="Y13"/>
      <c r="Z13"/>
    </row>
    <row r="14" spans="1:26" x14ac:dyDescent="0.35">
      <c r="A14" s="115" t="s">
        <v>9</v>
      </c>
      <c r="B14" s="115"/>
      <c r="C14" s="115"/>
      <c r="D14" s="115"/>
      <c r="E14" s="136" t="s">
        <v>236</v>
      </c>
      <c r="F14" s="137"/>
      <c r="G14" s="137"/>
      <c r="H14" s="137"/>
      <c r="I14" s="110" t="e">
        <f ca="1">OFFSET($D$4,1,MATCH($J12,$D$4:$H$4,0)-1,15,1)</f>
        <v>#N/A</v>
      </c>
      <c r="J14" s="111"/>
      <c r="K14" s="111"/>
      <c r="L14" s="111"/>
      <c r="M14" s="111"/>
      <c r="N14" s="111"/>
      <c r="O14" s="111"/>
      <c r="P14" s="111"/>
      <c r="S14" s="57" t="s">
        <v>178</v>
      </c>
      <c r="T14" s="57" t="s">
        <v>185</v>
      </c>
      <c r="U14" s="57" t="s">
        <v>207</v>
      </c>
      <c r="V14" s="57" t="s">
        <v>193</v>
      </c>
      <c r="W14" s="57" t="s">
        <v>223</v>
      </c>
      <c r="X14"/>
      <c r="Y14"/>
      <c r="Z14"/>
    </row>
    <row r="15" spans="1:26" ht="34.5" customHeight="1" x14ac:dyDescent="0.35">
      <c r="A15" s="122" t="s">
        <v>10</v>
      </c>
      <c r="B15" s="122"/>
      <c r="C15" s="122" t="str">
        <f>CONCATENATE((IF(OR(E8="",E8="NA"),"",E8)),", ",(IF(OR(A16="",A16="NA"),"",A16)),".",(IF(OR(C16="",C16="NA"),"",C16)),", near ",(IF(OR(C21="",C21="NA"),"",C21)),", ",(IF(OR(C18="",C18="NA"),"",C18)),", ",(IF(OR(C17="",C17="NA"),"",C17)),", ",(IF(OR(G18="",G18="NA"),"",G18)),", ",(IF(OR(C19="",C19="NA"),"",C19)),", ",(IF(OR(C20="",C20="NA"),"",C20)),", ",(IF(OR(G19="",G19="NA"),"",G19))," - ",(IF(OR(G20="",G20="NA"),"",G20)),".")</f>
        <v>Anant Serene Park, Survey No.140/2, near Vardoli lake &amp; ZP School, Interal Road, Wardoli, Wardoli, Mohope East, Panvel, Raigad - 410206.</v>
      </c>
      <c r="D15" s="122"/>
      <c r="E15" s="122"/>
      <c r="F15" s="122"/>
      <c r="G15" s="122"/>
      <c r="H15" s="122"/>
      <c r="S15" s="57" t="s">
        <v>179</v>
      </c>
      <c r="T15" s="57" t="s">
        <v>187</v>
      </c>
      <c r="U15" s="57" t="s">
        <v>208</v>
      </c>
      <c r="V15" s="57" t="s">
        <v>194</v>
      </c>
      <c r="W15" s="57" t="s">
        <v>211</v>
      </c>
      <c r="X15"/>
      <c r="Y15"/>
      <c r="Z15"/>
    </row>
    <row r="16" spans="1:26" x14ac:dyDescent="0.35">
      <c r="A16" s="136" t="s">
        <v>237</v>
      </c>
      <c r="B16" s="136"/>
      <c r="C16" s="136" t="s">
        <v>238</v>
      </c>
      <c r="D16" s="136"/>
      <c r="E16" s="136"/>
      <c r="F16" s="136"/>
      <c r="G16" s="136"/>
      <c r="H16" s="136"/>
      <c r="S16" s="57" t="s">
        <v>180</v>
      </c>
      <c r="T16" s="57" t="s">
        <v>188</v>
      </c>
      <c r="U16" s="57"/>
      <c r="V16" s="57" t="s">
        <v>195</v>
      </c>
      <c r="W16" s="57" t="s">
        <v>212</v>
      </c>
      <c r="X16"/>
      <c r="Y16"/>
      <c r="Z16"/>
    </row>
    <row r="17" spans="1:26" ht="15.75" customHeight="1" x14ac:dyDescent="0.35">
      <c r="A17" s="136" t="s">
        <v>160</v>
      </c>
      <c r="B17" s="136"/>
      <c r="C17" s="136" t="s">
        <v>239</v>
      </c>
      <c r="D17" s="136"/>
      <c r="E17" s="136"/>
      <c r="F17" s="136"/>
      <c r="G17" s="136"/>
      <c r="H17" s="136"/>
      <c r="S17" s="57" t="s">
        <v>181</v>
      </c>
      <c r="T17" s="57" t="s">
        <v>186</v>
      </c>
      <c r="U17" s="57"/>
      <c r="V17" s="57" t="s">
        <v>196</v>
      </c>
      <c r="W17" s="57" t="s">
        <v>213</v>
      </c>
      <c r="X17"/>
      <c r="Y17"/>
      <c r="Z17"/>
    </row>
    <row r="18" spans="1:26" ht="15.75" customHeight="1" x14ac:dyDescent="0.35">
      <c r="A18" s="122" t="s">
        <v>11</v>
      </c>
      <c r="B18" s="122"/>
      <c r="C18" s="137" t="s">
        <v>240</v>
      </c>
      <c r="D18" s="137"/>
      <c r="E18" s="122" t="s">
        <v>72</v>
      </c>
      <c r="F18" s="122"/>
      <c r="G18" s="136" t="s">
        <v>239</v>
      </c>
      <c r="H18" s="136"/>
      <c r="S18" s="57" t="s">
        <v>182</v>
      </c>
      <c r="T18" s="57" t="s">
        <v>189</v>
      </c>
      <c r="U18" s="57"/>
      <c r="V18" s="57" t="s">
        <v>197</v>
      </c>
      <c r="W18" s="57" t="s">
        <v>214</v>
      </c>
      <c r="X18"/>
      <c r="Y18"/>
      <c r="Z18"/>
    </row>
    <row r="19" spans="1:26" x14ac:dyDescent="0.35">
      <c r="A19" s="115" t="s">
        <v>13</v>
      </c>
      <c r="B19" s="115"/>
      <c r="C19" s="136" t="s">
        <v>235</v>
      </c>
      <c r="D19" s="136"/>
      <c r="E19" s="136" t="s">
        <v>12</v>
      </c>
      <c r="F19" s="136"/>
      <c r="G19" s="183" t="s">
        <v>191</v>
      </c>
      <c r="H19" s="183"/>
      <c r="S19" s="57" t="s">
        <v>183</v>
      </c>
      <c r="T19" s="57" t="s">
        <v>190</v>
      </c>
      <c r="U19" s="57"/>
      <c r="V19" s="57" t="s">
        <v>198</v>
      </c>
      <c r="W19" s="57" t="s">
        <v>215</v>
      </c>
      <c r="X19"/>
      <c r="Y19"/>
      <c r="Z19"/>
    </row>
    <row r="20" spans="1:26" x14ac:dyDescent="0.35">
      <c r="A20" s="115" t="s">
        <v>73</v>
      </c>
      <c r="B20" s="115"/>
      <c r="C20" s="136" t="s">
        <v>193</v>
      </c>
      <c r="D20" s="136"/>
      <c r="E20" s="136" t="s">
        <v>14</v>
      </c>
      <c r="F20" s="136"/>
      <c r="G20" s="136">
        <v>410206</v>
      </c>
      <c r="H20" s="136"/>
      <c r="S20" s="57"/>
      <c r="T20" s="57"/>
      <c r="U20" s="57"/>
      <c r="V20" s="57" t="s">
        <v>199</v>
      </c>
      <c r="W20" s="57" t="s">
        <v>216</v>
      </c>
      <c r="X20"/>
      <c r="Y20"/>
      <c r="Z20"/>
    </row>
    <row r="21" spans="1:26" ht="32.25" customHeight="1" x14ac:dyDescent="0.35">
      <c r="A21" s="115" t="s">
        <v>118</v>
      </c>
      <c r="B21" s="115"/>
      <c r="C21" s="136" t="s">
        <v>274</v>
      </c>
      <c r="D21" s="136"/>
      <c r="E21" s="136" t="s">
        <v>15</v>
      </c>
      <c r="F21" s="136"/>
      <c r="G21" s="136" t="s">
        <v>234</v>
      </c>
      <c r="H21" s="136"/>
      <c r="S21" s="57"/>
      <c r="T21" s="57"/>
      <c r="U21" s="57"/>
      <c r="V21" s="57" t="s">
        <v>200</v>
      </c>
      <c r="W21" s="57" t="s">
        <v>217</v>
      </c>
      <c r="X21"/>
      <c r="Y21"/>
      <c r="Z21"/>
    </row>
    <row r="22" spans="1:26" ht="15" customHeight="1" x14ac:dyDescent="0.35">
      <c r="A22" s="122" t="s">
        <v>74</v>
      </c>
      <c r="B22" s="122"/>
      <c r="C22" s="122"/>
      <c r="D22" s="122"/>
      <c r="E22" s="137" t="s">
        <v>16</v>
      </c>
      <c r="F22" s="137"/>
      <c r="G22" s="137"/>
      <c r="H22" s="137"/>
      <c r="S22" s="57"/>
      <c r="T22" s="57"/>
      <c r="U22" s="57"/>
      <c r="V22" s="57" t="s">
        <v>201</v>
      </c>
      <c r="W22" s="57" t="s">
        <v>218</v>
      </c>
      <c r="X22"/>
      <c r="Y22"/>
      <c r="Z22"/>
    </row>
    <row r="23" spans="1:26" ht="18.75" customHeight="1" x14ac:dyDescent="0.35">
      <c r="A23" s="122"/>
      <c r="B23" s="122"/>
      <c r="C23" s="122"/>
      <c r="D23" s="122"/>
      <c r="E23" s="137"/>
      <c r="F23" s="137"/>
      <c r="G23" s="137"/>
      <c r="H23" s="137"/>
      <c r="S23" s="57"/>
      <c r="T23" s="57"/>
      <c r="U23" s="57"/>
      <c r="V23" s="57" t="s">
        <v>202</v>
      </c>
      <c r="W23" s="57" t="s">
        <v>219</v>
      </c>
      <c r="X23"/>
      <c r="Y23"/>
      <c r="Z23"/>
    </row>
    <row r="24" spans="1:26" ht="15" customHeight="1" x14ac:dyDescent="0.35">
      <c r="A24" s="122" t="s">
        <v>17</v>
      </c>
      <c r="B24" s="122"/>
      <c r="C24" s="122"/>
      <c r="D24" s="122"/>
      <c r="E24" s="136" t="s">
        <v>18</v>
      </c>
      <c r="F24" s="136"/>
      <c r="G24" s="136"/>
      <c r="H24" s="136"/>
      <c r="S24" s="57"/>
      <c r="T24" s="57"/>
      <c r="U24" s="57"/>
      <c r="V24" s="57" t="s">
        <v>203</v>
      </c>
      <c r="W24" s="57" t="s">
        <v>220</v>
      </c>
      <c r="X24"/>
      <c r="Y24"/>
      <c r="Z24"/>
    </row>
    <row r="25" spans="1:26" ht="15" customHeight="1" x14ac:dyDescent="0.35">
      <c r="A25" s="115" t="s">
        <v>19</v>
      </c>
      <c r="B25" s="115"/>
      <c r="C25" s="115"/>
      <c r="D25" s="115"/>
      <c r="E25" s="136" t="str">
        <f>IF(AND(G19="Mumbai"),"Upper Class","Middle Class")</f>
        <v>Middle Class</v>
      </c>
      <c r="F25" s="136"/>
      <c r="G25" s="136"/>
      <c r="H25" s="136"/>
      <c r="S25" s="57"/>
      <c r="T25" s="57"/>
      <c r="U25" s="57"/>
      <c r="V25" s="57" t="s">
        <v>204</v>
      </c>
      <c r="W25" s="57" t="s">
        <v>221</v>
      </c>
      <c r="X25"/>
      <c r="Y25"/>
      <c r="Z25"/>
    </row>
    <row r="26" spans="1:26" x14ac:dyDescent="0.35">
      <c r="A26" s="115" t="s">
        <v>20</v>
      </c>
      <c r="B26" s="115"/>
      <c r="C26" s="115"/>
      <c r="D26" s="115"/>
      <c r="E26" s="136" t="s">
        <v>21</v>
      </c>
      <c r="F26" s="136"/>
      <c r="G26" s="136"/>
      <c r="H26" s="136"/>
      <c r="S26" s="57"/>
      <c r="T26" s="57"/>
      <c r="U26" s="57"/>
      <c r="V26" s="57" t="s">
        <v>205</v>
      </c>
      <c r="W26" s="57" t="s">
        <v>222</v>
      </c>
      <c r="X26"/>
      <c r="Y26"/>
      <c r="Z26"/>
    </row>
    <row r="27" spans="1:26" ht="15.75" customHeight="1" x14ac:dyDescent="0.35">
      <c r="A27" s="115" t="s">
        <v>22</v>
      </c>
      <c r="B27" s="115"/>
      <c r="C27" s="115"/>
      <c r="D27" s="115"/>
      <c r="E27" s="136" t="str">
        <f>IF(AND(G19="Mumbai"),"Developed","Developing")</f>
        <v>Developing</v>
      </c>
      <c r="F27" s="136"/>
      <c r="G27" s="136"/>
      <c r="H27" s="136"/>
    </row>
    <row r="28" spans="1:26" x14ac:dyDescent="0.35">
      <c r="A28" s="115" t="s">
        <v>23</v>
      </c>
      <c r="B28" s="115"/>
      <c r="C28" s="115"/>
      <c r="D28" s="115"/>
      <c r="E28" s="136" t="s">
        <v>24</v>
      </c>
      <c r="F28" s="136"/>
      <c r="G28" s="136"/>
      <c r="H28" s="136"/>
    </row>
    <row r="29" spans="1:26" ht="15.75" customHeight="1" x14ac:dyDescent="0.35">
      <c r="A29" s="115" t="s">
        <v>79</v>
      </c>
      <c r="B29" s="115"/>
      <c r="C29" s="115"/>
      <c r="D29" s="115"/>
      <c r="E29" s="136" t="s">
        <v>80</v>
      </c>
      <c r="F29" s="136"/>
      <c r="G29" s="136"/>
      <c r="H29" s="136"/>
    </row>
    <row r="30" spans="1:26" ht="15" customHeight="1" x14ac:dyDescent="0.35">
      <c r="A30" s="115" t="s">
        <v>32</v>
      </c>
      <c r="B30" s="115"/>
      <c r="C30" s="115"/>
      <c r="D30" s="115"/>
      <c r="E30" s="136"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 + Commercial</v>
      </c>
      <c r="F30" s="136"/>
      <c r="G30" s="136"/>
      <c r="H30" s="136"/>
    </row>
    <row r="31" spans="1:26" ht="15.75" customHeight="1" x14ac:dyDescent="0.35">
      <c r="A31" s="115" t="s">
        <v>89</v>
      </c>
      <c r="B31" s="115"/>
      <c r="C31" s="115"/>
      <c r="D31" s="115"/>
      <c r="E31" s="136" t="s">
        <v>33</v>
      </c>
      <c r="F31" s="136"/>
      <c r="G31" s="136"/>
      <c r="H31" s="136"/>
    </row>
    <row r="32" spans="1:26" s="22" customFormat="1" x14ac:dyDescent="0.35">
      <c r="A32" s="188" t="s">
        <v>90</v>
      </c>
      <c r="B32" s="188"/>
      <c r="C32" s="186" t="s">
        <v>170</v>
      </c>
      <c r="D32" s="186"/>
      <c r="E32" s="186"/>
      <c r="F32" s="186" t="s">
        <v>30</v>
      </c>
      <c r="G32" s="186"/>
      <c r="H32" s="186"/>
    </row>
    <row r="33" spans="1:8" s="22" customFormat="1" x14ac:dyDescent="0.35">
      <c r="A33" s="187" t="s">
        <v>25</v>
      </c>
      <c r="B33" s="187" t="s">
        <v>29</v>
      </c>
      <c r="C33" s="189" t="s">
        <v>244</v>
      </c>
      <c r="D33" s="189"/>
      <c r="E33" s="189"/>
      <c r="F33" s="189" t="s">
        <v>242</v>
      </c>
      <c r="G33" s="189"/>
      <c r="H33" s="189"/>
    </row>
    <row r="34" spans="1:8" x14ac:dyDescent="0.35">
      <c r="A34" s="187" t="s">
        <v>26</v>
      </c>
      <c r="B34" s="187" t="s">
        <v>29</v>
      </c>
      <c r="C34" s="189" t="s">
        <v>245</v>
      </c>
      <c r="D34" s="189"/>
      <c r="E34" s="189"/>
      <c r="F34" s="189" t="s">
        <v>275</v>
      </c>
      <c r="G34" s="189"/>
      <c r="H34" s="189"/>
    </row>
    <row r="35" spans="1:8" s="22" customFormat="1" ht="34.5" customHeight="1" x14ac:dyDescent="0.35">
      <c r="A35" s="184" t="s">
        <v>28</v>
      </c>
      <c r="B35" s="184" t="s">
        <v>29</v>
      </c>
      <c r="C35" s="185" t="s">
        <v>243</v>
      </c>
      <c r="D35" s="185"/>
      <c r="E35" s="185"/>
      <c r="F35" s="184" t="s">
        <v>241</v>
      </c>
      <c r="G35" s="184"/>
      <c r="H35" s="184"/>
    </row>
    <row r="36" spans="1:8" ht="34.5" customHeight="1" x14ac:dyDescent="0.35">
      <c r="A36" s="184" t="s">
        <v>27</v>
      </c>
      <c r="B36" s="184" t="s">
        <v>29</v>
      </c>
      <c r="C36" s="185" t="s">
        <v>246</v>
      </c>
      <c r="D36" s="185"/>
      <c r="E36" s="185"/>
      <c r="F36" s="184" t="s">
        <v>276</v>
      </c>
      <c r="G36" s="184"/>
      <c r="H36" s="184"/>
    </row>
    <row r="37" spans="1:8" x14ac:dyDescent="0.35">
      <c r="A37" s="115" t="s">
        <v>31</v>
      </c>
      <c r="B37" s="115"/>
      <c r="C37" s="115"/>
      <c r="D37" s="115"/>
      <c r="E37" s="115"/>
      <c r="F37" s="115"/>
      <c r="G37" s="115"/>
      <c r="H37" s="115"/>
    </row>
    <row r="38" spans="1:8" ht="15.75" customHeight="1" x14ac:dyDescent="0.35">
      <c r="A38" s="115" t="s">
        <v>163</v>
      </c>
      <c r="B38" s="115"/>
      <c r="C38" s="169" t="s">
        <v>232</v>
      </c>
      <c r="D38" s="169"/>
      <c r="E38" s="169"/>
      <c r="F38" s="169"/>
      <c r="G38" s="169"/>
      <c r="H38" s="169"/>
    </row>
    <row r="39" spans="1:8" x14ac:dyDescent="0.35">
      <c r="A39" s="115" t="s">
        <v>159</v>
      </c>
      <c r="B39" s="115"/>
      <c r="C39" s="223" t="s">
        <v>233</v>
      </c>
      <c r="D39" s="136"/>
      <c r="E39" s="136"/>
      <c r="F39" s="136"/>
      <c r="G39" s="136"/>
      <c r="H39" s="136"/>
    </row>
    <row r="40" spans="1:8" x14ac:dyDescent="0.35">
      <c r="A40" s="169" t="s">
        <v>34</v>
      </c>
      <c r="B40" s="169"/>
      <c r="C40" s="169"/>
      <c r="D40" s="169"/>
      <c r="E40" s="169"/>
      <c r="F40" s="169"/>
      <c r="G40" s="169"/>
      <c r="H40" s="169"/>
    </row>
    <row r="41" spans="1:8" x14ac:dyDescent="0.35">
      <c r="A41" s="115" t="s">
        <v>35</v>
      </c>
      <c r="B41" s="115"/>
      <c r="C41" s="115"/>
      <c r="D41" s="115"/>
      <c r="E41" s="190">
        <v>9463.77</v>
      </c>
      <c r="F41" s="190"/>
      <c r="G41" s="190"/>
      <c r="H41" s="190"/>
    </row>
    <row r="42" spans="1:8" x14ac:dyDescent="0.35">
      <c r="A42" s="115" t="s">
        <v>282</v>
      </c>
      <c r="B42" s="115"/>
      <c r="C42" s="115"/>
      <c r="D42" s="115"/>
      <c r="E42" s="123">
        <v>1</v>
      </c>
      <c r="F42" s="123"/>
      <c r="G42" s="123"/>
      <c r="H42" s="123"/>
    </row>
    <row r="43" spans="1:8" x14ac:dyDescent="0.35">
      <c r="A43" s="115" t="s">
        <v>36</v>
      </c>
      <c r="B43" s="115"/>
      <c r="C43" s="115"/>
      <c r="D43" s="115"/>
      <c r="E43" s="193">
        <f>E45/E41-E42</f>
        <v>-3.3918829388288607E-3</v>
      </c>
      <c r="F43" s="193"/>
      <c r="G43" s="193"/>
      <c r="H43" s="193"/>
    </row>
    <row r="44" spans="1:8" x14ac:dyDescent="0.35">
      <c r="A44" s="115" t="s">
        <v>37</v>
      </c>
      <c r="B44" s="115"/>
      <c r="C44" s="115"/>
      <c r="D44" s="115"/>
      <c r="E44" s="193">
        <f>E42+E43</f>
        <v>0.99660811706117114</v>
      </c>
      <c r="F44" s="193"/>
      <c r="G44" s="193"/>
      <c r="H44" s="193"/>
    </row>
    <row r="45" spans="1:8" x14ac:dyDescent="0.35">
      <c r="A45" s="115" t="s">
        <v>283</v>
      </c>
      <c r="B45" s="115"/>
      <c r="C45" s="115"/>
      <c r="D45" s="115"/>
      <c r="E45" s="194">
        <v>9431.67</v>
      </c>
      <c r="F45" s="194"/>
      <c r="G45" s="194"/>
      <c r="H45" s="194"/>
    </row>
    <row r="46" spans="1:8" x14ac:dyDescent="0.35">
      <c r="A46" s="137" t="s">
        <v>38</v>
      </c>
      <c r="B46" s="137"/>
      <c r="C46" s="137"/>
      <c r="D46" s="137"/>
      <c r="E46" s="145" t="s">
        <v>249</v>
      </c>
      <c r="F46" s="145"/>
      <c r="G46" s="145"/>
      <c r="H46" s="145"/>
    </row>
    <row r="47" spans="1:8" x14ac:dyDescent="0.35">
      <c r="A47" s="169" t="s">
        <v>39</v>
      </c>
      <c r="B47" s="169"/>
      <c r="C47" s="169"/>
      <c r="D47" s="169"/>
      <c r="E47" s="169"/>
      <c r="F47" s="169"/>
      <c r="G47" s="169"/>
      <c r="H47" s="169"/>
    </row>
    <row r="48" spans="1:8" ht="33.75" customHeight="1" x14ac:dyDescent="0.35">
      <c r="A48" s="131" t="s">
        <v>147</v>
      </c>
      <c r="B48" s="132"/>
      <c r="C48" s="224" t="s">
        <v>247</v>
      </c>
      <c r="D48" s="225"/>
      <c r="E48" s="225"/>
      <c r="F48" s="225"/>
      <c r="G48" s="225"/>
      <c r="H48" s="226"/>
    </row>
    <row r="49" spans="1:14" ht="31.5" customHeight="1" x14ac:dyDescent="0.35">
      <c r="A49" s="131" t="s">
        <v>40</v>
      </c>
      <c r="B49" s="132"/>
      <c r="C49" s="131" t="s">
        <v>248</v>
      </c>
      <c r="D49" s="133"/>
      <c r="E49" s="132"/>
      <c r="F49" s="18" t="s">
        <v>41</v>
      </c>
      <c r="G49" s="134">
        <v>45141</v>
      </c>
      <c r="H49" s="132"/>
    </row>
    <row r="50" spans="1:14" ht="30" customHeight="1" x14ac:dyDescent="0.35">
      <c r="A50" s="131" t="s">
        <v>42</v>
      </c>
      <c r="B50" s="132"/>
      <c r="C50" s="131" t="str">
        <f>C49</f>
        <v>CIDCO/NAINA/Panvel/Wardoli/BP-00603/CC/2023/0410</v>
      </c>
      <c r="D50" s="133"/>
      <c r="E50" s="132"/>
      <c r="F50" s="18" t="s">
        <v>41</v>
      </c>
      <c r="G50" s="134">
        <f>G49</f>
        <v>45141</v>
      </c>
      <c r="H50" s="132"/>
    </row>
    <row r="51" spans="1:14" s="23" customFormat="1" ht="36.75" customHeight="1" x14ac:dyDescent="0.35">
      <c r="A51" s="200" t="s">
        <v>151</v>
      </c>
      <c r="B51" s="201"/>
      <c r="C51" s="131" t="str">
        <f>C50</f>
        <v>CIDCO/NAINA/Panvel/Wardoli/BP-00603/CC/2023/0410</v>
      </c>
      <c r="D51" s="133"/>
      <c r="E51" s="132"/>
      <c r="F51" s="18" t="s">
        <v>41</v>
      </c>
      <c r="G51" s="134">
        <f>G50</f>
        <v>45141</v>
      </c>
      <c r="H51" s="132"/>
    </row>
    <row r="52" spans="1:14" s="23" customFormat="1" ht="50.25" customHeight="1" x14ac:dyDescent="0.35">
      <c r="A52" s="202"/>
      <c r="B52" s="203"/>
      <c r="C52" s="231" t="s">
        <v>278</v>
      </c>
      <c r="D52" s="232"/>
      <c r="E52" s="232"/>
      <c r="F52" s="232"/>
      <c r="G52" s="232"/>
      <c r="H52" s="233"/>
    </row>
    <row r="53" spans="1:14" x14ac:dyDescent="0.35">
      <c r="A53" s="116" t="s">
        <v>43</v>
      </c>
      <c r="B53" s="117"/>
      <c r="C53" s="116" t="s">
        <v>102</v>
      </c>
      <c r="D53" s="118"/>
      <c r="E53" s="117"/>
      <c r="F53" s="45" t="s">
        <v>41</v>
      </c>
      <c r="G53" s="139" t="s">
        <v>29</v>
      </c>
      <c r="H53" s="140"/>
    </row>
    <row r="54" spans="1:14" x14ac:dyDescent="0.35">
      <c r="A54" s="135" t="s">
        <v>45</v>
      </c>
      <c r="B54" s="135"/>
      <c r="C54" s="135"/>
      <c r="D54" s="135"/>
      <c r="E54" s="135"/>
      <c r="F54" s="135"/>
      <c r="G54" s="135"/>
      <c r="H54" s="135"/>
    </row>
    <row r="55" spans="1:14" ht="35.25" customHeight="1" x14ac:dyDescent="0.35">
      <c r="A55" s="122" t="s">
        <v>270</v>
      </c>
      <c r="B55" s="115"/>
      <c r="C55" s="115"/>
      <c r="D55" s="115">
        <f>2696.48*2</f>
        <v>5392.96</v>
      </c>
      <c r="E55" s="115"/>
      <c r="F55" s="115"/>
      <c r="G55" s="115"/>
      <c r="H55" s="115"/>
    </row>
    <row r="56" spans="1:14" x14ac:dyDescent="0.35">
      <c r="A56" s="136" t="s">
        <v>46</v>
      </c>
      <c r="B56" s="137"/>
      <c r="C56" s="137"/>
      <c r="D56" s="138" t="s">
        <v>272</v>
      </c>
      <c r="E56" s="138"/>
      <c r="F56" s="138"/>
      <c r="G56" s="138"/>
      <c r="H56" s="138"/>
      <c r="I56" s="24"/>
    </row>
    <row r="57" spans="1:14" ht="34.5" customHeight="1" x14ac:dyDescent="0.35">
      <c r="A57" s="197" t="s">
        <v>47</v>
      </c>
      <c r="B57" s="198"/>
      <c r="C57" s="199"/>
      <c r="D57" s="195" t="s">
        <v>253</v>
      </c>
      <c r="E57" s="196"/>
      <c r="F57" s="196"/>
      <c r="G57" s="196"/>
      <c r="H57" s="196"/>
    </row>
    <row r="58" spans="1:14" ht="15.75" customHeight="1" x14ac:dyDescent="0.35">
      <c r="A58" s="141" t="s">
        <v>87</v>
      </c>
      <c r="B58" s="142"/>
      <c r="C58" s="142"/>
      <c r="D58" s="145" t="s">
        <v>250</v>
      </c>
      <c r="E58" s="145"/>
      <c r="F58" s="145"/>
      <c r="G58" s="145"/>
      <c r="H58" s="145"/>
    </row>
    <row r="59" spans="1:14" ht="15.75" customHeight="1" x14ac:dyDescent="0.35">
      <c r="A59" s="143"/>
      <c r="B59" s="144"/>
      <c r="C59" s="144"/>
      <c r="D59" s="145" t="s">
        <v>251</v>
      </c>
      <c r="E59" s="145"/>
      <c r="F59" s="145"/>
      <c r="G59" s="145"/>
      <c r="H59" s="145"/>
    </row>
    <row r="60" spans="1:14" ht="15.75" customHeight="1" x14ac:dyDescent="0.35">
      <c r="A60" s="115" t="s">
        <v>44</v>
      </c>
      <c r="B60" s="115"/>
      <c r="C60" s="115"/>
      <c r="D60" s="191" t="s">
        <v>254</v>
      </c>
      <c r="E60" s="191"/>
      <c r="F60" s="191"/>
      <c r="G60" s="191"/>
      <c r="H60" s="191"/>
      <c r="J60" s="25"/>
      <c r="K60" s="24"/>
      <c r="N60" s="24"/>
    </row>
    <row r="61" spans="1:14" ht="15.75" customHeight="1" x14ac:dyDescent="0.35">
      <c r="A61" s="115" t="s">
        <v>85</v>
      </c>
      <c r="B61" s="115"/>
      <c r="C61" s="115"/>
      <c r="D61" s="192" t="str">
        <f>(IF(G53="NA","60 Years After Completion",IF(G53&lt;&gt;"NA",""&amp;60-ROUNDDOWN((E3-G53)/360,0)&amp;" Years"," ")))</f>
        <v>60 Years After Completion</v>
      </c>
      <c r="E61" s="192"/>
      <c r="F61" s="192"/>
      <c r="G61" s="192"/>
      <c r="H61" s="192"/>
      <c r="N61" s="24"/>
    </row>
    <row r="62" spans="1:14" ht="15.75" customHeight="1" x14ac:dyDescent="0.35">
      <c r="A62" s="115" t="s">
        <v>86</v>
      </c>
      <c r="B62" s="115"/>
      <c r="C62" s="115"/>
      <c r="D62" s="122" t="s">
        <v>24</v>
      </c>
      <c r="E62" s="122"/>
      <c r="F62" s="122"/>
      <c r="G62" s="122"/>
      <c r="H62" s="122"/>
      <c r="J62" s="26"/>
      <c r="K62" s="26"/>
    </row>
    <row r="63" spans="1:14" ht="83.25" customHeight="1" x14ac:dyDescent="0.35">
      <c r="A63" s="145" t="s">
        <v>256</v>
      </c>
      <c r="B63" s="145"/>
      <c r="C63" s="145"/>
      <c r="D63" s="178" t="s">
        <v>255</v>
      </c>
      <c r="E63" s="178"/>
      <c r="F63" s="178"/>
      <c r="G63" s="178"/>
      <c r="H63" s="178"/>
    </row>
    <row r="64" spans="1:14" x14ac:dyDescent="0.35">
      <c r="A64" s="122" t="s">
        <v>144</v>
      </c>
      <c r="B64" s="122"/>
      <c r="C64" s="122"/>
      <c r="D64" s="122" t="s">
        <v>29</v>
      </c>
      <c r="E64" s="122"/>
      <c r="F64" s="122"/>
      <c r="G64" s="122"/>
      <c r="H64" s="122"/>
      <c r="I64" s="27"/>
      <c r="J64" s="27"/>
      <c r="K64" s="27"/>
      <c r="L64" s="27"/>
      <c r="M64" s="27"/>
      <c r="N64" s="27"/>
    </row>
    <row r="65" spans="1:10" ht="15.75" customHeight="1" x14ac:dyDescent="0.35">
      <c r="A65" s="115" t="s">
        <v>84</v>
      </c>
      <c r="B65" s="115"/>
      <c r="C65" s="115"/>
      <c r="D65" s="136" t="str">
        <f ca="1">(IF(G71&gt;95%,"Nothing",IF(G71&gt;0%,"Cement, Aggregate, Steel, etc",IF(G71=0%,"Work not yet Started"))))</f>
        <v>Cement, Aggregate, Steel, etc</v>
      </c>
      <c r="E65" s="136"/>
      <c r="F65" s="136"/>
      <c r="G65" s="136"/>
      <c r="H65" s="136"/>
      <c r="J65" s="26"/>
    </row>
    <row r="66" spans="1:10" ht="33.75" customHeight="1" thickBot="1" x14ac:dyDescent="0.4">
      <c r="A66" s="122" t="s">
        <v>115</v>
      </c>
      <c r="B66" s="122"/>
      <c r="C66" s="122"/>
      <c r="D66" s="136" t="str">
        <f ca="1">(IF(D65="Nothing","Yes",IF(D65="Cement, Aggregate, Steel, etc","Under Construction",IF(D65="Work not yet Started","Work not yet Started"))))</f>
        <v>Under Construction</v>
      </c>
      <c r="E66" s="136"/>
      <c r="F66" s="136" t="str">
        <f ca="1">(IF(D65="Nothing","Yes",IF(D65="Cement, Aggregate, Steel, etc","Under Construction",IF(D65="Work not yet Started","Work not yet Started"))))</f>
        <v>Under Construction</v>
      </c>
      <c r="G66" s="136"/>
      <c r="H66" s="136"/>
    </row>
    <row r="67" spans="1:10" x14ac:dyDescent="0.35">
      <c r="A67" s="172" t="s">
        <v>136</v>
      </c>
      <c r="B67" s="172"/>
      <c r="C67" s="172" t="str">
        <f>D58</f>
        <v>Building 1-Wing A (Lily) = Gr + 1st to 7th Floor</v>
      </c>
      <c r="D67" s="172"/>
      <c r="E67" s="172"/>
      <c r="F67" s="172"/>
      <c r="G67" s="172"/>
      <c r="H67" s="172"/>
      <c r="I67" s="73" t="str">
        <f ca="1">IF(D80=100%,"All work Completed. Possession granted to the Building.",IF(D79=100%,"All work Completed, Waiting for OC",I68&amp;""&amp;I69&amp;""&amp;J68&amp;""&amp;J67&amp;" "&amp;J69))</f>
        <v>Excavation, Plinth Completed, RCC upto 6 Slab Completed</v>
      </c>
      <c r="J67" s="50"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RCC upto 6 Slab</v>
      </c>
    </row>
    <row r="68" spans="1:10" x14ac:dyDescent="0.35">
      <c r="A68" s="16" t="s">
        <v>138</v>
      </c>
      <c r="B68" s="53">
        <f>IF(AND(ISNUMBER(SEARCH("1B",C67))),1,IF(AND(ISNUMBER(SEARCH("2B",C67))),2,IF(AND(ISNUMBER(SEARCH("3B",C67))),3,IF(AND(ISNUMBER(SEARCH("4B",C67))),4,IF(ISNUMBER(SEARCH("5B",C67)),5,0)))))</f>
        <v>0</v>
      </c>
      <c r="C68" s="53" t="s">
        <v>71</v>
      </c>
      <c r="D68" s="53">
        <v>1</v>
      </c>
      <c r="E68" s="53" t="s">
        <v>70</v>
      </c>
      <c r="F68" s="53">
        <v>0</v>
      </c>
      <c r="G68" s="53" t="s">
        <v>78</v>
      </c>
      <c r="H68" s="17">
        <f ca="1">--TRIM(RIGHT(SUBSTITUTE(LEFT(C67,_xlfn.AGGREGATE(16,6,FIND({0,1,2,3,4,5,6,7,8,9},C67,ROW(INDIRECT("1:"&amp;LEN(C67)))),1))," ",REPT(" ",LEN(C67))),LEN(C67)))</f>
        <v>7</v>
      </c>
      <c r="I68" s="51" t="str">
        <f ca="1">IF(D71=100%,"Excavation","")&amp;IF(D72=100%,", Plinth","")&amp;IF(D73=100%,", RCC Slab","")&amp;IF(D74=100%,", Brickwork","")&amp;IF(D75=100%,", Internal Plaster","")&amp;IF(D76=100%,", External Plaster","")&amp;IF(D77=100%,", Flooring","")&amp;IF(D78=100%,", Painting","")&amp;IF(D79=100%,", Building common Amenities","")</f>
        <v>Excavation, Plinth</v>
      </c>
      <c r="J68" s="52"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row>
    <row r="69" spans="1:10" x14ac:dyDescent="0.35">
      <c r="A69" s="222" t="s">
        <v>88</v>
      </c>
      <c r="B69" s="181"/>
      <c r="C69" s="176" t="str">
        <f ca="1">I67</f>
        <v>Excavation, Plinth Completed, RCC upto 6 Slab Completed</v>
      </c>
      <c r="D69" s="176"/>
      <c r="E69" s="176"/>
      <c r="F69" s="176"/>
      <c r="G69" s="176"/>
      <c r="H69" s="177"/>
      <c r="I69" s="51" t="str">
        <f ca="1">IF(I68&lt;&gt;""," Completed","")</f>
        <v xml:space="preserve"> Completed</v>
      </c>
      <c r="J69" s="52" t="str">
        <f ca="1">IF(J67&lt;&gt;"","Completed","")</f>
        <v>Completed</v>
      </c>
    </row>
    <row r="70" spans="1:10" ht="15.75" customHeight="1" x14ac:dyDescent="0.35">
      <c r="A70" s="129" t="s">
        <v>48</v>
      </c>
      <c r="B70" s="130"/>
      <c r="C70" s="65" t="s">
        <v>135</v>
      </c>
      <c r="D70" s="65" t="s">
        <v>81</v>
      </c>
      <c r="E70" s="130" t="s">
        <v>83</v>
      </c>
      <c r="F70" s="130"/>
      <c r="G70" s="130" t="s">
        <v>82</v>
      </c>
      <c r="H70" s="179"/>
      <c r="I70" s="14" t="s">
        <v>137</v>
      </c>
      <c r="J70" s="28">
        <f ca="1">H68*25%</f>
        <v>1.75</v>
      </c>
    </row>
    <row r="71" spans="1:10" x14ac:dyDescent="0.35">
      <c r="A71" s="129" t="s">
        <v>124</v>
      </c>
      <c r="B71" s="130"/>
      <c r="C71" s="65">
        <f ca="1">J72</f>
        <v>7</v>
      </c>
      <c r="D71" s="66">
        <f ca="1">((100/H68)*C71)/100</f>
        <v>1</v>
      </c>
      <c r="E71" s="211">
        <f ca="1">(((C72/H68*10)+(40/(D68+F68+H68)*C73)+(7.5/(H68)*C74)+(7.5/(H68)*C75)+(10/H68*C76)+(10/H68*C77)+(5/H68*C78)+(5/H68*C79)+(5/H68*C80))/100)</f>
        <v>0.4</v>
      </c>
      <c r="F71" s="212"/>
      <c r="G71" s="211">
        <f ca="1">((((C71/H68)*20)+((C72/H68)*25)+(30/(H68+F68+D68)*C73)+(5/H68*C74)+(5/H68*C75)+(5/H68*C76)+(5/H68*C77)+(0/H68*C78)+(0/H68*C79)+(5/H68*C80))/100)</f>
        <v>0.67500000000000004</v>
      </c>
      <c r="H71" s="217"/>
      <c r="I71" s="14" t="s">
        <v>97</v>
      </c>
      <c r="J71" s="29">
        <f ca="1">H68*50%</f>
        <v>3.5</v>
      </c>
    </row>
    <row r="72" spans="1:10" x14ac:dyDescent="0.35">
      <c r="A72" s="129" t="s">
        <v>49</v>
      </c>
      <c r="B72" s="130"/>
      <c r="C72" s="74">
        <f ca="1">J80</f>
        <v>7</v>
      </c>
      <c r="D72" s="66">
        <f ca="1">((100/H68)*C72)/100</f>
        <v>1</v>
      </c>
      <c r="E72" s="213"/>
      <c r="F72" s="214"/>
      <c r="G72" s="213"/>
      <c r="H72" s="218"/>
      <c r="I72" s="14" t="s">
        <v>98</v>
      </c>
      <c r="J72" s="29">
        <f ca="1">H68</f>
        <v>7</v>
      </c>
    </row>
    <row r="73" spans="1:10" ht="15.75" customHeight="1" x14ac:dyDescent="0.35">
      <c r="A73" s="129" t="s">
        <v>125</v>
      </c>
      <c r="B73" s="130"/>
      <c r="C73" s="65">
        <v>6</v>
      </c>
      <c r="D73" s="66">
        <f ca="1">((100/(D68+F68+H68))*C73)/100</f>
        <v>0.75</v>
      </c>
      <c r="E73" s="213"/>
      <c r="F73" s="214"/>
      <c r="G73" s="213"/>
      <c r="H73" s="218"/>
      <c r="I73" s="14" t="s">
        <v>99</v>
      </c>
      <c r="J73" s="30">
        <f ca="1">(IF(B68&gt;1,(H68/(B68+2)),H68/4))</f>
        <v>1.75</v>
      </c>
    </row>
    <row r="74" spans="1:10" ht="15.75" customHeight="1" x14ac:dyDescent="0.35">
      <c r="A74" s="129" t="s">
        <v>132</v>
      </c>
      <c r="B74" s="130" t="s">
        <v>126</v>
      </c>
      <c r="C74" s="65">
        <v>0</v>
      </c>
      <c r="D74" s="66">
        <f ca="1">((100/H68)*C74)/100</f>
        <v>0</v>
      </c>
      <c r="E74" s="213"/>
      <c r="F74" s="214"/>
      <c r="G74" s="213"/>
      <c r="H74" s="218"/>
      <c r="I74" s="14" t="s">
        <v>100</v>
      </c>
      <c r="J74" s="30">
        <f ca="1">(IF(B68&gt;1,(H68/(B68+2)+J73),H68/4+J73))</f>
        <v>3.5</v>
      </c>
    </row>
    <row r="75" spans="1:10" ht="15.75" customHeight="1" x14ac:dyDescent="0.35">
      <c r="A75" s="129" t="s">
        <v>133</v>
      </c>
      <c r="B75" s="130" t="s">
        <v>126</v>
      </c>
      <c r="C75" s="65">
        <v>0</v>
      </c>
      <c r="D75" s="66">
        <f ca="1">((100/H68)*C75)/100</f>
        <v>0</v>
      </c>
      <c r="E75" s="213"/>
      <c r="F75" s="214"/>
      <c r="G75" s="213"/>
      <c r="H75" s="218"/>
      <c r="I75" s="14" t="s">
        <v>142</v>
      </c>
      <c r="J75" s="30">
        <f>(IF(B68&gt;1,(H68/(B68+2)+J74),0))</f>
        <v>0</v>
      </c>
    </row>
    <row r="76" spans="1:10" ht="15" customHeight="1" x14ac:dyDescent="0.35">
      <c r="A76" s="129" t="s">
        <v>131</v>
      </c>
      <c r="B76" s="130" t="s">
        <v>128</v>
      </c>
      <c r="C76" s="65">
        <v>0</v>
      </c>
      <c r="D76" s="66">
        <f ca="1">((100/(H68))*C76)/100</f>
        <v>0</v>
      </c>
      <c r="E76" s="213"/>
      <c r="F76" s="214"/>
      <c r="G76" s="213"/>
      <c r="H76" s="218"/>
      <c r="I76" s="14" t="s">
        <v>139</v>
      </c>
      <c r="J76" s="30">
        <f>(IF(B68&gt;2,(H68/(B68+2)+J75),0))</f>
        <v>0</v>
      </c>
    </row>
    <row r="77" spans="1:10" ht="15.75" customHeight="1" x14ac:dyDescent="0.35">
      <c r="A77" s="129" t="s">
        <v>127</v>
      </c>
      <c r="B77" s="130" t="s">
        <v>127</v>
      </c>
      <c r="C77" s="65">
        <v>0</v>
      </c>
      <c r="D77" s="66">
        <f ca="1">((100/H68)*C77)/100</f>
        <v>0</v>
      </c>
      <c r="E77" s="213"/>
      <c r="F77" s="214"/>
      <c r="G77" s="213"/>
      <c r="H77" s="218"/>
      <c r="I77" s="14" t="s">
        <v>140</v>
      </c>
      <c r="J77" s="31">
        <f>(IF(B68&gt;3,(H68/(B68+2)+J76),0))</f>
        <v>0</v>
      </c>
    </row>
    <row r="78" spans="1:10" ht="15.75" customHeight="1" x14ac:dyDescent="0.35">
      <c r="A78" s="129" t="s">
        <v>134</v>
      </c>
      <c r="B78" s="130"/>
      <c r="C78" s="65">
        <v>0</v>
      </c>
      <c r="D78" s="66">
        <f ca="1">((100/H68)*C78)/100</f>
        <v>0</v>
      </c>
      <c r="E78" s="213"/>
      <c r="F78" s="214"/>
      <c r="G78" s="213"/>
      <c r="H78" s="218"/>
      <c r="I78" s="14" t="s">
        <v>141</v>
      </c>
      <c r="J78" s="30">
        <f>(IF(B68&gt;4,(H68/(B68+2)+J77),0))</f>
        <v>0</v>
      </c>
    </row>
    <row r="79" spans="1:10" ht="15.75" customHeight="1" x14ac:dyDescent="0.35">
      <c r="A79" s="129" t="s">
        <v>129</v>
      </c>
      <c r="B79" s="130" t="s">
        <v>129</v>
      </c>
      <c r="C79" s="65">
        <v>0</v>
      </c>
      <c r="D79" s="66">
        <f ca="1">((100/(H68))*C79)/100</f>
        <v>0</v>
      </c>
      <c r="E79" s="213"/>
      <c r="F79" s="214"/>
      <c r="G79" s="213"/>
      <c r="H79" s="218"/>
      <c r="I79" s="14" t="s">
        <v>143</v>
      </c>
      <c r="J79" s="30">
        <f ca="1">(IF(B68=1,(H68/(B68+3)+J74),IF(B68=0,(H68/4+J74),IF(B68&gt;1,0))))</f>
        <v>5.25</v>
      </c>
    </row>
    <row r="80" spans="1:10" ht="16" thickBot="1" x14ac:dyDescent="0.4">
      <c r="A80" s="220" t="s">
        <v>130</v>
      </c>
      <c r="B80" s="221"/>
      <c r="C80" s="67">
        <v>0</v>
      </c>
      <c r="D80" s="68">
        <f ca="1">((100/(H68))*C80)/100</f>
        <v>0</v>
      </c>
      <c r="E80" s="215"/>
      <c r="F80" s="216"/>
      <c r="G80" s="215"/>
      <c r="H80" s="219"/>
      <c r="I80" s="15" t="s">
        <v>101</v>
      </c>
      <c r="J80" s="32">
        <f ca="1">(IF(B68&gt;1.5,(H68/(B68+2)+J74+MAX(0,J75-J74)+MAX(0,J76-J75)+MAX(0,J77-J76)+MAX(0,J78-J77)+MAX(0,J79-J78)),IF(B68=1,(H68/(B68+3)+J79),IF(B68=0,H68/4+J79))))</f>
        <v>7</v>
      </c>
    </row>
    <row r="81" spans="1:10" ht="15.75" customHeight="1" x14ac:dyDescent="0.35">
      <c r="A81" s="124" t="s">
        <v>136</v>
      </c>
      <c r="B81" s="125"/>
      <c r="C81" s="126" t="str">
        <f>D59</f>
        <v>Building 2 -Wing B (Orchid) = Gr + 1st to 7th Floor</v>
      </c>
      <c r="D81" s="127"/>
      <c r="E81" s="127"/>
      <c r="F81" s="127"/>
      <c r="G81" s="127"/>
      <c r="H81" s="128"/>
      <c r="I81" s="49" t="str">
        <f ca="1">IF(D94=100%,"All work Completed. Possession granted to the Building.",IF(D93=100%,"All work Completed, Waiting for OC",I82&amp;""&amp;I83&amp;""&amp;J82&amp;""&amp;J81&amp;" "&amp;J83))</f>
        <v>Excavation, Plinth, RCC Slab, Brickwork Completed, Internal Plaster upto 6 Floor, External Plaster upto 3 Floor Completed</v>
      </c>
      <c r="J81" s="50" t="str">
        <f ca="1">(IF(C87=(D82+F82+H82),"",IF(C87&gt;0,", RCC upto "&amp;C87&amp;" Slab","")))&amp;(IF(C88=H82,"",IF(C88&gt;0,", Brickwork upto "&amp;C88&amp;" Floor","")))&amp;(IF(C89=H82,"",IF(C89&gt;0,", Internal Plaster upto "&amp;C89&amp;" Floor","")))&amp;(IF(C90=H82,"",IF(C90&gt;0,", External Plaster upto "&amp;C90&amp;" Floor","")))&amp;(IF(C91=H82,"",IF(C91&gt;0,", Flooring upto "&amp;C91&amp;" Floor","")))&amp;(IF(C92=H82,"",IF(C92&gt;0,", Painting upto "&amp;C92&amp;" Floor","")))&amp;(IF(C93=H82,"",IF(C93&gt;0,", Finishing upto "&amp;C93&amp;" Floor","")))&amp;(IF(C94=H82,"",IF(C94&gt;0,", Possession upto "&amp;C94&amp;" Floor","")))</f>
        <v>, Internal Plaster upto 6 Floor, External Plaster upto 3 Floor</v>
      </c>
    </row>
    <row r="82" spans="1:10" x14ac:dyDescent="0.35">
      <c r="A82" s="16" t="s">
        <v>138</v>
      </c>
      <c r="B82" s="53">
        <f>IF(AND(ISNUMBER(SEARCH("1B",C81))),1,IF(AND(ISNUMBER(SEARCH("2B",C81))),2,IF(AND(ISNUMBER(SEARCH("3B",C81))),3,IF(AND(ISNUMBER(SEARCH("4B",C81))),4,IF(ISNUMBER(SEARCH("5B",C81)),5,0)))))</f>
        <v>0</v>
      </c>
      <c r="C82" s="47" t="s">
        <v>71</v>
      </c>
      <c r="D82" s="47">
        <v>1</v>
      </c>
      <c r="E82" s="47" t="s">
        <v>70</v>
      </c>
      <c r="F82" s="63">
        <v>0</v>
      </c>
      <c r="G82" s="48" t="s">
        <v>78</v>
      </c>
      <c r="H82" s="17">
        <f ca="1">--TRIM(RIGHT(SUBSTITUTE(LEFT(C81,_xlfn.AGGREGATE(16,6,FIND({0,1,2,3,4,5,6,7,8,9},C81,ROW(INDIRECT("1:"&amp;LEN(C81)))),1))," ",REPT(" ",LEN(C81))),LEN(C81)))</f>
        <v>7</v>
      </c>
      <c r="I82" s="51" t="str">
        <f ca="1">IF(D85=100%,"Excavation","")&amp;IF(D86=100%,", Plinth","")&amp;IF(D87=100%,", RCC Slab","")&amp;IF(D88=100%,", Brickwork","")&amp;IF(D89=100%,", Internal Plaster","")&amp;IF(D90=100%,", External Plaster","")&amp;IF(D91=100%,", Flooring","")&amp;IF(D92=100%,", Painting","")&amp;IF(D93=100%,", Building common Amenities","")</f>
        <v>Excavation, Plinth, RCC Slab, Brickwork</v>
      </c>
      <c r="J82" s="52" t="str">
        <f ca="1">(IF(C85=0,"Work not yet Started.",IF(D85=25%,"Piling work in process",IF(D85=50%,"Excavation work in process",IF(D85=100%,"","0")))))&amp;(IF(C86=0%,"",IF(C86=J87,", Footing work is process",IF(C86=J88,", Footing work Completed",IF(C86=J89,", 1st Basement Completed",IF(C86=J90,", 1st &amp; 2nd Basement Completed",IF(C86=J91,", 1st to 3rd Basement Completed",IF(C86=J92,", 1st to 4th Basement Completed",IF(C86=J93,", Plinth work is process",IF(C86=J94,"","0"))))))))))</f>
        <v/>
      </c>
    </row>
    <row r="83" spans="1:10" ht="31.5" customHeight="1" x14ac:dyDescent="0.35">
      <c r="A83" s="222" t="s">
        <v>88</v>
      </c>
      <c r="B83" s="181"/>
      <c r="C83" s="176" t="str">
        <f ca="1">(IF($G$53="NA",I81,"All work Completed. OC Received."))</f>
        <v>Excavation, Plinth, RCC Slab, Brickwork Completed, Internal Plaster upto 6 Floor, External Plaster upto 3 Floor Completed</v>
      </c>
      <c r="D83" s="176"/>
      <c r="E83" s="176"/>
      <c r="F83" s="176"/>
      <c r="G83" s="176"/>
      <c r="H83" s="177"/>
      <c r="I83" s="51" t="str">
        <f ca="1">IF(I82&lt;&gt;""," Completed","")</f>
        <v xml:space="preserve"> Completed</v>
      </c>
      <c r="J83" s="52" t="str">
        <f ca="1">IF(J81&lt;&gt;"","Completed","")</f>
        <v>Completed</v>
      </c>
    </row>
    <row r="84" spans="1:10" ht="15.75" customHeight="1" x14ac:dyDescent="0.35">
      <c r="A84" s="148" t="s">
        <v>48</v>
      </c>
      <c r="B84" s="102"/>
      <c r="C84" s="43" t="s">
        <v>135</v>
      </c>
      <c r="D84" s="43" t="s">
        <v>81</v>
      </c>
      <c r="E84" s="102" t="s">
        <v>83</v>
      </c>
      <c r="F84" s="102"/>
      <c r="G84" s="102" t="s">
        <v>82</v>
      </c>
      <c r="H84" s="103"/>
      <c r="I84" s="14" t="s">
        <v>137</v>
      </c>
      <c r="J84" s="28">
        <f ca="1">H82*25%</f>
        <v>1.75</v>
      </c>
    </row>
    <row r="85" spans="1:10" x14ac:dyDescent="0.35">
      <c r="A85" s="148" t="s">
        <v>124</v>
      </c>
      <c r="B85" s="102"/>
      <c r="C85" s="43">
        <f ca="1">J86</f>
        <v>7</v>
      </c>
      <c r="D85" s="19">
        <f ca="1">((100/H82)*C85)/100</f>
        <v>1</v>
      </c>
      <c r="E85" s="104">
        <f ca="1">(((C86/H82*10)+(40/(D82+F82+H82)*C87)+(7.5/(H82)*C88)+(7.5/(H82)*C89)+(10/H82*C90)+(10/H82*C91)+(5/H82*C92)+(5/H82*C93)+(5/H82*C94))/100)</f>
        <v>0.68214285714285727</v>
      </c>
      <c r="F85" s="105"/>
      <c r="G85" s="104">
        <f ca="1">((((C85/H82)*20)+((C86/H82)*25)+(30/(H82+F82+D82)*C87)+(5/H82*C88)+(5/H82*C89)+(5/H82*C90)+(5/H82*C91)+(0/H82*C92)+(0/H82*C93)+(5/H82*C94))/100)</f>
        <v>0.86428571428571432</v>
      </c>
      <c r="H85" s="227"/>
      <c r="I85" s="14" t="s">
        <v>97</v>
      </c>
      <c r="J85" s="29">
        <f ca="1">H82*50%</f>
        <v>3.5</v>
      </c>
    </row>
    <row r="86" spans="1:10" x14ac:dyDescent="0.35">
      <c r="A86" s="148" t="s">
        <v>49</v>
      </c>
      <c r="B86" s="102"/>
      <c r="C86" s="54">
        <f ca="1">J94</f>
        <v>7</v>
      </c>
      <c r="D86" s="19">
        <f ca="1">((100/H82)*C86)/100</f>
        <v>1</v>
      </c>
      <c r="E86" s="106"/>
      <c r="F86" s="107"/>
      <c r="G86" s="106"/>
      <c r="H86" s="228"/>
      <c r="I86" s="14" t="s">
        <v>98</v>
      </c>
      <c r="J86" s="29">
        <f ca="1">H82</f>
        <v>7</v>
      </c>
    </row>
    <row r="87" spans="1:10" ht="15.75" customHeight="1" x14ac:dyDescent="0.35">
      <c r="A87" s="148" t="s">
        <v>125</v>
      </c>
      <c r="B87" s="102"/>
      <c r="C87" s="43">
        <v>8</v>
      </c>
      <c r="D87" s="19">
        <f ca="1">((100/(D82+F82+H82))*C87)/100</f>
        <v>1</v>
      </c>
      <c r="E87" s="106"/>
      <c r="F87" s="107"/>
      <c r="G87" s="106"/>
      <c r="H87" s="228"/>
      <c r="I87" s="14" t="s">
        <v>99</v>
      </c>
      <c r="J87" s="30">
        <f ca="1">(IF(B82&gt;1,(H82/(B82+2)),H82/4))</f>
        <v>1.75</v>
      </c>
    </row>
    <row r="88" spans="1:10" ht="15.75" customHeight="1" x14ac:dyDescent="0.35">
      <c r="A88" s="148" t="s">
        <v>132</v>
      </c>
      <c r="B88" s="102" t="s">
        <v>126</v>
      </c>
      <c r="C88" s="43">
        <v>7</v>
      </c>
      <c r="D88" s="19">
        <f ca="1">((100/H82)*C88)/100</f>
        <v>1</v>
      </c>
      <c r="E88" s="106"/>
      <c r="F88" s="107"/>
      <c r="G88" s="106"/>
      <c r="H88" s="228"/>
      <c r="I88" s="14" t="s">
        <v>100</v>
      </c>
      <c r="J88" s="30">
        <f ca="1">(IF(B82&gt;1,(H82/(B82+2)+J87),H82/4+J87))</f>
        <v>3.5</v>
      </c>
    </row>
    <row r="89" spans="1:10" ht="15.75" customHeight="1" x14ac:dyDescent="0.35">
      <c r="A89" s="148" t="s">
        <v>133</v>
      </c>
      <c r="B89" s="102" t="s">
        <v>126</v>
      </c>
      <c r="C89" s="43">
        <v>6</v>
      </c>
      <c r="D89" s="19">
        <f ca="1">((100/H82)*C89)/100</f>
        <v>0.85714285714285721</v>
      </c>
      <c r="E89" s="106"/>
      <c r="F89" s="107"/>
      <c r="G89" s="106"/>
      <c r="H89" s="228"/>
      <c r="I89" s="14" t="s">
        <v>142</v>
      </c>
      <c r="J89" s="30">
        <f>(IF(B82&gt;1,(H82/(B82+2)+J88),0))</f>
        <v>0</v>
      </c>
    </row>
    <row r="90" spans="1:10" ht="15" customHeight="1" x14ac:dyDescent="0.35">
      <c r="A90" s="148" t="s">
        <v>131</v>
      </c>
      <c r="B90" s="102" t="s">
        <v>128</v>
      </c>
      <c r="C90" s="43">
        <v>3</v>
      </c>
      <c r="D90" s="19">
        <f ca="1">((100/(H82))*C90)/100</f>
        <v>0.4285714285714286</v>
      </c>
      <c r="E90" s="106"/>
      <c r="F90" s="107"/>
      <c r="G90" s="106"/>
      <c r="H90" s="228"/>
      <c r="I90" s="14" t="s">
        <v>139</v>
      </c>
      <c r="J90" s="30">
        <f>(IF(B82&gt;2,(H82/(B82+2)+J89),0))</f>
        <v>0</v>
      </c>
    </row>
    <row r="91" spans="1:10" ht="15.75" customHeight="1" x14ac:dyDescent="0.35">
      <c r="A91" s="148" t="s">
        <v>127</v>
      </c>
      <c r="B91" s="102" t="s">
        <v>127</v>
      </c>
      <c r="C91" s="43">
        <v>0</v>
      </c>
      <c r="D91" s="19">
        <f ca="1">((100/H82)*C91)/100</f>
        <v>0</v>
      </c>
      <c r="E91" s="106"/>
      <c r="F91" s="107"/>
      <c r="G91" s="106"/>
      <c r="H91" s="228"/>
      <c r="I91" s="14" t="s">
        <v>140</v>
      </c>
      <c r="J91" s="31">
        <f>(IF(B82&gt;3,(H82/(B82+2)+J90),0))</f>
        <v>0</v>
      </c>
    </row>
    <row r="92" spans="1:10" ht="15.75" customHeight="1" x14ac:dyDescent="0.35">
      <c r="A92" s="148" t="s">
        <v>134</v>
      </c>
      <c r="B92" s="102"/>
      <c r="C92" s="43">
        <v>0</v>
      </c>
      <c r="D92" s="19">
        <f ca="1">((100/H82)*C92)/100</f>
        <v>0</v>
      </c>
      <c r="E92" s="106"/>
      <c r="F92" s="107"/>
      <c r="G92" s="106"/>
      <c r="H92" s="228"/>
      <c r="I92" s="14" t="s">
        <v>141</v>
      </c>
      <c r="J92" s="30">
        <f>(IF(B82&gt;4,(H82/(B82+2)+J91),0))</f>
        <v>0</v>
      </c>
    </row>
    <row r="93" spans="1:10" ht="15.75" customHeight="1" x14ac:dyDescent="0.35">
      <c r="A93" s="148" t="s">
        <v>129</v>
      </c>
      <c r="B93" s="102" t="s">
        <v>129</v>
      </c>
      <c r="C93" s="43">
        <v>0</v>
      </c>
      <c r="D93" s="19">
        <f ca="1">((100/(H82))*C93)/100</f>
        <v>0</v>
      </c>
      <c r="E93" s="106"/>
      <c r="F93" s="107"/>
      <c r="G93" s="106"/>
      <c r="H93" s="228"/>
      <c r="I93" s="14" t="s">
        <v>143</v>
      </c>
      <c r="J93" s="30">
        <f ca="1">(IF(B82=1,(H82/(B82+3)+J88),IF(B82=0,(H82/4+J88),IF(B82&gt;1,0))))</f>
        <v>5.25</v>
      </c>
    </row>
    <row r="94" spans="1:10" ht="16" thickBot="1" x14ac:dyDescent="0.4">
      <c r="A94" s="234" t="s">
        <v>130</v>
      </c>
      <c r="B94" s="235"/>
      <c r="C94" s="44">
        <v>0</v>
      </c>
      <c r="D94" s="20">
        <f ca="1">((100/(H82))*C94)/100</f>
        <v>0</v>
      </c>
      <c r="E94" s="108"/>
      <c r="F94" s="109"/>
      <c r="G94" s="108"/>
      <c r="H94" s="229"/>
      <c r="I94" s="15" t="s">
        <v>101</v>
      </c>
      <c r="J94" s="32">
        <f ca="1">(IF(B82&gt;1.5,(H82/(B82+2)+J88+MAX(0,J89-J88)+MAX(0,J90-J89)+MAX(0,J91-J90)+MAX(0,J92-J91)+MAX(0,J93-J92)),IF(B82=1,(H82/(B82+3)+J93),IF(B82=0,H82/4+J93))))</f>
        <v>7</v>
      </c>
    </row>
    <row r="95" spans="1:10" x14ac:dyDescent="0.35">
      <c r="A95" s="230" t="s">
        <v>153</v>
      </c>
      <c r="B95" s="230"/>
      <c r="C95" s="230"/>
      <c r="D95" s="230"/>
      <c r="E95" s="230"/>
      <c r="F95" s="161" t="s">
        <v>157</v>
      </c>
      <c r="G95" s="161"/>
      <c r="H95" s="161"/>
    </row>
    <row r="96" spans="1:10" x14ac:dyDescent="0.35">
      <c r="A96" s="115" t="s">
        <v>155</v>
      </c>
      <c r="B96" s="115"/>
      <c r="C96" s="115"/>
      <c r="D96" s="115"/>
      <c r="E96" s="115"/>
      <c r="F96" s="112">
        <v>5000</v>
      </c>
      <c r="G96" s="112"/>
      <c r="H96" s="112"/>
      <c r="I96" s="21" t="s">
        <v>279</v>
      </c>
      <c r="J96" s="21" t="s">
        <v>288</v>
      </c>
    </row>
    <row r="97" spans="1:10" x14ac:dyDescent="0.35">
      <c r="A97" s="115" t="s">
        <v>154</v>
      </c>
      <c r="B97" s="115"/>
      <c r="C97" s="115"/>
      <c r="D97" s="115"/>
      <c r="E97" s="115"/>
      <c r="F97" s="112">
        <v>9000</v>
      </c>
      <c r="G97" s="112"/>
      <c r="H97" s="112"/>
      <c r="J97" s="21" t="s">
        <v>289</v>
      </c>
    </row>
    <row r="98" spans="1:10" hidden="1" x14ac:dyDescent="0.35">
      <c r="A98" s="115" t="s">
        <v>156</v>
      </c>
      <c r="B98" s="115"/>
      <c r="C98" s="115"/>
      <c r="D98" s="115"/>
      <c r="E98" s="115"/>
      <c r="F98" s="112"/>
      <c r="G98" s="112"/>
      <c r="H98" s="112"/>
    </row>
    <row r="99" spans="1:10" s="33" customFormat="1" hidden="1" x14ac:dyDescent="0.3">
      <c r="A99" s="115" t="s">
        <v>172</v>
      </c>
      <c r="B99" s="115"/>
      <c r="C99" s="115"/>
      <c r="D99" s="115"/>
      <c r="E99" s="115"/>
      <c r="F99" s="112"/>
      <c r="G99" s="112"/>
      <c r="H99" s="112"/>
    </row>
    <row r="100" spans="1:10" s="33" customFormat="1" x14ac:dyDescent="0.3">
      <c r="A100" s="115" t="s">
        <v>91</v>
      </c>
      <c r="B100" s="115"/>
      <c r="C100" s="115"/>
      <c r="D100" s="115"/>
      <c r="E100" s="115"/>
      <c r="F100" s="112">
        <v>180000</v>
      </c>
      <c r="G100" s="112"/>
      <c r="H100" s="112"/>
      <c r="J100" s="33" t="s">
        <v>291</v>
      </c>
    </row>
    <row r="101" spans="1:10" s="33" customFormat="1" hidden="1" x14ac:dyDescent="0.3">
      <c r="A101" s="115" t="s">
        <v>92</v>
      </c>
      <c r="B101" s="115"/>
      <c r="C101" s="115"/>
      <c r="D101" s="115"/>
      <c r="E101" s="115"/>
      <c r="F101" s="112"/>
      <c r="G101" s="112"/>
      <c r="H101" s="112"/>
    </row>
    <row r="102" spans="1:10" s="33" customFormat="1" hidden="1" x14ac:dyDescent="0.3">
      <c r="A102" s="115" t="s">
        <v>158</v>
      </c>
      <c r="B102" s="115"/>
      <c r="C102" s="115"/>
      <c r="D102" s="115"/>
      <c r="E102" s="115"/>
      <c r="F102" s="112"/>
      <c r="G102" s="112"/>
      <c r="H102" s="112"/>
    </row>
    <row r="103" spans="1:10" s="33" customFormat="1" hidden="1" x14ac:dyDescent="0.3">
      <c r="A103" s="115" t="s">
        <v>93</v>
      </c>
      <c r="B103" s="115"/>
      <c r="C103" s="115"/>
      <c r="D103" s="115"/>
      <c r="E103" s="115"/>
      <c r="F103" s="112"/>
      <c r="G103" s="112"/>
      <c r="H103" s="112"/>
    </row>
    <row r="104" spans="1:10" s="33" customFormat="1" hidden="1" x14ac:dyDescent="0.3">
      <c r="A104" s="115" t="s">
        <v>94</v>
      </c>
      <c r="B104" s="115"/>
      <c r="C104" s="115"/>
      <c r="D104" s="115"/>
      <c r="E104" s="115"/>
      <c r="F104" s="112"/>
      <c r="G104" s="112"/>
      <c r="H104" s="112"/>
    </row>
    <row r="105" spans="1:10" s="33" customFormat="1" x14ac:dyDescent="0.3">
      <c r="A105" s="115" t="s">
        <v>95</v>
      </c>
      <c r="B105" s="115"/>
      <c r="C105" s="115"/>
      <c r="D105" s="115"/>
      <c r="E105" s="115"/>
      <c r="F105" s="112">
        <v>50000</v>
      </c>
      <c r="G105" s="112"/>
      <c r="H105" s="112"/>
    </row>
    <row r="106" spans="1:10" s="33" customFormat="1" x14ac:dyDescent="0.3">
      <c r="A106" s="115" t="s">
        <v>96</v>
      </c>
      <c r="B106" s="115"/>
      <c r="C106" s="115"/>
      <c r="D106" s="115"/>
      <c r="E106" s="115"/>
      <c r="F106" s="112">
        <v>30000</v>
      </c>
      <c r="G106" s="112"/>
      <c r="H106" s="112"/>
    </row>
    <row r="107" spans="1:10" x14ac:dyDescent="0.35">
      <c r="A107" s="115" t="s">
        <v>50</v>
      </c>
      <c r="B107" s="115"/>
      <c r="C107" s="115"/>
      <c r="D107" s="115"/>
      <c r="E107" s="115"/>
      <c r="F107" s="168">
        <v>300000</v>
      </c>
      <c r="G107" s="168"/>
      <c r="H107" s="168"/>
    </row>
    <row r="108" spans="1:10" s="34" customFormat="1" x14ac:dyDescent="0.35">
      <c r="A108" s="169" t="s">
        <v>51</v>
      </c>
      <c r="B108" s="169"/>
      <c r="C108" s="169"/>
      <c r="D108" s="169"/>
      <c r="E108" s="169"/>
      <c r="F108" s="112">
        <f>F96*0.8</f>
        <v>4000</v>
      </c>
      <c r="G108" s="112"/>
      <c r="H108" s="112"/>
    </row>
    <row r="109" spans="1:10" s="35" customFormat="1" ht="15.75" customHeight="1" x14ac:dyDescent="0.35">
      <c r="A109" s="167" t="s">
        <v>271</v>
      </c>
      <c r="B109" s="167"/>
      <c r="C109" s="167"/>
      <c r="D109" s="167"/>
      <c r="E109" s="167"/>
      <c r="F109" s="167"/>
      <c r="G109" s="167"/>
      <c r="H109" s="167"/>
    </row>
    <row r="110" spans="1:10" s="35" customFormat="1" ht="15.75" customHeight="1" x14ac:dyDescent="0.35">
      <c r="A110" s="114" t="s">
        <v>52</v>
      </c>
      <c r="B110" s="114"/>
      <c r="C110" s="121" t="s">
        <v>76</v>
      </c>
      <c r="D110" s="121"/>
      <c r="E110" s="119" t="s">
        <v>53</v>
      </c>
      <c r="F110" s="119"/>
      <c r="G110" s="114" t="s">
        <v>54</v>
      </c>
      <c r="H110" s="114"/>
    </row>
    <row r="111" spans="1:10" s="35" customFormat="1" x14ac:dyDescent="0.35">
      <c r="A111" s="120" t="s">
        <v>258</v>
      </c>
      <c r="B111" s="120"/>
      <c r="C111" s="173">
        <f>COUNT(D127:D138)</f>
        <v>12</v>
      </c>
      <c r="D111" s="174"/>
      <c r="E111" s="149">
        <f>SUM(D127:D138)</f>
        <v>1034.2374119999999</v>
      </c>
      <c r="F111" s="150"/>
      <c r="G111" s="149">
        <f>SUM(F127:F138)</f>
        <v>1603.0679885999998</v>
      </c>
      <c r="H111" s="150"/>
    </row>
    <row r="112" spans="1:10" s="35" customFormat="1" x14ac:dyDescent="0.35">
      <c r="A112" s="120" t="s">
        <v>268</v>
      </c>
      <c r="B112" s="120"/>
      <c r="C112" s="173">
        <f>COUNT(D142:D153)</f>
        <v>12</v>
      </c>
      <c r="D112" s="174"/>
      <c r="E112" s="149">
        <f>SUM(D142:D153)</f>
        <v>1034.2374119999999</v>
      </c>
      <c r="F112" s="150"/>
      <c r="G112" s="149">
        <f>SUM(F142:F153)</f>
        <v>1603.0679885999998</v>
      </c>
      <c r="H112" s="150"/>
    </row>
    <row r="113" spans="1:9" s="35" customFormat="1" x14ac:dyDescent="0.35">
      <c r="A113" s="167" t="s">
        <v>146</v>
      </c>
      <c r="B113" s="167"/>
      <c r="C113" s="239">
        <f>SUM(C111:C112)</f>
        <v>24</v>
      </c>
      <c r="D113" s="121"/>
      <c r="E113" s="240">
        <f>SUM(E111:E112)</f>
        <v>2068.4748239999999</v>
      </c>
      <c r="F113" s="119"/>
      <c r="G113" s="114">
        <f>SUM(G111:G112)</f>
        <v>3206.1359771999996</v>
      </c>
      <c r="H113" s="114"/>
    </row>
    <row r="114" spans="1:9" s="35" customFormat="1" x14ac:dyDescent="0.35">
      <c r="A114" s="167" t="s">
        <v>69</v>
      </c>
      <c r="B114" s="167"/>
      <c r="C114" s="167"/>
      <c r="D114" s="167"/>
      <c r="E114" s="167"/>
      <c r="F114" s="167"/>
      <c r="G114" s="167"/>
      <c r="H114" s="167"/>
    </row>
    <row r="115" spans="1:9" s="35" customFormat="1" ht="15.75" customHeight="1" x14ac:dyDescent="0.35">
      <c r="A115" s="114" t="s">
        <v>52</v>
      </c>
      <c r="B115" s="114"/>
      <c r="C115" s="121" t="s">
        <v>76</v>
      </c>
      <c r="D115" s="121"/>
      <c r="E115" s="119" t="s">
        <v>53</v>
      </c>
      <c r="F115" s="119"/>
      <c r="G115" s="114" t="s">
        <v>54</v>
      </c>
      <c r="H115" s="114"/>
    </row>
    <row r="116" spans="1:9" s="35" customFormat="1" ht="15.75" customHeight="1" x14ac:dyDescent="0.35">
      <c r="A116" s="120" t="s">
        <v>258</v>
      </c>
      <c r="B116" s="120"/>
      <c r="C116" s="174">
        <f>COUNT(D160:D167)+COUNT(D169:D176)*3+COUNT(D178:D185)*3</f>
        <v>56</v>
      </c>
      <c r="D116" s="174"/>
      <c r="E116" s="149">
        <f>SUM(D160:D167)+SUM(D169:D176)*3+SUM(D178:D185)*3</f>
        <v>26429.81796</v>
      </c>
      <c r="F116" s="149"/>
      <c r="G116" s="149">
        <f>SUM(F160:F167)+SUM(F169:F176)*3+SUM(F178:F185)*3</f>
        <v>44180</v>
      </c>
      <c r="H116" s="149"/>
    </row>
    <row r="117" spans="1:9" s="35" customFormat="1" ht="15.75" customHeight="1" x14ac:dyDescent="0.35">
      <c r="A117" s="120" t="s">
        <v>268</v>
      </c>
      <c r="B117" s="120"/>
      <c r="C117" s="174">
        <f>COUNT(D189:D196)+COUNT(D198:D205)*3+COUNT(D207:D214)*3</f>
        <v>56</v>
      </c>
      <c r="D117" s="174"/>
      <c r="E117" s="149">
        <f>SUM(D189:D196)+SUM(D198:D205)*3+SUM(D207:D214)*3</f>
        <v>26429.81796</v>
      </c>
      <c r="F117" s="149"/>
      <c r="G117" s="149">
        <f>SUM(F189:F196)+SUM(F198:F205)*3+SUM(F207:F214)*3</f>
        <v>44180</v>
      </c>
      <c r="H117" s="149"/>
    </row>
    <row r="118" spans="1:9" s="35" customFormat="1" ht="16" thickBot="1" x14ac:dyDescent="0.4">
      <c r="A118" s="236" t="s">
        <v>146</v>
      </c>
      <c r="B118" s="236"/>
      <c r="C118" s="151">
        <f>SUM(C116:C117)</f>
        <v>112</v>
      </c>
      <c r="D118" s="151"/>
      <c r="E118" s="237">
        <f>SUM(E116:E117)</f>
        <v>52859.635920000001</v>
      </c>
      <c r="F118" s="237"/>
      <c r="G118" s="238">
        <f>SUM(G116:G117)</f>
        <v>88360</v>
      </c>
      <c r="H118" s="238"/>
    </row>
    <row r="119" spans="1:9" s="35" customFormat="1" ht="16" thickBot="1" x14ac:dyDescent="0.4">
      <c r="A119" s="80" t="s">
        <v>164</v>
      </c>
      <c r="B119" s="81"/>
      <c r="C119" s="82">
        <f>C113+C118</f>
        <v>136</v>
      </c>
      <c r="D119" s="82"/>
      <c r="E119" s="162">
        <f>E113+E118</f>
        <v>54928.110743999998</v>
      </c>
      <c r="F119" s="162"/>
      <c r="G119" s="163">
        <f>G113+G118</f>
        <v>91566.1359772</v>
      </c>
      <c r="H119" s="164"/>
    </row>
    <row r="120" spans="1:9" s="34" customFormat="1" x14ac:dyDescent="0.35">
      <c r="A120" s="161" t="s">
        <v>55</v>
      </c>
      <c r="B120" s="161"/>
      <c r="C120" s="161"/>
      <c r="D120" s="161"/>
      <c r="E120" s="161"/>
      <c r="F120" s="161"/>
      <c r="G120" s="161"/>
      <c r="H120" s="161"/>
    </row>
    <row r="121" spans="1:9" x14ac:dyDescent="0.35">
      <c r="A121" s="113" t="s">
        <v>171</v>
      </c>
      <c r="B121" s="113"/>
      <c r="C121" s="113"/>
      <c r="D121" s="113"/>
      <c r="E121" s="113"/>
      <c r="F121" s="113"/>
      <c r="G121" s="113"/>
      <c r="H121" s="113"/>
    </row>
    <row r="122" spans="1:9" ht="47.25" customHeight="1" x14ac:dyDescent="0.35">
      <c r="A122" s="170" t="s">
        <v>116</v>
      </c>
      <c r="B122" s="170" t="s">
        <v>173</v>
      </c>
      <c r="C122" s="170" t="s">
        <v>56</v>
      </c>
      <c r="D122" s="170" t="s">
        <v>57</v>
      </c>
      <c r="E122" s="205" t="s">
        <v>152</v>
      </c>
      <c r="F122" s="42" t="s">
        <v>145</v>
      </c>
      <c r="G122" s="207" t="s">
        <v>59</v>
      </c>
      <c r="H122" s="208"/>
    </row>
    <row r="123" spans="1:9" s="37" customFormat="1" x14ac:dyDescent="0.35">
      <c r="A123" s="171"/>
      <c r="B123" s="171"/>
      <c r="C123" s="171"/>
      <c r="D123" s="171"/>
      <c r="E123" s="206"/>
      <c r="F123" s="13">
        <v>0.55000000000000004</v>
      </c>
      <c r="G123" s="209"/>
      <c r="H123" s="210"/>
    </row>
    <row r="124" spans="1:9" s="59" customFormat="1" x14ac:dyDescent="0.35">
      <c r="A124" s="77" t="s">
        <v>257</v>
      </c>
      <c r="B124" s="78"/>
      <c r="C124" s="78"/>
      <c r="D124" s="78"/>
      <c r="E124" s="78"/>
      <c r="F124" s="78"/>
      <c r="G124" s="78"/>
      <c r="H124" s="79"/>
    </row>
    <row r="125" spans="1:9" s="59" customFormat="1" x14ac:dyDescent="0.35">
      <c r="A125" s="77" t="s">
        <v>258</v>
      </c>
      <c r="B125" s="78"/>
      <c r="C125" s="78"/>
      <c r="D125" s="78"/>
      <c r="E125" s="78"/>
      <c r="F125" s="78"/>
      <c r="G125" s="78"/>
      <c r="H125" s="79"/>
    </row>
    <row r="126" spans="1:9" s="59" customFormat="1" x14ac:dyDescent="0.35">
      <c r="A126" s="77" t="s">
        <v>277</v>
      </c>
      <c r="B126" s="78"/>
      <c r="C126" s="78"/>
      <c r="D126" s="78"/>
      <c r="E126" s="78"/>
      <c r="F126" s="78"/>
      <c r="G126" s="78"/>
      <c r="H126" s="79"/>
    </row>
    <row r="127" spans="1:9" s="59" customFormat="1" ht="15.75" customHeight="1" x14ac:dyDescent="0.35">
      <c r="A127" s="89">
        <v>1</v>
      </c>
      <c r="B127" s="90"/>
      <c r="C127" s="58" t="s">
        <v>261</v>
      </c>
      <c r="D127" s="64">
        <f>(9.135)*10.764</f>
        <v>98.329139999999995</v>
      </c>
      <c r="E127" s="64">
        <v>0</v>
      </c>
      <c r="F127" s="58">
        <f>(D127+E127)*(($F$123)+1)</f>
        <v>152.410167</v>
      </c>
      <c r="G127" s="83" t="str">
        <f>A126</f>
        <v>Ground Floor For Commercial, Lobby, Meter Room &amp; Parking</v>
      </c>
      <c r="H127" s="84"/>
      <c r="I127" s="59">
        <f>3.15*2.9</f>
        <v>9.1349999999999998</v>
      </c>
    </row>
    <row r="128" spans="1:9" s="59" customFormat="1" ht="15.75" customHeight="1" x14ac:dyDescent="0.35">
      <c r="A128" s="89">
        <f t="shared" ref="A128" si="0">A127+1</f>
        <v>2</v>
      </c>
      <c r="B128" s="90"/>
      <c r="C128" s="58" t="s">
        <v>261</v>
      </c>
      <c r="D128" s="64">
        <f>(6.93)*10.764</f>
        <v>74.594519999999989</v>
      </c>
      <c r="E128" s="64">
        <v>0</v>
      </c>
      <c r="F128" s="58">
        <f t="shared" ref="F128:F131" si="1">(D128+E128)*(($F$123)+1)</f>
        <v>115.62150599999998</v>
      </c>
      <c r="G128" s="85"/>
      <c r="H128" s="86"/>
    </row>
    <row r="129" spans="1:9" s="59" customFormat="1" ht="15.75" customHeight="1" x14ac:dyDescent="0.35">
      <c r="A129" s="89">
        <f t="shared" ref="A129" si="2">A128+1</f>
        <v>3</v>
      </c>
      <c r="B129" s="90"/>
      <c r="C129" s="58" t="s">
        <v>261</v>
      </c>
      <c r="D129" s="64">
        <f>(8.505)*10.764</f>
        <v>91.547820000000002</v>
      </c>
      <c r="E129" s="64">
        <v>0</v>
      </c>
      <c r="F129" s="58">
        <f t="shared" si="1"/>
        <v>141.89912100000001</v>
      </c>
      <c r="G129" s="85"/>
      <c r="H129" s="86"/>
      <c r="I129" s="59">
        <f>3.15*2.7</f>
        <v>8.5050000000000008</v>
      </c>
    </row>
    <row r="130" spans="1:9" s="59" customFormat="1" ht="15.75" customHeight="1" x14ac:dyDescent="0.35">
      <c r="A130" s="89">
        <f t="shared" ref="A130" si="3">A129+1</f>
        <v>4</v>
      </c>
      <c r="B130" s="90"/>
      <c r="C130" s="58" t="s">
        <v>261</v>
      </c>
      <c r="D130" s="64">
        <f>(8.505)*10.764</f>
        <v>91.547820000000002</v>
      </c>
      <c r="E130" s="64">
        <v>0</v>
      </c>
      <c r="F130" s="58">
        <f t="shared" si="1"/>
        <v>141.89912100000001</v>
      </c>
      <c r="G130" s="85"/>
      <c r="H130" s="86"/>
    </row>
    <row r="131" spans="1:9" s="59" customFormat="1" ht="15.75" customHeight="1" x14ac:dyDescent="0.35">
      <c r="A131" s="89">
        <f t="shared" ref="A131" si="4">A130+1</f>
        <v>5</v>
      </c>
      <c r="B131" s="90"/>
      <c r="C131" s="58" t="s">
        <v>261</v>
      </c>
      <c r="D131" s="64">
        <f>(6.3)*10.764</f>
        <v>67.813199999999995</v>
      </c>
      <c r="E131" s="64">
        <v>0</v>
      </c>
      <c r="F131" s="58">
        <f t="shared" si="1"/>
        <v>105.11045999999999</v>
      </c>
      <c r="G131" s="85"/>
      <c r="H131" s="86"/>
      <c r="I131" s="59">
        <f>3.15*2</f>
        <v>6.3</v>
      </c>
    </row>
    <row r="132" spans="1:9" s="59" customFormat="1" x14ac:dyDescent="0.35">
      <c r="A132" s="89">
        <v>6</v>
      </c>
      <c r="B132" s="90"/>
      <c r="C132" s="58" t="s">
        <v>261</v>
      </c>
      <c r="D132" s="64">
        <f>(8.663)*10.764</f>
        <v>93.248531999999997</v>
      </c>
      <c r="E132" s="64">
        <v>0</v>
      </c>
      <c r="F132" s="58">
        <f>(D132+E132)*(($F$123)+1)</f>
        <v>144.53522459999999</v>
      </c>
      <c r="G132" s="85"/>
      <c r="H132" s="86"/>
    </row>
    <row r="133" spans="1:9" s="59" customFormat="1" x14ac:dyDescent="0.35">
      <c r="A133" s="89">
        <f t="shared" ref="A133:A135" si="5">A132+1</f>
        <v>7</v>
      </c>
      <c r="B133" s="90"/>
      <c r="C133" s="58" t="s">
        <v>261</v>
      </c>
      <c r="D133" s="64">
        <f>(8.663)*10.764</f>
        <v>93.248531999999997</v>
      </c>
      <c r="E133" s="64">
        <v>0</v>
      </c>
      <c r="F133" s="58">
        <f t="shared" ref="F133:F135" si="6">(D133+E133)*(($F$123)+1)</f>
        <v>144.53522459999999</v>
      </c>
      <c r="G133" s="85"/>
      <c r="H133" s="86"/>
    </row>
    <row r="134" spans="1:9" s="59" customFormat="1" x14ac:dyDescent="0.35">
      <c r="A134" s="89">
        <f t="shared" si="5"/>
        <v>8</v>
      </c>
      <c r="B134" s="90"/>
      <c r="C134" s="58" t="s">
        <v>261</v>
      </c>
      <c r="D134" s="64">
        <f>(6.3)*10.764</f>
        <v>67.813199999999995</v>
      </c>
      <c r="E134" s="64">
        <v>0</v>
      </c>
      <c r="F134" s="58">
        <f t="shared" si="6"/>
        <v>105.11045999999999</v>
      </c>
      <c r="G134" s="85"/>
      <c r="H134" s="86"/>
    </row>
    <row r="135" spans="1:9" s="59" customFormat="1" x14ac:dyDescent="0.35">
      <c r="A135" s="89">
        <f t="shared" si="5"/>
        <v>9</v>
      </c>
      <c r="B135" s="90"/>
      <c r="C135" s="58" t="s">
        <v>261</v>
      </c>
      <c r="D135" s="64">
        <f>(8.505)*10.764</f>
        <v>91.547820000000002</v>
      </c>
      <c r="E135" s="64">
        <v>0</v>
      </c>
      <c r="F135" s="58">
        <f t="shared" si="6"/>
        <v>141.89912100000001</v>
      </c>
      <c r="G135" s="85"/>
      <c r="H135" s="86"/>
    </row>
    <row r="136" spans="1:9" s="59" customFormat="1" ht="15.75" customHeight="1" x14ac:dyDescent="0.35">
      <c r="A136" s="89">
        <v>10</v>
      </c>
      <c r="B136" s="90"/>
      <c r="C136" s="58" t="s">
        <v>261</v>
      </c>
      <c r="D136" s="64">
        <f>(8.505)*10.764</f>
        <v>91.547820000000002</v>
      </c>
      <c r="E136" s="64">
        <v>0</v>
      </c>
      <c r="F136" s="58">
        <f>(D136+E136)*(($F$123)+1)</f>
        <v>141.89912100000001</v>
      </c>
      <c r="G136" s="85"/>
      <c r="H136" s="86"/>
    </row>
    <row r="137" spans="1:9" s="59" customFormat="1" ht="15.75" customHeight="1" x14ac:dyDescent="0.35">
      <c r="A137" s="89">
        <f t="shared" ref="A137:A153" si="7">A136+1</f>
        <v>11</v>
      </c>
      <c r="B137" s="90"/>
      <c r="C137" s="58" t="s">
        <v>261</v>
      </c>
      <c r="D137" s="64">
        <f>(6.93)*10.764</f>
        <v>74.594519999999989</v>
      </c>
      <c r="E137" s="64">
        <v>0</v>
      </c>
      <c r="F137" s="58">
        <f t="shared" ref="F137:F138" si="8">(D137+E137)*(($F$123)+1)</f>
        <v>115.62150599999998</v>
      </c>
      <c r="G137" s="85"/>
      <c r="H137" s="86"/>
    </row>
    <row r="138" spans="1:9" s="59" customFormat="1" ht="15.75" customHeight="1" x14ac:dyDescent="0.35">
      <c r="A138" s="89">
        <f t="shared" si="7"/>
        <v>12</v>
      </c>
      <c r="B138" s="90"/>
      <c r="C138" s="58" t="s">
        <v>261</v>
      </c>
      <c r="D138" s="64">
        <f>(9.142)*10.764</f>
        <v>98.404487999999986</v>
      </c>
      <c r="E138" s="64">
        <v>0</v>
      </c>
      <c r="F138" s="58">
        <f t="shared" si="8"/>
        <v>152.52695639999999</v>
      </c>
      <c r="G138" s="87"/>
      <c r="H138" s="88"/>
    </row>
    <row r="139" spans="1:9" s="59" customFormat="1" x14ac:dyDescent="0.35">
      <c r="A139" s="77" t="s">
        <v>260</v>
      </c>
      <c r="B139" s="78"/>
      <c r="C139" s="78"/>
      <c r="D139" s="78"/>
      <c r="E139" s="78"/>
      <c r="F139" s="78"/>
      <c r="G139" s="78"/>
      <c r="H139" s="79"/>
    </row>
    <row r="140" spans="1:9" s="59" customFormat="1" x14ac:dyDescent="0.35">
      <c r="A140" s="77" t="s">
        <v>268</v>
      </c>
      <c r="B140" s="78"/>
      <c r="C140" s="78"/>
      <c r="D140" s="78"/>
      <c r="E140" s="78"/>
      <c r="F140" s="78"/>
      <c r="G140" s="78"/>
      <c r="H140" s="79"/>
    </row>
    <row r="141" spans="1:9" s="59" customFormat="1" x14ac:dyDescent="0.35">
      <c r="A141" s="77" t="s">
        <v>259</v>
      </c>
      <c r="B141" s="78"/>
      <c r="C141" s="78"/>
      <c r="D141" s="78"/>
      <c r="E141" s="78"/>
      <c r="F141" s="78"/>
      <c r="G141" s="78"/>
      <c r="H141" s="79"/>
    </row>
    <row r="142" spans="1:9" s="59" customFormat="1" ht="15.75" customHeight="1" x14ac:dyDescent="0.35">
      <c r="A142" s="91">
        <v>1</v>
      </c>
      <c r="B142" s="91"/>
      <c r="C142" s="71" t="s">
        <v>261</v>
      </c>
      <c r="D142" s="64">
        <f>(9.135)*10.764</f>
        <v>98.329139999999995</v>
      </c>
      <c r="E142" s="64">
        <v>0</v>
      </c>
      <c r="F142" s="71">
        <f>(D142+E142)*(($F$123)+1)</f>
        <v>152.410167</v>
      </c>
      <c r="G142" s="91" t="str">
        <f>A141</f>
        <v>Ground Floor For Lobby, Meter Room &amp; Parking</v>
      </c>
      <c r="H142" s="91"/>
    </row>
    <row r="143" spans="1:9" s="59" customFormat="1" ht="15.75" customHeight="1" x14ac:dyDescent="0.35">
      <c r="A143" s="91">
        <f t="shared" ref="A143" si="9">A142+1</f>
        <v>2</v>
      </c>
      <c r="B143" s="91"/>
      <c r="C143" s="71" t="s">
        <v>261</v>
      </c>
      <c r="D143" s="64">
        <f>(6.93)*10.764</f>
        <v>74.594519999999989</v>
      </c>
      <c r="E143" s="64">
        <v>0</v>
      </c>
      <c r="F143" s="71">
        <f t="shared" ref="F143:F146" si="10">(D143+E143)*(($F$123)+1)</f>
        <v>115.62150599999998</v>
      </c>
      <c r="G143" s="91"/>
      <c r="H143" s="91"/>
    </row>
    <row r="144" spans="1:9" s="59" customFormat="1" ht="15.75" customHeight="1" x14ac:dyDescent="0.35">
      <c r="A144" s="91">
        <f t="shared" ref="A144" si="11">A143+1</f>
        <v>3</v>
      </c>
      <c r="B144" s="91"/>
      <c r="C144" s="71" t="s">
        <v>261</v>
      </c>
      <c r="D144" s="64">
        <f>(8.505)*10.764</f>
        <v>91.547820000000002</v>
      </c>
      <c r="E144" s="64">
        <v>0</v>
      </c>
      <c r="F144" s="71">
        <f t="shared" si="10"/>
        <v>141.89912100000001</v>
      </c>
      <c r="G144" s="91"/>
      <c r="H144" s="91"/>
    </row>
    <row r="145" spans="1:14" s="59" customFormat="1" ht="15.75" customHeight="1" x14ac:dyDescent="0.35">
      <c r="A145" s="91">
        <f t="shared" ref="A145" si="12">A144+1</f>
        <v>4</v>
      </c>
      <c r="B145" s="91"/>
      <c r="C145" s="71" t="s">
        <v>261</v>
      </c>
      <c r="D145" s="64">
        <f>(8.505)*10.764</f>
        <v>91.547820000000002</v>
      </c>
      <c r="E145" s="64">
        <v>0</v>
      </c>
      <c r="F145" s="71">
        <f t="shared" si="10"/>
        <v>141.89912100000001</v>
      </c>
      <c r="G145" s="91"/>
      <c r="H145" s="91"/>
    </row>
    <row r="146" spans="1:14" s="59" customFormat="1" ht="15.75" customHeight="1" x14ac:dyDescent="0.35">
      <c r="A146" s="91">
        <f t="shared" ref="A146" si="13">A145+1</f>
        <v>5</v>
      </c>
      <c r="B146" s="91"/>
      <c r="C146" s="71" t="s">
        <v>261</v>
      </c>
      <c r="D146" s="64">
        <f>(6.3)*10.764</f>
        <v>67.813199999999995</v>
      </c>
      <c r="E146" s="64">
        <v>0</v>
      </c>
      <c r="F146" s="71">
        <f t="shared" si="10"/>
        <v>105.11045999999999</v>
      </c>
      <c r="G146" s="91"/>
      <c r="H146" s="91"/>
    </row>
    <row r="147" spans="1:14" s="59" customFormat="1" x14ac:dyDescent="0.35">
      <c r="A147" s="91">
        <v>6</v>
      </c>
      <c r="B147" s="91"/>
      <c r="C147" s="71" t="s">
        <v>261</v>
      </c>
      <c r="D147" s="64">
        <f>(8.663)*10.764</f>
        <v>93.248531999999997</v>
      </c>
      <c r="E147" s="64">
        <v>0</v>
      </c>
      <c r="F147" s="71">
        <f>(D147+E147)*(($F$123)+1)</f>
        <v>144.53522459999999</v>
      </c>
      <c r="G147" s="91"/>
      <c r="H147" s="91"/>
    </row>
    <row r="148" spans="1:14" s="59" customFormat="1" x14ac:dyDescent="0.35">
      <c r="A148" s="91">
        <f t="shared" ref="A148:A150" si="14">A147+1</f>
        <v>7</v>
      </c>
      <c r="B148" s="91"/>
      <c r="C148" s="71" t="s">
        <v>261</v>
      </c>
      <c r="D148" s="64">
        <f>(8.663)*10.764</f>
        <v>93.248531999999997</v>
      </c>
      <c r="E148" s="64">
        <v>0</v>
      </c>
      <c r="F148" s="71">
        <f t="shared" ref="F148:F150" si="15">(D148+E148)*(($F$123)+1)</f>
        <v>144.53522459999999</v>
      </c>
      <c r="G148" s="91"/>
      <c r="H148" s="91"/>
    </row>
    <row r="149" spans="1:14" s="59" customFormat="1" x14ac:dyDescent="0.35">
      <c r="A149" s="91">
        <f t="shared" si="14"/>
        <v>8</v>
      </c>
      <c r="B149" s="91"/>
      <c r="C149" s="71" t="s">
        <v>261</v>
      </c>
      <c r="D149" s="64">
        <f>(6.3)*10.764</f>
        <v>67.813199999999995</v>
      </c>
      <c r="E149" s="64">
        <v>0</v>
      </c>
      <c r="F149" s="71">
        <f t="shared" si="15"/>
        <v>105.11045999999999</v>
      </c>
      <c r="G149" s="91"/>
      <c r="H149" s="91"/>
    </row>
    <row r="150" spans="1:14" s="59" customFormat="1" x14ac:dyDescent="0.35">
      <c r="A150" s="91">
        <f t="shared" si="14"/>
        <v>9</v>
      </c>
      <c r="B150" s="91"/>
      <c r="C150" s="71" t="s">
        <v>261</v>
      </c>
      <c r="D150" s="64">
        <f>(8.505)*10.764</f>
        <v>91.547820000000002</v>
      </c>
      <c r="E150" s="64">
        <v>0</v>
      </c>
      <c r="F150" s="71">
        <f t="shared" si="15"/>
        <v>141.89912100000001</v>
      </c>
      <c r="G150" s="91"/>
      <c r="H150" s="91"/>
    </row>
    <row r="151" spans="1:14" s="59" customFormat="1" ht="15.75" customHeight="1" x14ac:dyDescent="0.35">
      <c r="A151" s="91">
        <v>10</v>
      </c>
      <c r="B151" s="91"/>
      <c r="C151" s="71" t="s">
        <v>261</v>
      </c>
      <c r="D151" s="64">
        <f>(8.505)*10.764</f>
        <v>91.547820000000002</v>
      </c>
      <c r="E151" s="64">
        <v>0</v>
      </c>
      <c r="F151" s="71">
        <f>(D151+E151)*(($F$123)+1)</f>
        <v>141.89912100000001</v>
      </c>
      <c r="G151" s="91"/>
      <c r="H151" s="91"/>
    </row>
    <row r="152" spans="1:14" s="37" customFormat="1" ht="15.75" customHeight="1" x14ac:dyDescent="0.35">
      <c r="A152" s="91">
        <f t="shared" si="7"/>
        <v>11</v>
      </c>
      <c r="B152" s="91"/>
      <c r="C152" s="71" t="s">
        <v>261</v>
      </c>
      <c r="D152" s="64">
        <f>(6.93)*10.764</f>
        <v>74.594519999999989</v>
      </c>
      <c r="E152" s="64">
        <v>0</v>
      </c>
      <c r="F152" s="71">
        <f t="shared" ref="F152:F153" si="16">(D152+E152)*(($F$123)+1)</f>
        <v>115.62150599999998</v>
      </c>
      <c r="G152" s="91"/>
      <c r="H152" s="91"/>
      <c r="J152" s="36"/>
    </row>
    <row r="153" spans="1:14" s="37" customFormat="1" ht="15.75" customHeight="1" x14ac:dyDescent="0.35">
      <c r="A153" s="91">
        <f t="shared" si="7"/>
        <v>12</v>
      </c>
      <c r="B153" s="91"/>
      <c r="C153" s="71" t="s">
        <v>261</v>
      </c>
      <c r="D153" s="64">
        <f>(9.142)*10.764</f>
        <v>98.404487999999986</v>
      </c>
      <c r="E153" s="64">
        <v>0</v>
      </c>
      <c r="F153" s="71">
        <f t="shared" si="16"/>
        <v>152.52695639999999</v>
      </c>
      <c r="G153" s="91"/>
      <c r="H153" s="91"/>
      <c r="I153" s="36"/>
      <c r="L153" s="204"/>
      <c r="M153" s="204"/>
      <c r="N153" s="36"/>
    </row>
    <row r="154" spans="1:14" s="37" customFormat="1" x14ac:dyDescent="0.35">
      <c r="A154" s="91"/>
      <c r="B154" s="91"/>
      <c r="C154" s="91"/>
      <c r="D154" s="91"/>
      <c r="E154" s="91"/>
      <c r="F154" s="91"/>
      <c r="G154" s="91"/>
      <c r="H154" s="91"/>
      <c r="I154" s="36"/>
      <c r="N154" s="36"/>
    </row>
    <row r="155" spans="1:14" ht="47.25" customHeight="1" x14ac:dyDescent="0.35">
      <c r="A155" s="101" t="s">
        <v>117</v>
      </c>
      <c r="B155" s="101" t="s">
        <v>174</v>
      </c>
      <c r="C155" s="101" t="s">
        <v>56</v>
      </c>
      <c r="D155" s="101" t="s">
        <v>57</v>
      </c>
      <c r="E155" s="147" t="s">
        <v>58</v>
      </c>
      <c r="F155" s="75" t="s">
        <v>280</v>
      </c>
      <c r="G155" s="101" t="s">
        <v>59</v>
      </c>
      <c r="H155" s="101"/>
      <c r="I155" s="36"/>
    </row>
    <row r="156" spans="1:14" s="37" customFormat="1" hidden="1" x14ac:dyDescent="0.35">
      <c r="A156" s="101"/>
      <c r="B156" s="101"/>
      <c r="C156" s="101"/>
      <c r="D156" s="101"/>
      <c r="E156" s="147"/>
      <c r="F156" s="76">
        <v>0.45</v>
      </c>
      <c r="G156" s="101"/>
      <c r="H156" s="101"/>
      <c r="I156" s="36"/>
    </row>
    <row r="157" spans="1:14" s="59" customFormat="1" x14ac:dyDescent="0.35">
      <c r="A157" s="77" t="s">
        <v>257</v>
      </c>
      <c r="B157" s="78"/>
      <c r="C157" s="78"/>
      <c r="D157" s="78"/>
      <c r="E157" s="78"/>
      <c r="F157" s="78"/>
      <c r="G157" s="78"/>
      <c r="H157" s="79"/>
      <c r="I157" s="36"/>
    </row>
    <row r="158" spans="1:14" s="59" customFormat="1" x14ac:dyDescent="0.35">
      <c r="A158" s="77" t="s">
        <v>258</v>
      </c>
      <c r="B158" s="78"/>
      <c r="C158" s="78"/>
      <c r="D158" s="78"/>
      <c r="E158" s="78"/>
      <c r="F158" s="78"/>
      <c r="G158" s="78"/>
      <c r="H158" s="79"/>
      <c r="I158" s="64">
        <v>10.763999999999999</v>
      </c>
    </row>
    <row r="159" spans="1:14" s="59" customFormat="1" x14ac:dyDescent="0.35">
      <c r="A159" s="77" t="s">
        <v>262</v>
      </c>
      <c r="B159" s="78"/>
      <c r="C159" s="78"/>
      <c r="D159" s="78"/>
      <c r="E159" s="78"/>
      <c r="F159" s="78"/>
      <c r="G159" s="78"/>
      <c r="H159" s="79"/>
      <c r="I159" s="36"/>
      <c r="K159" s="59" t="s">
        <v>263</v>
      </c>
    </row>
    <row r="160" spans="1:14" s="59" customFormat="1" ht="15.75" customHeight="1" x14ac:dyDescent="0.35">
      <c r="A160" s="89">
        <v>1</v>
      </c>
      <c r="B160" s="90"/>
      <c r="C160" s="58" t="s">
        <v>264</v>
      </c>
      <c r="D160" s="64">
        <f>(32.462+(5.15))*10.764</f>
        <v>404.85556800000001</v>
      </c>
      <c r="E160" s="64">
        <f>(5.143)*10.764</f>
        <v>55.359251999999998</v>
      </c>
      <c r="F160" s="70">
        <v>725</v>
      </c>
      <c r="G160" s="83" t="str">
        <f>A159</f>
        <v>1st Floor For Residential</v>
      </c>
      <c r="H160" s="84"/>
      <c r="I160" s="36">
        <f>4.15*2.75+2.4*2+3.3*2.75+1.8*1.2*2+0.9*2</f>
        <v>31.407500000000002</v>
      </c>
      <c r="J160" s="62">
        <f>2.75*1.85</f>
        <v>5.0875000000000004</v>
      </c>
      <c r="L160" s="59">
        <f>2999000/F160</f>
        <v>4136.5517241379312</v>
      </c>
      <c r="M160" s="59">
        <v>725</v>
      </c>
      <c r="N160" s="59">
        <f>M160/D160</f>
        <v>1.7907620823434001</v>
      </c>
    </row>
    <row r="161" spans="1:14" s="59" customFormat="1" ht="15.75" customHeight="1" x14ac:dyDescent="0.35">
      <c r="A161" s="89">
        <f t="shared" ref="A161:A164" si="17">A160+1</f>
        <v>2</v>
      </c>
      <c r="B161" s="90"/>
      <c r="C161" s="58" t="s">
        <v>265</v>
      </c>
      <c r="D161" s="64">
        <f>(41.445+(8.635))*10.764</f>
        <v>539.06111999999996</v>
      </c>
      <c r="E161" s="64">
        <f>(5.143)*10.764</f>
        <v>55.359251999999998</v>
      </c>
      <c r="F161" s="70">
        <v>930</v>
      </c>
      <c r="G161" s="85"/>
      <c r="H161" s="86"/>
      <c r="I161" s="36"/>
      <c r="L161" s="69">
        <f t="shared" ref="L161:L167" si="18">2999000/F161</f>
        <v>3224.7311827956987</v>
      </c>
      <c r="M161" s="59">
        <v>930</v>
      </c>
      <c r="N161" s="69">
        <f t="shared" ref="N161:N167" si="19">M161/D161</f>
        <v>1.7252218078721762</v>
      </c>
    </row>
    <row r="162" spans="1:14" s="59" customFormat="1" ht="15.75" customHeight="1" x14ac:dyDescent="0.35">
      <c r="A162" s="89">
        <f t="shared" si="17"/>
        <v>3</v>
      </c>
      <c r="B162" s="90"/>
      <c r="C162" s="58" t="s">
        <v>265</v>
      </c>
      <c r="D162" s="64">
        <f>(41.445+(8.635))*10.764</f>
        <v>539.06111999999996</v>
      </c>
      <c r="E162" s="64">
        <f>(5.143)*10.764</f>
        <v>55.359251999999998</v>
      </c>
      <c r="F162" s="70">
        <v>930</v>
      </c>
      <c r="G162" s="85"/>
      <c r="H162" s="86"/>
      <c r="I162" s="36">
        <f>4.15*2.75+2.1*2.2+3*2.9+2.75*2.75+1.9*1.2+1.8*1.2+0.9*2.2</f>
        <v>38.714999999999996</v>
      </c>
      <c r="K162" s="59">
        <f>2.85*1.1+5.5*1</f>
        <v>8.6349999999999998</v>
      </c>
      <c r="L162" s="69">
        <f t="shared" si="18"/>
        <v>3224.7311827956987</v>
      </c>
      <c r="M162" s="59">
        <v>930</v>
      </c>
      <c r="N162" s="69">
        <f t="shared" si="19"/>
        <v>1.7252218078721762</v>
      </c>
    </row>
    <row r="163" spans="1:14" s="59" customFormat="1" ht="15.75" customHeight="1" x14ac:dyDescent="0.35">
      <c r="A163" s="89">
        <f t="shared" si="17"/>
        <v>4</v>
      </c>
      <c r="B163" s="90"/>
      <c r="C163" s="58" t="s">
        <v>264</v>
      </c>
      <c r="D163" s="64">
        <f>(32.463+(5.15))*10.764</f>
        <v>404.86633199999994</v>
      </c>
      <c r="E163" s="64">
        <f>(5.143)*10.764</f>
        <v>55.359251999999998</v>
      </c>
      <c r="F163" s="70">
        <v>725</v>
      </c>
      <c r="G163" s="85"/>
      <c r="H163" s="86"/>
      <c r="I163" s="36">
        <f>4.15*2.75+2.4*2+3.3*2.75+1.8*1.2+1.8*1.2+0.9*2</f>
        <v>31.407500000000002</v>
      </c>
      <c r="K163" s="59">
        <f>2.78*1.85</f>
        <v>5.1429999999999998</v>
      </c>
      <c r="L163" s="69">
        <f t="shared" si="18"/>
        <v>4136.5517241379312</v>
      </c>
      <c r="M163" s="59">
        <v>725</v>
      </c>
      <c r="N163" s="69">
        <f t="shared" si="19"/>
        <v>1.7907144721532442</v>
      </c>
    </row>
    <row r="164" spans="1:14" s="59" customFormat="1" ht="15.75" customHeight="1" x14ac:dyDescent="0.35">
      <c r="A164" s="89">
        <f t="shared" si="17"/>
        <v>5</v>
      </c>
      <c r="B164" s="90"/>
      <c r="C164" s="58" t="s">
        <v>264</v>
      </c>
      <c r="D164" s="64">
        <f>(32.463+(5.15))*10.764</f>
        <v>404.86633199999994</v>
      </c>
      <c r="E164" s="64">
        <f>(5.272)*10.764</f>
        <v>56.747807999999999</v>
      </c>
      <c r="F164" s="70">
        <v>725</v>
      </c>
      <c r="G164" s="85"/>
      <c r="H164" s="86"/>
      <c r="I164" s="36"/>
      <c r="K164" s="59">
        <f>2.85*1.85</f>
        <v>5.2725000000000009</v>
      </c>
      <c r="L164" s="69">
        <f t="shared" si="18"/>
        <v>4136.5517241379312</v>
      </c>
      <c r="M164" s="69">
        <v>725</v>
      </c>
      <c r="N164" s="69">
        <f t="shared" si="19"/>
        <v>1.7907144721532442</v>
      </c>
    </row>
    <row r="165" spans="1:14" s="59" customFormat="1" x14ac:dyDescent="0.35">
      <c r="A165" s="91">
        <v>6</v>
      </c>
      <c r="B165" s="91"/>
      <c r="C165" s="58" t="s">
        <v>265</v>
      </c>
      <c r="D165" s="64">
        <f>(41.445+(8.635))*10.764</f>
        <v>539.06111999999996</v>
      </c>
      <c r="E165" s="64">
        <f>(5.273)*10.764</f>
        <v>56.758571999999994</v>
      </c>
      <c r="F165" s="70">
        <v>930</v>
      </c>
      <c r="G165" s="85"/>
      <c r="H165" s="86"/>
      <c r="I165" s="36"/>
      <c r="L165" s="69">
        <f t="shared" si="18"/>
        <v>3224.7311827956987</v>
      </c>
      <c r="M165" s="59">
        <v>930</v>
      </c>
      <c r="N165" s="69">
        <f t="shared" si="19"/>
        <v>1.7252218078721762</v>
      </c>
    </row>
    <row r="166" spans="1:14" s="59" customFormat="1" x14ac:dyDescent="0.35">
      <c r="A166" s="91">
        <f>A165+1</f>
        <v>7</v>
      </c>
      <c r="B166" s="91"/>
      <c r="C166" s="58" t="s">
        <v>265</v>
      </c>
      <c r="D166" s="64">
        <f>(41.445+(8.635))*10.764</f>
        <v>539.06111999999996</v>
      </c>
      <c r="E166" s="64">
        <f>(5.143)*10.764</f>
        <v>55.359251999999998</v>
      </c>
      <c r="F166" s="70">
        <v>930</v>
      </c>
      <c r="G166" s="85"/>
      <c r="H166" s="86"/>
      <c r="I166" s="36"/>
      <c r="L166" s="69">
        <f t="shared" si="18"/>
        <v>3224.7311827956987</v>
      </c>
      <c r="M166" s="59">
        <v>930</v>
      </c>
      <c r="N166" s="69">
        <f t="shared" si="19"/>
        <v>1.7252218078721762</v>
      </c>
    </row>
    <row r="167" spans="1:14" s="59" customFormat="1" x14ac:dyDescent="0.35">
      <c r="A167" s="91">
        <f>A166+1</f>
        <v>8</v>
      </c>
      <c r="B167" s="91"/>
      <c r="C167" s="60" t="s">
        <v>264</v>
      </c>
      <c r="D167" s="64">
        <f>(32.462+(5.15))*10.764</f>
        <v>404.85556800000001</v>
      </c>
      <c r="E167" s="64">
        <f>(5.143)*10.764</f>
        <v>55.359251999999998</v>
      </c>
      <c r="F167" s="70">
        <v>725</v>
      </c>
      <c r="G167" s="87"/>
      <c r="H167" s="88"/>
      <c r="I167" s="36"/>
      <c r="L167" s="69">
        <f t="shared" si="18"/>
        <v>4136.5517241379312</v>
      </c>
      <c r="M167" s="59">
        <v>725</v>
      </c>
      <c r="N167" s="69">
        <f t="shared" si="19"/>
        <v>1.7907620823434001</v>
      </c>
    </row>
    <row r="168" spans="1:14" s="61" customFormat="1" x14ac:dyDescent="0.35">
      <c r="A168" s="77" t="s">
        <v>266</v>
      </c>
      <c r="B168" s="78"/>
      <c r="C168" s="78"/>
      <c r="D168" s="78"/>
      <c r="E168" s="78"/>
      <c r="F168" s="78"/>
      <c r="G168" s="78"/>
      <c r="H168" s="79"/>
      <c r="I168" s="36">
        <v>4500</v>
      </c>
    </row>
    <row r="169" spans="1:14" s="61" customFormat="1" ht="15.75" customHeight="1" x14ac:dyDescent="0.35">
      <c r="A169" s="89">
        <v>1</v>
      </c>
      <c r="B169" s="90"/>
      <c r="C169" s="60" t="s">
        <v>264</v>
      </c>
      <c r="D169" s="64">
        <f>(32.462+(5.15))*10.764</f>
        <v>404.85556800000001</v>
      </c>
      <c r="E169" s="60">
        <v>0</v>
      </c>
      <c r="F169" s="70">
        <v>635</v>
      </c>
      <c r="G169" s="83" t="str">
        <f>A168</f>
        <v>2nd, 4th &amp; 6th Floor</v>
      </c>
      <c r="H169" s="84"/>
      <c r="I169" s="36">
        <f>I$168*F169</f>
        <v>2857500</v>
      </c>
      <c r="J169" s="61">
        <f>3250000/F169</f>
        <v>5118.1102362204729</v>
      </c>
      <c r="K169" s="61">
        <f>2999000/F169</f>
        <v>4722.8346456692916</v>
      </c>
      <c r="M169" s="61">
        <v>635</v>
      </c>
      <c r="N169" s="61">
        <f>M169/D169</f>
        <v>1.5684605824662883</v>
      </c>
    </row>
    <row r="170" spans="1:14" s="61" customFormat="1" ht="15.75" customHeight="1" x14ac:dyDescent="0.35">
      <c r="A170" s="89">
        <f t="shared" ref="A170:A173" si="20">A169+1</f>
        <v>2</v>
      </c>
      <c r="B170" s="90"/>
      <c r="C170" s="60" t="s">
        <v>265</v>
      </c>
      <c r="D170" s="64">
        <f>(41.445+(8.635))*10.764</f>
        <v>539.06111999999996</v>
      </c>
      <c r="E170" s="60">
        <v>0</v>
      </c>
      <c r="F170" s="70">
        <v>840</v>
      </c>
      <c r="G170" s="85"/>
      <c r="H170" s="86"/>
      <c r="I170" s="36">
        <f t="shared" ref="I170:I176" si="21">I$168*F170</f>
        <v>3780000</v>
      </c>
      <c r="J170" s="61">
        <f>4750000/F170</f>
        <v>5654.7619047619046</v>
      </c>
      <c r="M170" s="61">
        <v>840</v>
      </c>
      <c r="N170" s="69">
        <f t="shared" ref="N170:N176" si="22">M170/D170</f>
        <v>1.5582648587232559</v>
      </c>
    </row>
    <row r="171" spans="1:14" s="61" customFormat="1" ht="15.75" customHeight="1" x14ac:dyDescent="0.35">
      <c r="A171" s="89">
        <f t="shared" si="20"/>
        <v>3</v>
      </c>
      <c r="B171" s="90"/>
      <c r="C171" s="60" t="s">
        <v>265</v>
      </c>
      <c r="D171" s="64">
        <f>(41.445+(8.635))*10.764</f>
        <v>539.06111999999996</v>
      </c>
      <c r="E171" s="60">
        <v>0</v>
      </c>
      <c r="F171" s="70">
        <v>840</v>
      </c>
      <c r="G171" s="85"/>
      <c r="H171" s="86"/>
      <c r="I171" s="36">
        <f t="shared" si="21"/>
        <v>3780000</v>
      </c>
      <c r="J171" s="61">
        <f>3999000/F171</f>
        <v>4760.7142857142853</v>
      </c>
      <c r="M171" s="61">
        <v>840</v>
      </c>
      <c r="N171" s="69">
        <f t="shared" si="22"/>
        <v>1.5582648587232559</v>
      </c>
    </row>
    <row r="172" spans="1:14" s="61" customFormat="1" ht="15.75" customHeight="1" x14ac:dyDescent="0.35">
      <c r="A172" s="89">
        <f t="shared" si="20"/>
        <v>4</v>
      </c>
      <c r="B172" s="90"/>
      <c r="C172" s="60" t="s">
        <v>264</v>
      </c>
      <c r="D172" s="64">
        <f>(32.463+(5.15))*10.764</f>
        <v>404.86633199999994</v>
      </c>
      <c r="E172" s="60">
        <v>0</v>
      </c>
      <c r="F172" s="70">
        <v>635</v>
      </c>
      <c r="G172" s="85"/>
      <c r="H172" s="86"/>
      <c r="I172" s="36">
        <f t="shared" si="21"/>
        <v>2857500</v>
      </c>
      <c r="M172" s="61">
        <v>635</v>
      </c>
      <c r="N172" s="69">
        <f t="shared" si="22"/>
        <v>1.5684188825066345</v>
      </c>
    </row>
    <row r="173" spans="1:14" s="61" customFormat="1" ht="15.75" customHeight="1" x14ac:dyDescent="0.35">
      <c r="A173" s="89">
        <f t="shared" si="20"/>
        <v>5</v>
      </c>
      <c r="B173" s="90"/>
      <c r="C173" s="60" t="s">
        <v>264</v>
      </c>
      <c r="D173" s="64">
        <f>(32.463+(5.15))*10.764</f>
        <v>404.86633199999994</v>
      </c>
      <c r="E173" s="60">
        <v>0</v>
      </c>
      <c r="F173" s="70">
        <v>635</v>
      </c>
      <c r="G173" s="85"/>
      <c r="H173" s="86"/>
      <c r="I173" s="36">
        <f t="shared" si="21"/>
        <v>2857500</v>
      </c>
      <c r="M173" s="61">
        <v>635</v>
      </c>
      <c r="N173" s="69">
        <f t="shared" si="22"/>
        <v>1.5684188825066345</v>
      </c>
    </row>
    <row r="174" spans="1:14" s="61" customFormat="1" ht="15.75" customHeight="1" x14ac:dyDescent="0.35">
      <c r="A174" s="91">
        <v>6</v>
      </c>
      <c r="B174" s="91"/>
      <c r="C174" s="60" t="s">
        <v>265</v>
      </c>
      <c r="D174" s="64">
        <f>(41.445+(8.635))*10.764</f>
        <v>539.06111999999996</v>
      </c>
      <c r="E174" s="60">
        <v>0</v>
      </c>
      <c r="F174" s="70">
        <v>840</v>
      </c>
      <c r="G174" s="85"/>
      <c r="H174" s="86"/>
      <c r="I174" s="36">
        <f t="shared" si="21"/>
        <v>3780000</v>
      </c>
      <c r="J174" s="61">
        <f>4399000/F174</f>
        <v>5236.9047619047615</v>
      </c>
      <c r="M174" s="61">
        <v>840</v>
      </c>
      <c r="N174" s="69">
        <f t="shared" si="22"/>
        <v>1.5582648587232559</v>
      </c>
    </row>
    <row r="175" spans="1:14" s="61" customFormat="1" ht="15.75" customHeight="1" x14ac:dyDescent="0.35">
      <c r="A175" s="91">
        <f>A174+1</f>
        <v>7</v>
      </c>
      <c r="B175" s="91"/>
      <c r="C175" s="60" t="s">
        <v>265</v>
      </c>
      <c r="D175" s="64">
        <f>(41.445+(8.635))*10.764</f>
        <v>539.06111999999996</v>
      </c>
      <c r="E175" s="60">
        <v>0</v>
      </c>
      <c r="F175" s="70">
        <v>840</v>
      </c>
      <c r="G175" s="85"/>
      <c r="H175" s="86"/>
      <c r="I175" s="36">
        <f t="shared" si="21"/>
        <v>3780000</v>
      </c>
      <c r="M175" s="61">
        <v>840</v>
      </c>
      <c r="N175" s="69">
        <f t="shared" si="22"/>
        <v>1.5582648587232559</v>
      </c>
    </row>
    <row r="176" spans="1:14" s="61" customFormat="1" ht="15.75" customHeight="1" x14ac:dyDescent="0.35">
      <c r="A176" s="91">
        <f>A175+1</f>
        <v>8</v>
      </c>
      <c r="B176" s="91"/>
      <c r="C176" s="60" t="s">
        <v>264</v>
      </c>
      <c r="D176" s="64">
        <f>(32.462+(5.15))*10.764</f>
        <v>404.85556800000001</v>
      </c>
      <c r="E176" s="60">
        <v>0</v>
      </c>
      <c r="F176" s="70">
        <v>635</v>
      </c>
      <c r="G176" s="87"/>
      <c r="H176" s="88"/>
      <c r="I176" s="36">
        <f t="shared" si="21"/>
        <v>2857500</v>
      </c>
      <c r="M176" s="61">
        <v>635</v>
      </c>
      <c r="N176" s="69">
        <f t="shared" si="22"/>
        <v>1.5684605824662883</v>
      </c>
    </row>
    <row r="177" spans="1:14" s="61" customFormat="1" x14ac:dyDescent="0.35">
      <c r="A177" s="92" t="s">
        <v>267</v>
      </c>
      <c r="B177" s="93"/>
      <c r="C177" s="93"/>
      <c r="D177" s="93"/>
      <c r="E177" s="93"/>
      <c r="F177" s="93"/>
      <c r="G177" s="93"/>
      <c r="H177" s="94"/>
      <c r="I177" s="36"/>
    </row>
    <row r="178" spans="1:14" s="61" customFormat="1" ht="15.75" customHeight="1" x14ac:dyDescent="0.35">
      <c r="A178" s="89">
        <v>1</v>
      </c>
      <c r="B178" s="90"/>
      <c r="C178" s="60" t="s">
        <v>264</v>
      </c>
      <c r="D178" s="64">
        <f>(32.462+(5.15))*10.764</f>
        <v>404.85556800000001</v>
      </c>
      <c r="E178" s="64">
        <f>(5.143)*10.764</f>
        <v>55.359251999999998</v>
      </c>
      <c r="F178" s="70">
        <v>725</v>
      </c>
      <c r="G178" s="95" t="str">
        <f>A177</f>
        <v>3rd, 5th &amp; 7th Floor</v>
      </c>
      <c r="H178" s="96"/>
      <c r="I178" s="36"/>
    </row>
    <row r="179" spans="1:14" s="61" customFormat="1" ht="15.75" customHeight="1" x14ac:dyDescent="0.35">
      <c r="A179" s="89">
        <f t="shared" ref="A179:A182" si="23">A178+1</f>
        <v>2</v>
      </c>
      <c r="B179" s="90"/>
      <c r="C179" s="60" t="s">
        <v>265</v>
      </c>
      <c r="D179" s="64">
        <f>(41.445+(8.635))*10.764</f>
        <v>539.06111999999996</v>
      </c>
      <c r="E179" s="64">
        <f>(5.143)*10.764</f>
        <v>55.359251999999998</v>
      </c>
      <c r="F179" s="70">
        <v>930</v>
      </c>
      <c r="G179" s="97"/>
      <c r="H179" s="98"/>
      <c r="I179" s="36"/>
    </row>
    <row r="180" spans="1:14" s="61" customFormat="1" ht="15.75" customHeight="1" x14ac:dyDescent="0.35">
      <c r="A180" s="89">
        <f t="shared" si="23"/>
        <v>3</v>
      </c>
      <c r="B180" s="90"/>
      <c r="C180" s="60" t="s">
        <v>265</v>
      </c>
      <c r="D180" s="64">
        <f>(41.445+(8.635))*10.764</f>
        <v>539.06111999999996</v>
      </c>
      <c r="E180" s="64">
        <f>(5.143)*10.764</f>
        <v>55.359251999999998</v>
      </c>
      <c r="F180" s="70">
        <v>930</v>
      </c>
      <c r="G180" s="97"/>
      <c r="H180" s="98"/>
      <c r="I180" s="36"/>
    </row>
    <row r="181" spans="1:14" s="61" customFormat="1" ht="15.75" customHeight="1" x14ac:dyDescent="0.35">
      <c r="A181" s="89">
        <f t="shared" si="23"/>
        <v>4</v>
      </c>
      <c r="B181" s="90"/>
      <c r="C181" s="60" t="s">
        <v>264</v>
      </c>
      <c r="D181" s="64">
        <f>(32.463+(5.15))*10.764</f>
        <v>404.86633199999994</v>
      </c>
      <c r="E181" s="64">
        <f>(5.143)*10.764</f>
        <v>55.359251999999998</v>
      </c>
      <c r="F181" s="70">
        <v>725</v>
      </c>
      <c r="G181" s="97"/>
      <c r="H181" s="98"/>
      <c r="I181" s="36"/>
    </row>
    <row r="182" spans="1:14" s="61" customFormat="1" x14ac:dyDescent="0.35">
      <c r="A182" s="89">
        <f t="shared" si="23"/>
        <v>5</v>
      </c>
      <c r="B182" s="90"/>
      <c r="C182" s="60" t="s">
        <v>264</v>
      </c>
      <c r="D182" s="64">
        <f>(32.463+(5.15))*10.764</f>
        <v>404.86633199999994</v>
      </c>
      <c r="E182" s="64">
        <f>(5.272)*10.764</f>
        <v>56.747807999999999</v>
      </c>
      <c r="F182" s="70">
        <v>725</v>
      </c>
      <c r="G182" s="97"/>
      <c r="H182" s="98"/>
      <c r="I182" s="36"/>
    </row>
    <row r="183" spans="1:14" s="61" customFormat="1" x14ac:dyDescent="0.35">
      <c r="A183" s="91">
        <v>6</v>
      </c>
      <c r="B183" s="91"/>
      <c r="C183" s="60" t="s">
        <v>265</v>
      </c>
      <c r="D183" s="64">
        <f>(41.445+(8.635))*10.764</f>
        <v>539.06111999999996</v>
      </c>
      <c r="E183" s="64">
        <f>(5.273)*10.764</f>
        <v>56.758571999999994</v>
      </c>
      <c r="F183" s="70">
        <v>930</v>
      </c>
      <c r="G183" s="97"/>
      <c r="H183" s="98"/>
      <c r="I183" s="36"/>
    </row>
    <row r="184" spans="1:14" s="61" customFormat="1" x14ac:dyDescent="0.35">
      <c r="A184" s="91">
        <f>A183+1</f>
        <v>7</v>
      </c>
      <c r="B184" s="91"/>
      <c r="C184" s="60" t="s">
        <v>265</v>
      </c>
      <c r="D184" s="64">
        <f>(41.445+(8.635))*10.764</f>
        <v>539.06111999999996</v>
      </c>
      <c r="E184" s="64">
        <f>(5.143)*10.764</f>
        <v>55.359251999999998</v>
      </c>
      <c r="F184" s="70">
        <v>930</v>
      </c>
      <c r="G184" s="97"/>
      <c r="H184" s="98"/>
      <c r="I184" s="36"/>
    </row>
    <row r="185" spans="1:14" s="61" customFormat="1" x14ac:dyDescent="0.35">
      <c r="A185" s="91">
        <f>A184+1</f>
        <v>8</v>
      </c>
      <c r="B185" s="91"/>
      <c r="C185" s="60" t="s">
        <v>264</v>
      </c>
      <c r="D185" s="64">
        <f>(32.462+(5.15))*10.764</f>
        <v>404.85556800000001</v>
      </c>
      <c r="E185" s="64">
        <f>(5.143)*10.764</f>
        <v>55.359251999999998</v>
      </c>
      <c r="F185" s="70">
        <v>725</v>
      </c>
      <c r="G185" s="99"/>
      <c r="H185" s="100"/>
      <c r="I185" s="36"/>
    </row>
    <row r="186" spans="1:14" s="59" customFormat="1" ht="15.75" customHeight="1" x14ac:dyDescent="0.35">
      <c r="A186" s="77" t="s">
        <v>260</v>
      </c>
      <c r="B186" s="78"/>
      <c r="C186" s="78"/>
      <c r="D186" s="78"/>
      <c r="E186" s="78"/>
      <c r="F186" s="78"/>
      <c r="G186" s="78"/>
      <c r="H186" s="79"/>
      <c r="I186" s="36"/>
    </row>
    <row r="187" spans="1:14" s="59" customFormat="1" ht="15.75" customHeight="1" x14ac:dyDescent="0.35">
      <c r="A187" s="77" t="s">
        <v>268</v>
      </c>
      <c r="B187" s="78"/>
      <c r="C187" s="78"/>
      <c r="D187" s="78"/>
      <c r="E187" s="78"/>
      <c r="F187" s="78"/>
      <c r="G187" s="78"/>
      <c r="H187" s="79"/>
      <c r="I187" s="36"/>
    </row>
    <row r="188" spans="1:14" s="59" customFormat="1" ht="15.75" customHeight="1" x14ac:dyDescent="0.35">
      <c r="A188" s="101" t="s">
        <v>262</v>
      </c>
      <c r="B188" s="101"/>
      <c r="C188" s="101"/>
      <c r="D188" s="101"/>
      <c r="E188" s="101"/>
      <c r="F188" s="101"/>
      <c r="G188" s="101"/>
      <c r="H188" s="101"/>
      <c r="I188" s="36"/>
    </row>
    <row r="189" spans="1:14" s="37" customFormat="1" ht="15.75" customHeight="1" x14ac:dyDescent="0.35">
      <c r="A189" s="91">
        <v>1</v>
      </c>
      <c r="B189" s="91"/>
      <c r="C189" s="71" t="s">
        <v>264</v>
      </c>
      <c r="D189" s="64">
        <f>(32.462+(5.15))*10.764</f>
        <v>404.85556800000001</v>
      </c>
      <c r="E189" s="64">
        <f>(5.143)*10.764</f>
        <v>55.359251999999998</v>
      </c>
      <c r="F189" s="70">
        <v>725</v>
      </c>
      <c r="G189" s="91" t="str">
        <f>A188</f>
        <v>1st Floor For Residential</v>
      </c>
      <c r="H189" s="91"/>
      <c r="I189" s="36"/>
      <c r="L189" s="204"/>
      <c r="M189" s="204"/>
      <c r="N189" s="36"/>
    </row>
    <row r="190" spans="1:14" s="37" customFormat="1" ht="15.75" customHeight="1" x14ac:dyDescent="0.35">
      <c r="A190" s="91">
        <f t="shared" ref="A190:A193" si="24">A189+1</f>
        <v>2</v>
      </c>
      <c r="B190" s="91"/>
      <c r="C190" s="71" t="s">
        <v>265</v>
      </c>
      <c r="D190" s="64">
        <f>(41.445+(8.635))*10.764</f>
        <v>539.06111999999996</v>
      </c>
      <c r="E190" s="64">
        <f>(5.143)*10.764</f>
        <v>55.359251999999998</v>
      </c>
      <c r="F190" s="70">
        <v>930</v>
      </c>
      <c r="G190" s="91"/>
      <c r="H190" s="91"/>
      <c r="I190" s="36"/>
      <c r="L190" s="204"/>
      <c r="M190" s="204"/>
      <c r="N190" s="36"/>
    </row>
    <row r="191" spans="1:14" s="37" customFormat="1" ht="15.75" customHeight="1" x14ac:dyDescent="0.35">
      <c r="A191" s="91">
        <f t="shared" si="24"/>
        <v>3</v>
      </c>
      <c r="B191" s="91"/>
      <c r="C191" s="71" t="s">
        <v>265</v>
      </c>
      <c r="D191" s="64">
        <f>(41.445+(8.635))*10.764</f>
        <v>539.06111999999996</v>
      </c>
      <c r="E191" s="64">
        <f>(5.143)*10.764</f>
        <v>55.359251999999998</v>
      </c>
      <c r="F191" s="70">
        <v>930</v>
      </c>
      <c r="G191" s="91"/>
      <c r="H191" s="91"/>
      <c r="I191" s="36"/>
      <c r="L191" s="204"/>
      <c r="M191" s="204"/>
      <c r="N191" s="36"/>
    </row>
    <row r="192" spans="1:14" s="37" customFormat="1" ht="15.75" customHeight="1" x14ac:dyDescent="0.35">
      <c r="A192" s="91">
        <f t="shared" si="24"/>
        <v>4</v>
      </c>
      <c r="B192" s="91"/>
      <c r="C192" s="71" t="s">
        <v>264</v>
      </c>
      <c r="D192" s="64">
        <f>(32.463+(5.15))*10.764</f>
        <v>404.86633199999994</v>
      </c>
      <c r="E192" s="64">
        <f>(5.143)*10.764</f>
        <v>55.359251999999998</v>
      </c>
      <c r="F192" s="70">
        <v>725</v>
      </c>
      <c r="G192" s="91"/>
      <c r="H192" s="91"/>
      <c r="I192" s="36"/>
      <c r="L192" s="204"/>
      <c r="M192" s="204"/>
      <c r="N192" s="36"/>
    </row>
    <row r="193" spans="1:14" s="37" customFormat="1" ht="15.75" customHeight="1" x14ac:dyDescent="0.35">
      <c r="A193" s="91">
        <f t="shared" si="24"/>
        <v>5</v>
      </c>
      <c r="B193" s="91"/>
      <c r="C193" s="71" t="s">
        <v>264</v>
      </c>
      <c r="D193" s="64">
        <f>(32.463+(5.15))*10.764</f>
        <v>404.86633199999994</v>
      </c>
      <c r="E193" s="64">
        <f>(5.272)*10.764</f>
        <v>56.747807999999999</v>
      </c>
      <c r="F193" s="70">
        <v>725</v>
      </c>
      <c r="G193" s="91"/>
      <c r="H193" s="91"/>
      <c r="I193" s="36"/>
      <c r="L193" s="204"/>
      <c r="M193" s="204"/>
    </row>
    <row r="194" spans="1:14" s="37" customFormat="1" x14ac:dyDescent="0.35">
      <c r="A194" s="91">
        <v>6</v>
      </c>
      <c r="B194" s="91"/>
      <c r="C194" s="71" t="s">
        <v>265</v>
      </c>
      <c r="D194" s="64">
        <f>(41.445+(8.635))*10.764</f>
        <v>539.06111999999996</v>
      </c>
      <c r="E194" s="64">
        <f>(5.273)*10.764</f>
        <v>56.758571999999994</v>
      </c>
      <c r="F194" s="70">
        <v>930</v>
      </c>
      <c r="G194" s="91"/>
      <c r="H194" s="91"/>
      <c r="I194" s="36"/>
      <c r="N194" s="36"/>
    </row>
    <row r="195" spans="1:14" s="37" customFormat="1" x14ac:dyDescent="0.35">
      <c r="A195" s="91">
        <f>A194+1</f>
        <v>7</v>
      </c>
      <c r="B195" s="91"/>
      <c r="C195" s="71" t="s">
        <v>265</v>
      </c>
      <c r="D195" s="64">
        <f>(41.445+(8.635))*10.764</f>
        <v>539.06111999999996</v>
      </c>
      <c r="E195" s="64">
        <f>(5.143)*10.764</f>
        <v>55.359251999999998</v>
      </c>
      <c r="F195" s="70">
        <v>930</v>
      </c>
      <c r="G195" s="91"/>
      <c r="H195" s="91"/>
      <c r="I195" s="36"/>
      <c r="N195" s="36"/>
    </row>
    <row r="196" spans="1:14" s="37" customFormat="1" x14ac:dyDescent="0.35">
      <c r="A196" s="91">
        <f>A195+1</f>
        <v>8</v>
      </c>
      <c r="B196" s="91"/>
      <c r="C196" s="71" t="s">
        <v>264</v>
      </c>
      <c r="D196" s="64">
        <f>(32.462+(5.15))*10.764</f>
        <v>404.85556800000001</v>
      </c>
      <c r="E196" s="64">
        <f>(5.143)*10.764</f>
        <v>55.359251999999998</v>
      </c>
      <c r="F196" s="70">
        <v>725</v>
      </c>
      <c r="G196" s="91"/>
      <c r="H196" s="91"/>
      <c r="I196" s="36"/>
      <c r="N196" s="36"/>
    </row>
    <row r="197" spans="1:14" s="37" customFormat="1" x14ac:dyDescent="0.35">
      <c r="A197" s="101" t="s">
        <v>266</v>
      </c>
      <c r="B197" s="101"/>
      <c r="C197" s="101"/>
      <c r="D197" s="101"/>
      <c r="E197" s="101"/>
      <c r="F197" s="101"/>
      <c r="G197" s="101"/>
      <c r="H197" s="101"/>
      <c r="I197" s="36"/>
      <c r="N197" s="36"/>
    </row>
    <row r="198" spans="1:14" s="37" customFormat="1" ht="15.75" customHeight="1" x14ac:dyDescent="0.35">
      <c r="A198" s="89">
        <v>1</v>
      </c>
      <c r="B198" s="90"/>
      <c r="C198" s="60" t="s">
        <v>264</v>
      </c>
      <c r="D198" s="64">
        <f>(32.462+(5.15))*10.764</f>
        <v>404.85556800000001</v>
      </c>
      <c r="E198" s="60">
        <v>0</v>
      </c>
      <c r="F198" s="70">
        <v>635</v>
      </c>
      <c r="G198" s="83" t="str">
        <f>A197</f>
        <v>2nd, 4th &amp; 6th Floor</v>
      </c>
      <c r="H198" s="84"/>
      <c r="I198" s="36"/>
      <c r="N198" s="36"/>
    </row>
    <row r="199" spans="1:14" s="37" customFormat="1" ht="15.75" customHeight="1" x14ac:dyDescent="0.35">
      <c r="A199" s="89">
        <f t="shared" ref="A199:A202" si="25">A198+1</f>
        <v>2</v>
      </c>
      <c r="B199" s="90"/>
      <c r="C199" s="60" t="s">
        <v>265</v>
      </c>
      <c r="D199" s="64">
        <f>(41.445+(8.635))*10.764</f>
        <v>539.06111999999996</v>
      </c>
      <c r="E199" s="60">
        <v>0</v>
      </c>
      <c r="F199" s="70">
        <v>840</v>
      </c>
      <c r="G199" s="85"/>
      <c r="H199" s="86"/>
      <c r="I199" s="36"/>
    </row>
    <row r="200" spans="1:14" s="37" customFormat="1" ht="15.75" customHeight="1" x14ac:dyDescent="0.35">
      <c r="A200" s="89">
        <f t="shared" si="25"/>
        <v>3</v>
      </c>
      <c r="B200" s="90"/>
      <c r="C200" s="60" t="s">
        <v>265</v>
      </c>
      <c r="D200" s="64">
        <f>(41.445+(8.635))*10.764</f>
        <v>539.06111999999996</v>
      </c>
      <c r="E200" s="60">
        <v>0</v>
      </c>
      <c r="F200" s="70">
        <v>840</v>
      </c>
      <c r="G200" s="85"/>
      <c r="H200" s="86"/>
      <c r="I200" s="36"/>
    </row>
    <row r="201" spans="1:14" s="37" customFormat="1" ht="15.75" customHeight="1" x14ac:dyDescent="0.35">
      <c r="A201" s="89">
        <f t="shared" si="25"/>
        <v>4</v>
      </c>
      <c r="B201" s="90"/>
      <c r="C201" s="60" t="s">
        <v>264</v>
      </c>
      <c r="D201" s="64">
        <f>(32.463+(5.15))*10.764</f>
        <v>404.86633199999994</v>
      </c>
      <c r="E201" s="60">
        <v>0</v>
      </c>
      <c r="F201" s="70">
        <v>635</v>
      </c>
      <c r="G201" s="85"/>
      <c r="H201" s="86"/>
      <c r="I201" s="36"/>
    </row>
    <row r="202" spans="1:14" s="37" customFormat="1" ht="15.75" customHeight="1" x14ac:dyDescent="0.35">
      <c r="A202" s="89">
        <f t="shared" si="25"/>
        <v>5</v>
      </c>
      <c r="B202" s="90"/>
      <c r="C202" s="60" t="s">
        <v>264</v>
      </c>
      <c r="D202" s="64">
        <f>(32.463+(5.15))*10.764</f>
        <v>404.86633199999994</v>
      </c>
      <c r="E202" s="60">
        <v>0</v>
      </c>
      <c r="F202" s="70">
        <v>635</v>
      </c>
      <c r="G202" s="85"/>
      <c r="H202" s="86"/>
      <c r="I202" s="36"/>
    </row>
    <row r="203" spans="1:14" s="37" customFormat="1" ht="15.75" customHeight="1" x14ac:dyDescent="0.35">
      <c r="A203" s="91">
        <v>6</v>
      </c>
      <c r="B203" s="91"/>
      <c r="C203" s="60" t="s">
        <v>265</v>
      </c>
      <c r="D203" s="64">
        <f>(41.445+(8.635))*10.764</f>
        <v>539.06111999999996</v>
      </c>
      <c r="E203" s="60">
        <v>0</v>
      </c>
      <c r="F203" s="70">
        <v>840</v>
      </c>
      <c r="G203" s="85"/>
      <c r="H203" s="86"/>
      <c r="I203" s="36"/>
    </row>
    <row r="204" spans="1:14" s="37" customFormat="1" ht="15.75" customHeight="1" x14ac:dyDescent="0.35">
      <c r="A204" s="91">
        <f>A203+1</f>
        <v>7</v>
      </c>
      <c r="B204" s="91"/>
      <c r="C204" s="60" t="s">
        <v>265</v>
      </c>
      <c r="D204" s="64">
        <f>(41.445+(8.635))*10.764</f>
        <v>539.06111999999996</v>
      </c>
      <c r="E204" s="60">
        <v>0</v>
      </c>
      <c r="F204" s="70">
        <v>840</v>
      </c>
      <c r="G204" s="85"/>
      <c r="H204" s="86"/>
      <c r="I204" s="36"/>
    </row>
    <row r="205" spans="1:14" s="37" customFormat="1" ht="15.75" customHeight="1" x14ac:dyDescent="0.35">
      <c r="A205" s="91">
        <f>A204+1</f>
        <v>8</v>
      </c>
      <c r="B205" s="91"/>
      <c r="C205" s="60" t="s">
        <v>264</v>
      </c>
      <c r="D205" s="64">
        <f>(32.462+(5.15))*10.764</f>
        <v>404.85556800000001</v>
      </c>
      <c r="E205" s="60">
        <v>0</v>
      </c>
      <c r="F205" s="70">
        <v>635</v>
      </c>
      <c r="G205" s="87"/>
      <c r="H205" s="88"/>
      <c r="I205" s="36"/>
    </row>
    <row r="206" spans="1:14" s="37" customFormat="1" x14ac:dyDescent="0.35">
      <c r="A206" s="92" t="s">
        <v>267</v>
      </c>
      <c r="B206" s="93"/>
      <c r="C206" s="93"/>
      <c r="D206" s="93"/>
      <c r="E206" s="93"/>
      <c r="F206" s="93"/>
      <c r="G206" s="93"/>
      <c r="H206" s="94"/>
      <c r="I206" s="36"/>
    </row>
    <row r="207" spans="1:14" s="37" customFormat="1" ht="15.75" customHeight="1" x14ac:dyDescent="0.35">
      <c r="A207" s="89">
        <v>1</v>
      </c>
      <c r="B207" s="90"/>
      <c r="C207" s="60" t="s">
        <v>264</v>
      </c>
      <c r="D207" s="64">
        <f>(32.462+(5.15))*10.764</f>
        <v>404.85556800000001</v>
      </c>
      <c r="E207" s="64">
        <f>(5.143)*10.764</f>
        <v>55.359251999999998</v>
      </c>
      <c r="F207" s="70">
        <v>725</v>
      </c>
      <c r="G207" s="83" t="str">
        <f>A206</f>
        <v>3rd, 5th &amp; 7th Floor</v>
      </c>
      <c r="H207" s="84"/>
      <c r="I207" s="36"/>
    </row>
    <row r="208" spans="1:14" s="37" customFormat="1" ht="15.75" customHeight="1" x14ac:dyDescent="0.35">
      <c r="A208" s="89">
        <f t="shared" ref="A208:A211" si="26">A207+1</f>
        <v>2</v>
      </c>
      <c r="B208" s="90"/>
      <c r="C208" s="60" t="s">
        <v>265</v>
      </c>
      <c r="D208" s="64">
        <f>(41.445+(8.635))*10.764</f>
        <v>539.06111999999996</v>
      </c>
      <c r="E208" s="64">
        <f>(5.143)*10.764</f>
        <v>55.359251999999998</v>
      </c>
      <c r="F208" s="70">
        <v>930</v>
      </c>
      <c r="G208" s="85"/>
      <c r="H208" s="86"/>
      <c r="I208" s="36"/>
    </row>
    <row r="209" spans="1:9" s="37" customFormat="1" ht="15.75" customHeight="1" x14ac:dyDescent="0.35">
      <c r="A209" s="89">
        <f t="shared" si="26"/>
        <v>3</v>
      </c>
      <c r="B209" s="90"/>
      <c r="C209" s="60" t="s">
        <v>265</v>
      </c>
      <c r="D209" s="64">
        <f>(41.445+(8.635))*10.764</f>
        <v>539.06111999999996</v>
      </c>
      <c r="E209" s="64">
        <f>(5.143)*10.764</f>
        <v>55.359251999999998</v>
      </c>
      <c r="F209" s="70">
        <v>930</v>
      </c>
      <c r="G209" s="85"/>
      <c r="H209" s="86"/>
      <c r="I209" s="36"/>
    </row>
    <row r="210" spans="1:9" s="37" customFormat="1" ht="15.75" customHeight="1" x14ac:dyDescent="0.35">
      <c r="A210" s="89">
        <f t="shared" si="26"/>
        <v>4</v>
      </c>
      <c r="B210" s="90"/>
      <c r="C210" s="60" t="s">
        <v>264</v>
      </c>
      <c r="D210" s="64">
        <f>(32.463+(5.15))*10.764</f>
        <v>404.86633199999994</v>
      </c>
      <c r="E210" s="64">
        <f>(5.143)*10.764</f>
        <v>55.359251999999998</v>
      </c>
      <c r="F210" s="70">
        <v>725</v>
      </c>
      <c r="G210" s="85"/>
      <c r="H210" s="86"/>
      <c r="I210" s="36"/>
    </row>
    <row r="211" spans="1:9" s="37" customFormat="1" ht="15.75" customHeight="1" x14ac:dyDescent="0.35">
      <c r="A211" s="89">
        <f t="shared" si="26"/>
        <v>5</v>
      </c>
      <c r="B211" s="90"/>
      <c r="C211" s="60" t="s">
        <v>264</v>
      </c>
      <c r="D211" s="64">
        <f>(32.463+(5.15))*10.764</f>
        <v>404.86633199999994</v>
      </c>
      <c r="E211" s="64">
        <f>(5.272)*10.764</f>
        <v>56.747807999999999</v>
      </c>
      <c r="F211" s="70">
        <v>725</v>
      </c>
      <c r="G211" s="85"/>
      <c r="H211" s="86"/>
      <c r="I211" s="36"/>
    </row>
    <row r="212" spans="1:9" s="37" customFormat="1" x14ac:dyDescent="0.35">
      <c r="A212" s="91">
        <v>6</v>
      </c>
      <c r="B212" s="91"/>
      <c r="C212" s="60" t="s">
        <v>265</v>
      </c>
      <c r="D212" s="64">
        <f>(41.445+(8.635))*10.764</f>
        <v>539.06111999999996</v>
      </c>
      <c r="E212" s="64">
        <f>(5.273)*10.764</f>
        <v>56.758571999999994</v>
      </c>
      <c r="F212" s="70">
        <v>930</v>
      </c>
      <c r="G212" s="85"/>
      <c r="H212" s="86"/>
      <c r="I212" s="36"/>
    </row>
    <row r="213" spans="1:9" s="37" customFormat="1" x14ac:dyDescent="0.35">
      <c r="A213" s="91">
        <f>A212+1</f>
        <v>7</v>
      </c>
      <c r="B213" s="91"/>
      <c r="C213" s="60" t="s">
        <v>265</v>
      </c>
      <c r="D213" s="64">
        <f>(41.445+(8.635))*10.764</f>
        <v>539.06111999999996</v>
      </c>
      <c r="E213" s="64">
        <f>(5.143)*10.764</f>
        <v>55.359251999999998</v>
      </c>
      <c r="F213" s="70">
        <v>930</v>
      </c>
      <c r="G213" s="85"/>
      <c r="H213" s="86"/>
      <c r="I213" s="36"/>
    </row>
    <row r="214" spans="1:9" s="37" customFormat="1" x14ac:dyDescent="0.35">
      <c r="A214" s="91">
        <f>A213+1</f>
        <v>8</v>
      </c>
      <c r="B214" s="91"/>
      <c r="C214" s="60" t="s">
        <v>264</v>
      </c>
      <c r="D214" s="64">
        <f>(32.462+(5.15))*10.764</f>
        <v>404.85556800000001</v>
      </c>
      <c r="E214" s="64">
        <f>(5.143)*10.764</f>
        <v>55.359251999999998</v>
      </c>
      <c r="F214" s="70">
        <v>725</v>
      </c>
      <c r="G214" s="87"/>
      <c r="H214" s="88"/>
      <c r="I214" s="36"/>
    </row>
    <row r="215" spans="1:9" s="35" customFormat="1" x14ac:dyDescent="0.35">
      <c r="A215" s="175" t="s">
        <v>67</v>
      </c>
      <c r="B215" s="175"/>
      <c r="C215" s="175"/>
      <c r="D215" s="175"/>
      <c r="E215" s="175"/>
      <c r="F215" s="175"/>
      <c r="G215" s="175"/>
      <c r="H215" s="175"/>
    </row>
    <row r="216" spans="1:9" s="35" customFormat="1" x14ac:dyDescent="0.35">
      <c r="A216" s="46" t="s">
        <v>149</v>
      </c>
      <c r="B216" s="241" t="s">
        <v>285</v>
      </c>
      <c r="C216" s="242"/>
      <c r="D216" s="242"/>
      <c r="E216" s="242"/>
      <c r="F216" s="242"/>
      <c r="G216" s="242"/>
      <c r="H216" s="243"/>
    </row>
    <row r="217" spans="1:9" s="35" customFormat="1" x14ac:dyDescent="0.35">
      <c r="A217" s="46" t="s">
        <v>149</v>
      </c>
      <c r="B217" s="158" t="str">
        <f>(IF(F155="Saleable area Loading :","We have considered Saleable area of Flats as per our Calculation.","We considered Saleable area of Flat as per Builder area Sheet."))</f>
        <v>We considered Saleable area of Flat as per Builder area Sheet.</v>
      </c>
      <c r="C217" s="159"/>
      <c r="D217" s="159"/>
      <c r="E217" s="159"/>
      <c r="F217" s="159"/>
      <c r="G217" s="159"/>
      <c r="H217" s="160"/>
    </row>
    <row r="218" spans="1:9" s="35" customFormat="1" x14ac:dyDescent="0.35">
      <c r="A218" s="46" t="s">
        <v>149</v>
      </c>
      <c r="B218" s="158" t="str">
        <f>(IF(F122="Saleable area Loading :","We have considered Saleable area of Commercial as per our Calculation.","We considered Saleable area of Commercial as per Builder area Sheet."))</f>
        <v>We have considered Saleable area of Commercial as per our Calculation.</v>
      </c>
      <c r="C218" s="159"/>
      <c r="D218" s="159"/>
      <c r="E218" s="159"/>
      <c r="F218" s="159"/>
      <c r="G218" s="159"/>
      <c r="H218" s="160"/>
    </row>
    <row r="219" spans="1:9" s="35" customFormat="1" x14ac:dyDescent="0.35">
      <c r="A219" s="46" t="s">
        <v>149</v>
      </c>
      <c r="B219" s="155" t="s">
        <v>119</v>
      </c>
      <c r="C219" s="156"/>
      <c r="D219" s="156"/>
      <c r="E219" s="156"/>
      <c r="F219" s="156"/>
      <c r="G219" s="156"/>
      <c r="H219" s="157"/>
    </row>
    <row r="220" spans="1:9" s="35" customFormat="1" x14ac:dyDescent="0.35">
      <c r="A220" s="46" t="s">
        <v>149</v>
      </c>
      <c r="B220" s="155" t="s">
        <v>269</v>
      </c>
      <c r="C220" s="156"/>
      <c r="D220" s="156"/>
      <c r="E220" s="156"/>
      <c r="F220" s="156"/>
      <c r="G220" s="156"/>
      <c r="H220" s="157"/>
    </row>
    <row r="221" spans="1:9" s="35" customFormat="1" x14ac:dyDescent="0.35">
      <c r="A221" s="46" t="s">
        <v>149</v>
      </c>
      <c r="B221" s="155" t="s">
        <v>148</v>
      </c>
      <c r="C221" s="156"/>
      <c r="D221" s="156"/>
      <c r="E221" s="156"/>
      <c r="F221" s="156"/>
      <c r="G221" s="156"/>
      <c r="H221" s="157"/>
    </row>
    <row r="222" spans="1:9" s="35" customFormat="1" x14ac:dyDescent="0.35">
      <c r="A222" s="46" t="s">
        <v>149</v>
      </c>
      <c r="B222" s="155" t="s">
        <v>120</v>
      </c>
      <c r="C222" s="156"/>
      <c r="D222" s="156"/>
      <c r="E222" s="156"/>
      <c r="F222" s="156"/>
      <c r="G222" s="156"/>
      <c r="H222" s="157"/>
    </row>
    <row r="223" spans="1:9" s="35" customFormat="1" ht="34.5" hidden="1" customHeight="1" x14ac:dyDescent="0.35">
      <c r="A223" s="46" t="s">
        <v>149</v>
      </c>
      <c r="B223" s="155" t="s">
        <v>150</v>
      </c>
      <c r="C223" s="156"/>
      <c r="D223" s="156"/>
      <c r="E223" s="156"/>
      <c r="F223" s="156"/>
      <c r="G223" s="156"/>
      <c r="H223" s="157"/>
    </row>
    <row r="224" spans="1:9" s="35" customFormat="1" x14ac:dyDescent="0.35">
      <c r="A224" s="46" t="s">
        <v>149</v>
      </c>
      <c r="B224" s="155" t="s">
        <v>121</v>
      </c>
      <c r="C224" s="156"/>
      <c r="D224" s="156"/>
      <c r="E224" s="156"/>
      <c r="F224" s="156"/>
      <c r="G224" s="156"/>
      <c r="H224" s="157"/>
    </row>
    <row r="225" spans="1:8" s="35" customFormat="1" ht="32.25" hidden="1" customHeight="1" x14ac:dyDescent="0.35">
      <c r="A225" s="55" t="s">
        <v>149</v>
      </c>
      <c r="B225" s="152" t="s">
        <v>175</v>
      </c>
      <c r="C225" s="153"/>
      <c r="D225" s="153"/>
      <c r="E225" s="153"/>
      <c r="F225" s="153"/>
      <c r="G225" s="153"/>
      <c r="H225" s="154"/>
    </row>
    <row r="226" spans="1:8" s="35" customFormat="1" ht="31.5" customHeight="1" x14ac:dyDescent="0.35">
      <c r="A226" s="72" t="s">
        <v>149</v>
      </c>
      <c r="B226" s="155" t="s">
        <v>290</v>
      </c>
      <c r="C226" s="156"/>
      <c r="D226" s="156"/>
      <c r="E226" s="156"/>
      <c r="F226" s="156"/>
      <c r="G226" s="156"/>
      <c r="H226" s="157"/>
    </row>
    <row r="227" spans="1:8" x14ac:dyDescent="0.35">
      <c r="A227" s="135" t="s">
        <v>60</v>
      </c>
      <c r="B227" s="135"/>
      <c r="C227" s="135"/>
      <c r="D227" s="135"/>
      <c r="E227" s="135"/>
      <c r="F227" s="135"/>
      <c r="G227" s="135"/>
      <c r="H227" s="135"/>
    </row>
    <row r="228" spans="1:8" x14ac:dyDescent="0.35">
      <c r="A228" s="115" t="s">
        <v>61</v>
      </c>
      <c r="B228" s="115"/>
      <c r="C228" s="115"/>
      <c r="D228" s="115"/>
      <c r="E228" s="115"/>
      <c r="F228" s="115"/>
      <c r="G228" s="115"/>
      <c r="H228" s="115"/>
    </row>
    <row r="229" spans="1:8" ht="15.75" customHeight="1" x14ac:dyDescent="0.35">
      <c r="A229" s="146" t="s">
        <v>62</v>
      </c>
      <c r="B229" s="146"/>
      <c r="C229" s="146"/>
      <c r="D229" s="146"/>
      <c r="E229" s="146"/>
      <c r="F229" s="146"/>
      <c r="G229" s="146"/>
      <c r="H229" s="146"/>
    </row>
    <row r="230" spans="1:8" x14ac:dyDescent="0.35">
      <c r="A230" s="115" t="s">
        <v>63</v>
      </c>
      <c r="B230" s="115"/>
      <c r="C230" s="115"/>
      <c r="D230" s="115"/>
      <c r="E230" s="115"/>
      <c r="F230" s="115"/>
      <c r="G230" s="115"/>
      <c r="H230" s="115"/>
    </row>
    <row r="231" spans="1:8" x14ac:dyDescent="0.35">
      <c r="A231" s="115" t="s">
        <v>64</v>
      </c>
      <c r="B231" s="115"/>
      <c r="C231" s="115"/>
      <c r="D231" s="115"/>
      <c r="E231" s="115"/>
      <c r="F231" s="115"/>
      <c r="G231" s="115"/>
      <c r="H231" s="115"/>
    </row>
    <row r="232" spans="1:8" x14ac:dyDescent="0.35">
      <c r="A232" s="115" t="s">
        <v>122</v>
      </c>
      <c r="B232" s="115"/>
      <c r="C232" s="115"/>
      <c r="D232" s="115"/>
      <c r="E232" s="115"/>
      <c r="F232" s="115"/>
      <c r="G232" s="115"/>
      <c r="H232" s="115"/>
    </row>
    <row r="233" spans="1:8" ht="34" customHeight="1" x14ac:dyDescent="0.35">
      <c r="A233" s="122" t="s">
        <v>123</v>
      </c>
      <c r="B233" s="122"/>
      <c r="C233" s="122"/>
      <c r="D233" s="122"/>
      <c r="E233" s="122"/>
      <c r="F233" s="122"/>
      <c r="G233" s="122"/>
      <c r="H233" s="122"/>
    </row>
    <row r="234" spans="1:8" x14ac:dyDescent="0.35">
      <c r="A234" s="166" t="s">
        <v>75</v>
      </c>
      <c r="B234" s="166"/>
      <c r="C234" s="166" t="s">
        <v>287</v>
      </c>
      <c r="D234" s="166"/>
      <c r="E234" s="166" t="s">
        <v>103</v>
      </c>
      <c r="F234" s="166"/>
      <c r="G234" s="166" t="s">
        <v>286</v>
      </c>
      <c r="H234" s="166"/>
    </row>
    <row r="235" spans="1:8" x14ac:dyDescent="0.35">
      <c r="A235" s="165" t="s">
        <v>77</v>
      </c>
      <c r="B235" s="165"/>
      <c r="C235" s="165"/>
      <c r="D235" s="165"/>
      <c r="E235" s="165"/>
      <c r="F235" s="165"/>
      <c r="G235" s="165"/>
      <c r="H235" s="165"/>
    </row>
    <row r="236" spans="1:8" x14ac:dyDescent="0.35">
      <c r="A236" s="165"/>
      <c r="B236" s="165"/>
      <c r="C236" s="165"/>
      <c r="D236" s="165"/>
      <c r="E236" s="165"/>
      <c r="F236" s="165"/>
      <c r="G236" s="165"/>
      <c r="H236" s="165"/>
    </row>
    <row r="237" spans="1:8" x14ac:dyDescent="0.35">
      <c r="A237" s="165"/>
      <c r="B237" s="165"/>
      <c r="C237" s="165"/>
      <c r="D237" s="165"/>
      <c r="E237" s="165"/>
      <c r="F237" s="165"/>
      <c r="G237" s="165"/>
      <c r="H237" s="165"/>
    </row>
    <row r="238" spans="1:8" x14ac:dyDescent="0.35">
      <c r="A238" s="38" t="s">
        <v>65</v>
      </c>
      <c r="B238" s="39"/>
      <c r="C238" s="39"/>
      <c r="D238" s="38" t="str">
        <f>E8</f>
        <v>Anant Serene Park</v>
      </c>
      <c r="F238" s="39"/>
      <c r="G238" s="39"/>
      <c r="H238" s="39"/>
    </row>
    <row r="239" spans="1:8" x14ac:dyDescent="0.35">
      <c r="A239" s="39"/>
      <c r="B239" s="39"/>
      <c r="C239" s="39"/>
      <c r="D239" s="39"/>
      <c r="E239" s="39"/>
      <c r="F239" s="39"/>
      <c r="G239" s="39"/>
      <c r="H239" s="39"/>
    </row>
    <row r="240" spans="1:8" x14ac:dyDescent="0.35">
      <c r="A240" s="39"/>
      <c r="B240" s="39"/>
      <c r="C240" s="39"/>
      <c r="D240" s="39"/>
      <c r="E240" s="39"/>
      <c r="F240" s="39"/>
      <c r="G240" s="39"/>
      <c r="H240" s="39"/>
    </row>
    <row r="241" ht="15" customHeight="1" x14ac:dyDescent="0.35"/>
    <row r="281" spans="1:1" x14ac:dyDescent="0.35">
      <c r="A281" s="41" t="s">
        <v>161</v>
      </c>
    </row>
    <row r="322" spans="1:1" x14ac:dyDescent="0.35">
      <c r="A322" s="41" t="s">
        <v>66</v>
      </c>
    </row>
  </sheetData>
  <mergeCells count="385">
    <mergeCell ref="B216:H216"/>
    <mergeCell ref="B217:H217"/>
    <mergeCell ref="A144:B144"/>
    <mergeCell ref="A145:B145"/>
    <mergeCell ref="A146:B146"/>
    <mergeCell ref="A147:B147"/>
    <mergeCell ref="G142:H153"/>
    <mergeCell ref="A148:B148"/>
    <mergeCell ref="A149:B149"/>
    <mergeCell ref="A150:B150"/>
    <mergeCell ref="B226:H226"/>
    <mergeCell ref="A157:H157"/>
    <mergeCell ref="A158:H158"/>
    <mergeCell ref="A159:H159"/>
    <mergeCell ref="A193:B193"/>
    <mergeCell ref="A160:B160"/>
    <mergeCell ref="A161:B161"/>
    <mergeCell ref="A162:B162"/>
    <mergeCell ref="A163:B163"/>
    <mergeCell ref="A164:B164"/>
    <mergeCell ref="A165:B165"/>
    <mergeCell ref="A166:B166"/>
    <mergeCell ref="A167:B167"/>
    <mergeCell ref="A184:B184"/>
    <mergeCell ref="A185:B185"/>
    <mergeCell ref="G160:H167"/>
    <mergeCell ref="A94:B94"/>
    <mergeCell ref="A118:B118"/>
    <mergeCell ref="E118:F118"/>
    <mergeCell ref="G118:H118"/>
    <mergeCell ref="C112:D112"/>
    <mergeCell ref="E112:F112"/>
    <mergeCell ref="G112:H112"/>
    <mergeCell ref="A113:B113"/>
    <mergeCell ref="C113:D113"/>
    <mergeCell ref="E113:F113"/>
    <mergeCell ref="G113:H113"/>
    <mergeCell ref="A117:B117"/>
    <mergeCell ref="C117:D117"/>
    <mergeCell ref="E117:F117"/>
    <mergeCell ref="G117:H117"/>
    <mergeCell ref="L193:M193"/>
    <mergeCell ref="A39:B39"/>
    <mergeCell ref="C39:H39"/>
    <mergeCell ref="B223:H223"/>
    <mergeCell ref="A48:B48"/>
    <mergeCell ref="C48:H48"/>
    <mergeCell ref="B221:H221"/>
    <mergeCell ref="G85:H94"/>
    <mergeCell ref="A86:B86"/>
    <mergeCell ref="A87:B87"/>
    <mergeCell ref="A88:B88"/>
    <mergeCell ref="F97:H97"/>
    <mergeCell ref="A97:E97"/>
    <mergeCell ref="D122:D123"/>
    <mergeCell ref="A99:E99"/>
    <mergeCell ref="A98:E98"/>
    <mergeCell ref="A95:E95"/>
    <mergeCell ref="F99:H99"/>
    <mergeCell ref="A198:B198"/>
    <mergeCell ref="A195:B195"/>
    <mergeCell ref="A196:B196"/>
    <mergeCell ref="A106:E106"/>
    <mergeCell ref="C52:H52"/>
    <mergeCell ref="A124:H124"/>
    <mergeCell ref="L192:M192"/>
    <mergeCell ref="L189:M189"/>
    <mergeCell ref="A190:B190"/>
    <mergeCell ref="A178:B178"/>
    <mergeCell ref="A179:B179"/>
    <mergeCell ref="A180:B180"/>
    <mergeCell ref="A182:B182"/>
    <mergeCell ref="A183:B183"/>
    <mergeCell ref="L190:M190"/>
    <mergeCell ref="A191:B191"/>
    <mergeCell ref="L191:M191"/>
    <mergeCell ref="A192:B192"/>
    <mergeCell ref="A38:B38"/>
    <mergeCell ref="C38:H38"/>
    <mergeCell ref="A45:D45"/>
    <mergeCell ref="L153:M153"/>
    <mergeCell ref="A78:B78"/>
    <mergeCell ref="C116:D116"/>
    <mergeCell ref="E116:F116"/>
    <mergeCell ref="G116:H116"/>
    <mergeCell ref="F102:H102"/>
    <mergeCell ref="A96:E96"/>
    <mergeCell ref="E122:E123"/>
    <mergeCell ref="G122:H123"/>
    <mergeCell ref="A85:B85"/>
    <mergeCell ref="E71:F80"/>
    <mergeCell ref="G71:H80"/>
    <mergeCell ref="A79:B79"/>
    <mergeCell ref="A80:B80"/>
    <mergeCell ref="A84:B84"/>
    <mergeCell ref="A83:B83"/>
    <mergeCell ref="C83:H83"/>
    <mergeCell ref="A77:B77"/>
    <mergeCell ref="A70:B70"/>
    <mergeCell ref="A73:B73"/>
    <mergeCell ref="A69:B69"/>
    <mergeCell ref="A37:H37"/>
    <mergeCell ref="A36:B36"/>
    <mergeCell ref="C36:E36"/>
    <mergeCell ref="A41:D41"/>
    <mergeCell ref="E41:H41"/>
    <mergeCell ref="A40:H40"/>
    <mergeCell ref="A60:C60"/>
    <mergeCell ref="A61:C61"/>
    <mergeCell ref="D60:H60"/>
    <mergeCell ref="D61:H61"/>
    <mergeCell ref="A43:D43"/>
    <mergeCell ref="E43:H43"/>
    <mergeCell ref="E44:H44"/>
    <mergeCell ref="E45:H45"/>
    <mergeCell ref="E46:H46"/>
    <mergeCell ref="A44:D44"/>
    <mergeCell ref="F36:H36"/>
    <mergeCell ref="A46:D46"/>
    <mergeCell ref="A47:H47"/>
    <mergeCell ref="D57:H57"/>
    <mergeCell ref="A57:C57"/>
    <mergeCell ref="G50:H50"/>
    <mergeCell ref="A51:B52"/>
    <mergeCell ref="C50:E50"/>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F33:H33"/>
    <mergeCell ref="F34:H34"/>
    <mergeCell ref="E26:H26"/>
    <mergeCell ref="A28:D28"/>
    <mergeCell ref="E28:H28"/>
    <mergeCell ref="A25:D25"/>
    <mergeCell ref="E25:H25"/>
    <mergeCell ref="A24:D24"/>
    <mergeCell ref="E24:H24"/>
    <mergeCell ref="A29:D29"/>
    <mergeCell ref="E29:H29"/>
    <mergeCell ref="A26:D26"/>
    <mergeCell ref="E19:F19"/>
    <mergeCell ref="G19:H19"/>
    <mergeCell ref="A20:B20"/>
    <mergeCell ref="C20:D20"/>
    <mergeCell ref="E20:F20"/>
    <mergeCell ref="G20:H20"/>
    <mergeCell ref="A21:B21"/>
    <mergeCell ref="C21:D21"/>
    <mergeCell ref="E21:F21"/>
    <mergeCell ref="G21:H21"/>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A18:B18"/>
    <mergeCell ref="C18:D18"/>
    <mergeCell ref="E18:F18"/>
    <mergeCell ref="G18:H18"/>
    <mergeCell ref="A19:B19"/>
    <mergeCell ref="C19:D19"/>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62:C62"/>
    <mergeCell ref="D62:H62"/>
    <mergeCell ref="C69:H69"/>
    <mergeCell ref="A72:B72"/>
    <mergeCell ref="A74:B74"/>
    <mergeCell ref="E70:F70"/>
    <mergeCell ref="A63:C63"/>
    <mergeCell ref="D63:H63"/>
    <mergeCell ref="A66:C66"/>
    <mergeCell ref="D66:H66"/>
    <mergeCell ref="A64:C64"/>
    <mergeCell ref="D65:H65"/>
    <mergeCell ref="A71:B71"/>
    <mergeCell ref="G70:H70"/>
    <mergeCell ref="A227:H227"/>
    <mergeCell ref="G115:H115"/>
    <mergeCell ref="A204:B204"/>
    <mergeCell ref="C122:C123"/>
    <mergeCell ref="B155:B156"/>
    <mergeCell ref="A228:H228"/>
    <mergeCell ref="A67:B67"/>
    <mergeCell ref="C67:H67"/>
    <mergeCell ref="A75:B75"/>
    <mergeCell ref="C111:D111"/>
    <mergeCell ref="E111:F111"/>
    <mergeCell ref="B122:B123"/>
    <mergeCell ref="A122:A123"/>
    <mergeCell ref="C155:C156"/>
    <mergeCell ref="A138:B138"/>
    <mergeCell ref="B219:H219"/>
    <mergeCell ref="B220:H220"/>
    <mergeCell ref="A215:H215"/>
    <mergeCell ref="A209:B209"/>
    <mergeCell ref="A210:B210"/>
    <mergeCell ref="A207:B207"/>
    <mergeCell ref="A208:B208"/>
    <mergeCell ref="A125:H125"/>
    <mergeCell ref="A126:H126"/>
    <mergeCell ref="A92:B92"/>
    <mergeCell ref="A93:B93"/>
    <mergeCell ref="A154:H154"/>
    <mergeCell ref="E115:F115"/>
    <mergeCell ref="A120:H120"/>
    <mergeCell ref="A174:B174"/>
    <mergeCell ref="A176:B176"/>
    <mergeCell ref="A235:H237"/>
    <mergeCell ref="A234:B234"/>
    <mergeCell ref="E234:F234"/>
    <mergeCell ref="C234:D234"/>
    <mergeCell ref="G234:H234"/>
    <mergeCell ref="A109:H109"/>
    <mergeCell ref="A107:E107"/>
    <mergeCell ref="F107:H107"/>
    <mergeCell ref="A108:E108"/>
    <mergeCell ref="F108:H108"/>
    <mergeCell ref="A116:B116"/>
    <mergeCell ref="A202:B202"/>
    <mergeCell ref="A111:B111"/>
    <mergeCell ref="A230:H230"/>
    <mergeCell ref="A114:H114"/>
    <mergeCell ref="A233:H233"/>
    <mergeCell ref="A231:H231"/>
    <mergeCell ref="A173:B173"/>
    <mergeCell ref="F95:H95"/>
    <mergeCell ref="F100:H100"/>
    <mergeCell ref="A189:B189"/>
    <mergeCell ref="A101:E101"/>
    <mergeCell ref="F101:H101"/>
    <mergeCell ref="A102:E102"/>
    <mergeCell ref="A104:E104"/>
    <mergeCell ref="F98:H98"/>
    <mergeCell ref="A103:E103"/>
    <mergeCell ref="A136:B136"/>
    <mergeCell ref="A137:B137"/>
    <mergeCell ref="A100:E100"/>
    <mergeCell ref="A151:B151"/>
    <mergeCell ref="A152:B152"/>
    <mergeCell ref="A127:B127"/>
    <mergeCell ref="A128:B128"/>
    <mergeCell ref="A129:B129"/>
    <mergeCell ref="A130:B130"/>
    <mergeCell ref="E119:F119"/>
    <mergeCell ref="G119:H119"/>
    <mergeCell ref="A141:H141"/>
    <mergeCell ref="A142:B142"/>
    <mergeCell ref="A143:B143"/>
    <mergeCell ref="A232:H232"/>
    <mergeCell ref="A229:H229"/>
    <mergeCell ref="A194:B194"/>
    <mergeCell ref="A115:B115"/>
    <mergeCell ref="D155:D156"/>
    <mergeCell ref="E155:E156"/>
    <mergeCell ref="G155:H156"/>
    <mergeCell ref="A89:B89"/>
    <mergeCell ref="A90:B90"/>
    <mergeCell ref="A91:B91"/>
    <mergeCell ref="F96:H96"/>
    <mergeCell ref="G111:H111"/>
    <mergeCell ref="F103:H103"/>
    <mergeCell ref="C110:D110"/>
    <mergeCell ref="C118:D118"/>
    <mergeCell ref="A203:B203"/>
    <mergeCell ref="A200:B200"/>
    <mergeCell ref="A153:B153"/>
    <mergeCell ref="B225:H225"/>
    <mergeCell ref="B224:H224"/>
    <mergeCell ref="B222:H222"/>
    <mergeCell ref="B218:H218"/>
    <mergeCell ref="A214:B214"/>
    <mergeCell ref="A212:B212"/>
    <mergeCell ref="A187:H187"/>
    <mergeCell ref="A170:B170"/>
    <mergeCell ref="E42:H42"/>
    <mergeCell ref="A42:D42"/>
    <mergeCell ref="A81:B81"/>
    <mergeCell ref="C81:H81"/>
    <mergeCell ref="A76:B76"/>
    <mergeCell ref="A49:B49"/>
    <mergeCell ref="C49:E49"/>
    <mergeCell ref="G49:H49"/>
    <mergeCell ref="G51:H51"/>
    <mergeCell ref="A50:B50"/>
    <mergeCell ref="A54:H54"/>
    <mergeCell ref="A55:C55"/>
    <mergeCell ref="A56:C56"/>
    <mergeCell ref="D56:H56"/>
    <mergeCell ref="G53:H53"/>
    <mergeCell ref="C51:E51"/>
    <mergeCell ref="A58:C59"/>
    <mergeCell ref="D58:H58"/>
    <mergeCell ref="D59:H59"/>
    <mergeCell ref="A155:A156"/>
    <mergeCell ref="A171:B171"/>
    <mergeCell ref="A172:B172"/>
    <mergeCell ref="A134:B134"/>
    <mergeCell ref="A135:B135"/>
    <mergeCell ref="E84:F84"/>
    <mergeCell ref="G84:H84"/>
    <mergeCell ref="E85:F94"/>
    <mergeCell ref="I14:P14"/>
    <mergeCell ref="F106:H106"/>
    <mergeCell ref="F104:H104"/>
    <mergeCell ref="A201:B201"/>
    <mergeCell ref="A121:H121"/>
    <mergeCell ref="G110:H110"/>
    <mergeCell ref="A105:E105"/>
    <mergeCell ref="A53:B53"/>
    <mergeCell ref="C53:E53"/>
    <mergeCell ref="D55:H55"/>
    <mergeCell ref="F105:H105"/>
    <mergeCell ref="E110:F110"/>
    <mergeCell ref="A110:B110"/>
    <mergeCell ref="A112:B112"/>
    <mergeCell ref="C115:D115"/>
    <mergeCell ref="D64:H64"/>
    <mergeCell ref="A65:C65"/>
    <mergeCell ref="A186:H186"/>
    <mergeCell ref="A188:H188"/>
    <mergeCell ref="A139:H139"/>
    <mergeCell ref="A140:H140"/>
    <mergeCell ref="A119:B119"/>
    <mergeCell ref="C119:D119"/>
    <mergeCell ref="G127:H138"/>
    <mergeCell ref="A199:B199"/>
    <mergeCell ref="A205:B205"/>
    <mergeCell ref="A206:H206"/>
    <mergeCell ref="A211:B211"/>
    <mergeCell ref="A177:H177"/>
    <mergeCell ref="A181:B181"/>
    <mergeCell ref="G178:H185"/>
    <mergeCell ref="G207:H214"/>
    <mergeCell ref="G198:H205"/>
    <mergeCell ref="G189:H196"/>
    <mergeCell ref="A175:B175"/>
    <mergeCell ref="A168:H168"/>
    <mergeCell ref="A169:B169"/>
    <mergeCell ref="A197:H197"/>
    <mergeCell ref="G169:H176"/>
    <mergeCell ref="A213:B213"/>
    <mergeCell ref="A131:B131"/>
    <mergeCell ref="A132:B132"/>
    <mergeCell ref="A133:B133"/>
  </mergeCells>
  <dataValidations count="13">
    <dataValidation type="list" allowBlank="1" showInputMessage="1" showErrorMessage="1" sqref="E4:H4">
      <formula1>"Axis Goregaon,Axis Thane,Axis Badlapur,Axis Sanpada, PNB Thane"</formula1>
    </dataValidation>
    <dataValidation type="list" allowBlank="1" showInputMessage="1" showErrorMessage="1" sqref="A16:B16">
      <formula1>"CTS No,Survey No,Plot No,Gut No,FP No,"</formula1>
    </dataValidation>
    <dataValidation type="list" allowBlank="1" showInputMessage="1" showErrorMessage="1" sqref="G19:H19">
      <formula1>$S$12:$W$12</formula1>
    </dataValidation>
    <dataValidation type="list" allowBlank="1" showInputMessage="1" showErrorMessage="1" sqref="E122:E123">
      <formula1>"Attached Loft area,Attached Terrace area,Attached Mezzanine area"</formula1>
    </dataValidation>
    <dataValidation type="list" allowBlank="1" showInputMessage="1" showErrorMessage="1" sqref="F123 F156">
      <formula1>"45%,50%,55%,60%"</formula1>
    </dataValidation>
    <dataValidation type="list" allowBlank="1" showInputMessage="1" showErrorMessage="1" sqref="G234:H234">
      <formula1>"Kunal Kadam,Pranita Mhatre,Shruti Fule,Pooja Kawale,Mansee Mohite,Anjali Kamble, Hitakshi Mhatre, Sachin Sawant"</formula1>
    </dataValidation>
    <dataValidation type="list" allowBlank="1" showInputMessage="1" showErrorMessage="1" sqref="F95:H95">
      <formula1>"On Saleable Area,On Builtup Area,On Carpet Area,On Plot Area"</formula1>
    </dataValidation>
    <dataValidation type="list" allowBlank="1" showInputMessage="1" showErrorMessage="1" sqref="F107:H107">
      <formula1>"100000,150000,200000,250000,300000,350000,400000,500000,600000,700000,800000,900000,1000000,1200000,1400000,1500000"</formula1>
    </dataValidation>
    <dataValidation type="list" allowBlank="1" showInputMessage="1" showErrorMessage="1" sqref="F122 F155">
      <formula1>"Saleable area Loading :,Builder Saleable area"</formula1>
    </dataValidation>
    <dataValidation type="list" allowBlank="1" showInputMessage="1" showErrorMessage="1" sqref="B122:B123">
      <formula1>"Shop No. (Sale Plan),Sale / Rehab,Sale / Mhada"</formula1>
    </dataValidation>
    <dataValidation type="list" allowBlank="1" showInputMessage="1" showErrorMessage="1" sqref="B155:B156">
      <formula1>"Flat No. (Sale Plan),Sale / Rehab,Sale / Mhada"</formula1>
    </dataValidation>
    <dataValidation type="list" allowBlank="1" showInputMessage="1" showErrorMessage="1" sqref="C20:D20">
      <formula1>OFFSET($S$12,1,MATCH($G19,$S$12:$W$12,0)-1,15,1)</formula1>
    </dataValidation>
    <dataValidation type="list" allowBlank="1" showInputMessage="1" showErrorMessage="1" sqref="Y12">
      <formula1>$D$4:$H$4</formula1>
    </dataValidation>
  </dataValidations>
  <hyperlinks>
    <hyperlink ref="C39"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37" max="16383" man="1"/>
    <brk id="280" max="16383" man="1"/>
    <brk id="32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4" t="s">
        <v>104</v>
      </c>
      <c r="C3" s="244"/>
      <c r="D3" s="244"/>
      <c r="E3" s="244"/>
      <c r="F3" s="244"/>
      <c r="G3" s="244"/>
      <c r="H3" s="244"/>
    </row>
    <row r="4" spans="1:9" x14ac:dyDescent="0.35">
      <c r="A4" s="2"/>
      <c r="B4" s="3" t="s">
        <v>105</v>
      </c>
      <c r="C4" s="3" t="s">
        <v>106</v>
      </c>
      <c r="D4" s="3" t="s">
        <v>68</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30"/>
  <sheetViews>
    <sheetView topLeftCell="A16" zoomScale="130" zoomScaleNormal="130" workbookViewId="0">
      <selection activeCell="C30" sqref="C30"/>
    </sheetView>
  </sheetViews>
  <sheetFormatPr defaultRowHeight="14.5" x14ac:dyDescent="0.35"/>
  <cols>
    <col min="4" max="4" width="11" bestFit="1" customWidth="1"/>
    <col min="5" max="5" width="10.453125" bestFit="1" customWidth="1"/>
    <col min="8" max="8" width="10.54296875" bestFit="1" customWidth="1"/>
  </cols>
  <sheetData>
    <row r="3" spans="2:11" x14ac:dyDescent="0.35">
      <c r="J3">
        <v>1</v>
      </c>
      <c r="K3">
        <v>2</v>
      </c>
    </row>
    <row r="4" spans="2:11" x14ac:dyDescent="0.35">
      <c r="B4" s="56"/>
      <c r="C4" s="56" t="s">
        <v>12</v>
      </c>
      <c r="D4" s="57" t="s">
        <v>176</v>
      </c>
      <c r="E4" s="57" t="s">
        <v>186</v>
      </c>
      <c r="F4" s="57" t="s">
        <v>169</v>
      </c>
      <c r="G4" s="57" t="s">
        <v>191</v>
      </c>
      <c r="H4" s="57" t="s">
        <v>209</v>
      </c>
      <c r="J4" t="s">
        <v>191</v>
      </c>
      <c r="K4" t="s">
        <v>207</v>
      </c>
    </row>
    <row r="5" spans="2:11" x14ac:dyDescent="0.35">
      <c r="B5" s="56"/>
      <c r="C5" s="56"/>
      <c r="D5" s="57" t="s">
        <v>177</v>
      </c>
      <c r="E5" s="57" t="s">
        <v>184</v>
      </c>
      <c r="F5" s="57" t="s">
        <v>206</v>
      </c>
      <c r="G5" s="57" t="s">
        <v>192</v>
      </c>
      <c r="H5" s="57" t="s">
        <v>210</v>
      </c>
    </row>
    <row r="6" spans="2:11" x14ac:dyDescent="0.35">
      <c r="B6" s="56"/>
      <c r="C6" s="56"/>
      <c r="D6" s="57" t="s">
        <v>178</v>
      </c>
      <c r="E6" s="57" t="s">
        <v>185</v>
      </c>
      <c r="F6" s="57" t="s">
        <v>207</v>
      </c>
      <c r="G6" s="57" t="s">
        <v>193</v>
      </c>
      <c r="H6" s="57" t="s">
        <v>223</v>
      </c>
    </row>
    <row r="7" spans="2:11" x14ac:dyDescent="0.35">
      <c r="B7" s="56"/>
      <c r="C7" s="56"/>
      <c r="D7" s="57" t="s">
        <v>179</v>
      </c>
      <c r="E7" s="57" t="s">
        <v>187</v>
      </c>
      <c r="F7" s="57" t="s">
        <v>208</v>
      </c>
      <c r="G7" s="57" t="s">
        <v>194</v>
      </c>
      <c r="H7" s="57" t="s">
        <v>211</v>
      </c>
    </row>
    <row r="8" spans="2:11" x14ac:dyDescent="0.35">
      <c r="B8" s="56"/>
      <c r="C8" s="56"/>
      <c r="D8" s="57" t="s">
        <v>180</v>
      </c>
      <c r="E8" s="57" t="s">
        <v>188</v>
      </c>
      <c r="F8" s="57"/>
      <c r="G8" s="57" t="s">
        <v>195</v>
      </c>
      <c r="H8" s="57" t="s">
        <v>212</v>
      </c>
    </row>
    <row r="9" spans="2:11" x14ac:dyDescent="0.35">
      <c r="B9" s="56"/>
      <c r="C9" s="56"/>
      <c r="D9" s="57" t="s">
        <v>181</v>
      </c>
      <c r="E9" s="57" t="s">
        <v>186</v>
      </c>
      <c r="F9" s="57"/>
      <c r="G9" s="57" t="s">
        <v>196</v>
      </c>
      <c r="H9" s="57" t="s">
        <v>213</v>
      </c>
    </row>
    <row r="10" spans="2:11" x14ac:dyDescent="0.35">
      <c r="B10" s="56"/>
      <c r="C10" s="56"/>
      <c r="D10" s="57" t="s">
        <v>182</v>
      </c>
      <c r="E10" s="57" t="s">
        <v>189</v>
      </c>
      <c r="F10" s="57"/>
      <c r="G10" s="57" t="s">
        <v>197</v>
      </c>
      <c r="H10" s="57" t="s">
        <v>214</v>
      </c>
    </row>
    <row r="11" spans="2:11" x14ac:dyDescent="0.35">
      <c r="B11" s="56"/>
      <c r="C11" s="56"/>
      <c r="D11" s="57" t="s">
        <v>183</v>
      </c>
      <c r="E11" s="57" t="s">
        <v>190</v>
      </c>
      <c r="F11" s="57"/>
      <c r="G11" s="57" t="s">
        <v>198</v>
      </c>
      <c r="H11" s="57" t="s">
        <v>215</v>
      </c>
    </row>
    <row r="12" spans="2:11" x14ac:dyDescent="0.35">
      <c r="B12" s="56"/>
      <c r="C12" s="56"/>
      <c r="D12" s="57"/>
      <c r="E12" s="57"/>
      <c r="F12" s="57"/>
      <c r="G12" s="57" t="s">
        <v>199</v>
      </c>
      <c r="H12" s="57" t="s">
        <v>216</v>
      </c>
    </row>
    <row r="13" spans="2:11" x14ac:dyDescent="0.35">
      <c r="B13" s="56"/>
      <c r="C13" s="56"/>
      <c r="D13" s="57"/>
      <c r="E13" s="57"/>
      <c r="F13" s="57"/>
      <c r="G13" s="57" t="s">
        <v>200</v>
      </c>
      <c r="H13" s="57" t="s">
        <v>217</v>
      </c>
    </row>
    <row r="14" spans="2:11" x14ac:dyDescent="0.35">
      <c r="B14" s="56"/>
      <c r="C14" s="56"/>
      <c r="D14" s="57"/>
      <c r="E14" s="57"/>
      <c r="F14" s="57"/>
      <c r="G14" s="57" t="s">
        <v>201</v>
      </c>
      <c r="H14" s="57" t="s">
        <v>218</v>
      </c>
    </row>
    <row r="15" spans="2:11" x14ac:dyDescent="0.35">
      <c r="B15" s="56"/>
      <c r="C15" s="56"/>
      <c r="D15" s="57"/>
      <c r="E15" s="57"/>
      <c r="F15" s="57"/>
      <c r="G15" s="57" t="s">
        <v>202</v>
      </c>
      <c r="H15" s="57" t="s">
        <v>219</v>
      </c>
    </row>
    <row r="16" spans="2:11" x14ac:dyDescent="0.35">
      <c r="B16" s="56"/>
      <c r="C16" s="56"/>
      <c r="D16" s="57"/>
      <c r="E16" s="57"/>
      <c r="F16" s="57"/>
      <c r="G16" s="57" t="s">
        <v>203</v>
      </c>
      <c r="H16" s="57" t="s">
        <v>220</v>
      </c>
    </row>
    <row r="17" spans="2:8" x14ac:dyDescent="0.35">
      <c r="B17" s="56"/>
      <c r="C17" s="56"/>
      <c r="D17" s="57"/>
      <c r="E17" s="57"/>
      <c r="F17" s="57"/>
      <c r="G17" s="57" t="s">
        <v>204</v>
      </c>
      <c r="H17" s="57" t="s">
        <v>221</v>
      </c>
    </row>
    <row r="18" spans="2:8" x14ac:dyDescent="0.35">
      <c r="B18" s="56"/>
      <c r="C18" s="56"/>
      <c r="D18" s="57"/>
      <c r="E18" s="57"/>
      <c r="F18" s="57"/>
      <c r="G18" s="57" t="s">
        <v>205</v>
      </c>
      <c r="H18" s="57" t="s">
        <v>222</v>
      </c>
    </row>
    <row r="24" spans="2:8" x14ac:dyDescent="0.35">
      <c r="C24" t="s">
        <v>167</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167</v>
      </c>
    </row>
  </sheetData>
  <dataValidations count="2">
    <dataValidation type="list" allowBlank="1" showInputMessage="1" showErrorMessage="1" sqref="J4">
      <formula1>$D$4:$H$4</formula1>
    </dataValidation>
    <dataValidation type="list" allowBlank="1" showInputMessage="1" showErrorMessage="1" sqref="K4">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2025-08-08T05:34:18Z</cp:lastPrinted>
  <dcterms:created xsi:type="dcterms:W3CDTF">2019-07-16T09:29:46Z</dcterms:created>
  <dcterms:modified xsi:type="dcterms:W3CDTF">2025-08-08T05:39:26Z</dcterms:modified>
</cp:coreProperties>
</file>