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C-51\Downloads\July 2025\Checking\14973 - SHIVSAGAR - P\"/>
    </mc:Choice>
  </mc:AlternateContent>
  <bookViews>
    <workbookView xWindow="0" yWindow="0" windowWidth="20490" windowHeight="6555" tabRatio="850"/>
  </bookViews>
  <sheets>
    <sheet name="Report" sheetId="11" r:id="rId1"/>
    <sheet name="Const. %" sheetId="12" r:id="rId2"/>
    <sheet name="unsold" sheetId="14" r:id="rId3"/>
    <sheet name="valuation" sheetId="2" r:id="rId4"/>
    <sheet name="Sheet1" sheetId="15" r:id="rId5"/>
    <sheet name="Sheet2" sheetId="16" r:id="rId6"/>
  </sheets>
  <definedNames>
    <definedName name="_xlnm.Print_Area" localSheetId="0">Report!$A$1:$L$880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5" i="11" l="1"/>
  <c r="E298" i="11" l="1"/>
  <c r="E297" i="11"/>
  <c r="E296" i="11"/>
  <c r="E295" i="11"/>
  <c r="E291" i="11"/>
  <c r="E292" i="11"/>
  <c r="E293" i="11"/>
  <c r="E294" i="11"/>
  <c r="N294" i="11"/>
  <c r="N293" i="11"/>
  <c r="N292" i="11"/>
  <c r="N291" i="11"/>
  <c r="P288" i="11" l="1"/>
  <c r="M289" i="11"/>
  <c r="N377" i="11"/>
  <c r="K389" i="11" l="1"/>
  <c r="E388" i="11"/>
  <c r="H388" i="11" s="1"/>
  <c r="E387" i="11"/>
  <c r="H387" i="11" s="1"/>
  <c r="E386" i="11"/>
  <c r="H386" i="11" s="1"/>
  <c r="E385" i="11"/>
  <c r="H385" i="11" s="1"/>
  <c r="E384" i="11"/>
  <c r="H384" i="11" s="1"/>
  <c r="E383" i="11"/>
  <c r="H383" i="11" s="1"/>
  <c r="K382" i="11"/>
  <c r="E381" i="11"/>
  <c r="H381" i="11" s="1"/>
  <c r="K380" i="11"/>
  <c r="C380" i="11"/>
  <c r="C381" i="11" s="1"/>
  <c r="C382" i="11" s="1"/>
  <c r="C383" i="11" s="1"/>
  <c r="C384" i="11" s="1"/>
  <c r="C385" i="11" s="1"/>
  <c r="C386" i="11" s="1"/>
  <c r="C387" i="11" s="1"/>
  <c r="C388" i="11" s="1"/>
  <c r="C389" i="11" s="1"/>
  <c r="E349" i="11"/>
  <c r="H349" i="11" s="1"/>
  <c r="E348" i="11"/>
  <c r="H348" i="11" s="1"/>
  <c r="E347" i="11"/>
  <c r="H347" i="11" s="1"/>
  <c r="E346" i="11"/>
  <c r="H346" i="11" s="1"/>
  <c r="E345" i="11"/>
  <c r="H345" i="11" s="1"/>
  <c r="E344" i="11"/>
  <c r="H344" i="11" s="1"/>
  <c r="E343" i="11"/>
  <c r="H343" i="11" s="1"/>
  <c r="E341" i="11"/>
  <c r="H341" i="11" s="1"/>
  <c r="E340" i="11"/>
  <c r="H340" i="11" s="1"/>
  <c r="C340" i="11"/>
  <c r="C341" i="11" s="1"/>
  <c r="C342" i="11" s="1"/>
  <c r="C343" i="11" s="1"/>
  <c r="C344" i="11" s="1"/>
  <c r="C345" i="11" s="1"/>
  <c r="C346" i="11" s="1"/>
  <c r="C347" i="11" s="1"/>
  <c r="C348" i="11" s="1"/>
  <c r="C349" i="11" s="1"/>
  <c r="E379" i="11"/>
  <c r="H379" i="11" s="1"/>
  <c r="E378" i="11"/>
  <c r="H378" i="11" s="1"/>
  <c r="E377" i="11"/>
  <c r="H377" i="11" s="1"/>
  <c r="E376" i="11"/>
  <c r="H376" i="11" s="1"/>
  <c r="E375" i="11"/>
  <c r="H375" i="11" s="1"/>
  <c r="E374" i="11"/>
  <c r="H374" i="11" s="1"/>
  <c r="E373" i="11"/>
  <c r="H373" i="11" s="1"/>
  <c r="E372" i="11"/>
  <c r="H372" i="11" s="1"/>
  <c r="E371" i="11"/>
  <c r="H371" i="11" s="1"/>
  <c r="E370" i="11"/>
  <c r="H370" i="11" s="1"/>
  <c r="C370" i="11"/>
  <c r="C371" i="11" s="1"/>
  <c r="C372" i="11" s="1"/>
  <c r="C373" i="11" s="1"/>
  <c r="C374" i="11" s="1"/>
  <c r="C375" i="11" s="1"/>
  <c r="C376" i="11" s="1"/>
  <c r="C377" i="11" s="1"/>
  <c r="C378" i="11" s="1"/>
  <c r="C379" i="11" s="1"/>
  <c r="E369" i="11"/>
  <c r="H369" i="11" s="1"/>
  <c r="E368" i="11"/>
  <c r="H368" i="11" s="1"/>
  <c r="E367" i="11"/>
  <c r="H367" i="11" s="1"/>
  <c r="E366" i="11"/>
  <c r="H366" i="11" s="1"/>
  <c r="E365" i="11"/>
  <c r="H365" i="11" s="1"/>
  <c r="E364" i="11"/>
  <c r="H364" i="11" s="1"/>
  <c r="E363" i="11"/>
  <c r="H363" i="11" s="1"/>
  <c r="E362" i="11"/>
  <c r="H362" i="11" s="1"/>
  <c r="E361" i="11"/>
  <c r="H361" i="11" s="1"/>
  <c r="E360" i="11"/>
  <c r="H360" i="11" s="1"/>
  <c r="C360" i="11"/>
  <c r="C361" i="11" s="1"/>
  <c r="C362" i="11" s="1"/>
  <c r="C363" i="11" s="1"/>
  <c r="C364" i="11" s="1"/>
  <c r="C365" i="11" s="1"/>
  <c r="C366" i="11" s="1"/>
  <c r="C367" i="11" s="1"/>
  <c r="C368" i="11" s="1"/>
  <c r="C369" i="11" s="1"/>
  <c r="E359" i="11"/>
  <c r="H359" i="11" s="1"/>
  <c r="E358" i="11"/>
  <c r="H358" i="11" s="1"/>
  <c r="E357" i="11"/>
  <c r="H357" i="11" s="1"/>
  <c r="E356" i="11"/>
  <c r="H356" i="11" s="1"/>
  <c r="E355" i="11"/>
  <c r="H355" i="11" s="1"/>
  <c r="E354" i="11"/>
  <c r="H354" i="11" s="1"/>
  <c r="E353" i="11"/>
  <c r="H353" i="11" s="1"/>
  <c r="E352" i="11"/>
  <c r="H352" i="11" s="1"/>
  <c r="E351" i="11"/>
  <c r="H351" i="11" s="1"/>
  <c r="E350" i="11"/>
  <c r="H350" i="11" s="1"/>
  <c r="C350" i="11"/>
  <c r="C351" i="11" s="1"/>
  <c r="C352" i="11" s="1"/>
  <c r="C353" i="11" s="1"/>
  <c r="C354" i="11" s="1"/>
  <c r="C355" i="11" s="1"/>
  <c r="C356" i="11" s="1"/>
  <c r="C357" i="11" s="1"/>
  <c r="C358" i="11" s="1"/>
  <c r="C359" i="11" s="1"/>
  <c r="E339" i="11"/>
  <c r="F339" i="11" s="1"/>
  <c r="I339" i="11" s="1"/>
  <c r="E338" i="11"/>
  <c r="G338" i="11" s="1"/>
  <c r="E337" i="11"/>
  <c r="H337" i="11" s="1"/>
  <c r="E336" i="11"/>
  <c r="G336" i="11" s="1"/>
  <c r="E335" i="11"/>
  <c r="H335" i="11" s="1"/>
  <c r="E334" i="11"/>
  <c r="G334" i="11" s="1"/>
  <c r="E333" i="11"/>
  <c r="H333" i="11" s="1"/>
  <c r="E332" i="11"/>
  <c r="H332" i="11" s="1"/>
  <c r="E331" i="11"/>
  <c r="G331" i="11" s="1"/>
  <c r="E330" i="11"/>
  <c r="H330" i="11" s="1"/>
  <c r="C330" i="11"/>
  <c r="C331" i="11" s="1"/>
  <c r="C332" i="11" s="1"/>
  <c r="C333" i="11" s="1"/>
  <c r="C334" i="11" s="1"/>
  <c r="C335" i="11" s="1"/>
  <c r="C336" i="11" s="1"/>
  <c r="C337" i="11" s="1"/>
  <c r="C338" i="11" s="1"/>
  <c r="C339" i="11" s="1"/>
  <c r="E329" i="11"/>
  <c r="E328" i="11"/>
  <c r="E327" i="11"/>
  <c r="E326" i="11"/>
  <c r="E325" i="11"/>
  <c r="E324" i="11"/>
  <c r="E323" i="11"/>
  <c r="E322" i="11"/>
  <c r="E321" i="11"/>
  <c r="E320" i="11"/>
  <c r="E319" i="11"/>
  <c r="E318" i="11"/>
  <c r="E317" i="11"/>
  <c r="E316" i="11"/>
  <c r="E315" i="11"/>
  <c r="E314" i="11"/>
  <c r="E313" i="11"/>
  <c r="E312" i="11"/>
  <c r="E311" i="11"/>
  <c r="E310" i="11"/>
  <c r="E309" i="11"/>
  <c r="E308" i="11"/>
  <c r="E307" i="11"/>
  <c r="E306" i="11"/>
  <c r="E305" i="11"/>
  <c r="E304" i="11"/>
  <c r="E303" i="11"/>
  <c r="E302" i="11"/>
  <c r="E301" i="11"/>
  <c r="E300" i="11"/>
  <c r="M291" i="11"/>
  <c r="E245" i="11"/>
  <c r="E235" i="11"/>
  <c r="E234" i="11"/>
  <c r="D218" i="11" l="1"/>
  <c r="G218" i="11"/>
  <c r="G383" i="11"/>
  <c r="E396" i="11"/>
  <c r="G364" i="11"/>
  <c r="G369" i="11"/>
  <c r="K369" i="11" s="1"/>
  <c r="F364" i="11"/>
  <c r="I364" i="11" s="1"/>
  <c r="G386" i="11"/>
  <c r="K386" i="11" s="1"/>
  <c r="F383" i="11"/>
  <c r="I383" i="11" s="1"/>
  <c r="F369" i="11"/>
  <c r="I369" i="11" s="1"/>
  <c r="F387" i="11"/>
  <c r="I387" i="11" s="1"/>
  <c r="G384" i="11"/>
  <c r="K384" i="11" s="1"/>
  <c r="G387" i="11"/>
  <c r="K387" i="11" s="1"/>
  <c r="F396" i="11"/>
  <c r="F395" i="11"/>
  <c r="F367" i="11"/>
  <c r="I367" i="11" s="1"/>
  <c r="F385" i="11"/>
  <c r="I385" i="11" s="1"/>
  <c r="G388" i="11"/>
  <c r="K388" i="11" s="1"/>
  <c r="G366" i="11"/>
  <c r="K366" i="11" s="1"/>
  <c r="G367" i="11"/>
  <c r="G385" i="11"/>
  <c r="K385" i="11" s="1"/>
  <c r="F365" i="11"/>
  <c r="I365" i="11" s="1"/>
  <c r="F363" i="11"/>
  <c r="I363" i="11" s="1"/>
  <c r="G365" i="11"/>
  <c r="K365" i="11" s="1"/>
  <c r="F361" i="11"/>
  <c r="I361" i="11" s="1"/>
  <c r="G363" i="11"/>
  <c r="K363" i="11" s="1"/>
  <c r="F368" i="11"/>
  <c r="I368" i="11" s="1"/>
  <c r="G361" i="11"/>
  <c r="F366" i="11"/>
  <c r="I366" i="11" s="1"/>
  <c r="G368" i="11"/>
  <c r="K368" i="11" s="1"/>
  <c r="F381" i="11"/>
  <c r="I381" i="11" s="1"/>
  <c r="G381" i="11"/>
  <c r="K381" i="11" s="1"/>
  <c r="F384" i="11"/>
  <c r="I384" i="11" s="1"/>
  <c r="F386" i="11"/>
  <c r="I386" i="11" s="1"/>
  <c r="F388" i="11"/>
  <c r="I388" i="11" s="1"/>
  <c r="F360" i="11"/>
  <c r="I360" i="11" s="1"/>
  <c r="F362" i="11"/>
  <c r="I362" i="11" s="1"/>
  <c r="G360" i="11"/>
  <c r="K360" i="11" s="1"/>
  <c r="G362" i="11"/>
  <c r="K362" i="11" s="1"/>
  <c r="K383" i="11"/>
  <c r="F340" i="11"/>
  <c r="I340" i="11" s="1"/>
  <c r="F344" i="11"/>
  <c r="I344" i="11" s="1"/>
  <c r="F346" i="11"/>
  <c r="I346" i="11" s="1"/>
  <c r="F347" i="11"/>
  <c r="I347" i="11" s="1"/>
  <c r="F349" i="11"/>
  <c r="I349" i="11" s="1"/>
  <c r="K342" i="11"/>
  <c r="G349" i="11"/>
  <c r="K349" i="11" s="1"/>
  <c r="F341" i="11"/>
  <c r="I341" i="11" s="1"/>
  <c r="F343" i="11"/>
  <c r="I343" i="11" s="1"/>
  <c r="F345" i="11"/>
  <c r="I345" i="11" s="1"/>
  <c r="F348" i="11"/>
  <c r="I348" i="11" s="1"/>
  <c r="G340" i="11"/>
  <c r="K340" i="11" s="1"/>
  <c r="G341" i="11"/>
  <c r="K341" i="11" s="1"/>
  <c r="G343" i="11"/>
  <c r="K343" i="11" s="1"/>
  <c r="G344" i="11"/>
  <c r="K344" i="11" s="1"/>
  <c r="G345" i="11"/>
  <c r="K345" i="11" s="1"/>
  <c r="G346" i="11"/>
  <c r="K346" i="11" s="1"/>
  <c r="G347" i="11"/>
  <c r="K347" i="11" s="1"/>
  <c r="G348" i="11"/>
  <c r="K348" i="11" s="1"/>
  <c r="K364" i="11"/>
  <c r="F370" i="11"/>
  <c r="I370" i="11" s="1"/>
  <c r="F371" i="11"/>
  <c r="I371" i="11" s="1"/>
  <c r="F372" i="11"/>
  <c r="I372" i="11" s="1"/>
  <c r="F373" i="11"/>
  <c r="I373" i="11" s="1"/>
  <c r="F374" i="11"/>
  <c r="I374" i="11" s="1"/>
  <c r="F375" i="11"/>
  <c r="I375" i="11" s="1"/>
  <c r="F376" i="11"/>
  <c r="I376" i="11" s="1"/>
  <c r="F377" i="11"/>
  <c r="I377" i="11" s="1"/>
  <c r="F378" i="11"/>
  <c r="I378" i="11" s="1"/>
  <c r="F379" i="11"/>
  <c r="I379" i="11" s="1"/>
  <c r="K361" i="11"/>
  <c r="K367" i="11"/>
  <c r="G370" i="11"/>
  <c r="K370" i="11" s="1"/>
  <c r="G371" i="11"/>
  <c r="K371" i="11" s="1"/>
  <c r="G372" i="11"/>
  <c r="K372" i="11" s="1"/>
  <c r="G373" i="11"/>
  <c r="K373" i="11" s="1"/>
  <c r="G374" i="11"/>
  <c r="K374" i="11" s="1"/>
  <c r="G375" i="11"/>
  <c r="K375" i="11" s="1"/>
  <c r="G376" i="11"/>
  <c r="K376" i="11" s="1"/>
  <c r="G377" i="11"/>
  <c r="K377" i="11" s="1"/>
  <c r="G378" i="11"/>
  <c r="K378" i="11" s="1"/>
  <c r="G379" i="11"/>
  <c r="K379" i="11" s="1"/>
  <c r="F350" i="11"/>
  <c r="I350" i="11" s="1"/>
  <c r="F351" i="11"/>
  <c r="I351" i="11" s="1"/>
  <c r="F352" i="11"/>
  <c r="I352" i="11" s="1"/>
  <c r="F353" i="11"/>
  <c r="I353" i="11" s="1"/>
  <c r="F354" i="11"/>
  <c r="I354" i="11" s="1"/>
  <c r="F355" i="11"/>
  <c r="I355" i="11" s="1"/>
  <c r="F356" i="11"/>
  <c r="I356" i="11" s="1"/>
  <c r="F357" i="11"/>
  <c r="I357" i="11" s="1"/>
  <c r="F358" i="11"/>
  <c r="I358" i="11" s="1"/>
  <c r="F359" i="11"/>
  <c r="I359" i="11" s="1"/>
  <c r="G350" i="11"/>
  <c r="K350" i="11" s="1"/>
  <c r="G351" i="11"/>
  <c r="K351" i="11" s="1"/>
  <c r="G352" i="11"/>
  <c r="K352" i="11" s="1"/>
  <c r="G353" i="11"/>
  <c r="K353" i="11" s="1"/>
  <c r="G354" i="11"/>
  <c r="K354" i="11" s="1"/>
  <c r="G355" i="11"/>
  <c r="K355" i="11" s="1"/>
  <c r="G356" i="11"/>
  <c r="K356" i="11" s="1"/>
  <c r="G357" i="11"/>
  <c r="K357" i="11" s="1"/>
  <c r="G358" i="11"/>
  <c r="K358" i="11" s="1"/>
  <c r="G359" i="11"/>
  <c r="K359" i="11" s="1"/>
  <c r="H339" i="11"/>
  <c r="F331" i="11"/>
  <c r="I331" i="11" s="1"/>
  <c r="F333" i="11"/>
  <c r="I333" i="11" s="1"/>
  <c r="F335" i="11"/>
  <c r="I335" i="11" s="1"/>
  <c r="F336" i="11"/>
  <c r="I336" i="11" s="1"/>
  <c r="F338" i="11"/>
  <c r="I338" i="11" s="1"/>
  <c r="G330" i="11"/>
  <c r="K330" i="11" s="1"/>
  <c r="G332" i="11"/>
  <c r="K332" i="11" s="1"/>
  <c r="G333" i="11"/>
  <c r="K333" i="11" s="1"/>
  <c r="G335" i="11"/>
  <c r="K335" i="11" s="1"/>
  <c r="G337" i="11"/>
  <c r="K337" i="11" s="1"/>
  <c r="G339" i="11"/>
  <c r="H331" i="11"/>
  <c r="K331" i="11" s="1"/>
  <c r="H334" i="11"/>
  <c r="K334" i="11" s="1"/>
  <c r="H336" i="11"/>
  <c r="K336" i="11" s="1"/>
  <c r="H338" i="11"/>
  <c r="K338" i="11" s="1"/>
  <c r="F330" i="11"/>
  <c r="I330" i="11" s="1"/>
  <c r="F332" i="11"/>
  <c r="I332" i="11" s="1"/>
  <c r="F334" i="11"/>
  <c r="I334" i="11" s="1"/>
  <c r="F337" i="11"/>
  <c r="I337" i="11" s="1"/>
  <c r="N308" i="11"/>
  <c r="K339" i="11" l="1"/>
  <c r="M292" i="11"/>
  <c r="M192" i="11" l="1"/>
  <c r="M300" i="11" l="1"/>
  <c r="K185" i="11" l="1"/>
  <c r="K396" i="11"/>
  <c r="K395" i="11"/>
  <c r="F245" i="11"/>
  <c r="F244" i="11"/>
  <c r="E244" i="11"/>
  <c r="F243" i="11"/>
  <c r="E243" i="11"/>
  <c r="F242" i="11"/>
  <c r="E242" i="11"/>
  <c r="F241" i="11"/>
  <c r="E241" i="11"/>
  <c r="F240" i="11"/>
  <c r="E240" i="11"/>
  <c r="F239" i="11"/>
  <c r="E239" i="11"/>
  <c r="F238" i="11"/>
  <c r="E238" i="11"/>
  <c r="F237" i="11"/>
  <c r="E237" i="11"/>
  <c r="F236" i="11"/>
  <c r="E236" i="11"/>
  <c r="F235" i="11"/>
  <c r="F234" i="11"/>
  <c r="M290" i="11" l="1"/>
  <c r="H328" i="11"/>
  <c r="G326" i="11"/>
  <c r="F325" i="11"/>
  <c r="I325" i="11" s="1"/>
  <c r="G324" i="11"/>
  <c r="H322" i="11"/>
  <c r="G320" i="11"/>
  <c r="G319" i="11"/>
  <c r="G318" i="11"/>
  <c r="G314" i="11"/>
  <c r="H313" i="11"/>
  <c r="F311" i="11"/>
  <c r="I311" i="11" s="1"/>
  <c r="H310" i="11"/>
  <c r="F309" i="11"/>
  <c r="I309" i="11" s="1"/>
  <c r="H308" i="11"/>
  <c r="H307" i="11"/>
  <c r="G306" i="11"/>
  <c r="H303" i="11"/>
  <c r="F301" i="11"/>
  <c r="I301" i="11" s="1"/>
  <c r="H300" i="11"/>
  <c r="H329" i="11"/>
  <c r="G329" i="11"/>
  <c r="F329" i="11"/>
  <c r="I329" i="11" s="1"/>
  <c r="H327" i="11"/>
  <c r="G327" i="11"/>
  <c r="F327" i="11"/>
  <c r="I327" i="11" s="1"/>
  <c r="H326" i="11"/>
  <c r="G325" i="11"/>
  <c r="H324" i="11"/>
  <c r="F324" i="11"/>
  <c r="I324" i="11" s="1"/>
  <c r="H323" i="11"/>
  <c r="G323" i="11"/>
  <c r="F323" i="11"/>
  <c r="I323" i="11" s="1"/>
  <c r="G322" i="11"/>
  <c r="H321" i="11"/>
  <c r="G321" i="11"/>
  <c r="F321" i="11"/>
  <c r="I321" i="11" s="1"/>
  <c r="H320" i="11"/>
  <c r="F320" i="11"/>
  <c r="I320" i="11" s="1"/>
  <c r="C320" i="11"/>
  <c r="C321" i="11" s="1"/>
  <c r="C322" i="11" s="1"/>
  <c r="C323" i="11" s="1"/>
  <c r="C324" i="11" s="1"/>
  <c r="C325" i="11" s="1"/>
  <c r="C326" i="11" s="1"/>
  <c r="C327" i="11" s="1"/>
  <c r="C328" i="11" s="1"/>
  <c r="C329" i="11" s="1"/>
  <c r="H319" i="11"/>
  <c r="H317" i="11"/>
  <c r="G317" i="11"/>
  <c r="F317" i="11"/>
  <c r="I317" i="11" s="1"/>
  <c r="H316" i="11"/>
  <c r="G316" i="11"/>
  <c r="F316" i="11"/>
  <c r="I316" i="11" s="1"/>
  <c r="H315" i="11"/>
  <c r="G315" i="11"/>
  <c r="F315" i="11"/>
  <c r="I315" i="11" s="1"/>
  <c r="H314" i="11"/>
  <c r="F313" i="11"/>
  <c r="I313" i="11" s="1"/>
  <c r="H312" i="11"/>
  <c r="G312" i="11"/>
  <c r="F312" i="11"/>
  <c r="I312" i="11" s="1"/>
  <c r="G310" i="11"/>
  <c r="F310" i="11"/>
  <c r="I310" i="11" s="1"/>
  <c r="C310" i="11"/>
  <c r="C311" i="11" s="1"/>
  <c r="C312" i="11" s="1"/>
  <c r="C313" i="11" s="1"/>
  <c r="C314" i="11" s="1"/>
  <c r="C315" i="11" s="1"/>
  <c r="C316" i="11" s="1"/>
  <c r="C317" i="11" s="1"/>
  <c r="C318" i="11" s="1"/>
  <c r="C319" i="11" s="1"/>
  <c r="C300" i="11"/>
  <c r="C301" i="11" s="1"/>
  <c r="C302" i="11" s="1"/>
  <c r="C303" i="11" s="1"/>
  <c r="C304" i="11" s="1"/>
  <c r="C305" i="11" s="1"/>
  <c r="C306" i="11" s="1"/>
  <c r="C307" i="11" s="1"/>
  <c r="C308" i="11" s="1"/>
  <c r="C309" i="11" s="1"/>
  <c r="H309" i="11"/>
  <c r="G309" i="11"/>
  <c r="F307" i="11"/>
  <c r="I307" i="11" s="1"/>
  <c r="H306" i="11"/>
  <c r="H305" i="11"/>
  <c r="G305" i="11"/>
  <c r="F305" i="11"/>
  <c r="I305" i="11" s="1"/>
  <c r="H304" i="11"/>
  <c r="G304" i="11"/>
  <c r="F304" i="11"/>
  <c r="I304" i="11" s="1"/>
  <c r="F303" i="11"/>
  <c r="I303" i="11" s="1"/>
  <c r="H302" i="11"/>
  <c r="G302" i="11"/>
  <c r="F302" i="11"/>
  <c r="H301" i="11"/>
  <c r="G301" i="11"/>
  <c r="F300" i="11"/>
  <c r="M234" i="11"/>
  <c r="C235" i="11"/>
  <c r="C236" i="11" s="1"/>
  <c r="C237" i="11" s="1"/>
  <c r="C238" i="11" s="1"/>
  <c r="C239" i="11" s="1"/>
  <c r="C240" i="11" s="1"/>
  <c r="C241" i="11" s="1"/>
  <c r="C242" i="11" s="1"/>
  <c r="C243" i="11" s="1"/>
  <c r="C244" i="11" s="1"/>
  <c r="C245" i="11" s="1"/>
  <c r="I302" i="11" l="1"/>
  <c r="I300" i="11"/>
  <c r="K326" i="11"/>
  <c r="K306" i="11"/>
  <c r="K322" i="11"/>
  <c r="K329" i="11"/>
  <c r="K310" i="11"/>
  <c r="H325" i="11"/>
  <c r="K325" i="11" s="1"/>
  <c r="F328" i="11"/>
  <c r="I328" i="11" s="1"/>
  <c r="F326" i="11"/>
  <c r="I326" i="11" s="1"/>
  <c r="G328" i="11"/>
  <c r="K328" i="11" s="1"/>
  <c r="K324" i="11"/>
  <c r="F322" i="11"/>
  <c r="I322" i="11" s="1"/>
  <c r="G313" i="11"/>
  <c r="K313" i="11" s="1"/>
  <c r="G311" i="11"/>
  <c r="H318" i="11"/>
  <c r="K318" i="11" s="1"/>
  <c r="F318" i="11"/>
  <c r="I318" i="11" s="1"/>
  <c r="H311" i="11"/>
  <c r="F314" i="11"/>
  <c r="I314" i="11" s="1"/>
  <c r="F319" i="11"/>
  <c r="I319" i="11" s="1"/>
  <c r="G307" i="11"/>
  <c r="K307" i="11" s="1"/>
  <c r="F306" i="11"/>
  <c r="I306" i="11" s="1"/>
  <c r="G300" i="11"/>
  <c r="K300" i="11" s="1"/>
  <c r="F308" i="11"/>
  <c r="I308" i="11" s="1"/>
  <c r="G308" i="11"/>
  <c r="K308" i="11" s="1"/>
  <c r="G303" i="11"/>
  <c r="K303" i="11" s="1"/>
  <c r="K321" i="11"/>
  <c r="K323" i="11"/>
  <c r="K315" i="11"/>
  <c r="K320" i="11"/>
  <c r="K327" i="11"/>
  <c r="K302" i="11"/>
  <c r="K316" i="11"/>
  <c r="K309" i="11"/>
  <c r="K305" i="11"/>
  <c r="K319" i="11"/>
  <c r="K304" i="11"/>
  <c r="K312" i="11"/>
  <c r="K301" i="11"/>
  <c r="K317" i="11"/>
  <c r="K314" i="11"/>
  <c r="E401" i="11"/>
  <c r="H298" i="11"/>
  <c r="H297" i="11"/>
  <c r="H296" i="11"/>
  <c r="H295" i="11"/>
  <c r="H294" i="11"/>
  <c r="H293" i="11"/>
  <c r="H292" i="11"/>
  <c r="H291" i="11"/>
  <c r="G298" i="11"/>
  <c r="G297" i="11"/>
  <c r="G296" i="11"/>
  <c r="G295" i="11"/>
  <c r="G294" i="11"/>
  <c r="G293" i="11"/>
  <c r="G292" i="11"/>
  <c r="G291" i="11"/>
  <c r="F291" i="11"/>
  <c r="F292" i="11"/>
  <c r="F293" i="11"/>
  <c r="I293" i="11" s="1"/>
  <c r="F294" i="11"/>
  <c r="I294" i="11" s="1"/>
  <c r="F295" i="11"/>
  <c r="I295" i="11" s="1"/>
  <c r="F296" i="11"/>
  <c r="I296" i="11" s="1"/>
  <c r="F297" i="11"/>
  <c r="I297" i="11" s="1"/>
  <c r="F298" i="11"/>
  <c r="I298" i="11" s="1"/>
  <c r="G282" i="11"/>
  <c r="H282" i="11" s="1"/>
  <c r="I282" i="11" s="1"/>
  <c r="G281" i="11"/>
  <c r="H281" i="11" s="1"/>
  <c r="I281" i="11" s="1"/>
  <c r="G280" i="11"/>
  <c r="H280" i="11" s="1"/>
  <c r="I280" i="11" s="1"/>
  <c r="G279" i="11"/>
  <c r="H279" i="11" s="1"/>
  <c r="I279" i="11" s="1"/>
  <c r="G278" i="11"/>
  <c r="H278" i="11" s="1"/>
  <c r="I278" i="11" s="1"/>
  <c r="G277" i="11"/>
  <c r="H277" i="11" s="1"/>
  <c r="I277" i="11" s="1"/>
  <c r="G276" i="11"/>
  <c r="H276" i="11" s="1"/>
  <c r="I276" i="11" s="1"/>
  <c r="G275" i="11"/>
  <c r="H275" i="11" s="1"/>
  <c r="I275" i="11" s="1"/>
  <c r="G274" i="11"/>
  <c r="H274" i="11" s="1"/>
  <c r="I274" i="11" s="1"/>
  <c r="G273" i="11"/>
  <c r="H273" i="11" s="1"/>
  <c r="I273" i="11" s="1"/>
  <c r="G272" i="11"/>
  <c r="H272" i="11" s="1"/>
  <c r="I272" i="11" s="1"/>
  <c r="G271" i="11"/>
  <c r="H271" i="11" s="1"/>
  <c r="I271" i="11" s="1"/>
  <c r="G270" i="11"/>
  <c r="H270" i="11" s="1"/>
  <c r="I270" i="11" s="1"/>
  <c r="G269" i="11"/>
  <c r="H269" i="11" s="1"/>
  <c r="I269" i="11" s="1"/>
  <c r="G268" i="11"/>
  <c r="H268" i="11" s="1"/>
  <c r="I268" i="11" s="1"/>
  <c r="G267" i="11"/>
  <c r="H267" i="11" s="1"/>
  <c r="I267" i="11" s="1"/>
  <c r="G266" i="11"/>
  <c r="H266" i="11" s="1"/>
  <c r="I266" i="11" s="1"/>
  <c r="G265" i="11"/>
  <c r="H265" i="11" s="1"/>
  <c r="I265" i="11" s="1"/>
  <c r="G264" i="11"/>
  <c r="H264" i="11" s="1"/>
  <c r="I264" i="11" s="1"/>
  <c r="G263" i="11"/>
  <c r="H263" i="11" s="1"/>
  <c r="I263" i="11" s="1"/>
  <c r="G235" i="11"/>
  <c r="H235" i="11" s="1"/>
  <c r="I235" i="11" s="1"/>
  <c r="G236" i="11"/>
  <c r="H236" i="11" s="1"/>
  <c r="I236" i="11" s="1"/>
  <c r="G237" i="11"/>
  <c r="H237" i="11" s="1"/>
  <c r="I237" i="11" s="1"/>
  <c r="G238" i="11"/>
  <c r="H238" i="11" s="1"/>
  <c r="I238" i="11" s="1"/>
  <c r="G239" i="11"/>
  <c r="H239" i="11" s="1"/>
  <c r="I239" i="11" s="1"/>
  <c r="G240" i="11"/>
  <c r="H240" i="11" s="1"/>
  <c r="I240" i="11" s="1"/>
  <c r="G241" i="11"/>
  <c r="H241" i="11" s="1"/>
  <c r="I241" i="11" s="1"/>
  <c r="G242" i="11"/>
  <c r="H242" i="11" s="1"/>
  <c r="I242" i="11" s="1"/>
  <c r="G243" i="11"/>
  <c r="H243" i="11" s="1"/>
  <c r="I243" i="11" s="1"/>
  <c r="G244" i="11"/>
  <c r="H244" i="11" s="1"/>
  <c r="I244" i="11" s="1"/>
  <c r="G245" i="11"/>
  <c r="H245" i="11" s="1"/>
  <c r="I245" i="11" s="1"/>
  <c r="G246" i="11"/>
  <c r="H246" i="11" s="1"/>
  <c r="I246" i="11" s="1"/>
  <c r="G247" i="11"/>
  <c r="H247" i="11" s="1"/>
  <c r="I247" i="11" s="1"/>
  <c r="G248" i="11"/>
  <c r="H248" i="11" s="1"/>
  <c r="I248" i="11" s="1"/>
  <c r="G249" i="11"/>
  <c r="H249" i="11" s="1"/>
  <c r="I249" i="11" s="1"/>
  <c r="G250" i="11"/>
  <c r="H250" i="11" s="1"/>
  <c r="I250" i="11" s="1"/>
  <c r="G251" i="11"/>
  <c r="H251" i="11" s="1"/>
  <c r="I251" i="11" s="1"/>
  <c r="G252" i="11"/>
  <c r="H252" i="11" s="1"/>
  <c r="I252" i="11" s="1"/>
  <c r="G253" i="11"/>
  <c r="H253" i="11" s="1"/>
  <c r="I253" i="11" s="1"/>
  <c r="G254" i="11"/>
  <c r="H254" i="11" s="1"/>
  <c r="I254" i="11" s="1"/>
  <c r="G255" i="11"/>
  <c r="H255" i="11" s="1"/>
  <c r="I255" i="11" s="1"/>
  <c r="G256" i="11"/>
  <c r="H256" i="11" s="1"/>
  <c r="I256" i="11" s="1"/>
  <c r="G257" i="11"/>
  <c r="H257" i="11" s="1"/>
  <c r="I257" i="11" s="1"/>
  <c r="G258" i="11"/>
  <c r="H258" i="11" s="1"/>
  <c r="I258" i="11" s="1"/>
  <c r="G259" i="11"/>
  <c r="H259" i="11" s="1"/>
  <c r="I259" i="11" s="1"/>
  <c r="G260" i="11"/>
  <c r="H260" i="11" s="1"/>
  <c r="I260" i="11" s="1"/>
  <c r="G234" i="11"/>
  <c r="J218" i="11" l="1"/>
  <c r="I291" i="11"/>
  <c r="H396" i="11"/>
  <c r="G214" i="11"/>
  <c r="F394" i="11" s="1"/>
  <c r="I292" i="11"/>
  <c r="H395" i="11"/>
  <c r="H234" i="11"/>
  <c r="D214" i="11"/>
  <c r="E394" i="11" s="1"/>
  <c r="E397" i="11" s="1"/>
  <c r="K311" i="11"/>
  <c r="K293" i="11"/>
  <c r="K296" i="11"/>
  <c r="K297" i="11"/>
  <c r="K294" i="11"/>
  <c r="K298" i="11"/>
  <c r="K291" i="11"/>
  <c r="K299" i="11"/>
  <c r="K292" i="11"/>
  <c r="K295" i="11"/>
  <c r="K290" i="11"/>
  <c r="G138" i="11"/>
  <c r="G135" i="11"/>
  <c r="I234" i="11" l="1"/>
  <c r="J214" i="11"/>
  <c r="H394" i="11" s="1"/>
  <c r="K394" i="11" l="1"/>
  <c r="H400" i="11" l="1"/>
  <c r="F400" i="11"/>
  <c r="K400" i="11" s="1"/>
  <c r="H399" i="11"/>
  <c r="F399" i="11"/>
  <c r="K399" i="11" s="1"/>
  <c r="J224" i="11" l="1"/>
  <c r="G224" i="11"/>
  <c r="D224" i="11"/>
  <c r="J219" i="11"/>
  <c r="G219" i="11"/>
  <c r="D219" i="11"/>
  <c r="D215" i="11"/>
  <c r="G215" i="11"/>
  <c r="J215" i="11"/>
  <c r="L199" i="11"/>
  <c r="G225" i="11" l="1"/>
  <c r="D225" i="11"/>
  <c r="J225" i="11"/>
  <c r="F210" i="11"/>
  <c r="F209" i="11"/>
  <c r="F208" i="11"/>
  <c r="F207" i="11"/>
  <c r="F206" i="11"/>
  <c r="F205" i="11"/>
  <c r="F204" i="11"/>
  <c r="E185" i="11"/>
  <c r="D185" i="11"/>
  <c r="E183" i="11"/>
  <c r="G108" i="11"/>
  <c r="G76" i="11"/>
  <c r="G99" i="11" s="1"/>
  <c r="I880" i="11" l="1"/>
  <c r="J801" i="11"/>
  <c r="K45" i="11"/>
  <c r="F211" i="11"/>
  <c r="N209" i="11"/>
  <c r="N208" i="11"/>
  <c r="N207" i="11"/>
  <c r="N206" i="11"/>
  <c r="N204" i="11"/>
  <c r="N205" i="11" s="1"/>
  <c r="N210" i="11" s="1"/>
  <c r="N211" i="11" s="1"/>
  <c r="D203" i="11" s="1"/>
  <c r="N203" i="11"/>
  <c r="N202" i="11"/>
  <c r="N201" i="11"/>
  <c r="H202" i="11" l="1"/>
  <c r="F203" i="11"/>
  <c r="D202" i="11"/>
  <c r="F202" i="11" l="1"/>
  <c r="M198" i="11" s="1"/>
  <c r="D200" i="11" s="1"/>
  <c r="J202" i="11"/>
  <c r="G109" i="11"/>
  <c r="G54" i="11" l="1"/>
  <c r="H16" i="16" l="1"/>
  <c r="H15" i="16"/>
  <c r="H14" i="16"/>
  <c r="H13" i="16"/>
  <c r="F6" i="16"/>
  <c r="D18" i="16" l="1"/>
  <c r="D12" i="16"/>
  <c r="H11" i="16"/>
  <c r="H12" i="16" s="1"/>
  <c r="H17" i="16" s="1"/>
  <c r="H18" i="16" s="1"/>
  <c r="E9" i="16"/>
  <c r="G5" i="16" s="1"/>
  <c r="B7" i="16" s="1"/>
  <c r="H8" i="16"/>
  <c r="D13" i="16"/>
  <c r="D17" i="16"/>
  <c r="D11" i="16"/>
  <c r="H10" i="16"/>
  <c r="D16" i="16"/>
  <c r="D10" i="16"/>
  <c r="D15" i="16"/>
  <c r="D9" i="16"/>
  <c r="D14" i="16"/>
  <c r="H9" i="16"/>
  <c r="C290" i="11" l="1"/>
  <c r="C291" i="11" l="1"/>
  <c r="C292" i="11" s="1"/>
  <c r="C293" i="11" s="1"/>
  <c r="C294" i="11" s="1"/>
  <c r="C295" i="11" s="1"/>
  <c r="C296" i="11" s="1"/>
  <c r="C297" i="11" s="1"/>
  <c r="C298" i="11" s="1"/>
  <c r="C299" i="11" s="1"/>
  <c r="K138" i="11" l="1"/>
  <c r="K135" i="11"/>
  <c r="A453" i="11"/>
  <c r="A454" i="11" s="1"/>
  <c r="A455" i="11" s="1"/>
  <c r="A456" i="11" s="1"/>
  <c r="A457" i="11" s="1"/>
  <c r="A458" i="11" s="1"/>
  <c r="A459" i="11" s="1"/>
  <c r="A460" i="11" s="1"/>
  <c r="N234" i="11" l="1"/>
  <c r="K397" i="11" l="1"/>
  <c r="K401" i="11" s="1"/>
  <c r="F397" i="11"/>
  <c r="F401" i="11" s="1"/>
  <c r="G404" i="11" l="1"/>
  <c r="G446" i="11" l="1"/>
  <c r="M404" i="11"/>
  <c r="A292" i="11"/>
  <c r="A293" i="11" s="1"/>
  <c r="A294" i="11" s="1"/>
  <c r="A295" i="11" s="1"/>
  <c r="A296" i="11" s="1"/>
  <c r="A297" i="11" s="1"/>
  <c r="A298"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4" i="11" s="1"/>
  <c r="A385" i="11" s="1"/>
  <c r="A386" i="11" s="1"/>
  <c r="A387" i="11" s="1"/>
  <c r="A388" i="11" s="1"/>
  <c r="A235" i="11" l="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G70" i="11" l="1"/>
  <c r="H397" i="11" l="1"/>
  <c r="A830" i="11"/>
  <c r="A831" i="11" s="1"/>
  <c r="A832" i="11" s="1"/>
  <c r="A833" i="11" s="1"/>
  <c r="A834" i="11" s="1"/>
  <c r="G405" i="11" l="1"/>
  <c r="H401" i="11"/>
  <c r="F461" i="11" l="1"/>
  <c r="G149" i="11" l="1"/>
  <c r="G141" i="11"/>
  <c r="J161" i="14" l="1"/>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4" i="14"/>
  <c r="J23" i="14"/>
  <c r="J22" i="14"/>
  <c r="J21" i="14"/>
  <c r="J20" i="14"/>
  <c r="J19" i="14"/>
  <c r="J18" i="14"/>
  <c r="J17" i="14"/>
  <c r="J16" i="14"/>
  <c r="J15" i="14"/>
  <c r="J14" i="14"/>
  <c r="J13" i="14"/>
  <c r="J12" i="14"/>
  <c r="J11" i="14"/>
  <c r="J10" i="14"/>
  <c r="J9" i="14"/>
  <c r="J8" i="14"/>
  <c r="J7" i="14"/>
  <c r="J6" i="14"/>
  <c r="J5" i="14"/>
  <c r="J4" i="14"/>
  <c r="H5" i="2" l="1"/>
  <c r="I5" i="2" s="1"/>
  <c r="G8" i="2"/>
  <c r="G11" i="2"/>
  <c r="I7" i="2"/>
  <c r="I8" i="2"/>
  <c r="I9" i="2"/>
  <c r="I10" i="2"/>
  <c r="I11" i="2"/>
  <c r="I6" i="2"/>
  <c r="G161" i="14" l="1"/>
  <c r="G160" i="14"/>
  <c r="G159" i="14"/>
  <c r="G158" i="14"/>
  <c r="G157" i="14"/>
  <c r="G156" i="14"/>
  <c r="G155" i="14"/>
  <c r="G154" i="14"/>
  <c r="G152" i="14"/>
  <c r="G151" i="14"/>
  <c r="G150" i="14"/>
  <c r="G149" i="14"/>
  <c r="G141" i="14"/>
  <c r="G140" i="14"/>
  <c r="G139" i="14"/>
  <c r="G138" i="14"/>
  <c r="G137" i="14"/>
  <c r="G136" i="14"/>
  <c r="G135" i="14"/>
  <c r="G134" i="14"/>
  <c r="G132" i="14"/>
  <c r="G131" i="14"/>
  <c r="G130" i="14"/>
  <c r="G129" i="14"/>
  <c r="G121" i="14"/>
  <c r="G120" i="14"/>
  <c r="G119" i="14"/>
  <c r="G118" i="14"/>
  <c r="G117" i="14"/>
  <c r="G116" i="14"/>
  <c r="G115" i="14"/>
  <c r="G114" i="14"/>
  <c r="G112" i="14"/>
  <c r="G111" i="14"/>
  <c r="G110" i="14"/>
  <c r="G109"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D111" i="14"/>
  <c r="D121" i="14" s="1"/>
  <c r="D131" i="14" s="1"/>
  <c r="D141" i="14" s="1"/>
  <c r="D151" i="14" s="1"/>
  <c r="D161" i="14" s="1"/>
  <c r="G101" i="14"/>
  <c r="G100" i="14"/>
  <c r="G99" i="14"/>
  <c r="G98" i="14"/>
  <c r="G97" i="14"/>
  <c r="G96" i="14"/>
  <c r="G95" i="14"/>
  <c r="G94" i="14"/>
  <c r="G92" i="14"/>
  <c r="F101" i="14"/>
  <c r="F100" i="14"/>
  <c r="F99" i="14"/>
  <c r="F98" i="14"/>
  <c r="F97" i="14"/>
  <c r="F96" i="14"/>
  <c r="F95" i="14"/>
  <c r="F94" i="14"/>
  <c r="F93" i="14"/>
  <c r="F92" i="14"/>
  <c r="D110" i="14"/>
  <c r="D120" i="14" s="1"/>
  <c r="D130" i="14" s="1"/>
  <c r="D140" i="14" s="1"/>
  <c r="D150" i="14" s="1"/>
  <c r="D160" i="14" s="1"/>
  <c r="D109" i="14"/>
  <c r="D119" i="14" s="1"/>
  <c r="D129" i="14" s="1"/>
  <c r="D139" i="14" s="1"/>
  <c r="D149" i="14" s="1"/>
  <c r="D159" i="14" s="1"/>
  <c r="D108" i="14"/>
  <c r="D118" i="14" s="1"/>
  <c r="D128" i="14" s="1"/>
  <c r="D138" i="14" s="1"/>
  <c r="D148" i="14" s="1"/>
  <c r="D158" i="14" s="1"/>
  <c r="D107" i="14"/>
  <c r="D117" i="14" s="1"/>
  <c r="D127" i="14" s="1"/>
  <c r="D137" i="14" s="1"/>
  <c r="D147" i="14" s="1"/>
  <c r="D157" i="14" s="1"/>
  <c r="D106" i="14"/>
  <c r="D116" i="14" s="1"/>
  <c r="D126" i="14" s="1"/>
  <c r="D136" i="14" s="1"/>
  <c r="D146" i="14" s="1"/>
  <c r="D156" i="14" s="1"/>
  <c r="D105" i="14"/>
  <c r="D115" i="14" s="1"/>
  <c r="D125" i="14" s="1"/>
  <c r="D135" i="14" s="1"/>
  <c r="D145" i="14" s="1"/>
  <c r="D155" i="14" s="1"/>
  <c r="D104" i="14"/>
  <c r="D114" i="14" s="1"/>
  <c r="D124" i="14" s="1"/>
  <c r="D134" i="14" s="1"/>
  <c r="D144" i="14" s="1"/>
  <c r="D154" i="14" s="1"/>
  <c r="D103" i="14"/>
  <c r="D113" i="14" s="1"/>
  <c r="D123" i="14" s="1"/>
  <c r="D133" i="14" s="1"/>
  <c r="D143" i="14" s="1"/>
  <c r="D153" i="14" s="1"/>
  <c r="D102" i="14"/>
  <c r="D112" i="14" s="1"/>
  <c r="D122" i="14" s="1"/>
  <c r="D132" i="14" s="1"/>
  <c r="D142" i="14" s="1"/>
  <c r="D152" i="14" s="1"/>
  <c r="G89" i="14"/>
  <c r="F89" i="14"/>
  <c r="G88" i="14"/>
  <c r="F88" i="14"/>
  <c r="G87" i="14"/>
  <c r="F87" i="14"/>
  <c r="G86" i="14"/>
  <c r="F86" i="14"/>
  <c r="G85" i="14"/>
  <c r="F85" i="14"/>
  <c r="G84" i="14"/>
  <c r="F84" i="14"/>
  <c r="F83" i="14"/>
  <c r="G82" i="14"/>
  <c r="F82" i="14"/>
  <c r="G81" i="14"/>
  <c r="F81" i="14"/>
  <c r="G80" i="14"/>
  <c r="F80" i="14"/>
  <c r="F79" i="14"/>
  <c r="F78" i="14"/>
  <c r="F77" i="14"/>
  <c r="F76" i="14"/>
  <c r="F75" i="14"/>
  <c r="F74" i="14"/>
  <c r="F73" i="14"/>
  <c r="F72" i="14"/>
  <c r="G71" i="14"/>
  <c r="F71" i="14"/>
  <c r="G70" i="14"/>
  <c r="F70" i="14"/>
  <c r="G69" i="14"/>
  <c r="F69" i="14"/>
  <c r="G68" i="14"/>
  <c r="F68" i="14"/>
  <c r="G67" i="14"/>
  <c r="F67" i="14"/>
  <c r="G66" i="14"/>
  <c r="F66" i="14"/>
  <c r="F65" i="14"/>
  <c r="G64" i="14"/>
  <c r="F64" i="14"/>
  <c r="G63" i="14"/>
  <c r="F63" i="14"/>
  <c r="G62" i="14"/>
  <c r="F62" i="14"/>
  <c r="F61" i="14"/>
  <c r="F60" i="14"/>
  <c r="F59" i="14"/>
  <c r="F58" i="14"/>
  <c r="F57" i="14"/>
  <c r="F56" i="14"/>
  <c r="F55" i="14"/>
  <c r="F54" i="14"/>
  <c r="G53" i="14"/>
  <c r="F53" i="14"/>
  <c r="G52" i="14"/>
  <c r="F52" i="14"/>
  <c r="G51" i="14"/>
  <c r="F51" i="14"/>
  <c r="G50" i="14"/>
  <c r="F50" i="14"/>
  <c r="G49" i="14"/>
  <c r="F49" i="14"/>
  <c r="G48" i="14"/>
  <c r="F48" i="14"/>
  <c r="F47" i="14"/>
  <c r="G46" i="14"/>
  <c r="F46" i="14"/>
  <c r="G45" i="14"/>
  <c r="F45" i="14"/>
  <c r="G44" i="14"/>
  <c r="D38" i="14"/>
  <c r="D47" i="14" s="1"/>
  <c r="D56" i="14" s="1"/>
  <c r="D65" i="14" s="1"/>
  <c r="D74" i="14" s="1"/>
  <c r="D83" i="14" s="1"/>
  <c r="D39" i="14"/>
  <c r="D48" i="14" s="1"/>
  <c r="D57" i="14" s="1"/>
  <c r="D66" i="14" s="1"/>
  <c r="D75" i="14" s="1"/>
  <c r="D84" i="14" s="1"/>
  <c r="D40" i="14"/>
  <c r="D49" i="14" s="1"/>
  <c r="D58" i="14" s="1"/>
  <c r="D67" i="14" s="1"/>
  <c r="D76" i="14" s="1"/>
  <c r="D85" i="14" s="1"/>
  <c r="D41" i="14"/>
  <c r="D50" i="14" s="1"/>
  <c r="D59" i="14" s="1"/>
  <c r="D68" i="14" s="1"/>
  <c r="D77" i="14" s="1"/>
  <c r="D86" i="14" s="1"/>
  <c r="D42" i="14"/>
  <c r="D51" i="14" s="1"/>
  <c r="D60" i="14" s="1"/>
  <c r="D69" i="14" s="1"/>
  <c r="D78" i="14" s="1"/>
  <c r="D87" i="14" s="1"/>
  <c r="D43" i="14"/>
  <c r="D52" i="14" s="1"/>
  <c r="D61" i="14" s="1"/>
  <c r="D70" i="14" s="1"/>
  <c r="D79" i="14" s="1"/>
  <c r="D88" i="14" s="1"/>
  <c r="D44" i="14"/>
  <c r="D53" i="14" s="1"/>
  <c r="D62" i="14" s="1"/>
  <c r="D71" i="14" s="1"/>
  <c r="D80" i="14" s="1"/>
  <c r="D89" i="14" s="1"/>
  <c r="D37" i="14"/>
  <c r="D46" i="14" s="1"/>
  <c r="D55" i="14" s="1"/>
  <c r="D64" i="14" s="1"/>
  <c r="D73" i="14" s="1"/>
  <c r="D82" i="14" s="1"/>
  <c r="D36" i="14"/>
  <c r="D45" i="14" s="1"/>
  <c r="D54" i="14" s="1"/>
  <c r="D63" i="14" s="1"/>
  <c r="D72" i="14" s="1"/>
  <c r="D81" i="14" s="1"/>
  <c r="F44" i="14"/>
  <c r="F43" i="14"/>
  <c r="F42" i="14"/>
  <c r="F41" i="14"/>
  <c r="F40" i="14"/>
  <c r="F39" i="14"/>
  <c r="F38" i="14"/>
  <c r="F37" i="14"/>
  <c r="F36" i="14"/>
  <c r="G35" i="14"/>
  <c r="G34" i="14"/>
  <c r="G33" i="14"/>
  <c r="G32" i="14"/>
  <c r="G31" i="14"/>
  <c r="G30" i="14"/>
  <c r="G28" i="14"/>
  <c r="G27" i="14"/>
  <c r="F35" i="14"/>
  <c r="F34" i="14"/>
  <c r="F33" i="14"/>
  <c r="F32" i="14"/>
  <c r="F31" i="14"/>
  <c r="F30" i="14"/>
  <c r="F29" i="14"/>
  <c r="F28" i="14"/>
  <c r="F27" i="14"/>
  <c r="G24" i="14"/>
  <c r="F24" i="14"/>
  <c r="G23" i="14"/>
  <c r="F23" i="14"/>
  <c r="F22" i="14"/>
  <c r="F21" i="14"/>
  <c r="F20" i="14"/>
  <c r="F19" i="14"/>
  <c r="G18" i="14"/>
  <c r="F18" i="14"/>
  <c r="G17" i="14"/>
  <c r="F17" i="14"/>
  <c r="F16" i="14"/>
  <c r="F15" i="14"/>
  <c r="F14" i="14"/>
  <c r="F13" i="14"/>
  <c r="G12" i="14"/>
  <c r="F12" i="14"/>
  <c r="G11" i="14"/>
  <c r="F11" i="14"/>
  <c r="F10" i="14"/>
  <c r="D9" i="14"/>
  <c r="D12" i="14" s="1"/>
  <c r="D15" i="14" s="1"/>
  <c r="D18" i="14" s="1"/>
  <c r="D21" i="14" s="1"/>
  <c r="D24" i="14" s="1"/>
  <c r="D8" i="14"/>
  <c r="D11" i="14" s="1"/>
  <c r="D14" i="14" s="1"/>
  <c r="D17" i="14" s="1"/>
  <c r="D20" i="14" s="1"/>
  <c r="D23" i="14" s="1"/>
  <c r="D7" i="14"/>
  <c r="D10" i="14" s="1"/>
  <c r="D13" i="14" s="1"/>
  <c r="D16" i="14" s="1"/>
  <c r="D19" i="14" s="1"/>
  <c r="D22" i="14" s="1"/>
  <c r="G6" i="14"/>
  <c r="F6" i="14"/>
  <c r="F5" i="14"/>
  <c r="G5" i="14"/>
  <c r="F7" i="14"/>
  <c r="F8" i="14"/>
  <c r="F9" i="14"/>
  <c r="F4" i="14"/>
  <c r="H6" i="12" l="1"/>
  <c r="H7" i="12" s="1"/>
  <c r="J13" i="12" s="1"/>
  <c r="I6" i="12"/>
  <c r="I7" i="12"/>
  <c r="J14" i="12" s="1"/>
  <c r="B8" i="12"/>
  <c r="J6" i="12" s="1"/>
  <c r="I15" i="12" s="1"/>
  <c r="B10" i="12"/>
  <c r="K7" i="12" s="1"/>
  <c r="J16" i="12" s="1"/>
  <c r="B12" i="12"/>
  <c r="L7" i="12" s="1"/>
  <c r="J17" i="12" s="1"/>
  <c r="B14" i="12"/>
  <c r="M6" i="12" s="1"/>
  <c r="I18" i="12" s="1"/>
  <c r="I14" i="12"/>
  <c r="B16" i="12"/>
  <c r="N6" i="12" s="1"/>
  <c r="I19" i="12" s="1"/>
  <c r="N7" i="12" l="1"/>
  <c r="J19" i="12" s="1"/>
  <c r="M7" i="12"/>
  <c r="J18" i="12" s="1"/>
  <c r="J7" i="12"/>
  <c r="J15" i="12" s="1"/>
  <c r="I13" i="12"/>
  <c r="L6" i="12"/>
  <c r="I17" i="12" s="1"/>
  <c r="I12" i="2"/>
  <c r="K6" i="12"/>
  <c r="I16" i="12" s="1"/>
  <c r="I20" i="12"/>
  <c r="J20" i="12" l="1"/>
</calcChain>
</file>

<file path=xl/comments1.xml><?xml version="1.0" encoding="utf-8"?>
<comments xmlns="http://schemas.openxmlformats.org/spreadsheetml/2006/main">
  <authors>
    <author>SACHIN</author>
  </authors>
  <commentList>
    <comment ref="A8" authorId="0" shapeId="0">
      <text>
        <r>
          <rPr>
            <b/>
            <sz val="9"/>
            <color indexed="81"/>
            <rFont val="Tahoma"/>
            <family val="2"/>
          </rPr>
          <t>SACHIN:</t>
        </r>
        <r>
          <rPr>
            <sz val="9"/>
            <color indexed="81"/>
            <rFont val="Tahoma"/>
            <family val="2"/>
          </rPr>
          <t xml:space="preserve">
</t>
        </r>
        <r>
          <rPr>
            <sz val="16"/>
            <color indexed="81"/>
            <rFont val="Tahoma"/>
            <family val="2"/>
          </rPr>
          <t>Project Name</t>
        </r>
      </text>
    </comment>
    <comment ref="A9" authorId="0" shapeId="0">
      <text>
        <r>
          <rPr>
            <b/>
            <sz val="9"/>
            <color indexed="81"/>
            <rFont val="Tahoma"/>
            <family val="2"/>
          </rPr>
          <t>SACHIN:</t>
        </r>
        <r>
          <rPr>
            <sz val="9"/>
            <color indexed="81"/>
            <rFont val="Tahoma"/>
            <family val="2"/>
          </rPr>
          <t xml:space="preserve">
</t>
        </r>
        <r>
          <rPr>
            <sz val="16"/>
            <color indexed="81"/>
            <rFont val="Tahoma"/>
            <family val="2"/>
          </rPr>
          <t>Project Legal Address</t>
        </r>
      </text>
    </comment>
    <comment ref="A10" authorId="0" shapeId="0">
      <text>
        <r>
          <rPr>
            <b/>
            <sz val="9"/>
            <color indexed="81"/>
            <rFont val="Tahoma"/>
            <family val="2"/>
          </rPr>
          <t>SACHIN:</t>
        </r>
        <r>
          <rPr>
            <sz val="9"/>
            <color indexed="81"/>
            <rFont val="Tahoma"/>
            <family val="2"/>
          </rPr>
          <t xml:space="preserve">
</t>
        </r>
        <r>
          <rPr>
            <sz val="16"/>
            <color indexed="81"/>
            <rFont val="Tahoma"/>
            <family val="2"/>
          </rPr>
          <t>Project Picture</t>
        </r>
      </text>
    </comment>
    <comment ref="G53" authorId="0" shapeId="0">
      <text>
        <r>
          <rPr>
            <b/>
            <sz val="9"/>
            <color indexed="81"/>
            <rFont val="Tahoma"/>
            <family val="2"/>
          </rPr>
          <t>SACHIN:</t>
        </r>
        <r>
          <rPr>
            <sz val="9"/>
            <color indexed="81"/>
            <rFont val="Tahoma"/>
            <family val="2"/>
          </rPr>
          <t xml:space="preserve">
Visit Date</t>
        </r>
      </text>
    </comment>
    <comment ref="G55" authorId="0" shapeId="0">
      <text>
        <r>
          <rPr>
            <b/>
            <sz val="9"/>
            <color indexed="81"/>
            <rFont val="Tahoma"/>
            <family val="2"/>
          </rPr>
          <t>SACHIN:</t>
        </r>
        <r>
          <rPr>
            <sz val="9"/>
            <color indexed="81"/>
            <rFont val="Tahoma"/>
            <family val="2"/>
          </rPr>
          <t xml:space="preserve">
All documents name
Layout plan, floor plan CC and other NOC with Name n no</t>
        </r>
      </text>
    </comment>
    <comment ref="G57" authorId="0" shapeId="0">
      <text>
        <r>
          <rPr>
            <b/>
            <sz val="9"/>
            <color indexed="81"/>
            <rFont val="Tahoma"/>
            <family val="2"/>
          </rPr>
          <t>SACHIN:</t>
        </r>
        <r>
          <rPr>
            <sz val="9"/>
            <color indexed="81"/>
            <rFont val="Tahoma"/>
            <family val="2"/>
          </rPr>
          <t xml:space="preserve">
Project Name, Location, Marketbility, Total Flats, range of carpet etc</t>
        </r>
      </text>
    </comment>
    <comment ref="G102" authorId="0" shapeId="0">
      <text>
        <r>
          <rPr>
            <b/>
            <sz val="9"/>
            <color indexed="81"/>
            <rFont val="Tahoma"/>
            <family val="2"/>
          </rPr>
          <t>2 School
2 Shopping Centre or mall
2 Hospital</t>
        </r>
        <r>
          <rPr>
            <sz val="9"/>
            <color indexed="81"/>
            <rFont val="Tahoma"/>
            <family val="2"/>
          </rPr>
          <t xml:space="preserve">
</t>
        </r>
      </text>
    </comment>
    <comment ref="G103" authorId="0" shapeId="0">
      <text>
        <r>
          <rPr>
            <b/>
            <sz val="9"/>
            <color indexed="81"/>
            <rFont val="Tahoma"/>
            <family val="2"/>
          </rPr>
          <t>2 School
2 Shopping Centre or mall
2 Hospital</t>
        </r>
        <r>
          <rPr>
            <sz val="9"/>
            <color indexed="81"/>
            <rFont val="Tahoma"/>
            <family val="2"/>
          </rPr>
          <t xml:space="preserve">
</t>
        </r>
      </text>
    </comment>
    <comment ref="G104" authorId="0" shapeId="0">
      <text>
        <r>
          <rPr>
            <b/>
            <sz val="9"/>
            <color indexed="81"/>
            <rFont val="Tahoma"/>
            <family val="2"/>
          </rPr>
          <t>2 School
2 Shopping Centre or mall
2 Hospital</t>
        </r>
        <r>
          <rPr>
            <sz val="9"/>
            <color indexed="81"/>
            <rFont val="Tahoma"/>
            <family val="2"/>
          </rPr>
          <t xml:space="preserve">
</t>
        </r>
      </text>
    </comment>
    <comment ref="G105" authorId="0" shapeId="0">
      <text>
        <r>
          <rPr>
            <b/>
            <sz val="9"/>
            <color indexed="81"/>
            <rFont val="Tahoma"/>
            <family val="2"/>
          </rPr>
          <t>2 School
2 Shopping Centre or mall
2 Hospital</t>
        </r>
        <r>
          <rPr>
            <sz val="9"/>
            <color indexed="81"/>
            <rFont val="Tahoma"/>
            <family val="2"/>
          </rPr>
          <t xml:space="preserve">
</t>
        </r>
      </text>
    </comment>
    <comment ref="G113" authorId="0" shapeId="0">
      <text>
        <r>
          <rPr>
            <b/>
            <sz val="9"/>
            <color indexed="81"/>
            <rFont val="Tahoma"/>
            <family val="2"/>
          </rPr>
          <t>SACHIN:</t>
        </r>
        <r>
          <rPr>
            <sz val="9"/>
            <color indexed="81"/>
            <rFont val="Tahoma"/>
            <family val="2"/>
          </rPr>
          <t xml:space="preserve">
Type of Road</t>
        </r>
      </text>
    </comment>
    <comment ref="G114" authorId="0" shapeId="0">
      <text>
        <r>
          <rPr>
            <b/>
            <sz val="9"/>
            <color indexed="81"/>
            <rFont val="Tahoma"/>
            <family val="2"/>
          </rPr>
          <t>SACHIN:</t>
        </r>
        <r>
          <rPr>
            <sz val="9"/>
            <color indexed="81"/>
            <rFont val="Tahoma"/>
            <family val="2"/>
          </rPr>
          <t xml:space="preserve">
Size of Road</t>
        </r>
      </text>
    </comment>
    <comment ref="G116" authorId="0" shapeId="0">
      <text>
        <r>
          <rPr>
            <b/>
            <sz val="9"/>
            <color indexed="81"/>
            <rFont val="Tahoma"/>
            <family val="2"/>
          </rPr>
          <t>SACHIN:</t>
        </r>
        <r>
          <rPr>
            <sz val="9"/>
            <color indexed="81"/>
            <rFont val="Tahoma"/>
            <family val="2"/>
          </rPr>
          <t xml:space="preserve">
Water supply authority
</t>
        </r>
      </text>
    </comment>
    <comment ref="G119" authorId="0" shapeId="0">
      <text>
        <r>
          <rPr>
            <b/>
            <sz val="9"/>
            <color indexed="81"/>
            <rFont val="Tahoma"/>
            <family val="2"/>
          </rPr>
          <t>SACHIN:</t>
        </r>
        <r>
          <rPr>
            <sz val="9"/>
            <color indexed="81"/>
            <rFont val="Tahoma"/>
            <family val="2"/>
          </rPr>
          <t xml:space="preserve">
Advantages like markets,banks,development,nearby stn etc
</t>
        </r>
      </text>
    </comment>
    <comment ref="G130" authorId="0" shapeId="0">
      <text>
        <r>
          <rPr>
            <b/>
            <sz val="9"/>
            <color indexed="81"/>
            <rFont val="Tahoma"/>
            <family val="2"/>
          </rPr>
          <t>SACHIN:</t>
        </r>
        <r>
          <rPr>
            <sz val="9"/>
            <color indexed="81"/>
            <rFont val="Tahoma"/>
            <family val="2"/>
          </rPr>
          <t xml:space="preserve">
Ready Recknor Rate</t>
        </r>
      </text>
    </comment>
    <comment ref="I130" authorId="0" shapeId="0">
      <text>
        <r>
          <rPr>
            <b/>
            <sz val="9"/>
            <color indexed="81"/>
            <rFont val="Tahoma"/>
            <family val="2"/>
          </rPr>
          <t>SACHIN:</t>
        </r>
        <r>
          <rPr>
            <sz val="9"/>
            <color indexed="81"/>
            <rFont val="Tahoma"/>
            <family val="2"/>
          </rPr>
          <t xml:space="preserve">
Ready Reconer rate 
ONLY IN SQM</t>
        </r>
      </text>
    </comment>
    <comment ref="G131" authorId="0" shapeId="0">
      <text>
        <r>
          <rPr>
            <b/>
            <sz val="9"/>
            <color indexed="81"/>
            <rFont val="Tahoma"/>
            <family val="2"/>
          </rPr>
          <t>SACHIN:</t>
        </r>
        <r>
          <rPr>
            <sz val="9"/>
            <color indexed="81"/>
            <rFont val="Tahoma"/>
            <family val="2"/>
          </rPr>
          <t xml:space="preserve">
Ready Recknor Rate</t>
        </r>
      </text>
    </comment>
    <comment ref="I131" authorId="0" shapeId="0">
      <text>
        <r>
          <rPr>
            <b/>
            <sz val="9"/>
            <color indexed="81"/>
            <rFont val="Tahoma"/>
            <family val="2"/>
          </rPr>
          <t>SACHIN:</t>
        </r>
        <r>
          <rPr>
            <sz val="9"/>
            <color indexed="81"/>
            <rFont val="Tahoma"/>
            <family val="2"/>
          </rPr>
          <t xml:space="preserve">
Ready Reconer rate 
ONLY IN SQM</t>
        </r>
      </text>
    </comment>
    <comment ref="G144" authorId="0" shapeId="0">
      <text>
        <r>
          <rPr>
            <b/>
            <sz val="9"/>
            <color indexed="81"/>
            <rFont val="Tahoma"/>
            <family val="2"/>
          </rPr>
          <t>SACHIN:</t>
        </r>
        <r>
          <rPr>
            <sz val="9"/>
            <color indexed="81"/>
            <rFont val="Tahoma"/>
            <family val="2"/>
          </rPr>
          <t xml:space="preserve">
Building Names with Approved No. of Floors</t>
        </r>
      </text>
    </comment>
    <comment ref="G148" authorId="0" shapeId="0">
      <text>
        <r>
          <rPr>
            <b/>
            <sz val="9"/>
            <color indexed="81"/>
            <rFont val="Tahoma"/>
            <family val="2"/>
          </rPr>
          <t>SACHIN:</t>
        </r>
        <r>
          <rPr>
            <sz val="9"/>
            <color indexed="81"/>
            <rFont val="Tahoma"/>
            <family val="2"/>
          </rPr>
          <t xml:space="preserve">
Plan date &amp; Valid upto Date</t>
        </r>
      </text>
    </comment>
  </commentList>
</comments>
</file>

<file path=xl/sharedStrings.xml><?xml version="1.0" encoding="utf-8"?>
<sst xmlns="http://schemas.openxmlformats.org/spreadsheetml/2006/main" count="1515" uniqueCount="681">
  <si>
    <t>GOOGLE MAP :</t>
  </si>
  <si>
    <t xml:space="preserve">Dated: </t>
  </si>
  <si>
    <t>Name &amp; Address of Branch</t>
  </si>
  <si>
    <t>:</t>
  </si>
  <si>
    <t xml:space="preserve">Name of the Project </t>
  </si>
  <si>
    <t>a)</t>
  </si>
  <si>
    <t>b)</t>
  </si>
  <si>
    <t>d)</t>
  </si>
  <si>
    <t>Purpose of Valuation</t>
  </si>
  <si>
    <t>Date of Inspection of Property</t>
  </si>
  <si>
    <t xml:space="preserve">Location of the Property </t>
  </si>
  <si>
    <t>Carpet Area, Terrace Area and Saleable area to be mentioned separately and clarified</t>
  </si>
  <si>
    <t>See below mentioned schedule of the property.</t>
  </si>
  <si>
    <t>Rate</t>
  </si>
  <si>
    <t>Particulars</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</si>
  <si>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</si>
  <si>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</si>
  <si>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</si>
  <si>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</si>
  <si>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</si>
  <si>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</si>
  <si>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</si>
  <si>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</si>
  <si>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</si>
  <si>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</si>
  <si>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</si>
  <si>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</si>
  <si>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</si>
  <si>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</si>
  <si>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</si>
  <si>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</si>
  <si>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</si>
  <si>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</si>
  <si>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</si>
  <si>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</si>
  <si>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</si>
  <si>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</si>
  <si>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</si>
  <si>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</si>
  <si>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 xml:space="preserve">total floor </t>
  </si>
  <si>
    <t>e)</t>
  </si>
  <si>
    <t>f)</t>
  </si>
  <si>
    <t>g)</t>
  </si>
  <si>
    <t>h)</t>
  </si>
  <si>
    <t>i)</t>
  </si>
  <si>
    <t>j)</t>
  </si>
  <si>
    <t>Description</t>
  </si>
  <si>
    <t>East</t>
  </si>
  <si>
    <t>West</t>
  </si>
  <si>
    <t>North</t>
  </si>
  <si>
    <t>South</t>
  </si>
  <si>
    <t>NA</t>
  </si>
  <si>
    <t>Proposed</t>
  </si>
  <si>
    <t>Yes</t>
  </si>
  <si>
    <t>No</t>
  </si>
  <si>
    <t>Introduction :</t>
  </si>
  <si>
    <t>To assess present market value for the purpose of advance.</t>
  </si>
  <si>
    <t>Remark :</t>
  </si>
  <si>
    <t xml:space="preserve">PHOTOGRAPHS OF PROPERTY : 
</t>
  </si>
  <si>
    <t>Market Research Data</t>
  </si>
  <si>
    <t>Source</t>
  </si>
  <si>
    <t>Net Carpet</t>
  </si>
  <si>
    <t>Market Value</t>
  </si>
  <si>
    <t>Average</t>
  </si>
  <si>
    <t xml:space="preserve">Valuation Adopted </t>
  </si>
  <si>
    <t>Value (Rs.)</t>
  </si>
  <si>
    <r>
      <rPr>
        <b/>
        <u/>
        <sz val="11"/>
        <color indexed="8"/>
        <rFont val="Times New Roman"/>
        <family val="1"/>
      </rPr>
      <t>VALUATION</t>
    </r>
    <r>
      <rPr>
        <b/>
        <sz val="11"/>
        <color indexed="8"/>
        <rFont val="Times New Roman"/>
        <family val="1"/>
      </rPr>
      <t xml:space="preserve"> </t>
    </r>
    <r>
      <rPr>
        <b/>
        <u/>
        <sz val="11"/>
        <color indexed="8"/>
        <rFont val="Times New Roman"/>
        <family val="1"/>
      </rPr>
      <t>REPORT</t>
    </r>
  </si>
  <si>
    <t>Sr. No.</t>
  </si>
  <si>
    <t>Floor No.</t>
  </si>
  <si>
    <t>Flat / Shop No.</t>
  </si>
  <si>
    <t>Configuration</t>
  </si>
  <si>
    <t>Flat</t>
  </si>
  <si>
    <t>1 BHK</t>
  </si>
  <si>
    <t>1 RK</t>
  </si>
  <si>
    <t>99 Acres</t>
  </si>
  <si>
    <t>Valuation Summary :</t>
  </si>
  <si>
    <t>VALUATION OF PROPERTIES</t>
  </si>
  <si>
    <t>OF</t>
  </si>
  <si>
    <t>BY</t>
  </si>
  <si>
    <t>Distance from proposed property</t>
  </si>
  <si>
    <t>Sarvam</t>
  </si>
  <si>
    <t>Ground Floor For Parking</t>
  </si>
  <si>
    <t>1st Floor</t>
  </si>
  <si>
    <t>Carpet Area 
(in Sq. Ft.)</t>
  </si>
  <si>
    <t>2nd Floor</t>
  </si>
  <si>
    <t>3rd Floor</t>
  </si>
  <si>
    <t>4th Floor</t>
  </si>
  <si>
    <t>5th Floor</t>
  </si>
  <si>
    <t>6th Floor</t>
  </si>
  <si>
    <t>7th Floor</t>
  </si>
  <si>
    <t>Saleable Area
(in Sq. Ft.)</t>
  </si>
  <si>
    <t>Attached Terrace Area
(in Sq. Ft.)</t>
  </si>
  <si>
    <t>Building No.1 - B Wing</t>
  </si>
  <si>
    <t>Building No.1 - A Wing</t>
  </si>
  <si>
    <t>2 BHK</t>
  </si>
  <si>
    <t>Building &amp; Wing</t>
  </si>
  <si>
    <t>Building No.2 - C Wing</t>
  </si>
  <si>
    <t>Carpet Area (Sq.ft)</t>
  </si>
  <si>
    <t>Saleable Area</t>
  </si>
  <si>
    <t>Housing</t>
  </si>
  <si>
    <t>1BHK</t>
  </si>
  <si>
    <t>1RK</t>
  </si>
  <si>
    <t>Proptiger</t>
  </si>
  <si>
    <t>Gardenia - 650m</t>
  </si>
  <si>
    <t>2BHK</t>
  </si>
  <si>
    <t>Mahaavir Majesty - 550m</t>
  </si>
  <si>
    <t>Arihant Anaika - 550m</t>
  </si>
  <si>
    <t>Krushna Kunj - 950m</t>
  </si>
  <si>
    <t>Rate 
(on Saleable Area)</t>
  </si>
  <si>
    <t>We verified Approved Plans, CC, Sale Plans &amp; others Documents.</t>
  </si>
  <si>
    <t>Rate on Saleable Area</t>
  </si>
  <si>
    <t xml:space="preserve">A Wing </t>
  </si>
  <si>
    <t xml:space="preserve">B Wing </t>
  </si>
  <si>
    <t>C Wing</t>
  </si>
  <si>
    <t>market Value</t>
  </si>
  <si>
    <t>Office No. J-1031, Akshar Business Park, Plot No. 03</t>
  </si>
  <si>
    <t xml:space="preserve">Sector 25, Near APMC Market, Vashi, </t>
  </si>
  <si>
    <t>Navi Mumbai, Maharashtra 400703</t>
  </si>
  <si>
    <t xml:space="preserve">Web site: www.vsjadon.com    </t>
  </si>
  <si>
    <t>TEL: 022-46090378/79/80 Email: vsjc.apf@gmail.com.</t>
  </si>
  <si>
    <t>Office No. 1031, Wing J, Akshar Business Park, Plot No. 03 Sector 25, Near APMC Market, Vashi, 
Navi Mumbai, Maharashtra 400703 TEL: 022-46090378/79/80                                                                       
E mail : vsjcapf@gmail.com. Web site : www.vsjadon.com</t>
  </si>
  <si>
    <t>Date on which the valuation is made</t>
  </si>
  <si>
    <t>List of documents produced for perusal</t>
  </si>
  <si>
    <t>Name of the owner(s) and his / their address
(es) with Phone no. (details of share of each
owner in case of joint ownership)</t>
  </si>
  <si>
    <t>Brief description of the property (Including
leasehold / freehold etc)</t>
  </si>
  <si>
    <t>Village</t>
  </si>
  <si>
    <t>District</t>
  </si>
  <si>
    <t>Taluka</t>
  </si>
  <si>
    <t>Postal address of the property</t>
  </si>
  <si>
    <t>City / Town</t>
  </si>
  <si>
    <t>Residential Area</t>
  </si>
  <si>
    <t>Commercial Area</t>
  </si>
  <si>
    <t>Industrial Area</t>
  </si>
  <si>
    <t>Classification of the area</t>
  </si>
  <si>
    <t>a. High / Middle / Poor</t>
  </si>
  <si>
    <t>b. Urban / Semi Urban / Rural</t>
  </si>
  <si>
    <t>Coming under Corporation limit / Village
Panchayat / Municipality</t>
  </si>
  <si>
    <t>Boundaries of the property</t>
  </si>
  <si>
    <t>As per Rera</t>
  </si>
  <si>
    <t>As per Approved Layout</t>
  </si>
  <si>
    <t xml:space="preserve">As per Site </t>
  </si>
  <si>
    <t>Dimensions of the site</t>
  </si>
  <si>
    <t>As per the Deed</t>
  </si>
  <si>
    <t>Actuals</t>
  </si>
  <si>
    <t>Extent of the site</t>
  </si>
  <si>
    <t>Whether occupied by the owner / tenant? If
occupied by tenant, since how long? Rent
received per month.</t>
  </si>
  <si>
    <t>Feasibility to the Civic amenities like school, hospital, bus stop, market etc</t>
  </si>
  <si>
    <t>Corner plot or intermittent plot?</t>
  </si>
  <si>
    <t>Road facilities</t>
  </si>
  <si>
    <t>Type of road available at present</t>
  </si>
  <si>
    <t>Width of road – is it below 20 ft or more than 20 ft</t>
  </si>
  <si>
    <t>Is it a land – locked land?</t>
  </si>
  <si>
    <t>Water potentiality</t>
  </si>
  <si>
    <t>Underground sewerage system</t>
  </si>
  <si>
    <t>Is power supply available at the site?</t>
  </si>
  <si>
    <t>Advantage of the site</t>
  </si>
  <si>
    <t>Special remarks, if any, like threat of acquisition of land for public service purposes, road widening or applicability of CRZ provisions etc. (Distance from sea-coast / tidal level must be incorporated)</t>
  </si>
  <si>
    <t>Plain</t>
  </si>
  <si>
    <t>Intermittent plot</t>
  </si>
  <si>
    <t>Connected to Munciple Sewer</t>
  </si>
  <si>
    <t>Valuation</t>
  </si>
  <si>
    <t>A</t>
  </si>
  <si>
    <t>North &amp; South</t>
  </si>
  <si>
    <t>East &amp; West</t>
  </si>
  <si>
    <t>Total extent of the plot</t>
  </si>
  <si>
    <t>Prevailing market rate (Along with details/reference of at least two latest deals/transactions with respect to adjacent properties in the areas)</t>
  </si>
  <si>
    <t>Assessed / adopted rate of valuation</t>
  </si>
  <si>
    <t>Estimated value of land</t>
  </si>
  <si>
    <t>Size of plot (As per Approved Plan) sq.m</t>
  </si>
  <si>
    <t>Size of plot (As per RERA) sq.m</t>
  </si>
  <si>
    <t>-</t>
  </si>
  <si>
    <t>As per table Attached to the report</t>
  </si>
  <si>
    <t>As per table Attached to the report.
Details of recent transactions/ online listings are attached with the report</t>
  </si>
  <si>
    <t>Guideline rate obtained from the Registrar’s Office (an evidence thereof to be enclosed) sq.m</t>
  </si>
  <si>
    <t>As per RERA</t>
  </si>
  <si>
    <t xml:space="preserve">As per Approved Plan </t>
  </si>
  <si>
    <t>Land Area in sq.m</t>
  </si>
  <si>
    <t>Value in Rs.</t>
  </si>
  <si>
    <t>Valuation of Building</t>
  </si>
  <si>
    <t>B</t>
  </si>
  <si>
    <t>Technical details of the building</t>
  </si>
  <si>
    <t>Type of construction (Load bearing / RCC / Steel Framed)</t>
  </si>
  <si>
    <t>Year of construction</t>
  </si>
  <si>
    <t xml:space="preserve">c) </t>
  </si>
  <si>
    <t>Number of floors and height of each floor including basement, if any including basement, if any</t>
  </si>
  <si>
    <t>Plinth area floor-wise</t>
  </si>
  <si>
    <t>Condition of the building</t>
  </si>
  <si>
    <t xml:space="preserve">1. Exterior </t>
  </si>
  <si>
    <t xml:space="preserve">2. Interior </t>
  </si>
  <si>
    <t>Date of issue and validity of layout of approved map / plan</t>
  </si>
  <si>
    <t>Type of Building (Residential / Commercial/ Industrial)</t>
  </si>
  <si>
    <t>Approved map / plan issuing authority</t>
  </si>
  <si>
    <t>Any other comments by our empanelled valuers on authentic of approved plan</t>
  </si>
  <si>
    <t>Whether genuineness or authenticity of approved map / plan is verified YES / NO</t>
  </si>
  <si>
    <t>Specifications of construction (floor-wise) in respect of</t>
  </si>
  <si>
    <t>S.No.</t>
  </si>
  <si>
    <t xml:space="preserve"> Description</t>
  </si>
  <si>
    <t>Foundation</t>
  </si>
  <si>
    <t>Basement</t>
  </si>
  <si>
    <t>Joinery / Doors &amp; Windows (please furnish details about size of frames, shutters, glazing, fitting etc. and specify the species of timber)</t>
  </si>
  <si>
    <t>RCC works</t>
  </si>
  <si>
    <t>Plastering</t>
  </si>
  <si>
    <t>Flooring, Skirting, dadoing</t>
  </si>
  <si>
    <t>Special finish as marble, granite, wooden paneling, grills, etc</t>
  </si>
  <si>
    <t>Roofing including weather proof course</t>
  </si>
  <si>
    <t>Drainage</t>
  </si>
  <si>
    <t>Proposed as IS Code requirements</t>
  </si>
  <si>
    <t>N.A. Building Construction Work in process</t>
  </si>
  <si>
    <t>Compound wall :</t>
  </si>
  <si>
    <t>Height :</t>
  </si>
  <si>
    <t>Length</t>
  </si>
  <si>
    <t>Type of construction</t>
  </si>
  <si>
    <t>Electrical installation</t>
  </si>
  <si>
    <t>Type of wiring :</t>
  </si>
  <si>
    <t>Class of fittings (superior / ordinary / poor) :</t>
  </si>
  <si>
    <t>Number of light points :</t>
  </si>
  <si>
    <t>Fan points :</t>
  </si>
  <si>
    <t>Spare plug points :</t>
  </si>
  <si>
    <t>Any other item</t>
  </si>
  <si>
    <t>Plumbing installation</t>
  </si>
  <si>
    <t>No. of water closets and their type :</t>
  </si>
  <si>
    <t>No. of wash basins :</t>
  </si>
  <si>
    <t>No. of urinals :</t>
  </si>
  <si>
    <t>No. of bath tubs :</t>
  </si>
  <si>
    <t>Water meter, taps, etc. :</t>
  </si>
  <si>
    <t>Any other fixtures</t>
  </si>
  <si>
    <t>Traditional Technology</t>
  </si>
  <si>
    <t>Configuration of Project</t>
  </si>
  <si>
    <t xml:space="preserve">Layout Approval No   </t>
  </si>
  <si>
    <t>Approved Floor plan No.</t>
  </si>
  <si>
    <t xml:space="preserve">O. Certificate No.: </t>
  </si>
  <si>
    <t>Date</t>
  </si>
  <si>
    <t>Approved no of units</t>
  </si>
  <si>
    <t>Approved no of Floors</t>
  </si>
  <si>
    <t>Proposed no of Floors</t>
  </si>
  <si>
    <t>No. of Units</t>
  </si>
  <si>
    <t>Total Carpet Area</t>
  </si>
  <si>
    <t>Total</t>
  </si>
  <si>
    <t>Grand Total</t>
  </si>
  <si>
    <t>Building Detail Statements: As per approved Plan.</t>
  </si>
  <si>
    <t>Building/ Wing/ Tower</t>
  </si>
  <si>
    <t>Total No. of Units</t>
  </si>
  <si>
    <t>Builtup Area (Sq.ft)</t>
  </si>
  <si>
    <t>Builtup Area
(in Sq. Ft.)</t>
  </si>
  <si>
    <t>Fair Market Value</t>
  </si>
  <si>
    <t xml:space="preserve"> Portico :</t>
  </si>
  <si>
    <t xml:space="preserve"> Ornamental front door :</t>
  </si>
  <si>
    <t xml:space="preserve"> Sit out/ Verandah with steel grills :</t>
  </si>
  <si>
    <t xml:space="preserve"> Overhead water tank :</t>
  </si>
  <si>
    <t xml:space="preserve"> Extra steel/ collapsible gates</t>
  </si>
  <si>
    <t xml:space="preserve"> Wardrobes :</t>
  </si>
  <si>
    <t xml:space="preserve"> Glazed tiles :</t>
  </si>
  <si>
    <t xml:space="preserve"> Extra sinks and bath tub :</t>
  </si>
  <si>
    <t xml:space="preserve"> Marble / Ceramic tiles flooring :</t>
  </si>
  <si>
    <t xml:space="preserve"> Interior decorations :</t>
  </si>
  <si>
    <t xml:space="preserve"> Architectural elevation works :</t>
  </si>
  <si>
    <t xml:space="preserve"> Panelling works :</t>
  </si>
  <si>
    <t xml:space="preserve"> Aluminium works :</t>
  </si>
  <si>
    <t xml:space="preserve"> Aluminium hand rails :</t>
  </si>
  <si>
    <t xml:space="preserve"> False ceiling</t>
  </si>
  <si>
    <t xml:space="preserve"> Separate toilet room :</t>
  </si>
  <si>
    <t xml:space="preserve"> Separate lumber room :</t>
  </si>
  <si>
    <t xml:space="preserve"> Separate water tank/ sump :</t>
  </si>
  <si>
    <t xml:space="preserve"> Trees, gardening</t>
  </si>
  <si>
    <t xml:space="preserve"> Water supply arrangements :</t>
  </si>
  <si>
    <t xml:space="preserve"> Drainage arrangements :</t>
  </si>
  <si>
    <t xml:space="preserve"> Compound wall :</t>
  </si>
  <si>
    <t xml:space="preserve"> Pavement</t>
  </si>
  <si>
    <t xml:space="preserve"> C.  B.  deposits, fittings etc</t>
  </si>
  <si>
    <t>Amount in Rs.</t>
  </si>
  <si>
    <t>Total abstract of the entire property</t>
  </si>
  <si>
    <t>Part A</t>
  </si>
  <si>
    <t>Part B</t>
  </si>
  <si>
    <t>Part C</t>
  </si>
  <si>
    <t>Part D</t>
  </si>
  <si>
    <t>Part E</t>
  </si>
  <si>
    <t>Part F</t>
  </si>
  <si>
    <t>Land</t>
  </si>
  <si>
    <t>Building</t>
  </si>
  <si>
    <t>Extra Items</t>
  </si>
  <si>
    <t>Amenities</t>
  </si>
  <si>
    <t>Miscellaneous</t>
  </si>
  <si>
    <t>Services</t>
  </si>
  <si>
    <t>Layout</t>
  </si>
  <si>
    <t xml:space="preserve">Place: </t>
  </si>
  <si>
    <t>Navi Mumbai</t>
  </si>
  <si>
    <t xml:space="preserve">             (Annexure-I)</t>
  </si>
  <si>
    <t>I, Mr. Vishwajeet Singh Jadon son of Mr. Ram Singh Jadon do hereby solemnly affirm and state that:</t>
  </si>
  <si>
    <t>I am a citizen of India</t>
  </si>
  <si>
    <t>I will not undertake valuation of any assets in which I have a direct or indirect interest or become so interested at any time during a period of three years prior to my appointment as valuer or three years after the valuation of assets was conducted by me</t>
  </si>
  <si>
    <t>Valuation report is submitted in the format as prescribed by the Bank</t>
  </si>
  <si>
    <t>I have not been depanelled/ delisted by any other bank and in case any such depanelment by other banks during my empanelment with you, I will inform you within 3 days of such depanelment</t>
  </si>
  <si>
    <t>I have not been removed/dismissed from service/employment earlier</t>
  </si>
  <si>
    <t>I have not been convicted of any offence and sentenced to a term of imprisonment</t>
  </si>
  <si>
    <t>I have not been found guilty of misconduct in professional capacity</t>
  </si>
  <si>
    <t>I have not been declared to be unsound mind</t>
  </si>
  <si>
    <t>I am not an undischarged bankrupt or has not applied to be adjudicated as a bankrupt.</t>
  </si>
  <si>
    <t>I am not an undischarged insolvent</t>
  </si>
  <si>
    <t>I have not been levied a penalty under section 271J of Income-tax Act, 1961 (43 of 1961) and time limit for filing appeal before Commissioner of Income tax (Appeals) or Income-tax Appellate Tribunal, as the case may be has expired, or such penalty has been confirmed by Income-tax Appellate Tribunal, and five years have not elapsed after levy of such penalty</t>
  </si>
  <si>
    <t>I undertake to keep you informed of any events or happenings which would make me ineligible for empanelment as a valuer</t>
  </si>
  <si>
    <t>I have not concealed or suppressed any material information, facts and records and I have made a complete and full disclosure</t>
  </si>
  <si>
    <t>I have read the Handbook on Policy, Standards and procedure for Real Estate Valuation, 2011 of the IBA and this report is in conformity to the “Standards” enshrined for valuation in the Part-B of the above handbook to the best of my ability</t>
  </si>
  <si>
    <t>I have read the International Valuation Standards (IVS) and the report submitted to the Bank for the respective asset class is in conformity to the “Standards” as enshrined for valuation in the IVS in “General Standards” and “Asset Standards” as applicable</t>
  </si>
  <si>
    <t>I abide by the Model Code of Conduct for empanelment of valuer in the Bank. (Annexure V- A signed copy of same to be taken and kept along with this declaration)</t>
  </si>
  <si>
    <t>I am registered under Section 34 AB of the Wealth Tax Act, 1957. (Strike off, if not applicable)</t>
  </si>
  <si>
    <t>I am valuer registered with Insolvency &amp; Bankruptcy Board of India (IBBI) (Strike off, if not applicable)</t>
  </si>
  <si>
    <t>My CIBIL Score and credit worthiness is as per Bank’s guidelines.</t>
  </si>
  <si>
    <t>I am the proprietor / partner / authorized official of the firm / company, who is competent to sign this valuation report.</t>
  </si>
  <si>
    <t>I will undertake the valuation work on receipt of Letter of Engagement generated from the system (i.e. LLMS/LOS) only.</t>
  </si>
  <si>
    <t>Sr.No.</t>
  </si>
  <si>
    <t>Valuer comment</t>
  </si>
  <si>
    <t>Background information of the asset being valued;</t>
  </si>
  <si>
    <t>Purpose of valuation and appointing authority</t>
  </si>
  <si>
    <t>Identity of the valuer and any other experts involved in the valuation;</t>
  </si>
  <si>
    <t>Disclosure of valuer interest or conflict, if any;</t>
  </si>
  <si>
    <t>Date of appointment, valuation date and date of report;</t>
  </si>
  <si>
    <t>Date of Appointment</t>
  </si>
  <si>
    <t>Valuation date</t>
  </si>
  <si>
    <t>Date of Report</t>
  </si>
  <si>
    <t>Inspections and/or investigations undertaken;</t>
  </si>
  <si>
    <t>Physically site Verified.</t>
  </si>
  <si>
    <t>Nature and sources of the information used or relied upon;</t>
  </si>
  <si>
    <t>Procedures adopted in carrying out the valuation and valuation standards followed;</t>
  </si>
  <si>
    <t>Market Approach Method adopted where Value is estimated based on instances of sales/quotes of similar assets in the market.</t>
  </si>
  <si>
    <t>Restrictions on use of the report, if any;</t>
  </si>
  <si>
    <t>Major factors that were taken into account during the valuation;</t>
  </si>
  <si>
    <t>Major factors that were not taken into account during the valuation;</t>
  </si>
  <si>
    <t>Caveats, limitations and disclaimers to the extent they explain or elucidate the limitations faced by valuer, which shall not be for the purpose of limiting his responsibility for the valuation report.</t>
  </si>
  <si>
    <t xml:space="preserve">As a result of my appraisal and analysis, it is my considered opinion that the realizable value of the above property in the prevailing condition with aforesaid specifications is Rs. </t>
  </si>
  <si>
    <t>Ready Reckoner Rate</t>
  </si>
  <si>
    <t>Place:</t>
  </si>
  <si>
    <t>Date:</t>
  </si>
  <si>
    <t>Signature</t>
  </si>
  <si>
    <t>(Name and Official seal of the Approved Valuer)</t>
  </si>
  <si>
    <t>(Name of the Branch Manager with Official seal)</t>
  </si>
  <si>
    <t>Declaration-cum-undertaking from the valuer (Annexure-I)</t>
  </si>
  <si>
    <t>*</t>
  </si>
  <si>
    <t>Model code of conduct for valuer (Annexure II )</t>
  </si>
  <si>
    <t>Attached Below</t>
  </si>
  <si>
    <t>DECLARATION - CUM - UNDERTAKING</t>
  </si>
  <si>
    <t>Registered Valuer - Vishwajeet Singh Jadon</t>
  </si>
  <si>
    <t>Technical Engineer - Sachin M. Sawant</t>
  </si>
  <si>
    <t>Market Survey at the time of site visit.
Ready Reckoner rates/ Circle rates
Online search for registered transactions
Online price indicators on real estate portals
Enquiries with real estate consultants
Existing data of valuation assignments carried out by us</t>
  </si>
  <si>
    <t>Present Market enquiries, Location, Demand and position supply, Development of locality, etc.</t>
  </si>
  <si>
    <t>(Annexure-II)</t>
  </si>
  <si>
    <t>MODEL CODE OF CONDUCT FOR VALUERS</t>
  </si>
  <si>
    <t>Integrity and Fairness</t>
  </si>
  <si>
    <t>A valuer shall, in the conduct of his/its business, follow high standards of integrity and fairness in all his/its dealings with his/its clients and other valuers.</t>
  </si>
  <si>
    <t>Professional Competence and Due Care</t>
  </si>
  <si>
    <t>A valuer shall render at all times high standards of service, exercise due diligence, ensure proper care and exercise independent professional judgment.</t>
  </si>
  <si>
    <t>A valuer shall carry out professional services in accordance with the relevant technical and professional standards that may be specified from time to time</t>
  </si>
  <si>
    <t>Independence and Disclosure of Interest</t>
  </si>
  <si>
    <t> In any fairness opinion or independent expert opinion submitted by a valuer, if there has been a prior engagement in an unconnected transaction, the valuer shall declare the association with the company during the last five years.</t>
  </si>
  <si>
    <t>Confidentiality</t>
  </si>
  <si>
    <t>Information Management</t>
  </si>
  <si>
    <t>A valuer while respecting the confidentiality of information acquired during the course of performing professional services, shall maintain proper working papers for a period of three years or such longer period as required in its contract for a specific valuation, for production before a regulatory authority or for a peer review. In the event of a pending case before the Tribunal or Appellate Tribunal, the record shall be maintained till the disposal of the case.</t>
  </si>
  <si>
    <t>Gifts and hospitality.</t>
  </si>
  <si>
    <t>Remuneration and Costs.</t>
  </si>
  <si>
    <t xml:space="preserve">Signature  of the valuer      </t>
  </si>
  <si>
    <t>Name of the Valuer</t>
  </si>
  <si>
    <t>V.S Jadon &amp; Co. Valuers LLP</t>
  </si>
  <si>
    <t xml:space="preserve"> A valuer shall continuously maintain professional knowledge and skill to provide competent professional service based on up-to-date developments in practice, prevailing regulations/guidelines and techniques.</t>
  </si>
  <si>
    <t xml:space="preserve"> In the preparation of a valuation report, the valuer shall not disclaim liability for his/its expertise or deny his/its duty of care, except to the extent that the assumptions are based on statements of fact provided by the company or its auditors or consultants or information available in public domain and not generated by the valuer.</t>
  </si>
  <si>
    <t xml:space="preserve"> A valuer shall not indulge in “mandate snatching” or offering “convenience valuations” in order to cater to a company or client’s needs.</t>
  </si>
  <si>
    <t>A valuer shall refrain from being involved in any action that would bring disrepute to the profession.</t>
  </si>
  <si>
    <t>A valuer shall keep public interest foremost while delivering his services.</t>
  </si>
  <si>
    <t>As an independent valuer, the valuer shall not charge success fee.</t>
  </si>
  <si>
    <t>A valuer shall not use or divulge to other clients or any other party any confidential information about the subject company, which has come to his/its knowledge without proper and specific authority or unless there is a legal or professional right or duty to disclose.</t>
  </si>
  <si>
    <t>A valuer shall ensure that he/ it maintains written contemporaneous records for any decision taken, the reasons for taking the decision, and the information and evidence in support of such decision. This shall be maintained so as to sufficiently enable a reasonable person to take a view on the appropriateness of his/its decisions and actions.</t>
  </si>
  <si>
    <t>A valuer shall appear, co-operate and be available for inspections and investigations carried out by the authority, any person authorised by the authority, the registered valuers organisation with which he/it is registered or any other statutory regulatory body.</t>
  </si>
  <si>
    <t>A valuer shall provide all information and records as may be required by the authority, the Tribunal, Appellate Tribunal, the registered valuers organisation with which he/it is registered, or any other statutory regulatory body.</t>
  </si>
  <si>
    <t>A valuer shall not carry out any instruction of the client insofar as they are incompatible with the requirements of integrity, objectivity and independence.</t>
  </si>
  <si>
    <t>A valuer shall clearly state to his client the services that he would be competent to provide and the services for which he would be relying on other valuers or professionals or for which the client can have a separate arrangement with other valuers.</t>
  </si>
  <si>
    <t>A valuer shall act with objectivity in his/its professional dealings by ensuring that his/its decisions are made without the presence of any bias, conflict of interest, coercion, or undue influence of any party, whether directly connected to the valuation assignment or not.</t>
  </si>
  <si>
    <t>A valuer shall not take up an assignment if he/it or any of his/its relatives or associates is not independent in terms of association to the company.</t>
  </si>
  <si>
    <t>A valuer shall wherever necessary disclose to the clients, possible sources of conflicts of duties and interests, while providing unbiased services.</t>
  </si>
  <si>
    <t>A valuer shall maintain complete independence in his/its professional relationships and shall conduct the valuation independent of external influences.</t>
  </si>
  <si>
    <t>A valuer shall not deal in securities of any subject company after any time when he/it first becomes aware of the possibility of his/its association with the valuation, and in accordance with the Securities and Exchange Board of India (Prohibition of Insider Trading) Regulations, 2015 or till the time the valuation report becomes public, whichever is earlier.</t>
  </si>
  <si>
    <t>A valuer or his/its relative shall not accept gifts or hospitality which undermines or affects his independence as a valuer.
Explanation: For the purposes of this code the term ‘relative’ shall have the same meaning as defined in clause (77) of Section 2 of the Companies Act, 2013 (18 of 2013).</t>
  </si>
  <si>
    <t>A valuer shall not offer gifts or hospitality or a financial or any other advantage to a public servant or any other person with a view to obtain or retain work for himself/ itself, or to obtain or retain an advantage in the conduct of profession for himself/ itself.</t>
  </si>
  <si>
    <t>A valuer shall provide services for remuneration which is charged in a transparent manner, is a reasonable reflection of the work necessarily and properly undertaken, and is not inconsistent with the applicable rules.</t>
  </si>
  <si>
    <t>A valuer shall refrain from accepting too many assignments, if he/it is unlikely to be able to devote adequate time to each of his/ its assignments.</t>
  </si>
  <si>
    <t>A valuer shall not conduct business which in the opinion of the authority or the registered valuer organisation discredits the profession.</t>
  </si>
  <si>
    <t>A valuer shall refrain from undertaking to review the work of another valuer of the same client except under written orders from the bank or housing finance institutions and with knowledge of the concerned valuer.</t>
  </si>
  <si>
    <t>A valuer shall follow this code as amended or revised from time to time</t>
  </si>
  <si>
    <t xml:space="preserve">Assumptions, Disclaimers, Limitations &amp; Qualifications </t>
  </si>
  <si>
    <t>ASSUMPTIONS, CAVEATS, LIMITATION AND DISCLAIMERS</t>
  </si>
  <si>
    <t>We assume no responsibility for matters of legal nature affecting the property appraised or the title thereto, nor do we render our opinion as to the title, which is assumed to be good and marketable.</t>
  </si>
  <si>
    <t xml:space="preserve">It is assumed that there are no hidden or unapparent conditions of the subsoil or structure that would render it more or less valuable. No responsibility is assumed for such conditions or for engineering that might be required to discover such factors.
</t>
  </si>
  <si>
    <t xml:space="preserve">There is no direct/ indirect interest in the property valued.
</t>
  </si>
  <si>
    <t>The rates for valuation of the property are in accordance with the Govt. approved rates and prevailing market rates.</t>
  </si>
  <si>
    <t>The property is valued as though under responsible ownership.</t>
  </si>
  <si>
    <t>It is assumed that the property is free of liens and encumbrances.</t>
  </si>
  <si>
    <t>Plot No</t>
  </si>
  <si>
    <t>Sector</t>
  </si>
  <si>
    <t>Panvel</t>
  </si>
  <si>
    <t>Raigad</t>
  </si>
  <si>
    <t>Landmark</t>
  </si>
  <si>
    <t>Road</t>
  </si>
  <si>
    <t>Pincode</t>
  </si>
  <si>
    <t>Whether covered under any State / Central
Govt. enactments (e.g. Urban Land Ceiling Act) or notified under agency area / scheduled area / cantonment area</t>
  </si>
  <si>
    <t>In case it is an agricultural land, any conversion to house site plots is contemplated</t>
  </si>
  <si>
    <t>Location Link</t>
  </si>
  <si>
    <t>Extent of the site considered for valuation (least of 14A &amp; 14B)</t>
  </si>
  <si>
    <t>Classification of locality</t>
  </si>
  <si>
    <t>Development of surrounding areas</t>
  </si>
  <si>
    <t>Possibility of frequent flooding / sub-merging</t>
  </si>
  <si>
    <t>Above 20ft</t>
  </si>
  <si>
    <t>֍</t>
  </si>
  <si>
    <t>Proposed RCC Footing</t>
  </si>
  <si>
    <t>A Wing</t>
  </si>
  <si>
    <t>Ground Floor For Commercial &amp; Parking</t>
  </si>
  <si>
    <t>Shop</t>
  </si>
  <si>
    <t>B Wing</t>
  </si>
  <si>
    <t>Commercial Units</t>
  </si>
  <si>
    <t>Is plot in town planning approved layout?</t>
  </si>
  <si>
    <t>Level of land with topographical conditions</t>
  </si>
  <si>
    <t>Shape of land</t>
  </si>
  <si>
    <t>Type of use to which it can be put</t>
  </si>
  <si>
    <t>Any usage restriction</t>
  </si>
  <si>
    <r>
      <t xml:space="preserve">My PAN Card number/Service Tax number as applicable is </t>
    </r>
    <r>
      <rPr>
        <b/>
        <sz val="11"/>
        <color theme="1"/>
        <rFont val="Times New Roman"/>
        <family val="1"/>
      </rPr>
      <t>AAHPJ7711Q</t>
    </r>
  </si>
  <si>
    <r>
      <t>Further, I hereby provide the following information</t>
    </r>
    <r>
      <rPr>
        <b/>
        <sz val="11"/>
        <color theme="1"/>
        <rFont val="Times New Roman"/>
        <family val="1"/>
      </rPr>
      <t>.</t>
    </r>
  </si>
  <si>
    <r>
      <rPr>
        <sz val="11"/>
        <color theme="1"/>
        <rFont val="Times New Roman"/>
        <family val="1"/>
      </rPr>
      <t xml:space="preserve"> A valuer shall maintain integrity by being honest, straightforward, and forthright in all professional relationships.</t>
    </r>
  </si>
  <si>
    <r>
      <rPr>
        <sz val="11"/>
        <color theme="1"/>
        <rFont val="Times New Roman"/>
        <family val="1"/>
      </rPr>
      <t xml:space="preserve"> A valuer shall endeavour to ensure that he/it provides true and adequate information and shall not misrepresent any facts or situations.</t>
    </r>
  </si>
  <si>
    <r>
      <rPr>
        <sz val="11"/>
        <color theme="1"/>
        <rFont val="Times New Roman"/>
        <family val="1"/>
      </rPr>
      <t xml:space="preserve">A valuer shall not accept any fees or charges other than those which are disclosed in a written contract with the person to whom he would be rendering service. </t>
    </r>
    <r>
      <rPr>
        <b/>
        <sz val="11"/>
        <color theme="1"/>
        <rFont val="Times New Roman"/>
        <family val="1"/>
      </rPr>
      <t>Occupation, employability and restrictions.</t>
    </r>
  </si>
  <si>
    <t>Wing A</t>
  </si>
  <si>
    <t>Wing B</t>
  </si>
  <si>
    <t>Total Builtup Area</t>
  </si>
  <si>
    <t>Shops</t>
  </si>
  <si>
    <t>Flats</t>
  </si>
  <si>
    <t xml:space="preserve">As per above table </t>
  </si>
  <si>
    <t>Construction work is in process at the time of Visit (labour found)</t>
  </si>
  <si>
    <t>We considered Carpet area as per Approved Plan.</t>
  </si>
  <si>
    <t>We have considered proposed No. of Floor for Stage Calculation.</t>
  </si>
  <si>
    <t>Car parking is subjected to authentic documentation.</t>
  </si>
  <si>
    <t>Part F (Services)</t>
  </si>
  <si>
    <t>Part E (Miscellaneous)</t>
  </si>
  <si>
    <t>Part D (Amenities)</t>
  </si>
  <si>
    <t>Part C (Extra Items)</t>
  </si>
  <si>
    <t>Rate on Carpet Area
(per Sq. Ft.)</t>
  </si>
  <si>
    <t>Total Amount</t>
  </si>
  <si>
    <t>Total Amount in words</t>
  </si>
  <si>
    <t>The undersigned has inspected the property detailed in the Valuation Report dated _____________ on _____________. We are satisfied that the fair and reasonable market value of the property is Rs. _________ (Rupees ________________ only).</t>
  </si>
  <si>
    <t>Office No. J-1031, Akshar Business Park, Plot No. 03
Sector 25, Near APMC Market, Vashi, Navi Mumbai, Maharashtra 400703
TEL: 022-46090378/79/80 Email: vsjc.apf@gmail.com.
Web site: www.vsjadon.com</t>
  </si>
  <si>
    <t>As a result of my appraisal and analysis, it is my considered opinion that the realizable value of the above property in the prevailing condition with aforesaid specifications is (As per table attached to report)</t>
  </si>
  <si>
    <t>I have not been convicted of an offence connected with any proceeding under the Income Tax Act 1961, Wealth Tax Act 1957, or Gift Tax Act 1958.</t>
  </si>
  <si>
    <t>Characteristics of the Site:</t>
  </si>
  <si>
    <t xml:space="preserve">                                                             Valuation of land</t>
  </si>
  <si>
    <r>
      <rPr>
        <b/>
        <sz val="11"/>
        <color theme="1"/>
        <rFont val="Times New Roman"/>
        <family val="1"/>
      </rPr>
      <t xml:space="preserve">Our Investigations </t>
    </r>
    <r>
      <rPr>
        <sz val="11"/>
        <color theme="1"/>
        <rFont val="Times New Roman"/>
        <family val="1"/>
      </rPr>
      <t xml:space="preserve">
We are not engaged to carry out all possible investigations in relation to the subject property. Where in our report we identify certain limitations to our investigations, this is to enable the reliant party to instruct further investigations where considered appropriate or where we recommend as necessary prior to reliance. Vastukala Consultants India Pvt. Ltd. (VCIPL) is not liable for any loss occasioned by a decision not to conduct further investigations. </t>
    </r>
  </si>
  <si>
    <r>
      <rPr>
        <b/>
        <sz val="11"/>
        <color theme="1"/>
        <rFont val="Times New Roman"/>
        <family val="1"/>
      </rPr>
      <t xml:space="preserve">Assumptions </t>
    </r>
    <r>
      <rPr>
        <sz val="11"/>
        <color theme="1"/>
        <rFont val="Times New Roman"/>
        <family val="1"/>
      </rPr>
      <t xml:space="preserve">
Assumptions are a necessary part of undertaking valuations. VCIPL adopts assumptions for the purpose of providing valuation advise because some matters are not capable of accurate calculations or fall outside the scope of our expertise, or out instructions. The reliant party accepts that the valuation contains certain specific assumptions and acknowledge and accept the risk of that if any of the assumptions adopted in the valuation are incorrect, then this may have an effect on the valuation. </t>
    </r>
  </si>
  <si>
    <r>
      <rPr>
        <b/>
        <sz val="11"/>
        <color theme="1"/>
        <rFont val="Times New Roman"/>
        <family val="1"/>
      </rPr>
      <t xml:space="preserve">Information Supplied by Others </t>
    </r>
    <r>
      <rPr>
        <sz val="11"/>
        <color theme="1"/>
        <rFont val="Times New Roman"/>
        <family val="1"/>
      </rPr>
      <t xml:space="preserve">
The appraisal is based on the information provided by the client. The same has been assumed to be correct and has been used for appraisal exercise. Where it is stated in the report that another party has supplied information to VCIPL, this information is believed to be reliable but VCIPL can accept no responsibility if this should prove not to be so. </t>
    </r>
  </si>
  <si>
    <r>
      <rPr>
        <b/>
        <sz val="11"/>
        <color theme="1"/>
        <rFont val="Times New Roman"/>
        <family val="1"/>
      </rPr>
      <t>Future Matters</t>
    </r>
    <r>
      <rPr>
        <sz val="11"/>
        <color theme="1"/>
        <rFont val="Times New Roman"/>
        <family val="1"/>
      </rPr>
      <t xml:space="preserve"> 
To the extent that the valuation includes any statement as to a future matter, that statement is provided as an estimate and/or opinion based on the information known to VCIPL at the date of this document. VCIPL does not warrant that such statements are accurate or correct. </t>
    </r>
  </si>
  <si>
    <r>
      <rPr>
        <b/>
        <sz val="11"/>
        <color theme="1"/>
        <rFont val="Times New Roman"/>
        <family val="1"/>
      </rPr>
      <t xml:space="preserve">Map and Plans </t>
    </r>
    <r>
      <rPr>
        <sz val="11"/>
        <color theme="1"/>
        <rFont val="Times New Roman"/>
        <family val="1"/>
      </rPr>
      <t xml:space="preserve">
Any sketch, plan or map in this report is included to assist the reader while visualising the property and assume no responsibility in connection with such matters. </t>
    </r>
  </si>
  <si>
    <r>
      <rPr>
        <b/>
        <sz val="11"/>
        <color theme="1"/>
        <rFont val="Times New Roman"/>
        <family val="1"/>
      </rPr>
      <t xml:space="preserve">Site Details </t>
    </r>
    <r>
      <rPr>
        <sz val="11"/>
        <color theme="1"/>
        <rFont val="Times New Roman"/>
        <family val="1"/>
      </rPr>
      <t xml:space="preserve">
Based on inputs received from Client's representative and site visit conducted, we understand that the subject property is currently a Building Under Construction work is in progress contiguous and non-agricultural land parcel admeasuring as per table attached to the report and in the name M/s. Starwing Real Estate Company. Further, VCIPL has assumed that the subject property is free from any encroachment and is available as on the date of the appraisal.</t>
    </r>
  </si>
  <si>
    <r>
      <rPr>
        <b/>
        <sz val="11"/>
        <color theme="1"/>
        <rFont val="Times New Roman"/>
        <family val="1"/>
      </rPr>
      <t>Property Title</t>
    </r>
    <r>
      <rPr>
        <sz val="11"/>
        <color theme="1"/>
        <rFont val="Times New Roman"/>
        <family val="1"/>
      </rPr>
      <t xml:space="preserve">
Based on our discussion with the Client, we understand that the subject property is owned by M/s. Starwing Real Estate Company. For the purpose of this appraisal exercise, we have assumed that the subject property has a clear title and is free from any encumbrances, disputes and claims. VCIPL has made no further enquiries with the relevant local authorities in this regard and does not certify the property as having a clear and marketable title. Further, no legal advice regarding the title and ownership of the subject property has been obtained for the purpose of this appraisal exercise. It has been assumed that the title deeds are clear and marketable.</t>
    </r>
  </si>
  <si>
    <r>
      <rPr>
        <b/>
        <sz val="11"/>
        <color theme="1"/>
        <rFont val="Times New Roman"/>
        <family val="1"/>
      </rPr>
      <t>Area</t>
    </r>
    <r>
      <rPr>
        <sz val="11"/>
        <color theme="1"/>
        <rFont val="Times New Roman"/>
        <family val="1"/>
      </rPr>
      <t xml:space="preserve">
Based on the information provided by the Client's representative, we understand that the subject property is a Building Under Construction work is in progress, contiguous and non-agricultural land parcel admeasuring as per table attached to the report. </t>
    </r>
  </si>
  <si>
    <r>
      <rPr>
        <b/>
        <sz val="11"/>
        <color theme="1"/>
        <rFont val="Times New Roman"/>
        <family val="1"/>
      </rPr>
      <t>Environmental Conditions</t>
    </r>
    <r>
      <rPr>
        <sz val="11"/>
        <color theme="1"/>
        <rFont val="Times New Roman"/>
        <family val="1"/>
      </rPr>
      <t xml:space="preserve">
We have assumed that the subject property is not contaminated and is not adversely affected by any existing or proposed environmental law and any processes which are carried out on the property are regulated by environmental legislation and are properly licensed by the appropriate authorities.</t>
    </r>
  </si>
  <si>
    <r>
      <rPr>
        <b/>
        <sz val="11"/>
        <color theme="1"/>
        <rFont val="Times New Roman"/>
        <family val="1"/>
      </rPr>
      <t>Town Planning</t>
    </r>
    <r>
      <rPr>
        <sz val="11"/>
        <color theme="1"/>
        <rFont val="Times New Roman"/>
        <family val="1"/>
      </rPr>
      <t xml:space="preserve">
The permissible land use, zoning, achievable FSI, area statement adopted for purpose of this valuation is based on the information provided by the Client's representative and the same has been adopted for this valuation purpose. VCIPL has assumed the same to be correct and permissible. VCIPL has not validated the same from any authority.</t>
    </r>
  </si>
  <si>
    <r>
      <rPr>
        <b/>
        <sz val="11"/>
        <color theme="1"/>
        <rFont val="Times New Roman"/>
        <family val="1"/>
      </rPr>
      <t>Valuation Methodology</t>
    </r>
    <r>
      <rPr>
        <sz val="11"/>
        <color theme="1"/>
        <rFont val="Times New Roman"/>
        <family val="1"/>
      </rPr>
      <t xml:space="preserve">
For the purpose of this valuation exercise, the valuation methodology used is Direct Comparison Approach Method and proposed Highest and Best Use model is used for analysing development potential.
The Direct Comparison Approach involves a comparison of the property being valued to similar properties that have actually been sold in arms length transactions or are offered for sale. This approach demonstrates what buyers have historically been willing to pay (and sellers willing to accept) for similiar properties in an open and competitive market and is particularly useful in estimating the value of the land and properties that are typically traded on a unit basis.
In case of inadequate recent transaction activity in the subject micro-market, the appraiser would collate details of older transactions. Subsequently, the appraiser would analyse rental / capital value trends in the subject micro-market in order to calculate the percentage increase/decrease in values since the date of the identified transactions. This percentage would then be adopted to project the current value of the same.
Where reliance has been placed upon external sources of information in applying the valuation methodologies, unless otherwise specifically instructed by Client and/or stated in the valuation, VCIPL has not independently verified that information and VCIPL does not advise nor accept it as reliable. The person or entity to whom the report is addressed acknowledges and accepts the risk that if any of the unverified information in the valuation is incorrect, then this may have an effect on the valuation. </t>
    </r>
  </si>
  <si>
    <r>
      <rPr>
        <b/>
        <sz val="11"/>
        <color theme="1"/>
        <rFont val="Times New Roman"/>
        <family val="1"/>
      </rPr>
      <t>Not a Structural Survey</t>
    </r>
    <r>
      <rPr>
        <sz val="11"/>
        <color theme="1"/>
        <rFont val="Times New Roman"/>
        <family val="1"/>
      </rPr>
      <t xml:space="preserve">
We state that this is a valuation report and not a structural survey</t>
    </r>
  </si>
  <si>
    <r>
      <rPr>
        <b/>
        <sz val="11"/>
        <color theme="1"/>
        <rFont val="Times New Roman"/>
        <family val="1"/>
      </rPr>
      <t>Other</t>
    </r>
    <r>
      <rPr>
        <sz val="11"/>
        <color theme="1"/>
        <rFont val="Times New Roman"/>
        <family val="1"/>
      </rPr>
      <t xml:space="preserve">
All measurements, areas and ages quoted in our report are approximate</t>
    </r>
  </si>
  <si>
    <r>
      <rPr>
        <b/>
        <sz val="11"/>
        <color theme="1"/>
        <rFont val="Times New Roman"/>
        <family val="1"/>
      </rPr>
      <t>Legal</t>
    </r>
    <r>
      <rPr>
        <sz val="11"/>
        <color theme="1"/>
        <rFont val="Times New Roman"/>
        <family val="1"/>
      </rPr>
      <t xml:space="preserve">
We have not made any allowances with respect to any existing or proposed local legislation relating to taxation on realization of the sale value of the subject property. VCIPL is not required to give testimony or to appear in court by reason of this appraisal report, with reference to the property in question, unless arrangement has been made thereof. Further, no legal advice on any aspects has been obtained for the purpose of this appraisal exercise.</t>
    </r>
  </si>
  <si>
    <r>
      <rPr>
        <b/>
        <sz val="11"/>
        <color theme="1"/>
        <rFont val="Times New Roman"/>
        <family val="1"/>
      </rPr>
      <t>Property specific assumptions</t>
    </r>
    <r>
      <rPr>
        <sz val="11"/>
        <color theme="1"/>
        <rFont val="Times New Roman"/>
        <family val="1"/>
      </rPr>
      <t xml:space="preserve">
Based on inputs received from the client and site visit conducted, we understand that the subject property is currently Building Under Construction work is in progress, contiguous and non-agricultural land parcel admeasuring area as per table attached to the report.</t>
    </r>
  </si>
  <si>
    <t>֎</t>
  </si>
  <si>
    <r>
      <rPr>
        <b/>
        <sz val="11"/>
        <color theme="1"/>
        <rFont val="Times New Roman"/>
        <family val="1"/>
      </rPr>
      <t>Condition &amp; Repair</t>
    </r>
    <r>
      <rPr>
        <sz val="11"/>
        <color theme="1"/>
        <rFont val="Times New Roman"/>
        <family val="1"/>
      </rPr>
      <t xml:space="preserve">
In the absence of any information to the contrary, we have assumed that there are no abnormal ground conditions, nor archaeological remains present which might adversely affect the current or future occupation, al remains present which might adversely affect the struct development or value of the property. The property is free from rat, infestation, structural or latent defect. No currently known deleterious or hazardous materials or suspect techniques will be used in the construction of or subsequent alteration or additions to the property and comments made in the property details do not purport to express an opinion about, or advise upon, the condition of uninspected parts and should not be taken as making an implied representation or statement about such parts.</t>
    </r>
  </si>
  <si>
    <t>Rera No &amp; Name.</t>
  </si>
  <si>
    <t>1. a)</t>
  </si>
  <si>
    <t>1. b)</t>
  </si>
  <si>
    <t>1. c)</t>
  </si>
  <si>
    <t>Residential Units (As per approved Plan)</t>
  </si>
  <si>
    <t>As per approved Plans</t>
  </si>
  <si>
    <t>As per Proposed Plans</t>
  </si>
  <si>
    <t>Commercial Area Details : (As per Approved Plans)</t>
  </si>
  <si>
    <t>Residential Area Details : (As per Approved Plans)</t>
  </si>
  <si>
    <t>Residential Area Details : (Proposed)</t>
  </si>
  <si>
    <t>Particulars (As per Approved Flan)</t>
  </si>
  <si>
    <t>Building No. 1= Gr + 1st + 15th Floor</t>
  </si>
  <si>
    <t>Ground</t>
  </si>
  <si>
    <t>Podium</t>
  </si>
  <si>
    <t>Floors</t>
  </si>
  <si>
    <t xml:space="preserve">Stage of construction: </t>
  </si>
  <si>
    <t>All work Completed. OC Received.</t>
  </si>
  <si>
    <t>Type of Work</t>
  </si>
  <si>
    <t>Project Progress %</t>
  </si>
  <si>
    <t>Slab/Floor</t>
  </si>
  <si>
    <t>Complition %</t>
  </si>
  <si>
    <t>Progress %</t>
  </si>
  <si>
    <t>Piling Work in process</t>
  </si>
  <si>
    <t>Excavation</t>
  </si>
  <si>
    <t>Excavation in process</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</si>
  <si>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</si>
  <si>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</si>
  <si>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</si>
  <si>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</si>
  <si>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</si>
  <si>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</si>
  <si>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</si>
  <si>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</si>
  <si>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</si>
  <si>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</si>
  <si>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</si>
  <si>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</si>
  <si>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</si>
  <si>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</si>
  <si>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</si>
  <si>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</si>
  <si>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</si>
  <si>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Construction Details: As per Proposed No of Floors</t>
  </si>
  <si>
    <t>Completion period of project (As per Rera)</t>
  </si>
  <si>
    <t>Thane</t>
  </si>
  <si>
    <t>Palghar</t>
  </si>
  <si>
    <t>Mumbai</t>
  </si>
  <si>
    <t>Pune</t>
  </si>
  <si>
    <t>Mokhada</t>
  </si>
  <si>
    <t>Andheri</t>
  </si>
  <si>
    <t>Alibag</t>
  </si>
  <si>
    <t>Pune City</t>
  </si>
  <si>
    <t>Shahpur</t>
  </si>
  <si>
    <t>Talasari</t>
  </si>
  <si>
    <t>Borivali</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</si>
  <si>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</si>
  <si>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</si>
  <si>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</si>
  <si>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</si>
  <si>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</si>
  <si>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</si>
  <si>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</si>
  <si>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</si>
  <si>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</si>
  <si>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</si>
  <si>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</si>
  <si>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</si>
  <si>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</si>
  <si>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</si>
  <si>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</si>
  <si>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</si>
  <si>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</si>
  <si>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</si>
  <si>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</si>
  <si>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</si>
  <si>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</si>
  <si>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</si>
  <si>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</si>
  <si>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</si>
  <si>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</si>
  <si>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</si>
  <si>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</si>
  <si>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</si>
  <si>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</si>
  <si>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</si>
  <si>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</si>
  <si>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</si>
  <si>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</si>
  <si>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</si>
  <si>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</si>
  <si>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Slum Rehabilitation Authority (SRA)</t>
  </si>
  <si>
    <t>Navi Mumbai Municipal Corporation (NMMC)</t>
  </si>
  <si>
    <t>Panvel Municipal Corporation</t>
  </si>
  <si>
    <t>Vasai-Virar City Municipal Corporation. (VVCMC)</t>
  </si>
  <si>
    <t>Municipal Corporation of Greater Mumbai (MCGM)</t>
  </si>
  <si>
    <t>Thane Muncipal Cooperation (TMC)</t>
  </si>
  <si>
    <t>City and Industrial Development Corporation (CIDCO)</t>
  </si>
  <si>
    <t>Collector Of Palghar</t>
  </si>
  <si>
    <t>Maharashtra Housing and Area Development Authority(MHADA)</t>
  </si>
  <si>
    <t>Kalyan Dombivli Municipal Corporation (KMDC)</t>
  </si>
  <si>
    <t>Maharashtra State Road Development Corporation Limited (MSRDC)</t>
  </si>
  <si>
    <t>Town Planner, Palghar</t>
  </si>
  <si>
    <t>Mumbai Metropolitan Region Development Authority (MMRDA)</t>
  </si>
  <si>
    <t>Ambernath Municipal Council (AMC)</t>
  </si>
  <si>
    <t>Navi Mumbai Airport Influence Notified Area (NAINA)</t>
  </si>
  <si>
    <t>Kulgoan Badlapur Municipal Council</t>
  </si>
  <si>
    <t>Pen Municipal Council</t>
  </si>
  <si>
    <t>Town Planning Thane</t>
  </si>
  <si>
    <t>Raigad Zilha Parishad</t>
  </si>
  <si>
    <t>Ulhasnagar Municipal Corporation</t>
  </si>
  <si>
    <t>Roha Municipal Council</t>
  </si>
  <si>
    <t>Nagar Rachana Ani Mulya Nirdharan Vibhag Thane</t>
  </si>
  <si>
    <t>Collector Of Raigad</t>
  </si>
  <si>
    <t>Bhiwandi Nizampur City Municipal Corporation</t>
  </si>
  <si>
    <t>Maharashtra Industrial Development Corporation (MIDC)</t>
  </si>
  <si>
    <t>Mira-Bhayandar Municipal Corporation</t>
  </si>
  <si>
    <t>Latitude, Longitude of the site</t>
  </si>
  <si>
    <t>Flexible Pavement</t>
  </si>
  <si>
    <t>Superstructure</t>
  </si>
  <si>
    <t xml:space="preserve">Name of Municipal Corporation / Authority  </t>
  </si>
  <si>
    <t>Construction details:</t>
  </si>
  <si>
    <t>Disbursement %</t>
  </si>
  <si>
    <t>Brickwork &amp; Internal Plaster</t>
  </si>
  <si>
    <t>External Plaster &amp; Plumbing</t>
  </si>
  <si>
    <t>As per RERA (sq.m)</t>
  </si>
  <si>
    <t>As per Approved Plan (sq.m)</t>
  </si>
  <si>
    <t xml:space="preserve">Cost of construction in Rs. 
( per Sq.
Ft.)
</t>
  </si>
  <si>
    <t>Approx Rent per month
in Rs.</t>
  </si>
  <si>
    <t>3rd</t>
  </si>
  <si>
    <t xml:space="preserve">Ground </t>
  </si>
  <si>
    <t xml:space="preserve">For Residential = </t>
  </si>
  <si>
    <t xml:space="preserve">For Land = </t>
  </si>
  <si>
    <t>Realizable Value</t>
  </si>
  <si>
    <t>SBI, Belapur, Navi Mumbai.</t>
  </si>
  <si>
    <t>Amenties</t>
  </si>
  <si>
    <t>Recommended Total Realizable Value should be considered as all inclusive value (Base Value + Other Charges + GST). (Excluding other government Taxes)</t>
  </si>
  <si>
    <t>Gross Carpet Area 
(in Sq. Ft.)</t>
  </si>
  <si>
    <t>Attached
Loft
Area
(in Sq.
Ft.)</t>
  </si>
  <si>
    <t>Total Realizable Value
in Rs.</t>
  </si>
  <si>
    <t>Amenities
in Rs.</t>
  </si>
  <si>
    <t>Realizable
Value
in Rs.</t>
  </si>
  <si>
    <t>Rate per
Sq.Ft.</t>
  </si>
  <si>
    <t>Flat Type</t>
  </si>
  <si>
    <t>M/S. Jijau Housing</t>
  </si>
  <si>
    <t>Shivsagar</t>
  </si>
  <si>
    <r>
      <t xml:space="preserve">Name: </t>
    </r>
    <r>
      <rPr>
        <b/>
        <sz val="11"/>
        <rFont val="Times New Roman"/>
        <family val="1"/>
      </rPr>
      <t>Jijau Housing</t>
    </r>
    <r>
      <rPr>
        <sz val="11"/>
        <rFont val="Times New Roman"/>
        <family val="1"/>
      </rPr>
      <t xml:space="preserve">
Address: Office No.5, Raheja Arcade, Plot No.61, Sector 11, Belapur, Navi Mumbai - 400 614.</t>
    </r>
  </si>
  <si>
    <t>P52000056151</t>
  </si>
  <si>
    <t>1st &amp; 2nd Podium Floor for Parking</t>
  </si>
  <si>
    <t>Plot Area = 2267.49</t>
  </si>
  <si>
    <t>Plot No.16</t>
  </si>
  <si>
    <t>20 M Road</t>
  </si>
  <si>
    <t>Plot No.18</t>
  </si>
  <si>
    <t>Plot No. 15 FD</t>
  </si>
  <si>
    <t>Semi Urban</t>
  </si>
  <si>
    <t xml:space="preserve">Site Inspection Engineer - Ravindra vishwakarma </t>
  </si>
  <si>
    <t>Fire NOC No:
Valid Upto</t>
  </si>
  <si>
    <t>Provisional fire noc</t>
  </si>
  <si>
    <t>Airport NOC No:
Valid Upto</t>
  </si>
  <si>
    <t xml:space="preserve">Valid upto </t>
  </si>
  <si>
    <t>PMC/Fire/2121/Ref. No. 1615/450</t>
  </si>
  <si>
    <t>NAVI/WEST/B/051422/672153</t>
  </si>
  <si>
    <t>Site Elevation AMSL = 9.94 M
Permissible Top Elevation = 54.85 M (Restricted) AMSL</t>
  </si>
  <si>
    <t>Internal Road</t>
  </si>
  <si>
    <t>Other Plot</t>
  </si>
  <si>
    <t>U/C bldg</t>
  </si>
  <si>
    <t xml:space="preserve">SCHOOL :
New English School - 0.95 KM
K A Banthiya School, New Panvel - 1.9 KM
</t>
  </si>
  <si>
    <t xml:space="preserve">SHOPPING :
D Mart Panvel - 3.3 Km
Matoshree Mart - 3.6 Km
</t>
  </si>
  <si>
    <t>HOSPITALS :
Lifeline Hospital Panvel - 1.4 Km
Gandhi Hospital - 1.4 Km</t>
  </si>
  <si>
    <t>PETROL PUMP :
Bharat Petroleum</t>
  </si>
  <si>
    <t>Located in developing area, surrounded by projects like Tricity Crest etc.</t>
  </si>
  <si>
    <t>6.0 M.W.Drive Way/Plot No. 19</t>
  </si>
  <si>
    <t>6.0 M.W.Drive Way/Plot No. 18</t>
  </si>
  <si>
    <t>30M Wide Rd</t>
  </si>
  <si>
    <t>6.0 M.W.Drive Way/Plot No. 15</t>
  </si>
  <si>
    <t>https://maps.app.goo.gl/Q4Zeze44h4CpkLnU6</t>
  </si>
  <si>
    <t>18.985033,73.123529</t>
  </si>
  <si>
    <t>Regular</t>
  </si>
  <si>
    <t>PMC</t>
  </si>
  <si>
    <t>Gr + 1st to 6 Upper Floor (Height 21.95M)</t>
  </si>
  <si>
    <t>Gr/St + 1st to 12th Floor (Total Height upto OHWT = 44.25 Mtrs.)</t>
  </si>
  <si>
    <t xml:space="preserve">
</t>
  </si>
  <si>
    <t>Plan date : CARPC/RB/2025/APL/00191
Valid upto Date : 19/06/2025</t>
  </si>
  <si>
    <t>CARPC/RB/2025/APL/00191</t>
  </si>
  <si>
    <t>Gr/ST + 1st to 12th Floors</t>
  </si>
  <si>
    <t>Commencement-CC No:
Valid Upto</t>
  </si>
  <si>
    <t>Gr/St + 1st to 12th Floor</t>
  </si>
  <si>
    <t>Ground Floor For Commercial, Parking, Meter Room, Drivers room &amp; Society Office</t>
  </si>
  <si>
    <t>3rd Floor for Residential, Creche, Fitness Center &amp; Other Amenities</t>
  </si>
  <si>
    <t>Fitness Area</t>
  </si>
  <si>
    <t>Creche Area</t>
  </si>
  <si>
    <t>Refuge Area</t>
  </si>
  <si>
    <t>Terrace Area</t>
  </si>
  <si>
    <t>We considered Gross carpet area = Net carpet + Balcony.</t>
  </si>
  <si>
    <t>During site visit, We met Mr. Ashwini : 8055592999.</t>
  </si>
  <si>
    <t>Shivsagar project is a MahaRERA registered project bearing MahaRERA registration No. P52000056151. Project is located in Panvel, Navi Mumbai. This project will be developed by M/s. Jijau Housing. Project is approved for Ground + 12 Upper Floors. Project consists 1BHK, 2BHK, Different types of amenties, Good space for parking and so on.</t>
  </si>
  <si>
    <t>Shop - 12, Flats - 94</t>
  </si>
  <si>
    <t>Power Backup, 24 x 7 Security, Treated Water Supply, Water Supply, Creche Area &amp; Fitness Area.</t>
  </si>
  <si>
    <t xml:space="preserve">Copy of following items
1. Approved Layout Plan 
CARPC/RB/2025/APL/00191
Date : 19/06/2025
2. Approved Floor Plan
CARPC/RB/2025/APL/00191
Date : 19/06/2025
3. Approved Commencement Certificate
CARPC/RB/2025/APL/00191
Date : 13/06/2025
4. RERA Certificate
5. Builder Profile 
6. Fire Noc 
PMC/Fire/2121/Ref. No. 1615/450 
Date : 23/11/2023
7. Airport Noc
NAVI/WEST/B/051422/672153
Date : 01/06/2022
</t>
  </si>
  <si>
    <t>4th</t>
  </si>
  <si>
    <t>5th</t>
  </si>
  <si>
    <t>6th</t>
  </si>
  <si>
    <t>7th</t>
  </si>
  <si>
    <t>8th</t>
  </si>
  <si>
    <t>9th</t>
  </si>
  <si>
    <t>10th</t>
  </si>
  <si>
    <t>12th</t>
  </si>
  <si>
    <r>
      <t xml:space="preserve">The property under construction was purchased by </t>
    </r>
    <r>
      <rPr>
        <b/>
        <sz val="11"/>
        <color theme="1"/>
        <rFont val="Times New Roman"/>
        <family val="1"/>
      </rPr>
      <t>Jijau Housing</t>
    </r>
  </si>
  <si>
    <r>
      <t xml:space="preserve">Loan Purpose for State Bank of India, </t>
    </r>
    <r>
      <rPr>
        <b/>
        <sz val="11"/>
        <color theme="1"/>
        <rFont val="Times New Roman"/>
        <family val="1"/>
      </rPr>
      <t>(Belapur)</t>
    </r>
  </si>
  <si>
    <t xml:space="preserve">Cost of Construction
(Builtup Area (Sq.ft) x Rate of construction(₹ 2500))
</t>
  </si>
  <si>
    <t>Tricity Crest</t>
  </si>
  <si>
    <t>Recommeded Rate of Single parking in ₹ 5,00,000/-</t>
  </si>
  <si>
    <r>
      <t xml:space="preserve">The sales comparison approach is commonly used for Residential Flat, where there are typically many comparable available to analyze. As the property is a residential flat, we have adopted Sale comparision Approach Method for the purpose of valuation. The Price for similiar type of property in nearby vicinity is in the range of 14500₹ to 15500₹ per sq.ft on carpet Area for Flats. Considering the rate with attacted report, current market conditions, demand and supply position, Flat Size, loaction, upswing in real estate prices, sustained demand for Residential Flat, all round development of commercial and residential application in the locality etc. We have estimated </t>
    </r>
    <r>
      <rPr>
        <b/>
        <sz val="11"/>
        <color theme="1"/>
        <rFont val="Times New Roman"/>
        <family val="1"/>
      </rPr>
      <t>15000₹</t>
    </r>
    <r>
      <rPr>
        <sz val="11"/>
        <color theme="1"/>
        <rFont val="Times New Roman"/>
        <family val="1"/>
      </rPr>
      <t xml:space="preserve"> per sq.ft on carpet area for Flats.</t>
    </r>
  </si>
  <si>
    <r>
      <t>The information furnished in my valuation report dated (</t>
    </r>
    <r>
      <rPr>
        <b/>
        <sz val="11"/>
        <color theme="1"/>
        <rFont val="Times New Roman"/>
        <family val="1"/>
      </rPr>
      <t>24/07/2025</t>
    </r>
    <r>
      <rPr>
        <sz val="11"/>
        <color theme="1"/>
        <rFont val="Times New Roman"/>
        <family val="1"/>
      </rPr>
      <t>) is true and correct to the best of my knowledge and belief and I have made an impartial and true valuation of the property.</t>
    </r>
  </si>
  <si>
    <r>
      <t xml:space="preserve">I have personally inspected the property on </t>
    </r>
    <r>
      <rPr>
        <b/>
        <sz val="11"/>
        <color theme="1"/>
        <rFont val="Times New Roman"/>
        <family val="1"/>
      </rPr>
      <t>(24/07/2025).</t>
    </r>
    <r>
      <rPr>
        <sz val="11"/>
        <color theme="1"/>
        <rFont val="Times New Roman"/>
        <family val="1"/>
      </rPr>
      <t xml:space="preserve"> The work is not subcontracted to any other valuer and carried out by myself.</t>
    </r>
  </si>
  <si>
    <r>
      <rPr>
        <b/>
        <sz val="11"/>
        <color theme="1"/>
        <rFont val="Times New Roman"/>
        <family val="1"/>
      </rPr>
      <t xml:space="preserve">Value Subject to Change </t>
    </r>
    <r>
      <rPr>
        <sz val="11"/>
        <color theme="1"/>
        <rFont val="Times New Roman"/>
        <family val="1"/>
      </rPr>
      <t xml:space="preserve">
The subject appraisal exercise is based on prevailing market dynamics as on </t>
    </r>
    <r>
      <rPr>
        <b/>
        <sz val="11"/>
        <color theme="1"/>
        <rFont val="Times New Roman"/>
        <family val="1"/>
      </rPr>
      <t>24/07/2025</t>
    </r>
    <r>
      <rPr>
        <sz val="11"/>
        <color theme="1"/>
        <rFont val="Times New Roman"/>
        <family val="1"/>
      </rPr>
      <t xml:space="preserve"> and does not take into account any unforeseeable developments which could impact the same in the future. </t>
    </r>
  </si>
  <si>
    <t xml:space="preserve">Eighty Five Crore Fifty Eight Lakh Fifty Four Thousand Four Hundred Fifty Three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</si>
</sst>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_ &quot;₹&quot;\ * #,##0_ ;_ &quot;₹&quot;\ * \-#,##0_ ;_ &quot;₹&quot;\ * &quot;-&quot;??_ ;_ @_ "/>
    <numFmt numFmtId="165" formatCode="&quot;₹&quot;\ #,##0"/>
    <numFmt numFmtId="166" formatCode="_ * #,##0_ ;_ * \-#,##0_ ;_ * &quot;-&quot;??_ ;_ @_ "/>
    <numFmt numFmtId="167" formatCode="&quot;₹&quot;\ #,##0.00"/>
  </numFmts>
  <fonts count="4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b/>
      <sz val="10"/>
      <color indexed="8"/>
      <name val="Times New Roman"/>
      <family val="1"/>
    </font>
    <font>
      <sz val="10"/>
      <name val="Arial"/>
      <family val="2"/>
    </font>
    <font>
      <b/>
      <sz val="11"/>
      <name val="Times New Roman"/>
      <family val="1"/>
    </font>
    <font>
      <b/>
      <u/>
      <sz val="11"/>
      <color indexed="8"/>
      <name val="Times New Roman"/>
      <family val="1"/>
    </font>
    <font>
      <u/>
      <sz val="11"/>
      <color theme="10"/>
      <name val="Calibri"/>
      <family val="2"/>
    </font>
    <font>
      <sz val="10"/>
      <color theme="1"/>
      <name val="Verdana"/>
      <family val="2"/>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b/>
      <sz val="10"/>
      <color theme="1"/>
      <name val="Times New Roman"/>
      <family val="1"/>
    </font>
    <font>
      <b/>
      <sz val="12"/>
      <color theme="1"/>
      <name val="Times New Roman"/>
      <family val="1"/>
    </font>
    <font>
      <b/>
      <sz val="14"/>
      <color theme="1"/>
      <name val="Times New Roman"/>
      <family val="1"/>
    </font>
    <font>
      <sz val="11"/>
      <color theme="1"/>
      <name val="Calibri"/>
      <family val="2"/>
      <scheme val="minor"/>
    </font>
    <font>
      <b/>
      <sz val="11.5"/>
      <color indexed="8"/>
      <name val="Times New Roman"/>
      <family val="1"/>
    </font>
    <font>
      <sz val="9"/>
      <color indexed="81"/>
      <name val="Tahoma"/>
      <family val="2"/>
    </font>
    <font>
      <b/>
      <sz val="9"/>
      <color indexed="81"/>
      <name val="Tahoma"/>
      <family val="2"/>
    </font>
    <font>
      <sz val="11"/>
      <color rgb="FFFF0000"/>
      <name val="Times New Roman"/>
      <family val="1"/>
    </font>
    <font>
      <b/>
      <sz val="14"/>
      <color indexed="8"/>
      <name val="Times New Roman"/>
      <family val="1"/>
    </font>
    <font>
      <sz val="11"/>
      <color rgb="FF333333"/>
      <name val="Arial"/>
      <family val="2"/>
    </font>
    <font>
      <sz val="11"/>
      <name val="Times New Roman"/>
      <family val="1"/>
    </font>
    <font>
      <sz val="11"/>
      <color indexed="8"/>
      <name val="Times New Roman"/>
      <family val="1"/>
    </font>
    <font>
      <sz val="11"/>
      <color theme="1"/>
      <name val="Calibri"/>
      <family val="2"/>
    </font>
    <font>
      <sz val="10"/>
      <color theme="1"/>
      <name val="Times New Roman"/>
      <family val="1"/>
    </font>
    <font>
      <sz val="10"/>
      <color rgb="FF000000"/>
      <name val="Times New Roman"/>
      <family val="1"/>
    </font>
    <font>
      <sz val="16"/>
      <color indexed="81"/>
      <name val="Tahoma"/>
      <family val="2"/>
    </font>
    <font>
      <b/>
      <sz val="11"/>
      <color rgb="FFFF0000"/>
      <name val="Times New Roman"/>
      <family val="1"/>
    </font>
    <font>
      <sz val="12"/>
      <name val="Times New Roman"/>
      <family val="1"/>
    </font>
    <font>
      <sz val="12"/>
      <color theme="1"/>
      <name val="Times New Roman"/>
      <family val="1"/>
    </font>
    <font>
      <sz val="10"/>
      <color theme="1"/>
      <name val="Arial"/>
      <family val="2"/>
    </font>
    <font>
      <sz val="8"/>
      <color theme="1"/>
      <name val="Times New Roman"/>
      <family val="1"/>
    </font>
    <font>
      <sz val="9"/>
      <color theme="1"/>
      <name val="Times New Roman"/>
      <family val="1"/>
    </font>
    <font>
      <sz val="9"/>
      <color theme="1"/>
      <name val="Calibri"/>
      <family val="2"/>
      <scheme val="minor"/>
    </font>
    <font>
      <b/>
      <sz val="10"/>
      <color rgb="FFFF0000"/>
      <name val="Times New Roman"/>
      <family val="1"/>
    </font>
    <font>
      <sz val="10"/>
      <name val="Times New Roman"/>
      <family val="1"/>
    </font>
    <font>
      <b/>
      <sz val="10"/>
      <name val="Times New Roman"/>
      <family val="1"/>
    </font>
    <font>
      <b/>
      <sz val="14"/>
      <name val="Times New Roman"/>
      <family val="1"/>
    </font>
    <font>
      <b/>
      <sz val="12"/>
      <name val="Times New Roman"/>
      <family val="1"/>
    </font>
    <font>
      <b/>
      <sz val="9"/>
      <color theme="1"/>
      <name val="Times New Roman"/>
      <family val="1"/>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E3F2F3"/>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2" fillId="0" borderId="0"/>
    <xf numFmtId="0" fontId="1" fillId="0" borderId="0"/>
    <xf numFmtId="0" fontId="8" fillId="0" borderId="0" applyNumberFormat="0" applyFill="0" applyBorder="0" applyAlignment="0" applyProtection="0">
      <alignment vertical="top"/>
      <protection locked="0"/>
    </xf>
    <xf numFmtId="0" fontId="9" fillId="0" borderId="0"/>
    <xf numFmtId="0" fontId="5" fillId="0" borderId="0"/>
    <xf numFmtId="0" fontId="17" fillId="0" borderId="0"/>
    <xf numFmtId="44" fontId="17" fillId="0" borderId="0" applyFont="0" applyFill="0" applyBorder="0" applyAlignment="0" applyProtection="0"/>
    <xf numFmtId="43" fontId="17" fillId="0" borderId="0" applyFont="0" applyFill="0" applyBorder="0" applyAlignment="0" applyProtection="0"/>
  </cellStyleXfs>
  <cellXfs count="527">
    <xf numFmtId="0" fontId="0" fillId="0" borderId="0" xfId="0"/>
    <xf numFmtId="0" fontId="0" fillId="0" borderId="1" xfId="0" applyBorder="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top" wrapText="1"/>
    </xf>
    <xf numFmtId="0" fontId="12" fillId="0" borderId="0" xfId="0" applyFont="1"/>
    <xf numFmtId="0" fontId="10" fillId="2" borderId="1" xfId="0" applyFont="1" applyFill="1" applyBorder="1"/>
    <xf numFmtId="0" fontId="0" fillId="0" borderId="2" xfId="0" applyBorder="1"/>
    <xf numFmtId="0" fontId="0" fillId="0" borderId="0" xfId="0" applyAlignment="1">
      <alignment wrapText="1"/>
    </xf>
    <xf numFmtId="0" fontId="0" fillId="0" borderId="1" xfId="0" applyBorder="1" applyAlignment="1">
      <alignment wrapText="1"/>
    </xf>
    <xf numFmtId="0" fontId="3" fillId="0" borderId="0" xfId="0" applyFont="1" applyAlignment="1">
      <alignment horizontal="left" vertical="top" wrapText="1"/>
    </xf>
    <xf numFmtId="0" fontId="12" fillId="0" borderId="0" xfId="0" applyFont="1" applyAlignment="1">
      <alignment horizontal="left"/>
    </xf>
    <xf numFmtId="0" fontId="12" fillId="0" borderId="0" xfId="0" applyFont="1" applyAlignment="1">
      <alignment horizontal="center"/>
    </xf>
    <xf numFmtId="0" fontId="12" fillId="0" borderId="1" xfId="0" applyFont="1" applyBorder="1" applyAlignment="1">
      <alignment horizontal="center"/>
    </xf>
    <xf numFmtId="0" fontId="12" fillId="0" borderId="6" xfId="0" applyFont="1" applyBorder="1"/>
    <xf numFmtId="0" fontId="12" fillId="0" borderId="7" xfId="0" applyFont="1" applyBorder="1"/>
    <xf numFmtId="0" fontId="4" fillId="0" borderId="0" xfId="0" applyFont="1" applyAlignment="1">
      <alignment horizontal="left" vertical="top"/>
    </xf>
    <xf numFmtId="0" fontId="1" fillId="0" borderId="0" xfId="2"/>
    <xf numFmtId="0" fontId="12" fillId="0" borderId="8" xfId="0" applyFont="1" applyBorder="1"/>
    <xf numFmtId="0" fontId="12" fillId="0" borderId="9" xfId="0" applyFont="1" applyBorder="1"/>
    <xf numFmtId="0" fontId="13" fillId="0" borderId="8" xfId="0" applyFont="1" applyBorder="1"/>
    <xf numFmtId="0" fontId="12" fillId="0" borderId="9" xfId="0" applyFont="1" applyBorder="1" applyAlignment="1">
      <alignment horizontal="left"/>
    </xf>
    <xf numFmtId="0" fontId="12" fillId="0" borderId="10" xfId="0" applyFont="1" applyBorder="1"/>
    <xf numFmtId="0" fontId="0" fillId="0" borderId="1" xfId="0" applyBorder="1" applyAlignment="1">
      <alignment horizontal="center"/>
    </xf>
    <xf numFmtId="0" fontId="14" fillId="0" borderId="1" xfId="0" applyFont="1" applyBorder="1" applyAlignment="1">
      <alignment horizontal="center" vertical="top" wrapText="1"/>
    </xf>
    <xf numFmtId="2"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0" xfId="0" applyFont="1"/>
    <xf numFmtId="0" fontId="15" fillId="0" borderId="0" xfId="0" applyFont="1"/>
    <xf numFmtId="0" fontId="16" fillId="0" borderId="0" xfId="0" applyFont="1"/>
    <xf numFmtId="1" fontId="0" fillId="0" borderId="1" xfId="0" applyNumberFormat="1" applyBorder="1" applyAlignment="1">
      <alignment horizontal="center"/>
    </xf>
    <xf numFmtId="1" fontId="11" fillId="0" borderId="1" xfId="0" applyNumberFormat="1" applyFont="1" applyBorder="1" applyAlignment="1">
      <alignment horizontal="center"/>
    </xf>
    <xf numFmtId="1" fontId="12" fillId="0" borderId="1" xfId="0" applyNumberFormat="1" applyFont="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top" wrapText="1"/>
    </xf>
    <xf numFmtId="0" fontId="12" fillId="0" borderId="5" xfId="0" applyFont="1" applyBorder="1" applyAlignment="1">
      <alignment horizontal="center"/>
    </xf>
    <xf numFmtId="0" fontId="14" fillId="0" borderId="1" xfId="0" applyFont="1" applyBorder="1" applyAlignment="1">
      <alignment vertical="top"/>
    </xf>
    <xf numFmtId="0" fontId="16" fillId="0" borderId="0" xfId="0" applyFont="1" applyAlignment="1">
      <alignment horizontal="left" vertical="top"/>
    </xf>
    <xf numFmtId="0" fontId="16" fillId="0" borderId="0" xfId="0" applyFont="1" applyAlignment="1">
      <alignment vertical="top"/>
    </xf>
    <xf numFmtId="0" fontId="15" fillId="0" borderId="0" xfId="0" applyFont="1" applyAlignment="1">
      <alignment horizontal="left" vertical="top"/>
    </xf>
    <xf numFmtId="0" fontId="15" fillId="0" borderId="0" xfId="0" applyFont="1" applyAlignment="1">
      <alignment vertical="top"/>
    </xf>
    <xf numFmtId="0" fontId="13" fillId="0" borderId="0" xfId="0" applyFont="1" applyAlignment="1">
      <alignment horizontal="left" vertical="top"/>
    </xf>
    <xf numFmtId="0" fontId="13" fillId="0" borderId="0" xfId="0" applyFont="1" applyAlignment="1">
      <alignment vertical="top"/>
    </xf>
    <xf numFmtId="0" fontId="12" fillId="0" borderId="0" xfId="0" applyFont="1" applyAlignment="1">
      <alignment horizontal="left" vertical="top"/>
    </xf>
    <xf numFmtId="0" fontId="12" fillId="0" borderId="0" xfId="0" applyFont="1" applyAlignment="1">
      <alignment vertical="top"/>
    </xf>
    <xf numFmtId="0" fontId="12" fillId="0" borderId="6" xfId="0" applyFont="1" applyBorder="1" applyAlignment="1">
      <alignment horizontal="left" vertical="top"/>
    </xf>
    <xf numFmtId="0" fontId="12" fillId="0" borderId="6" xfId="0" applyFont="1" applyBorder="1" applyAlignment="1">
      <alignment vertical="top"/>
    </xf>
    <xf numFmtId="0" fontId="3" fillId="0" borderId="0" xfId="0" applyFont="1" applyAlignment="1">
      <alignment vertical="top"/>
    </xf>
    <xf numFmtId="0" fontId="0" fillId="0" borderId="0" xfId="0" applyAlignment="1">
      <alignment horizontal="left" vertical="top"/>
    </xf>
    <xf numFmtId="0" fontId="0" fillId="0" borderId="0" xfId="0" applyAlignment="1">
      <alignment horizontal="center" vertical="center"/>
    </xf>
    <xf numFmtId="1" fontId="13" fillId="0" borderId="1" xfId="0" applyNumberFormat="1" applyFont="1" applyBorder="1" applyAlignment="1">
      <alignment vertical="top" wrapText="1"/>
    </xf>
    <xf numFmtId="1" fontId="13" fillId="0" borderId="1" xfId="0" applyNumberFormat="1" applyFont="1" applyBorder="1" applyAlignment="1">
      <alignment horizontal="center" vertical="center" wrapText="1"/>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1" xfId="0" applyFont="1" applyBorder="1" applyAlignment="1">
      <alignment horizontal="center" vertical="top" wrapText="1"/>
    </xf>
    <xf numFmtId="0" fontId="12"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xf>
    <xf numFmtId="0" fontId="0" fillId="0" borderId="0" xfId="0" applyAlignment="1">
      <alignment horizontal="left" vertical="center" indent="1"/>
    </xf>
    <xf numFmtId="0" fontId="23" fillId="0" borderId="0" xfId="0" applyFont="1" applyAlignment="1">
      <alignment horizontal="left" vertical="center" wrapText="1" indent="1"/>
    </xf>
    <xf numFmtId="1" fontId="12" fillId="0" borderId="1" xfId="0" applyNumberFormat="1" applyFont="1" applyBorder="1" applyAlignment="1">
      <alignment horizontal="center" vertical="top"/>
    </xf>
    <xf numFmtId="1" fontId="12" fillId="0" borderId="0" xfId="0" applyNumberFormat="1" applyFont="1" applyAlignment="1">
      <alignment horizontal="center"/>
    </xf>
    <xf numFmtId="1" fontId="6" fillId="0" borderId="0" xfId="0" applyNumberFormat="1" applyFont="1" applyAlignment="1">
      <alignment horizontal="center"/>
    </xf>
    <xf numFmtId="0" fontId="13" fillId="3" borderId="1" xfId="0" applyFont="1" applyFill="1" applyBorder="1" applyAlignment="1">
      <alignment horizontal="center" vertical="top" wrapText="1"/>
    </xf>
    <xf numFmtId="0" fontId="24" fillId="0" borderId="1" xfId="0" applyFont="1" applyBorder="1" applyAlignment="1">
      <alignment vertical="top"/>
    </xf>
    <xf numFmtId="0" fontId="13" fillId="0" borderId="0" xfId="0" applyFont="1" applyAlignment="1">
      <alignment horizontal="center"/>
    </xf>
    <xf numFmtId="0" fontId="13" fillId="0" borderId="0" xfId="0" applyFont="1" applyAlignment="1">
      <alignment horizontal="center" vertical="top" wrapText="1"/>
    </xf>
    <xf numFmtId="0" fontId="12" fillId="0" borderId="0" xfId="0" applyFont="1" applyAlignment="1">
      <alignment horizontal="center" vertical="center"/>
    </xf>
    <xf numFmtId="0" fontId="12" fillId="0" borderId="0" xfId="0" applyFont="1" applyAlignment="1">
      <alignment horizontal="center" vertical="top"/>
    </xf>
    <xf numFmtId="1"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0" fillId="0" borderId="0" xfId="0" applyFont="1"/>
    <xf numFmtId="0" fontId="26" fillId="0" borderId="1" xfId="0" applyFont="1" applyBorder="1" applyAlignment="1">
      <alignment horizontal="center" vertical="center"/>
    </xf>
    <xf numFmtId="1" fontId="10" fillId="0" borderId="0" xfId="0" applyNumberFormat="1" applyFont="1"/>
    <xf numFmtId="0" fontId="27" fillId="6" borderId="17" xfId="6" applyFont="1" applyFill="1" applyBorder="1" applyAlignment="1" applyProtection="1">
      <alignment horizontal="center" vertical="center"/>
      <protection locked="0"/>
    </xf>
    <xf numFmtId="0" fontId="27" fillId="6" borderId="18" xfId="6" applyFont="1" applyFill="1" applyBorder="1" applyAlignment="1" applyProtection="1">
      <alignment horizontal="center" vertical="center"/>
      <protection locked="0"/>
    </xf>
    <xf numFmtId="0" fontId="27" fillId="0" borderId="19" xfId="6" applyFont="1" applyBorder="1" applyProtection="1">
      <protection hidden="1"/>
    </xf>
    <xf numFmtId="0" fontId="27" fillId="0" borderId="20" xfId="6" applyFont="1" applyBorder="1" applyProtection="1">
      <protection hidden="1"/>
    </xf>
    <xf numFmtId="0" fontId="27" fillId="0" borderId="0" xfId="0" applyFont="1"/>
    <xf numFmtId="0" fontId="27" fillId="6" borderId="1" xfId="6" applyFont="1" applyFill="1" applyBorder="1" applyAlignment="1" applyProtection="1">
      <alignment horizontal="center" vertical="center"/>
      <protection locked="0"/>
    </xf>
    <xf numFmtId="0" fontId="27" fillId="6" borderId="22" xfId="6" applyFont="1" applyFill="1" applyBorder="1" applyAlignment="1" applyProtection="1">
      <alignment horizontal="center" vertical="center"/>
      <protection locked="0"/>
    </xf>
    <xf numFmtId="0" fontId="27" fillId="0" borderId="0" xfId="6" applyFont="1" applyProtection="1">
      <protection hidden="1"/>
    </xf>
    <xf numFmtId="0" fontId="27" fillId="0" borderId="23" xfId="6" applyFont="1" applyBorder="1" applyProtection="1">
      <protection hidden="1"/>
    </xf>
    <xf numFmtId="0" fontId="14" fillId="7" borderId="24" xfId="0" applyFont="1" applyFill="1" applyBorder="1" applyAlignment="1">
      <alignment horizontal="left" vertical="top"/>
    </xf>
    <xf numFmtId="0" fontId="27" fillId="7" borderId="21" xfId="6" applyFont="1" applyFill="1" applyBorder="1" applyAlignment="1" applyProtection="1">
      <alignment horizontal="center" vertical="top" wrapText="1"/>
      <protection locked="0"/>
    </xf>
    <xf numFmtId="0" fontId="27" fillId="7" borderId="1" xfId="0" applyFont="1" applyFill="1" applyBorder="1" applyAlignment="1">
      <alignment horizontal="center"/>
    </xf>
    <xf numFmtId="0" fontId="27" fillId="7" borderId="1" xfId="6" applyFont="1" applyFill="1" applyBorder="1" applyAlignment="1" applyProtection="1">
      <alignment horizontal="center" vertical="top" wrapText="1"/>
      <protection locked="0"/>
    </xf>
    <xf numFmtId="0" fontId="28" fillId="0" borderId="0" xfId="0" applyFont="1" applyProtection="1">
      <protection hidden="1"/>
    </xf>
    <xf numFmtId="0" fontId="27" fillId="0" borderId="23" xfId="6" applyFont="1" applyBorder="1"/>
    <xf numFmtId="9" fontId="27" fillId="7" borderId="1" xfId="0" applyNumberFormat="1" applyFont="1" applyFill="1" applyBorder="1" applyAlignment="1">
      <alignment horizontal="center"/>
    </xf>
    <xf numFmtId="0" fontId="27" fillId="7" borderId="1" xfId="6" applyFont="1" applyFill="1" applyBorder="1" applyAlignment="1" applyProtection="1">
      <alignment horizontal="center" wrapText="1"/>
      <protection locked="0"/>
    </xf>
    <xf numFmtId="9" fontId="27" fillId="7" borderId="1" xfId="6" applyNumberFormat="1" applyFont="1" applyFill="1" applyBorder="1" applyAlignment="1" applyProtection="1">
      <alignment horizontal="center" vertical="center" wrapText="1"/>
      <protection hidden="1"/>
    </xf>
    <xf numFmtId="0" fontId="28" fillId="0" borderId="23" xfId="0" applyFont="1" applyBorder="1" applyProtection="1">
      <protection hidden="1"/>
    </xf>
    <xf numFmtId="1" fontId="27" fillId="7" borderId="1" xfId="6" applyNumberFormat="1" applyFont="1" applyFill="1" applyBorder="1" applyAlignment="1" applyProtection="1">
      <alignment horizontal="center" wrapText="1"/>
      <protection locked="0"/>
    </xf>
    <xf numFmtId="1" fontId="27" fillId="0" borderId="23" xfId="0" applyNumberFormat="1" applyFont="1" applyBorder="1"/>
    <xf numFmtId="1" fontId="27" fillId="0" borderId="23" xfId="0" applyNumberFormat="1" applyFont="1" applyBorder="1" applyAlignment="1">
      <alignment horizontal="right"/>
    </xf>
    <xf numFmtId="0" fontId="27" fillId="7" borderId="28" xfId="6" applyFont="1" applyFill="1" applyBorder="1" applyAlignment="1" applyProtection="1">
      <alignment horizontal="center" vertical="top" wrapText="1"/>
      <protection locked="0"/>
    </xf>
    <xf numFmtId="9" fontId="27" fillId="7" borderId="29" xfId="0" applyNumberFormat="1" applyFont="1" applyFill="1" applyBorder="1" applyAlignment="1">
      <alignment horizontal="center"/>
    </xf>
    <xf numFmtId="0" fontId="27" fillId="7" borderId="29" xfId="6" applyFont="1" applyFill="1" applyBorder="1" applyAlignment="1" applyProtection="1">
      <alignment horizontal="center" wrapText="1"/>
      <protection locked="0"/>
    </xf>
    <xf numFmtId="9" fontId="27" fillId="7" borderId="29" xfId="6" applyNumberFormat="1" applyFont="1" applyFill="1" applyBorder="1" applyAlignment="1" applyProtection="1">
      <alignment horizontal="center" vertical="center" wrapText="1"/>
      <protection hidden="1"/>
    </xf>
    <xf numFmtId="0" fontId="28" fillId="0" borderId="32" xfId="0" applyFont="1" applyBorder="1" applyProtection="1">
      <protection hidden="1"/>
    </xf>
    <xf numFmtId="1" fontId="27" fillId="0" borderId="31" xfId="0" applyNumberFormat="1" applyFont="1" applyBorder="1"/>
    <xf numFmtId="0" fontId="12" fillId="0" borderId="11" xfId="0" applyFont="1" applyBorder="1" applyAlignment="1">
      <alignment horizontal="left" vertical="top" wrapText="1"/>
    </xf>
    <xf numFmtId="0" fontId="0" fillId="0" borderId="1" xfId="0" applyBorder="1" applyAlignment="1">
      <alignment horizontal="center" vertical="center"/>
    </xf>
    <xf numFmtId="0" fontId="31" fillId="0" borderId="1" xfId="6" applyFont="1" applyBorder="1"/>
    <xf numFmtId="0" fontId="32" fillId="0" borderId="1" xfId="6" applyFont="1" applyBorder="1"/>
    <xf numFmtId="0" fontId="13" fillId="0" borderId="1" xfId="0" applyFont="1" applyBorder="1" applyAlignment="1">
      <alignment horizontal="center" vertical="center"/>
    </xf>
    <xf numFmtId="0" fontId="6" fillId="0" borderId="1" xfId="0" applyFont="1" applyBorder="1" applyAlignment="1">
      <alignment vertical="top"/>
    </xf>
    <xf numFmtId="0" fontId="33" fillId="0" borderId="0" xfId="5" applyFont="1" applyAlignment="1">
      <alignment wrapText="1"/>
    </xf>
    <xf numFmtId="0" fontId="12" fillId="0" borderId="1" xfId="5" applyFont="1" applyBorder="1" applyAlignment="1" applyProtection="1">
      <alignment horizontal="center" vertical="center" wrapText="1"/>
      <protection locked="0"/>
    </xf>
    <xf numFmtId="0" fontId="12" fillId="0" borderId="0" xfId="5" applyFont="1" applyAlignment="1" applyProtection="1">
      <alignment horizontal="center" vertical="center" wrapText="1"/>
      <protection hidden="1"/>
    </xf>
    <xf numFmtId="0" fontId="12" fillId="0" borderId="23" xfId="5" applyFont="1" applyBorder="1" applyAlignment="1" applyProtection="1">
      <alignment horizontal="center" vertical="center" wrapText="1"/>
      <protection hidden="1"/>
    </xf>
    <xf numFmtId="0" fontId="33" fillId="0" borderId="0" xfId="5" applyFont="1" applyAlignment="1">
      <alignment horizontal="center" vertical="center" wrapText="1"/>
    </xf>
    <xf numFmtId="0" fontId="12" fillId="0" borderId="0" xfId="5" applyFont="1" applyAlignment="1" applyProtection="1">
      <alignment wrapText="1"/>
      <protection hidden="1"/>
    </xf>
    <xf numFmtId="0" fontId="12" fillId="0" borderId="23" xfId="5" applyFont="1" applyBorder="1" applyAlignment="1" applyProtection="1">
      <alignment wrapText="1"/>
      <protection hidden="1"/>
    </xf>
    <xf numFmtId="0" fontId="33" fillId="0" borderId="0" xfId="5" applyFont="1" applyAlignment="1">
      <alignment vertical="center" wrapText="1"/>
    </xf>
    <xf numFmtId="0" fontId="24" fillId="0" borderId="22" xfId="6" applyFont="1" applyBorder="1" applyAlignment="1" applyProtection="1">
      <alignment horizontal="center" vertical="center"/>
      <protection locked="0"/>
    </xf>
    <xf numFmtId="0" fontId="35" fillId="0" borderId="0" xfId="5" applyFont="1" applyAlignment="1" applyProtection="1">
      <alignment wrapText="1"/>
      <protection hidden="1"/>
    </xf>
    <xf numFmtId="0" fontId="35" fillId="0" borderId="23" xfId="5" applyFont="1" applyBorder="1" applyAlignment="1">
      <alignment wrapText="1"/>
    </xf>
    <xf numFmtId="0" fontId="35" fillId="0" borderId="23" xfId="5" applyFont="1" applyBorder="1" applyAlignment="1" applyProtection="1">
      <alignment wrapText="1"/>
      <protection hidden="1"/>
    </xf>
    <xf numFmtId="1" fontId="36" fillId="0" borderId="23" xfId="5" applyNumberFormat="1" applyFont="1" applyBorder="1" applyAlignment="1">
      <alignment wrapText="1"/>
    </xf>
    <xf numFmtId="1" fontId="36" fillId="0" borderId="23" xfId="5" applyNumberFormat="1" applyFont="1" applyBorder="1" applyAlignment="1">
      <alignment horizontal="right" wrapText="1"/>
    </xf>
    <xf numFmtId="0" fontId="35" fillId="0" borderId="0" xfId="5" applyFont="1" applyAlignment="1" applyProtection="1">
      <alignment vertical="center" wrapText="1"/>
      <protection hidden="1"/>
    </xf>
    <xf numFmtId="1" fontId="36" fillId="0" borderId="23" xfId="5" applyNumberFormat="1" applyFont="1" applyBorder="1" applyAlignment="1">
      <alignment vertical="center" wrapText="1"/>
    </xf>
    <xf numFmtId="0" fontId="35" fillId="0" borderId="32" xfId="5" applyFont="1" applyBorder="1" applyAlignment="1" applyProtection="1">
      <alignment wrapText="1"/>
      <protection hidden="1"/>
    </xf>
    <xf numFmtId="1" fontId="36" fillId="0" borderId="31" xfId="5" applyNumberFormat="1" applyFont="1" applyBorder="1" applyAlignment="1">
      <alignment wrapText="1"/>
    </xf>
    <xf numFmtId="6" fontId="27" fillId="0" borderId="1" xfId="0" applyNumberFormat="1" applyFont="1" applyBorder="1" applyAlignment="1">
      <alignment horizontal="center"/>
    </xf>
    <xf numFmtId="166" fontId="38" fillId="0" borderId="1" xfId="8" applyNumberFormat="1" applyFont="1" applyFill="1" applyBorder="1" applyAlignment="1" applyProtection="1">
      <alignment horizontal="left" vertical="center"/>
      <protection locked="0"/>
    </xf>
    <xf numFmtId="0" fontId="27" fillId="0" borderId="1" xfId="0" applyFont="1" applyBorder="1" applyAlignment="1">
      <alignment horizontal="center"/>
    </xf>
    <xf numFmtId="0" fontId="27" fillId="0" borderId="1" xfId="0" applyFont="1" applyBorder="1" applyAlignment="1">
      <alignment horizontal="center" vertical="top"/>
    </xf>
    <xf numFmtId="1" fontId="27" fillId="0" borderId="1" xfId="0" applyNumberFormat="1" applyFont="1" applyBorder="1" applyAlignment="1">
      <alignment horizontal="center" vertical="top"/>
    </xf>
    <xf numFmtId="1" fontId="27" fillId="0" borderId="1" xfId="0" applyNumberFormat="1" applyFont="1" applyBorder="1" applyAlignment="1">
      <alignment horizontal="center" vertical="center"/>
    </xf>
    <xf numFmtId="0" fontId="27" fillId="0" borderId="5" xfId="0" applyFont="1" applyBorder="1" applyAlignment="1">
      <alignment horizontal="center" vertical="top"/>
    </xf>
    <xf numFmtId="1" fontId="27" fillId="0" borderId="1" xfId="0" applyNumberFormat="1" applyFont="1" applyBorder="1" applyAlignment="1">
      <alignment horizontal="center"/>
    </xf>
    <xf numFmtId="0" fontId="13" fillId="0" borderId="1" xfId="0" applyFont="1" applyBorder="1" applyAlignment="1">
      <alignment horizontal="center" vertical="top"/>
    </xf>
    <xf numFmtId="1" fontId="21" fillId="0" borderId="1" xfId="0" applyNumberFormat="1" applyFont="1" applyBorder="1" applyAlignment="1">
      <alignment horizontal="center" vertical="center"/>
    </xf>
    <xf numFmtId="1" fontId="13" fillId="0" borderId="12" xfId="0" applyNumberFormat="1" applyFont="1" applyBorder="1" applyAlignment="1">
      <alignment horizontal="center" vertical="center" wrapText="1"/>
    </xf>
    <xf numFmtId="0" fontId="13" fillId="0" borderId="5" xfId="0" applyFont="1" applyBorder="1" applyAlignment="1">
      <alignment horizontal="center" vertical="top" wrapText="1"/>
    </xf>
    <xf numFmtId="0" fontId="13" fillId="0" borderId="1" xfId="0" applyFont="1" applyBorder="1" applyAlignment="1">
      <alignment horizontal="center" vertical="top" wrapText="1"/>
    </xf>
    <xf numFmtId="0" fontId="13" fillId="0" borderId="12" xfId="0" applyFont="1" applyBorder="1" applyAlignment="1">
      <alignment horizontal="center" vertical="top" wrapText="1"/>
    </xf>
    <xf numFmtId="0" fontId="14" fillId="0" borderId="1" xfId="0" applyFont="1" applyBorder="1" applyAlignment="1">
      <alignment horizontal="center" vertical="center" wrapText="1"/>
    </xf>
    <xf numFmtId="1" fontId="12" fillId="0" borderId="1" xfId="0" applyNumberFormat="1" applyFont="1" applyBorder="1" applyAlignment="1">
      <alignment horizontal="center" vertical="center" wrapText="1"/>
    </xf>
    <xf numFmtId="1" fontId="13" fillId="0" borderId="1" xfId="0" applyNumberFormat="1" applyFont="1" applyBorder="1" applyAlignment="1">
      <alignment vertical="center" wrapText="1"/>
    </xf>
    <xf numFmtId="0" fontId="27" fillId="0" borderId="5" xfId="0" applyFont="1" applyBorder="1" applyAlignment="1">
      <alignment horizontal="center" vertical="top"/>
    </xf>
    <xf numFmtId="0" fontId="24" fillId="0" borderId="0" xfId="0" applyFont="1"/>
    <xf numFmtId="0" fontId="24" fillId="0" borderId="0" xfId="0" applyFont="1" applyAlignment="1">
      <alignment horizontal="left" vertical="top"/>
    </xf>
    <xf numFmtId="0" fontId="24" fillId="0" borderId="0" xfId="0" applyFont="1" applyAlignment="1">
      <alignment vertical="top"/>
    </xf>
    <xf numFmtId="2" fontId="0" fillId="0" borderId="0" xfId="0" applyNumberFormat="1"/>
    <xf numFmtId="1" fontId="24" fillId="0" borderId="1" xfId="0" applyNumberFormat="1" applyFont="1" applyBorder="1" applyAlignment="1">
      <alignment horizontal="center" vertical="center"/>
    </xf>
    <xf numFmtId="0" fontId="11" fillId="0" borderId="0" xfId="0" applyFont="1"/>
    <xf numFmtId="0" fontId="24" fillId="0" borderId="1" xfId="0" applyFont="1" applyBorder="1" applyAlignment="1">
      <alignment vertical="top" wrapText="1"/>
    </xf>
    <xf numFmtId="8" fontId="42" fillId="0" borderId="2" xfId="0" applyNumberFormat="1" applyFont="1" applyBorder="1" applyAlignment="1">
      <alignment horizontal="center" vertical="center" wrapText="1"/>
    </xf>
    <xf numFmtId="1" fontId="0" fillId="0" borderId="0" xfId="0" applyNumberFormat="1"/>
    <xf numFmtId="2" fontId="0" fillId="0" borderId="0" xfId="0" applyNumberFormat="1" applyAlignment="1">
      <alignment horizontal="center"/>
    </xf>
    <xf numFmtId="44" fontId="12" fillId="0" borderId="0" xfId="0" applyNumberFormat="1" applyFont="1"/>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166" fontId="38" fillId="0" borderId="5" xfId="8" applyNumberFormat="1" applyFont="1" applyFill="1" applyBorder="1" applyAlignment="1" applyProtection="1">
      <alignment horizontal="center" vertical="center"/>
      <protection locked="0"/>
    </xf>
    <xf numFmtId="166" fontId="38" fillId="0" borderId="12" xfId="8" applyNumberFormat="1" applyFont="1" applyFill="1" applyBorder="1" applyAlignment="1" applyProtection="1">
      <alignment horizontal="center" vertical="center"/>
      <protection locked="0"/>
    </xf>
    <xf numFmtId="0" fontId="27" fillId="0" borderId="5" xfId="0" applyFont="1" applyBorder="1" applyAlignment="1">
      <alignment horizontal="center" vertical="top"/>
    </xf>
    <xf numFmtId="0" fontId="27" fillId="0" borderId="11" xfId="0" applyFont="1" applyBorder="1" applyAlignment="1">
      <alignment horizontal="center" vertical="top"/>
    </xf>
    <xf numFmtId="0" fontId="27" fillId="0" borderId="12" xfId="0" applyFont="1" applyBorder="1" applyAlignment="1">
      <alignment horizontal="center" vertical="top"/>
    </xf>
    <xf numFmtId="1" fontId="3" fillId="0" borderId="5" xfId="0" applyNumberFormat="1" applyFont="1" applyBorder="1" applyAlignment="1" applyProtection="1">
      <alignment horizontal="center" vertical="top" wrapText="1"/>
      <protection locked="0"/>
    </xf>
    <xf numFmtId="1" fontId="3" fillId="0" borderId="11" xfId="0" applyNumberFormat="1" applyFont="1" applyBorder="1" applyAlignment="1" applyProtection="1">
      <alignment horizontal="center" vertical="top" wrapText="1"/>
      <protection locked="0"/>
    </xf>
    <xf numFmtId="1" fontId="3" fillId="0" borderId="12" xfId="0" applyNumberFormat="1" applyFont="1" applyBorder="1" applyAlignment="1" applyProtection="1">
      <alignment horizontal="center" vertical="top" wrapText="1"/>
      <protection locked="0"/>
    </xf>
    <xf numFmtId="0" fontId="13" fillId="0" borderId="5"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5" xfId="0" applyFont="1" applyBorder="1" applyAlignment="1" applyProtection="1">
      <alignment horizontal="center" vertical="top" wrapText="1"/>
      <protection locked="0"/>
    </xf>
    <xf numFmtId="0" fontId="13" fillId="0" borderId="11" xfId="0" applyFont="1" applyBorder="1" applyAlignment="1" applyProtection="1">
      <alignment horizontal="center" vertical="top" wrapText="1"/>
      <protection locked="0"/>
    </xf>
    <xf numFmtId="0" fontId="13" fillId="0" borderId="12" xfId="0" applyFont="1" applyBorder="1" applyAlignment="1" applyProtection="1">
      <alignment horizontal="center" vertical="top" wrapText="1"/>
      <protection locked="0"/>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39" fillId="0" borderId="13" xfId="0" applyFont="1" applyBorder="1" applyAlignment="1">
      <alignment horizontal="center" vertical="top" wrapText="1"/>
    </xf>
    <xf numFmtId="0" fontId="39" fillId="0" borderId="15" xfId="0" applyFont="1" applyBorder="1" applyAlignment="1">
      <alignment horizontal="center" vertical="top" wrapText="1"/>
    </xf>
    <xf numFmtId="0" fontId="39" fillId="0" borderId="8" xfId="0" applyFont="1" applyBorder="1" applyAlignment="1">
      <alignment horizontal="center" vertical="top" wrapText="1"/>
    </xf>
    <xf numFmtId="0" fontId="39" fillId="0" borderId="9" xfId="0" applyFont="1" applyBorder="1" applyAlignment="1">
      <alignment horizontal="center" vertical="top" wrapText="1"/>
    </xf>
    <xf numFmtId="0" fontId="39" fillId="0" borderId="10" xfId="0" applyFont="1" applyBorder="1" applyAlignment="1">
      <alignment horizontal="center" vertical="top" wrapText="1"/>
    </xf>
    <xf numFmtId="0" fontId="39" fillId="0" borderId="7" xfId="0" applyFont="1" applyBorder="1" applyAlignment="1">
      <alignment horizontal="center"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4" xfId="0" applyFont="1" applyBorder="1" applyAlignment="1">
      <alignment horizontal="center" vertical="top" wrapText="1"/>
    </xf>
    <xf numFmtId="0" fontId="12" fillId="0" borderId="1" xfId="0" applyFont="1" applyBorder="1" applyAlignment="1">
      <alignment horizontal="left" vertical="top" wrapText="1"/>
    </xf>
    <xf numFmtId="1" fontId="25" fillId="0" borderId="5" xfId="0" applyNumberFormat="1" applyFont="1" applyBorder="1" applyAlignment="1" applyProtection="1">
      <alignment horizontal="center" vertical="center" wrapText="1"/>
      <protection locked="0"/>
    </xf>
    <xf numFmtId="1" fontId="25" fillId="0" borderId="11" xfId="0" applyNumberFormat="1" applyFont="1" applyBorder="1" applyAlignment="1" applyProtection="1">
      <alignment horizontal="center" vertical="center" wrapText="1"/>
      <protection locked="0"/>
    </xf>
    <xf numFmtId="1" fontId="25" fillId="0" borderId="12" xfId="0" applyNumberFormat="1" applyFont="1" applyBorder="1" applyAlignment="1" applyProtection="1">
      <alignment horizontal="center" vertical="center" wrapText="1"/>
      <protection locked="0"/>
    </xf>
    <xf numFmtId="0" fontId="14" fillId="0" borderId="5"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12" fillId="0" borderId="1" xfId="5" applyFont="1" applyBorder="1" applyAlignment="1" applyProtection="1">
      <alignment horizontal="center" vertical="top" wrapText="1"/>
      <protection locked="0"/>
    </xf>
    <xf numFmtId="0" fontId="12" fillId="0" borderId="29" xfId="5" applyFont="1" applyBorder="1" applyAlignment="1" applyProtection="1">
      <alignment horizontal="center" vertical="top" wrapText="1"/>
      <protection locked="0"/>
    </xf>
    <xf numFmtId="9" fontId="12" fillId="8" borderId="1" xfId="5" applyNumberFormat="1" applyFont="1" applyFill="1" applyBorder="1" applyAlignment="1" applyProtection="1">
      <alignment horizontal="center" vertical="center" wrapText="1"/>
      <protection hidden="1"/>
    </xf>
    <xf numFmtId="0" fontId="12" fillId="0" borderId="5" xfId="0" applyFont="1" applyBorder="1" applyAlignment="1" applyProtection="1">
      <alignment horizontal="center" vertical="top" wrapText="1"/>
      <protection locked="0"/>
    </xf>
    <xf numFmtId="0" fontId="12" fillId="0" borderId="11" xfId="0" applyFont="1" applyBorder="1" applyAlignment="1" applyProtection="1">
      <alignment horizontal="center" vertical="top" wrapText="1"/>
      <protection locked="0"/>
    </xf>
    <xf numFmtId="0" fontId="12" fillId="0" borderId="12" xfId="0" applyFont="1" applyBorder="1" applyAlignment="1" applyProtection="1">
      <alignment horizontal="center" vertical="top" wrapText="1"/>
      <protection locked="0"/>
    </xf>
    <xf numFmtId="1" fontId="25" fillId="0" borderId="5" xfId="0" applyNumberFormat="1" applyFont="1" applyBorder="1" applyAlignment="1" applyProtection="1">
      <alignment horizontal="center" vertical="top" wrapText="1"/>
      <protection locked="0"/>
    </xf>
    <xf numFmtId="1" fontId="25" fillId="0" borderId="11" xfId="0" applyNumberFormat="1" applyFont="1" applyBorder="1" applyAlignment="1" applyProtection="1">
      <alignment horizontal="center" vertical="top" wrapText="1"/>
      <protection locked="0"/>
    </xf>
    <xf numFmtId="1" fontId="25" fillId="0" borderId="12" xfId="0" applyNumberFormat="1" applyFont="1" applyBorder="1" applyAlignment="1" applyProtection="1">
      <alignment horizontal="center" vertical="top" wrapText="1"/>
      <protection locked="0"/>
    </xf>
    <xf numFmtId="0" fontId="12" fillId="0" borderId="21" xfId="5" applyFont="1" applyBorder="1" applyAlignment="1" applyProtection="1">
      <alignment horizontal="center" vertical="top" wrapText="1"/>
      <protection locked="0"/>
    </xf>
    <xf numFmtId="9" fontId="12" fillId="8" borderId="22" xfId="5" applyNumberFormat="1" applyFont="1" applyFill="1" applyBorder="1" applyAlignment="1" applyProtection="1">
      <alignment horizontal="center" vertical="center" wrapText="1"/>
      <protection hidden="1"/>
    </xf>
    <xf numFmtId="9" fontId="12" fillId="8" borderId="29" xfId="5" applyNumberFormat="1" applyFont="1" applyFill="1" applyBorder="1" applyAlignment="1" applyProtection="1">
      <alignment horizontal="center" vertical="center" wrapText="1"/>
      <protection hidden="1"/>
    </xf>
    <xf numFmtId="9" fontId="12" fillId="8" borderId="33" xfId="5" applyNumberFormat="1" applyFont="1" applyFill="1" applyBorder="1" applyAlignment="1" applyProtection="1">
      <alignment horizontal="center" vertical="center" wrapText="1"/>
      <protection hidden="1"/>
    </xf>
    <xf numFmtId="1" fontId="12" fillId="0" borderId="5" xfId="0" applyNumberFormat="1"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1" fontId="12" fillId="0" borderId="5"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28" xfId="5" applyFont="1" applyBorder="1" applyAlignment="1" applyProtection="1">
      <alignment horizontal="center" vertical="top" wrapText="1"/>
      <protection locked="0"/>
    </xf>
    <xf numFmtId="0" fontId="6" fillId="0" borderId="5"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13" fillId="0" borderId="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5" fillId="5" borderId="13" xfId="0" applyFont="1" applyFill="1" applyBorder="1" applyAlignment="1">
      <alignment horizontal="center" vertical="top"/>
    </xf>
    <xf numFmtId="0" fontId="15" fillId="5" borderId="14" xfId="0" applyFont="1" applyFill="1" applyBorder="1" applyAlignment="1">
      <alignment horizontal="center" vertical="top"/>
    </xf>
    <xf numFmtId="0" fontId="15" fillId="5" borderId="15" xfId="0" applyFont="1" applyFill="1" applyBorder="1" applyAlignment="1">
      <alignment horizontal="center" vertical="top"/>
    </xf>
    <xf numFmtId="0" fontId="12" fillId="0" borderId="1" xfId="5" applyFont="1" applyBorder="1" applyAlignment="1" applyProtection="1">
      <alignment horizontal="center" vertical="center" wrapText="1"/>
      <protection locked="0"/>
    </xf>
    <xf numFmtId="0" fontId="12" fillId="0" borderId="1" xfId="0" applyFont="1" applyBorder="1" applyAlignment="1">
      <alignment horizontal="center" vertical="center"/>
    </xf>
    <xf numFmtId="0" fontId="24" fillId="0" borderId="1" xfId="0" applyFont="1" applyBorder="1" applyAlignment="1">
      <alignment horizontal="left" vertical="top"/>
    </xf>
    <xf numFmtId="14" fontId="24" fillId="0" borderId="1" xfId="0" applyNumberFormat="1" applyFont="1" applyBorder="1" applyAlignment="1">
      <alignment horizontal="left" vertical="top"/>
    </xf>
    <xf numFmtId="0" fontId="13" fillId="0" borderId="21" xfId="5" applyFont="1" applyBorder="1" applyAlignment="1" applyProtection="1">
      <alignment horizontal="center" vertical="top" wrapText="1"/>
      <protection locked="0"/>
    </xf>
    <xf numFmtId="0" fontId="13" fillId="0" borderId="1" xfId="5" applyFont="1" applyBorder="1" applyAlignment="1" applyProtection="1">
      <alignment horizontal="center" vertical="top" wrapText="1"/>
      <protection locked="0"/>
    </xf>
    <xf numFmtId="0" fontId="12" fillId="0" borderId="22" xfId="5" applyFont="1" applyBorder="1" applyAlignment="1" applyProtection="1">
      <alignment horizontal="center" vertical="top" wrapText="1"/>
      <protection locked="0"/>
    </xf>
    <xf numFmtId="0" fontId="24" fillId="0" borderId="1" xfId="0" applyFont="1" applyBorder="1" applyAlignment="1">
      <alignment horizontal="left" vertical="top" wrapText="1"/>
    </xf>
    <xf numFmtId="1" fontId="12" fillId="0" borderId="1" xfId="5" applyNumberFormat="1" applyFont="1" applyBorder="1" applyAlignment="1" applyProtection="1">
      <alignment horizontal="center" vertical="top" wrapText="1"/>
      <protection locked="0"/>
    </xf>
    <xf numFmtId="0" fontId="12" fillId="0" borderId="1" xfId="0" applyFont="1" applyBorder="1" applyAlignment="1">
      <alignment horizontal="left" vertical="top"/>
    </xf>
    <xf numFmtId="0" fontId="24" fillId="0" borderId="5" xfId="0" applyFont="1" applyBorder="1" applyAlignment="1">
      <alignment horizontal="left" vertical="top"/>
    </xf>
    <xf numFmtId="0" fontId="24" fillId="0" borderId="11" xfId="0" applyFont="1" applyBorder="1" applyAlignment="1">
      <alignment horizontal="left" vertical="top"/>
    </xf>
    <xf numFmtId="0" fontId="24" fillId="0" borderId="12" xfId="0" applyFont="1" applyBorder="1" applyAlignment="1">
      <alignment horizontal="left" vertical="top"/>
    </xf>
    <xf numFmtId="0" fontId="12" fillId="0" borderId="5" xfId="0" applyFont="1" applyBorder="1" applyAlignment="1">
      <alignment horizontal="center" vertical="center"/>
    </xf>
    <xf numFmtId="0" fontId="12" fillId="0" borderId="12" xfId="0" applyFont="1" applyBorder="1" applyAlignment="1">
      <alignment horizontal="center" vertical="center"/>
    </xf>
    <xf numFmtId="1" fontId="12" fillId="0" borderId="5" xfId="0" applyNumberFormat="1" applyFont="1" applyBorder="1" applyAlignment="1">
      <alignment horizontal="center" vertical="center"/>
    </xf>
    <xf numFmtId="1" fontId="12" fillId="0" borderId="12" xfId="0" applyNumberFormat="1" applyFont="1" applyBorder="1" applyAlignment="1">
      <alignment horizontal="center" vertical="center"/>
    </xf>
    <xf numFmtId="1" fontId="12" fillId="0" borderId="1" xfId="0" applyNumberFormat="1" applyFont="1" applyBorder="1" applyAlignment="1">
      <alignment horizontal="center" vertical="top" wrapText="1"/>
    </xf>
    <xf numFmtId="1" fontId="12" fillId="0" borderId="5" xfId="0" applyNumberFormat="1" applyFont="1" applyBorder="1" applyAlignment="1">
      <alignment horizontal="center" vertical="top" wrapText="1"/>
    </xf>
    <xf numFmtId="1" fontId="12" fillId="0" borderId="12" xfId="0" applyNumberFormat="1" applyFont="1" applyBorder="1" applyAlignment="1">
      <alignment horizontal="center" vertical="top" wrapText="1"/>
    </xf>
    <xf numFmtId="0" fontId="21" fillId="0" borderId="5" xfId="0" applyFont="1" applyBorder="1" applyAlignment="1">
      <alignment horizontal="center" vertical="center" wrapText="1"/>
    </xf>
    <xf numFmtId="0" fontId="21" fillId="0" borderId="12" xfId="0" applyFont="1" applyBorder="1" applyAlignment="1">
      <alignment horizontal="center" vertical="center" wrapText="1"/>
    </xf>
    <xf numFmtId="0" fontId="14" fillId="0" borderId="1" xfId="0" applyFont="1" applyBorder="1" applyAlignment="1">
      <alignment horizontal="center" vertical="top"/>
    </xf>
    <xf numFmtId="0" fontId="13" fillId="5" borderId="5"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2" xfId="0" applyFont="1" applyFill="1" applyBorder="1" applyAlignment="1">
      <alignment horizontal="center" vertical="center"/>
    </xf>
    <xf numFmtId="0" fontId="14" fillId="0" borderId="5" xfId="0" applyFont="1" applyBorder="1" applyAlignment="1">
      <alignment horizontal="center" vertical="top" wrapText="1"/>
    </xf>
    <xf numFmtId="0" fontId="14" fillId="0" borderId="12" xfId="0" applyFont="1" applyBorder="1" applyAlignment="1">
      <alignment horizontal="center" vertical="top" wrapText="1"/>
    </xf>
    <xf numFmtId="0" fontId="15" fillId="0" borderId="5" xfId="0" applyFont="1" applyBorder="1" applyAlignment="1">
      <alignment horizontal="center" vertical="top"/>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37" fillId="0" borderId="8" xfId="0" applyFont="1" applyBorder="1" applyAlignment="1">
      <alignment horizontal="center" vertical="top" wrapText="1"/>
    </xf>
    <xf numFmtId="0" fontId="37" fillId="0" borderId="10" xfId="0" applyFont="1" applyBorder="1" applyAlignment="1">
      <alignment horizontal="center" vertical="top" wrapText="1"/>
    </xf>
    <xf numFmtId="0" fontId="34" fillId="0" borderId="19" xfId="5" applyFont="1" applyBorder="1" applyAlignment="1" applyProtection="1">
      <alignment horizontal="center" vertical="center" wrapText="1"/>
      <protection hidden="1"/>
    </xf>
    <xf numFmtId="0" fontId="34" fillId="0" borderId="20" xfId="5" applyFont="1" applyBorder="1" applyAlignment="1" applyProtection="1">
      <alignment horizontal="center" vertical="center" wrapText="1"/>
      <protection hidden="1"/>
    </xf>
    <xf numFmtId="0" fontId="13" fillId="0" borderId="17" xfId="5" applyFont="1" applyBorder="1" applyAlignment="1" applyProtection="1">
      <alignment horizontal="left" vertical="center" wrapText="1"/>
      <protection locked="0"/>
    </xf>
    <xf numFmtId="0" fontId="13" fillId="0" borderId="18" xfId="5" applyFont="1" applyBorder="1" applyAlignment="1" applyProtection="1">
      <alignment horizontal="left" vertical="center" wrapText="1"/>
      <protection locked="0"/>
    </xf>
    <xf numFmtId="0" fontId="13" fillId="0" borderId="16" xfId="5" applyFont="1" applyBorder="1" applyAlignment="1" applyProtection="1">
      <alignment horizontal="center" vertical="center" wrapText="1"/>
      <protection locked="0"/>
    </xf>
    <xf numFmtId="0" fontId="13" fillId="0" borderId="17" xfId="5" applyFont="1" applyBorder="1" applyAlignment="1" applyProtection="1">
      <alignment horizontal="center" vertical="center" wrapText="1"/>
      <protection locked="0"/>
    </xf>
    <xf numFmtId="0" fontId="12" fillId="0" borderId="21" xfId="5" applyFont="1" applyBorder="1" applyAlignment="1" applyProtection="1">
      <alignment horizontal="center" vertical="center" wrapText="1"/>
      <protection locked="0"/>
    </xf>
    <xf numFmtId="0" fontId="12" fillId="5" borderId="1" xfId="0" applyFont="1" applyFill="1" applyBorder="1" applyAlignment="1">
      <alignment horizontal="center"/>
    </xf>
    <xf numFmtId="0" fontId="13" fillId="3" borderId="1" xfId="0" applyFont="1" applyFill="1" applyBorder="1" applyAlignment="1">
      <alignment horizontal="center" vertical="center"/>
    </xf>
    <xf numFmtId="44" fontId="13" fillId="3" borderId="1" xfId="7" applyFont="1" applyFill="1" applyBorder="1" applyAlignment="1">
      <alignment horizontal="left" vertical="top" wrapText="1"/>
    </xf>
    <xf numFmtId="0" fontId="12" fillId="0" borderId="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3" fillId="0" borderId="1" xfId="0" applyFont="1" applyBorder="1" applyAlignment="1">
      <alignment horizontal="left" vertical="top" wrapText="1"/>
    </xf>
    <xf numFmtId="0" fontId="6" fillId="0" borderId="1" xfId="0" applyFont="1" applyBorder="1" applyAlignment="1">
      <alignment horizontal="left" vertical="top" wrapText="1"/>
    </xf>
    <xf numFmtId="0" fontId="12" fillId="0" borderId="11" xfId="0" applyFont="1" applyBorder="1" applyAlignment="1">
      <alignment horizontal="center" vertical="center"/>
    </xf>
    <xf numFmtId="0" fontId="6" fillId="3" borderId="14" xfId="0" applyFont="1" applyFill="1" applyBorder="1" applyAlignment="1">
      <alignment horizontal="center"/>
    </xf>
    <xf numFmtId="0" fontId="12" fillId="0" borderId="5"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 xfId="0" applyFont="1" applyBorder="1" applyAlignment="1">
      <alignment horizontal="center" vertical="top"/>
    </xf>
    <xf numFmtId="14" fontId="13" fillId="0" borderId="5" xfId="0" applyNumberFormat="1" applyFont="1" applyBorder="1" applyAlignment="1">
      <alignment horizontal="center" vertical="top" wrapText="1"/>
    </xf>
    <xf numFmtId="14" fontId="13" fillId="0" borderId="11" xfId="0" applyNumberFormat="1" applyFont="1" applyBorder="1" applyAlignment="1">
      <alignment horizontal="center" vertical="top" wrapText="1"/>
    </xf>
    <xf numFmtId="14" fontId="13" fillId="0" borderId="12" xfId="0" applyNumberFormat="1" applyFont="1" applyBorder="1" applyAlignment="1">
      <alignment horizontal="center" vertical="top" wrapText="1"/>
    </xf>
    <xf numFmtId="0" fontId="12" fillId="0" borderId="0" xfId="0" applyFont="1" applyAlignment="1">
      <alignment horizontal="left" vertical="top" wrapText="1"/>
    </xf>
    <xf numFmtId="0" fontId="13" fillId="3" borderId="1" xfId="0" applyFont="1" applyFill="1" applyBorder="1" applyAlignment="1">
      <alignment horizontal="center" vertical="top" wrapText="1"/>
    </xf>
    <xf numFmtId="0" fontId="12" fillId="0" borderId="1" xfId="0" applyFont="1" applyBorder="1" applyAlignment="1">
      <alignment horizontal="left" vertical="center" wrapText="1"/>
    </xf>
    <xf numFmtId="0" fontId="13" fillId="0" borderId="0" xfId="0" applyFont="1" applyAlignment="1">
      <alignment horizontal="center" vertical="top" wrapText="1"/>
    </xf>
    <xf numFmtId="0" fontId="12" fillId="0" borderId="0" xfId="0" applyFont="1" applyAlignment="1">
      <alignment horizontal="center"/>
    </xf>
    <xf numFmtId="0" fontId="6" fillId="0" borderId="1" xfId="0" applyFont="1" applyBorder="1" applyAlignment="1">
      <alignment horizontal="left" vertical="top"/>
    </xf>
    <xf numFmtId="0" fontId="13" fillId="0" borderId="5"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 xfId="0" applyFont="1" applyBorder="1" applyAlignment="1">
      <alignment horizontal="left" vertical="top"/>
    </xf>
    <xf numFmtId="0" fontId="13" fillId="3" borderId="1" xfId="0" applyFont="1" applyFill="1" applyBorder="1" applyAlignment="1">
      <alignment horizontal="left" vertical="top"/>
    </xf>
    <xf numFmtId="0" fontId="13" fillId="0" borderId="1" xfId="0" applyFont="1" applyBorder="1" applyAlignment="1">
      <alignment horizontal="center" vertical="center"/>
    </xf>
    <xf numFmtId="0" fontId="13" fillId="5" borderId="1" xfId="0" applyFont="1" applyFill="1" applyBorder="1" applyAlignment="1">
      <alignment horizontal="center" vertical="center"/>
    </xf>
    <xf numFmtId="0" fontId="12" fillId="0" borderId="4" xfId="0" applyFont="1" applyBorder="1" applyAlignment="1">
      <alignment horizontal="center" vertical="top"/>
    </xf>
    <xf numFmtId="0" fontId="12" fillId="0" borderId="5"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5"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12" fillId="0" borderId="13" xfId="0" applyFont="1" applyBorder="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10"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center" vertical="top"/>
    </xf>
    <xf numFmtId="0" fontId="12" fillId="0" borderId="0" xfId="0" applyFont="1" applyAlignment="1">
      <alignment horizontal="center" vertical="top"/>
    </xf>
    <xf numFmtId="0" fontId="12" fillId="0" borderId="9" xfId="0" applyFont="1" applyBorder="1" applyAlignment="1">
      <alignment horizontal="center" vertical="top"/>
    </xf>
    <xf numFmtId="0" fontId="24" fillId="0" borderId="10" xfId="0" applyFont="1" applyBorder="1" applyAlignment="1">
      <alignment horizontal="center" vertical="top" wrapText="1"/>
    </xf>
    <xf numFmtId="0" fontId="24" fillId="0" borderId="6" xfId="0" applyFont="1" applyBorder="1" applyAlignment="1">
      <alignment horizontal="center" vertical="top"/>
    </xf>
    <xf numFmtId="0" fontId="24" fillId="0" borderId="7" xfId="0" applyFont="1" applyBorder="1" applyAlignment="1">
      <alignment horizontal="center" vertical="top"/>
    </xf>
    <xf numFmtId="14" fontId="13" fillId="0" borderId="1" xfId="0" applyNumberFormat="1" applyFont="1" applyBorder="1" applyAlignment="1">
      <alignment horizontal="center" vertical="center"/>
    </xf>
    <xf numFmtId="0" fontId="12" fillId="3" borderId="5"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3" borderId="12" xfId="0" applyFont="1" applyFill="1" applyBorder="1" applyAlignment="1">
      <alignment horizontal="center" vertical="top" wrapText="1"/>
    </xf>
    <xf numFmtId="0" fontId="13" fillId="3" borderId="5"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2" fillId="0" borderId="0" xfId="0" applyFont="1" applyAlignment="1">
      <alignment horizontal="center" vertical="center"/>
    </xf>
    <xf numFmtId="0" fontId="12" fillId="0" borderId="5"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164" fontId="13" fillId="3" borderId="1" xfId="7" applyNumberFormat="1" applyFont="1" applyFill="1" applyBorder="1" applyAlignment="1">
      <alignment horizontal="lef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3" borderId="1" xfId="0" applyFont="1" applyFill="1" applyBorder="1" applyAlignment="1">
      <alignment horizontal="center" vertical="center"/>
    </xf>
    <xf numFmtId="0" fontId="12" fillId="0" borderId="5"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12" fillId="0" borderId="1" xfId="0" applyFont="1" applyBorder="1" applyAlignment="1">
      <alignment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12" fillId="0" borderId="1" xfId="0" applyFont="1" applyBorder="1" applyAlignment="1">
      <alignment horizontal="center" vertical="top" wrapText="1"/>
    </xf>
    <xf numFmtId="0" fontId="24" fillId="0" borderId="1" xfId="0" applyFont="1" applyBorder="1" applyAlignment="1">
      <alignment horizontal="center" vertical="top" wrapText="1"/>
    </xf>
    <xf numFmtId="0" fontId="16" fillId="0" borderId="0" xfId="0" applyFont="1" applyAlignment="1">
      <alignment horizontal="center"/>
    </xf>
    <xf numFmtId="0" fontId="40" fillId="0" borderId="0" xfId="0" applyFont="1" applyAlignment="1">
      <alignment horizontal="center" wrapText="1"/>
    </xf>
    <xf numFmtId="0" fontId="40" fillId="0" borderId="0" xfId="0" applyFont="1" applyAlignment="1">
      <alignment horizontal="center"/>
    </xf>
    <xf numFmtId="0" fontId="41" fillId="0" borderId="0" xfId="0" applyFont="1" applyAlignment="1">
      <alignment horizontal="center" vertical="center" wrapText="1"/>
    </xf>
    <xf numFmtId="0" fontId="13" fillId="0" borderId="0" xfId="0" applyFont="1" applyAlignment="1">
      <alignment horizontal="center"/>
    </xf>
    <xf numFmtId="0" fontId="15" fillId="0" borderId="0" xfId="0" applyFont="1" applyAlignment="1">
      <alignment horizontal="center"/>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6" fillId="0" borderId="0" xfId="0" applyFont="1" applyAlignment="1">
      <alignment horizontal="left"/>
    </xf>
    <xf numFmtId="0" fontId="6" fillId="0" borderId="9" xfId="0" applyFont="1" applyBorder="1" applyAlignment="1">
      <alignment horizontal="left"/>
    </xf>
    <xf numFmtId="0" fontId="18" fillId="0" borderId="5" xfId="6" applyFont="1" applyBorder="1" applyAlignment="1" applyProtection="1">
      <alignment horizontal="center" vertical="top" wrapText="1"/>
      <protection locked="0"/>
    </xf>
    <xf numFmtId="0" fontId="18" fillId="0" borderId="11" xfId="6" applyFont="1" applyBorder="1" applyAlignment="1" applyProtection="1">
      <alignment horizontal="center" vertical="top" wrapText="1"/>
      <protection locked="0"/>
    </xf>
    <xf numFmtId="0" fontId="18" fillId="0" borderId="12" xfId="6" applyFont="1" applyBorder="1" applyAlignment="1" applyProtection="1">
      <alignment horizontal="center" vertical="top" wrapText="1"/>
      <protection locked="0"/>
    </xf>
    <xf numFmtId="0" fontId="15" fillId="0" borderId="0" xfId="0" applyFont="1" applyAlignment="1">
      <alignment horizontal="center" vertical="center" wrapText="1"/>
    </xf>
    <xf numFmtId="14" fontId="12" fillId="0" borderId="0" xfId="0" applyNumberFormat="1" applyFont="1" applyAlignment="1">
      <alignment horizontal="center"/>
    </xf>
    <xf numFmtId="0" fontId="12" fillId="0" borderId="9" xfId="0" applyFont="1" applyBorder="1" applyAlignment="1">
      <alignment horizontal="center"/>
    </xf>
    <xf numFmtId="0" fontId="13" fillId="0" borderId="0" xfId="0" applyFont="1" applyAlignment="1">
      <alignment horizontal="left" vertical="top"/>
    </xf>
    <xf numFmtId="1" fontId="6" fillId="0" borderId="5"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0" fontId="13" fillId="0" borderId="5" xfId="0" applyFont="1" applyBorder="1" applyAlignment="1">
      <alignment horizontal="center" vertical="top" wrapText="1"/>
    </xf>
    <xf numFmtId="0" fontId="13" fillId="0" borderId="12" xfId="0" applyFont="1" applyBorder="1" applyAlignment="1">
      <alignment horizontal="center" vertical="top" wrapText="1"/>
    </xf>
    <xf numFmtId="0" fontId="12" fillId="0" borderId="2" xfId="0" applyFont="1" applyBorder="1" applyAlignment="1">
      <alignment horizontal="center" vertical="top"/>
    </xf>
    <xf numFmtId="0" fontId="12" fillId="0" borderId="10"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24" fillId="0" borderId="5"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0" fontId="12" fillId="0" borderId="3" xfId="0" applyFont="1" applyBorder="1" applyAlignment="1">
      <alignment horizontal="center" vertical="top"/>
    </xf>
    <xf numFmtId="0" fontId="24" fillId="0" borderId="5" xfId="0" applyFont="1" applyBorder="1" applyAlignment="1">
      <alignment horizontal="lef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14" fontId="12" fillId="0" borderId="1" xfId="0" applyNumberFormat="1" applyFont="1" applyBorder="1" applyAlignment="1">
      <alignment horizontal="left"/>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15" xfId="0" applyFont="1" applyBorder="1" applyAlignment="1">
      <alignment horizontal="left" vertical="top"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24" fillId="0" borderId="9" xfId="0" applyFont="1" applyBorder="1" applyAlignment="1">
      <alignment horizontal="left" vertical="top" wrapText="1"/>
    </xf>
    <xf numFmtId="14" fontId="24" fillId="0" borderId="1" xfId="0" applyNumberFormat="1" applyFont="1" applyBorder="1" applyAlignment="1">
      <alignment horizontal="left"/>
    </xf>
    <xf numFmtId="0" fontId="13" fillId="5" borderId="5" xfId="0" applyFont="1" applyFill="1" applyBorder="1" applyAlignment="1">
      <alignment horizontal="center" wrapText="1"/>
    </xf>
    <xf numFmtId="0" fontId="13" fillId="5" borderId="11" xfId="0" applyFont="1" applyFill="1" applyBorder="1" applyAlignment="1">
      <alignment horizontal="center" wrapText="1"/>
    </xf>
    <xf numFmtId="0" fontId="13" fillId="5" borderId="12" xfId="0" applyFont="1" applyFill="1" applyBorder="1" applyAlignment="1">
      <alignment horizontal="center" wrapText="1"/>
    </xf>
    <xf numFmtId="14" fontId="24" fillId="0" borderId="1" xfId="0" applyNumberFormat="1" applyFont="1" applyBorder="1" applyAlignment="1">
      <alignment horizontal="left" vertical="top" wrapText="1"/>
    </xf>
    <xf numFmtId="0" fontId="13" fillId="0" borderId="13" xfId="0" applyFont="1" applyBorder="1" applyAlignment="1">
      <alignment horizontal="left" vertical="top" wrapText="1"/>
    </xf>
    <xf numFmtId="0" fontId="13" fillId="0" borderId="11" xfId="0" applyFont="1" applyBorder="1" applyAlignment="1">
      <alignment horizontal="center" vertical="top" wrapText="1"/>
    </xf>
    <xf numFmtId="0" fontId="8" fillId="0" borderId="1" xfId="3" applyBorder="1" applyAlignment="1" applyProtection="1">
      <alignment horizontal="left" vertical="top" wrapText="1"/>
    </xf>
    <xf numFmtId="0" fontId="21" fillId="0" borderId="1" xfId="0" applyFont="1" applyBorder="1" applyAlignment="1">
      <alignment horizontal="left" vertical="top" wrapText="1"/>
    </xf>
    <xf numFmtId="0" fontId="13" fillId="0" borderId="1" xfId="0" applyFont="1" applyBorder="1" applyAlignment="1">
      <alignment horizontal="center" vertical="top" wrapText="1"/>
    </xf>
    <xf numFmtId="14" fontId="24" fillId="0" borderId="5" xfId="0" applyNumberFormat="1" applyFont="1" applyBorder="1" applyAlignment="1">
      <alignment horizontal="left" vertical="top" wrapText="1"/>
    </xf>
    <xf numFmtId="14" fontId="24" fillId="0" borderId="11" xfId="0" applyNumberFormat="1" applyFont="1" applyBorder="1" applyAlignment="1">
      <alignment horizontal="left" vertical="top" wrapText="1"/>
    </xf>
    <xf numFmtId="14" fontId="24" fillId="0" borderId="12" xfId="0" applyNumberFormat="1" applyFont="1" applyBorder="1" applyAlignment="1">
      <alignment horizontal="left" vertical="top" wrapText="1"/>
    </xf>
    <xf numFmtId="0" fontId="12" fillId="5" borderId="5"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1" fontId="13" fillId="0" borderId="5" xfId="0" applyNumberFormat="1" applyFont="1" applyBorder="1" applyAlignment="1">
      <alignment horizontal="center" vertical="center"/>
    </xf>
    <xf numFmtId="1" fontId="13" fillId="0" borderId="12" xfId="0" applyNumberFormat="1" applyFont="1" applyBorder="1" applyAlignment="1">
      <alignment horizontal="center" vertical="center"/>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1" fontId="30" fillId="0" borderId="5" xfId="0" applyNumberFormat="1" applyFont="1" applyBorder="1" applyAlignment="1">
      <alignment horizontal="center" vertical="center" wrapText="1"/>
    </xf>
    <xf numFmtId="1" fontId="30" fillId="0" borderId="12" xfId="0" applyNumberFormat="1" applyFont="1" applyBorder="1" applyAlignment="1">
      <alignment horizontal="center" vertical="center" wrapText="1"/>
    </xf>
    <xf numFmtId="1" fontId="12" fillId="0" borderId="13" xfId="0" applyNumberFormat="1" applyFont="1" applyBorder="1" applyAlignment="1">
      <alignment horizontal="center" vertical="center"/>
    </xf>
    <xf numFmtId="1" fontId="12" fillId="0" borderId="15" xfId="0" applyNumberFormat="1" applyFont="1" applyBorder="1" applyAlignment="1">
      <alignment horizontal="center" vertical="center"/>
    </xf>
    <xf numFmtId="1" fontId="12" fillId="0" borderId="8" xfId="0" applyNumberFormat="1" applyFont="1" applyBorder="1" applyAlignment="1">
      <alignment horizontal="center" vertical="center"/>
    </xf>
    <xf numFmtId="1" fontId="12" fillId="0" borderId="9"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7" xfId="0" applyNumberFormat="1" applyFont="1" applyBorder="1" applyAlignment="1">
      <alignment horizontal="center" vertical="center"/>
    </xf>
    <xf numFmtId="0" fontId="14" fillId="5" borderId="5" xfId="0" applyFont="1" applyFill="1" applyBorder="1" applyAlignment="1">
      <alignment horizontal="center" vertical="top"/>
    </xf>
    <xf numFmtId="0" fontId="14" fillId="5" borderId="11" xfId="0" applyFont="1" applyFill="1" applyBorder="1" applyAlignment="1">
      <alignment horizontal="center" vertical="top"/>
    </xf>
    <xf numFmtId="0" fontId="14" fillId="5" borderId="12" xfId="0" applyFont="1" applyFill="1" applyBorder="1" applyAlignment="1">
      <alignment horizontal="center" vertical="top"/>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5" fillId="0" borderId="10" xfId="0" applyFont="1" applyBorder="1" applyAlignment="1">
      <alignment horizontal="center" vertical="top"/>
    </xf>
    <xf numFmtId="0" fontId="15" fillId="0" borderId="6" xfId="0" applyFont="1" applyBorder="1" applyAlignment="1">
      <alignment horizontal="center" vertical="top"/>
    </xf>
    <xf numFmtId="0" fontId="15" fillId="0" borderId="7" xfId="0" applyFont="1" applyBorder="1" applyAlignment="1">
      <alignment horizontal="center" vertical="top"/>
    </xf>
    <xf numFmtId="1" fontId="13" fillId="0" borderId="5" xfId="0" applyNumberFormat="1" applyFont="1" applyBorder="1" applyAlignment="1" applyProtection="1">
      <alignment horizontal="center" vertical="top" wrapText="1"/>
      <protection locked="0"/>
    </xf>
    <xf numFmtId="1" fontId="13" fillId="0" borderId="11" xfId="0" applyNumberFormat="1" applyFont="1" applyBorder="1" applyAlignment="1" applyProtection="1">
      <alignment horizontal="center" vertical="top" wrapText="1"/>
      <protection locked="0"/>
    </xf>
    <xf numFmtId="1" fontId="13" fillId="0" borderId="12" xfId="0" applyNumberFormat="1" applyFont="1" applyBorder="1" applyAlignment="1" applyProtection="1">
      <alignment horizontal="center" vertical="top" wrapText="1"/>
      <protection locked="0"/>
    </xf>
    <xf numFmtId="1" fontId="24" fillId="0" borderId="1" xfId="0" applyNumberFormat="1" applyFont="1" applyBorder="1" applyAlignment="1">
      <alignment horizontal="center" vertical="top" wrapText="1"/>
    </xf>
    <xf numFmtId="0" fontId="12" fillId="4" borderId="1" xfId="0" applyFont="1" applyFill="1" applyBorder="1" applyAlignment="1">
      <alignment horizontal="center" vertical="center"/>
    </xf>
    <xf numFmtId="0" fontId="12" fillId="0" borderId="5" xfId="0" applyFont="1" applyBorder="1" applyAlignment="1" applyProtection="1">
      <alignment horizontal="center" vertical="center"/>
      <protection locked="0"/>
    </xf>
    <xf numFmtId="1" fontId="3" fillId="5" borderId="5" xfId="0" applyNumberFormat="1" applyFont="1" applyFill="1" applyBorder="1" applyAlignment="1" applyProtection="1">
      <alignment horizontal="center" vertical="center" wrapText="1"/>
      <protection locked="0"/>
    </xf>
    <xf numFmtId="1" fontId="3" fillId="5" borderId="11" xfId="0" applyNumberFormat="1" applyFont="1" applyFill="1" applyBorder="1" applyAlignment="1" applyProtection="1">
      <alignment horizontal="center" vertical="center" wrapText="1"/>
      <protection locked="0"/>
    </xf>
    <xf numFmtId="1" fontId="3" fillId="5" borderId="12" xfId="0" applyNumberFormat="1" applyFont="1" applyFill="1" applyBorder="1" applyAlignment="1" applyProtection="1">
      <alignment horizontal="center" vertical="center" wrapText="1"/>
      <protection locked="0"/>
    </xf>
    <xf numFmtId="14" fontId="6" fillId="0" borderId="5" xfId="0" applyNumberFormat="1" applyFont="1" applyBorder="1" applyAlignment="1">
      <alignment horizontal="left" vertical="top"/>
    </xf>
    <xf numFmtId="14" fontId="6" fillId="0" borderId="11" xfId="0" applyNumberFormat="1" applyFont="1" applyBorder="1" applyAlignment="1">
      <alignment horizontal="left" vertical="top"/>
    </xf>
    <xf numFmtId="14" fontId="6" fillId="0" borderId="12" xfId="0" applyNumberFormat="1" applyFont="1" applyBorder="1" applyAlignment="1">
      <alignment horizontal="left" vertical="top"/>
    </xf>
    <xf numFmtId="0" fontId="12" fillId="4" borderId="5"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5" borderId="5" xfId="0" applyFont="1" applyFill="1" applyBorder="1" applyAlignment="1">
      <alignment horizontal="center" vertical="top"/>
    </xf>
    <xf numFmtId="0" fontId="12" fillId="5" borderId="11" xfId="0" applyFont="1" applyFill="1" applyBorder="1" applyAlignment="1">
      <alignment horizontal="center" vertical="top"/>
    </xf>
    <xf numFmtId="0" fontId="12" fillId="5" borderId="12" xfId="0" applyFont="1" applyFill="1" applyBorder="1" applyAlignment="1">
      <alignment horizontal="center" vertical="top"/>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4" fillId="5" borderId="1" xfId="0" applyFont="1" applyFill="1" applyBorder="1" applyAlignment="1">
      <alignment horizontal="center" vertical="top"/>
    </xf>
    <xf numFmtId="0" fontId="13" fillId="0" borderId="11" xfId="0" applyFont="1" applyBorder="1" applyAlignment="1">
      <alignment horizontal="left"/>
    </xf>
    <xf numFmtId="164" fontId="13" fillId="5" borderId="11" xfId="7" applyNumberFormat="1" applyFont="1" applyFill="1" applyBorder="1" applyAlignment="1">
      <alignment horizontal="center"/>
    </xf>
    <xf numFmtId="164" fontId="13" fillId="5" borderId="12" xfId="7" applyNumberFormat="1" applyFont="1" applyFill="1" applyBorder="1" applyAlignment="1">
      <alignment horizontal="center"/>
    </xf>
    <xf numFmtId="0" fontId="24" fillId="5" borderId="1" xfId="0" applyFont="1" applyFill="1" applyBorder="1" applyAlignment="1">
      <alignment horizontal="center" vertical="top" wrapText="1"/>
    </xf>
    <xf numFmtId="0" fontId="24" fillId="5" borderId="1" xfId="0" applyFont="1" applyFill="1" applyBorder="1" applyAlignment="1">
      <alignment horizontal="center" vertical="top"/>
    </xf>
    <xf numFmtId="164" fontId="13" fillId="5" borderId="11" xfId="7" applyNumberFormat="1" applyFont="1" applyFill="1" applyBorder="1" applyAlignment="1">
      <alignment vertical="top"/>
    </xf>
    <xf numFmtId="164" fontId="13" fillId="5" borderId="12" xfId="7" applyNumberFormat="1" applyFont="1" applyFill="1" applyBorder="1" applyAlignment="1">
      <alignment vertical="top"/>
    </xf>
    <xf numFmtId="0" fontId="12" fillId="0" borderId="1" xfId="0" applyFont="1" applyBorder="1" applyAlignment="1">
      <alignment horizontal="center"/>
    </xf>
    <xf numFmtId="0" fontId="12" fillId="3" borderId="5"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12" xfId="0" applyFont="1" applyFill="1" applyBorder="1" applyAlignment="1">
      <alignment horizontal="left" vertical="center"/>
    </xf>
    <xf numFmtId="0" fontId="24" fillId="0" borderId="1" xfId="0" applyFont="1" applyBorder="1" applyAlignment="1">
      <alignment horizontal="center"/>
    </xf>
    <xf numFmtId="165" fontId="12" fillId="0" borderId="1" xfId="0" applyNumberFormat="1" applyFont="1" applyBorder="1" applyAlignment="1">
      <alignment horizontal="center"/>
    </xf>
    <xf numFmtId="0" fontId="24" fillId="0" borderId="10" xfId="0" applyFont="1"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12" fillId="0" borderId="8" xfId="0" applyFont="1" applyBorder="1" applyAlignment="1">
      <alignment horizontal="left" vertical="top"/>
    </xf>
    <xf numFmtId="0" fontId="12" fillId="0" borderId="0" xfId="0" applyFont="1" applyAlignment="1">
      <alignment horizontal="left" vertical="top"/>
    </xf>
    <xf numFmtId="0" fontId="12" fillId="0" borderId="9" xfId="0" applyFont="1" applyBorder="1" applyAlignment="1">
      <alignment horizontal="left" vertical="top"/>
    </xf>
    <xf numFmtId="0" fontId="12" fillId="0" borderId="5" xfId="0" applyFont="1" applyBorder="1" applyAlignment="1">
      <alignment horizontal="center"/>
    </xf>
    <xf numFmtId="0" fontId="12" fillId="0" borderId="12" xfId="0" applyFont="1" applyBorder="1" applyAlignment="1">
      <alignment horizontal="center"/>
    </xf>
    <xf numFmtId="0" fontId="12" fillId="0" borderId="11" xfId="0" applyFont="1" applyBorder="1" applyAlignment="1">
      <alignment horizontal="center"/>
    </xf>
    <xf numFmtId="0" fontId="12" fillId="3" borderId="5"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1" fontId="13" fillId="0" borderId="5" xfId="0" applyNumberFormat="1" applyFont="1" applyBorder="1" applyAlignment="1" applyProtection="1">
      <alignment horizontal="center" vertical="center"/>
      <protection locked="0"/>
    </xf>
    <xf numFmtId="1" fontId="13" fillId="0" borderId="11" xfId="0" applyNumberFormat="1" applyFont="1" applyBorder="1" applyAlignment="1" applyProtection="1">
      <alignment horizontal="center" vertical="center"/>
      <protection locked="0"/>
    </xf>
    <xf numFmtId="1" fontId="13" fillId="0" borderId="12" xfId="0" applyNumberFormat="1" applyFont="1" applyBorder="1" applyAlignment="1" applyProtection="1">
      <alignment horizontal="center" vertical="center"/>
      <protection locked="0"/>
    </xf>
    <xf numFmtId="0" fontId="13" fillId="0" borderId="1" xfId="5" applyFont="1" applyBorder="1" applyAlignment="1" applyProtection="1">
      <alignment horizontal="left" vertical="top" wrapText="1"/>
      <protection locked="0"/>
    </xf>
    <xf numFmtId="0" fontId="13" fillId="0" borderId="22" xfId="5" applyFont="1" applyBorder="1" applyAlignment="1" applyProtection="1">
      <alignment horizontal="left" vertical="top" wrapText="1"/>
      <protection locked="0"/>
    </xf>
    <xf numFmtId="14" fontId="24" fillId="0" borderId="5" xfId="0" applyNumberFormat="1" applyFont="1" applyBorder="1" applyAlignment="1">
      <alignment horizontal="left" vertical="top"/>
    </xf>
    <xf numFmtId="14" fontId="24" fillId="0" borderId="12" xfId="0" applyNumberFormat="1" applyFont="1" applyBorder="1" applyAlignment="1">
      <alignment horizontal="left" vertical="top"/>
    </xf>
    <xf numFmtId="167" fontId="12" fillId="0" borderId="1" xfId="0" applyNumberFormat="1" applyFont="1" applyBorder="1" applyAlignment="1">
      <alignment horizontal="center" vertical="top"/>
    </xf>
    <xf numFmtId="1" fontId="12" fillId="3" borderId="5"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2" fillId="3" borderId="12" xfId="0" applyNumberFormat="1" applyFont="1" applyFill="1" applyBorder="1" applyAlignment="1">
      <alignment horizontal="center" vertical="center"/>
    </xf>
    <xf numFmtId="1" fontId="13" fillId="0" borderId="5"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44" fontId="13" fillId="0" borderId="5" xfId="7" applyFont="1" applyFill="1" applyBorder="1" applyAlignment="1">
      <alignment horizontal="center" vertical="center" wrapText="1"/>
    </xf>
    <xf numFmtId="44" fontId="13" fillId="0" borderId="12" xfId="7" applyFont="1" applyFill="1" applyBorder="1" applyAlignment="1">
      <alignment horizontal="center" vertical="center" wrapText="1"/>
    </xf>
    <xf numFmtId="164" fontId="13" fillId="0" borderId="5" xfId="7" applyNumberFormat="1" applyFont="1" applyFill="1" applyBorder="1" applyAlignment="1">
      <alignment horizontal="center" vertical="center" wrapText="1"/>
    </xf>
    <xf numFmtId="164" fontId="13" fillId="0" borderId="12" xfId="7" applyNumberFormat="1" applyFont="1" applyFill="1" applyBorder="1" applyAlignment="1">
      <alignment horizontal="center" vertical="center" wrapText="1"/>
    </xf>
    <xf numFmtId="0" fontId="13" fillId="5" borderId="1" xfId="0" applyFont="1" applyFill="1" applyBorder="1" applyAlignment="1">
      <alignment horizontal="center"/>
    </xf>
    <xf numFmtId="0" fontId="13" fillId="5" borderId="11" xfId="0" applyFont="1" applyFill="1" applyBorder="1" applyAlignment="1">
      <alignment horizontal="center"/>
    </xf>
    <xf numFmtId="0" fontId="13" fillId="5" borderId="12" xfId="0" applyFont="1" applyFill="1" applyBorder="1" applyAlignment="1">
      <alignment horizontal="center"/>
    </xf>
    <xf numFmtId="1" fontId="24" fillId="0" borderId="5" xfId="0" applyNumberFormat="1" applyFont="1" applyBorder="1" applyAlignment="1">
      <alignment horizontal="center" vertical="top" wrapText="1"/>
    </xf>
    <xf numFmtId="1" fontId="24" fillId="0" borderId="12" xfId="0" applyNumberFormat="1" applyFont="1" applyBorder="1" applyAlignment="1">
      <alignment horizontal="center" vertical="top" wrapText="1"/>
    </xf>
    <xf numFmtId="0" fontId="30" fillId="0" borderId="5" xfId="0" applyFont="1" applyBorder="1" applyAlignment="1">
      <alignment horizontal="center" vertical="center" wrapText="1"/>
    </xf>
    <xf numFmtId="0" fontId="30" fillId="0" borderId="12" xfId="0" applyFont="1" applyBorder="1" applyAlignment="1">
      <alignment horizontal="center" vertical="center" wrapText="1"/>
    </xf>
    <xf numFmtId="0" fontId="10" fillId="0" borderId="1" xfId="0" applyFont="1" applyBorder="1" applyAlignment="1">
      <alignment horizontal="center" vertical="top" wrapText="1"/>
    </xf>
    <xf numFmtId="0" fontId="10" fillId="0" borderId="1" xfId="0" applyFont="1" applyBorder="1" applyAlignment="1">
      <alignment horizontal="center"/>
    </xf>
    <xf numFmtId="0" fontId="10" fillId="0" borderId="5"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4" fillId="6" borderId="16" xfId="6" applyFont="1" applyFill="1" applyBorder="1" applyAlignment="1" applyProtection="1">
      <alignment horizontal="left" vertical="top" wrapText="1"/>
      <protection locked="0"/>
    </xf>
    <xf numFmtId="0" fontId="14" fillId="6" borderId="17" xfId="6" applyFont="1" applyFill="1" applyBorder="1" applyAlignment="1" applyProtection="1">
      <alignment horizontal="left" vertical="top" wrapText="1"/>
      <protection locked="0"/>
    </xf>
    <xf numFmtId="0" fontId="14" fillId="6" borderId="21" xfId="6" applyFont="1" applyFill="1" applyBorder="1" applyAlignment="1" applyProtection="1">
      <alignment horizontal="left" vertical="top" wrapText="1"/>
      <protection locked="0"/>
    </xf>
    <xf numFmtId="0" fontId="14" fillId="6" borderId="1" xfId="6" applyFont="1" applyFill="1" applyBorder="1" applyAlignment="1" applyProtection="1">
      <alignment horizontal="left" vertical="top" wrapText="1"/>
      <protection locked="0"/>
    </xf>
    <xf numFmtId="0" fontId="14" fillId="7" borderId="25" xfId="6" applyFont="1" applyFill="1" applyBorder="1" applyAlignment="1" applyProtection="1">
      <alignment horizontal="left" vertical="top" wrapText="1"/>
      <protection locked="0"/>
    </xf>
    <xf numFmtId="0" fontId="14" fillId="7" borderId="11" xfId="6" applyFont="1" applyFill="1" applyBorder="1" applyAlignment="1" applyProtection="1">
      <alignment horizontal="left" vertical="top" wrapText="1"/>
      <protection locked="0"/>
    </xf>
    <xf numFmtId="0" fontId="14" fillId="7" borderId="26" xfId="6" applyFont="1" applyFill="1" applyBorder="1" applyAlignment="1" applyProtection="1">
      <alignment horizontal="left" vertical="top" wrapText="1"/>
      <protection locked="0"/>
    </xf>
    <xf numFmtId="0" fontId="27" fillId="7" borderId="5" xfId="6" applyFont="1" applyFill="1" applyBorder="1" applyAlignment="1" applyProtection="1">
      <alignment horizontal="center" vertical="center" wrapText="1"/>
      <protection locked="0"/>
    </xf>
    <xf numFmtId="0" fontId="27" fillId="7" borderId="26" xfId="6" applyFont="1" applyFill="1" applyBorder="1" applyAlignment="1" applyProtection="1">
      <alignment horizontal="center" vertical="center" wrapText="1"/>
      <protection locked="0"/>
    </xf>
    <xf numFmtId="9" fontId="27" fillId="7" borderId="13" xfId="6" applyNumberFormat="1" applyFont="1" applyFill="1" applyBorder="1" applyAlignment="1" applyProtection="1">
      <alignment horizontal="center" vertical="center" wrapText="1"/>
      <protection hidden="1"/>
    </xf>
    <xf numFmtId="9" fontId="27" fillId="7" borderId="27" xfId="6" applyNumberFormat="1" applyFont="1" applyFill="1" applyBorder="1" applyAlignment="1" applyProtection="1">
      <alignment horizontal="center" vertical="center" wrapText="1"/>
      <protection hidden="1"/>
    </xf>
    <xf numFmtId="9" fontId="27" fillId="7" borderId="8" xfId="6" applyNumberFormat="1" applyFont="1" applyFill="1" applyBorder="1" applyAlignment="1" applyProtection="1">
      <alignment horizontal="center" vertical="center" wrapText="1"/>
      <protection hidden="1"/>
    </xf>
    <xf numFmtId="9" fontId="27" fillId="7" borderId="23" xfId="6" applyNumberFormat="1" applyFont="1" applyFill="1" applyBorder="1" applyAlignment="1" applyProtection="1">
      <alignment horizontal="center" vertical="center" wrapText="1"/>
      <protection hidden="1"/>
    </xf>
    <xf numFmtId="9" fontId="27" fillId="7" borderId="30" xfId="6" applyNumberFormat="1" applyFont="1" applyFill="1" applyBorder="1" applyAlignment="1" applyProtection="1">
      <alignment horizontal="center" vertical="center" wrapText="1"/>
      <protection hidden="1"/>
    </xf>
    <xf numFmtId="9" fontId="27" fillId="7" borderId="31" xfId="6" applyNumberFormat="1" applyFont="1" applyFill="1" applyBorder="1" applyAlignment="1" applyProtection="1">
      <alignment horizontal="center" vertical="center" wrapText="1"/>
      <protection hidden="1"/>
    </xf>
    <xf numFmtId="165" fontId="12" fillId="0" borderId="5" xfId="0" applyNumberFormat="1" applyFont="1" applyBorder="1" applyAlignment="1">
      <alignment horizontal="center"/>
    </xf>
    <xf numFmtId="165" fontId="12" fillId="0" borderId="12" xfId="0" applyNumberFormat="1" applyFont="1" applyBorder="1" applyAlignment="1">
      <alignment horizontal="center"/>
    </xf>
  </cellXfs>
  <cellStyles count="9">
    <cellStyle name="Comma" xfId="8" builtinId="3"/>
    <cellStyle name="Currency" xfId="7" builtinId="4"/>
    <cellStyle name="Excel Built-in Normal" xfId="1"/>
    <cellStyle name="Excel Built-in Normal 2" xfId="2"/>
    <cellStyle name="Hyperlink" xfId="3" builtinId="8"/>
    <cellStyle name="Normal" xfId="0" builtinId="0"/>
    <cellStyle name="Normal 2" xfId="4"/>
    <cellStyle name="Normal 3" xfId="6"/>
    <cellStyle name="Normal 3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18" Type="http://schemas.openxmlformats.org/officeDocument/2006/relationships/image" Target="../media/image17.png"/><Relationship Id="rId26" Type="http://schemas.openxmlformats.org/officeDocument/2006/relationships/image" Target="../media/image25.pn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png"/><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2" Type="http://schemas.openxmlformats.org/officeDocument/2006/relationships/image" Target="../media/image2.png"/><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24" Type="http://schemas.openxmlformats.org/officeDocument/2006/relationships/image" Target="../media/image23.png"/><Relationship Id="rId5" Type="http://schemas.openxmlformats.org/officeDocument/2006/relationships/image" Target="../media/image5.png"/><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10" Type="http://schemas.openxmlformats.org/officeDocument/2006/relationships/image" Target="../media/image9.png"/><Relationship Id="rId19" Type="http://schemas.openxmlformats.org/officeDocument/2006/relationships/image" Target="../media/image18.png"/><Relationship Id="rId4" Type="http://schemas.openxmlformats.org/officeDocument/2006/relationships/image" Target="../media/image4.png"/><Relationship Id="rId9" Type="http://schemas.microsoft.com/office/2007/relationships/hdphoto" Target="../media/hdphoto1.wdp"/><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13</xdr:col>
      <xdr:colOff>552450</xdr:colOff>
      <xdr:row>171</xdr:row>
      <xdr:rowOff>130175</xdr:rowOff>
    </xdr:from>
    <xdr:to>
      <xdr:col>18</xdr:col>
      <xdr:colOff>62757</xdr:colOff>
      <xdr:row>189</xdr:row>
      <xdr:rowOff>18600</xdr:rowOff>
    </xdr:to>
    <xdr:pic>
      <xdr:nvPicPr>
        <xdr:cNvPr id="5" name="Picture 4"/>
        <xdr:cNvPicPr>
          <a:picLocks noChangeAspect="1"/>
        </xdr:cNvPicPr>
      </xdr:nvPicPr>
      <xdr:blipFill>
        <a:blip xmlns:r="http://schemas.openxmlformats.org/officeDocument/2006/relationships" r:embed="rId1"/>
        <a:stretch>
          <a:fillRect/>
        </a:stretch>
      </xdr:blipFill>
      <xdr:spPr>
        <a:xfrm>
          <a:off x="9175750" y="42916475"/>
          <a:ext cx="2964706" cy="3615875"/>
        </a:xfrm>
        <a:prstGeom prst="rect">
          <a:avLst/>
        </a:prstGeom>
        <a:ln>
          <a:solidFill>
            <a:schemeClr val="tx1"/>
          </a:solidFill>
        </a:ln>
      </xdr:spPr>
    </xdr:pic>
    <xdr:clientData/>
  </xdr:twoCellAnchor>
  <xdr:twoCellAnchor editAs="oneCell">
    <xdr:from>
      <xdr:col>13</xdr:col>
      <xdr:colOff>860425</xdr:colOff>
      <xdr:row>182</xdr:row>
      <xdr:rowOff>292101</xdr:rowOff>
    </xdr:from>
    <xdr:to>
      <xdr:col>19</xdr:col>
      <xdr:colOff>332926</xdr:colOff>
      <xdr:row>194</xdr:row>
      <xdr:rowOff>3582</xdr:rowOff>
    </xdr:to>
    <xdr:pic>
      <xdr:nvPicPr>
        <xdr:cNvPr id="6" name="Picture 5"/>
        <xdr:cNvPicPr>
          <a:picLocks noChangeAspect="1"/>
        </xdr:cNvPicPr>
      </xdr:nvPicPr>
      <xdr:blipFill>
        <a:blip xmlns:r="http://schemas.openxmlformats.org/officeDocument/2006/relationships" r:embed="rId2"/>
        <a:stretch>
          <a:fillRect/>
        </a:stretch>
      </xdr:blipFill>
      <xdr:spPr>
        <a:xfrm>
          <a:off x="9483725" y="45104051"/>
          <a:ext cx="3568250" cy="2740430"/>
        </a:xfrm>
        <a:prstGeom prst="rect">
          <a:avLst/>
        </a:prstGeom>
        <a:ln>
          <a:solidFill>
            <a:schemeClr val="tx1"/>
          </a:solidFill>
        </a:ln>
      </xdr:spPr>
    </xdr:pic>
    <xdr:clientData/>
  </xdr:twoCellAnchor>
  <xdr:twoCellAnchor editAs="oneCell">
    <xdr:from>
      <xdr:col>12</xdr:col>
      <xdr:colOff>336550</xdr:colOff>
      <xdr:row>57</xdr:row>
      <xdr:rowOff>850901</xdr:rowOff>
    </xdr:from>
    <xdr:to>
      <xdr:col>15</xdr:col>
      <xdr:colOff>409850</xdr:colOff>
      <xdr:row>61</xdr:row>
      <xdr:rowOff>24933</xdr:rowOff>
    </xdr:to>
    <xdr:pic>
      <xdr:nvPicPr>
        <xdr:cNvPr id="7" name="Picture 6"/>
        <xdr:cNvPicPr>
          <a:picLocks noChangeAspect="1"/>
        </xdr:cNvPicPr>
      </xdr:nvPicPr>
      <xdr:blipFill>
        <a:blip xmlns:r="http://schemas.openxmlformats.org/officeDocument/2006/relationships" r:embed="rId3"/>
        <a:stretch>
          <a:fillRect/>
        </a:stretch>
      </xdr:blipFill>
      <xdr:spPr>
        <a:xfrm>
          <a:off x="7683500" y="14262101"/>
          <a:ext cx="2880000" cy="694857"/>
        </a:xfrm>
        <a:prstGeom prst="rect">
          <a:avLst/>
        </a:prstGeom>
        <a:ln>
          <a:solidFill>
            <a:schemeClr val="tx1"/>
          </a:solidFill>
        </a:ln>
      </xdr:spPr>
    </xdr:pic>
    <xdr:clientData/>
  </xdr:twoCellAnchor>
  <xdr:twoCellAnchor editAs="oneCell">
    <xdr:from>
      <xdr:col>12</xdr:col>
      <xdr:colOff>400050</xdr:colOff>
      <xdr:row>116</xdr:row>
      <xdr:rowOff>127000</xdr:rowOff>
    </xdr:from>
    <xdr:to>
      <xdr:col>16</xdr:col>
      <xdr:colOff>552001</xdr:colOff>
      <xdr:row>120</xdr:row>
      <xdr:rowOff>376149</xdr:rowOff>
    </xdr:to>
    <xdr:pic>
      <xdr:nvPicPr>
        <xdr:cNvPr id="8" name="Picture 7"/>
        <xdr:cNvPicPr>
          <a:picLocks noChangeAspect="1"/>
        </xdr:cNvPicPr>
      </xdr:nvPicPr>
      <xdr:blipFill>
        <a:blip xmlns:r="http://schemas.openxmlformats.org/officeDocument/2006/relationships" r:embed="rId4"/>
        <a:stretch>
          <a:fillRect/>
        </a:stretch>
      </xdr:blipFill>
      <xdr:spPr>
        <a:xfrm>
          <a:off x="7747000" y="29286200"/>
          <a:ext cx="3600000" cy="1208000"/>
        </a:xfrm>
        <a:prstGeom prst="rect">
          <a:avLst/>
        </a:prstGeom>
        <a:ln>
          <a:solidFill>
            <a:schemeClr val="tx1"/>
          </a:solidFill>
        </a:ln>
      </xdr:spPr>
    </xdr:pic>
    <xdr:clientData/>
  </xdr:twoCellAnchor>
  <xdr:twoCellAnchor editAs="oneCell">
    <xdr:from>
      <xdr:col>3</xdr:col>
      <xdr:colOff>127000</xdr:colOff>
      <xdr:row>507</xdr:row>
      <xdr:rowOff>76200</xdr:rowOff>
    </xdr:from>
    <xdr:to>
      <xdr:col>9</xdr:col>
      <xdr:colOff>357631</xdr:colOff>
      <xdr:row>531</xdr:row>
      <xdr:rowOff>129000</xdr:rowOff>
    </xdr:to>
    <xdr:pic>
      <xdr:nvPicPr>
        <xdr:cNvPr id="9" name="Picture 8"/>
        <xdr:cNvPicPr>
          <a:picLocks noChangeAspect="1"/>
        </xdr:cNvPicPr>
      </xdr:nvPicPr>
      <xdr:blipFill>
        <a:blip xmlns:r="http://schemas.openxmlformats.org/officeDocument/2006/relationships" r:embed="rId5"/>
        <a:stretch>
          <a:fillRect/>
        </a:stretch>
      </xdr:blipFill>
      <xdr:spPr>
        <a:xfrm>
          <a:off x="1574800" y="91116150"/>
          <a:ext cx="4268484" cy="4320000"/>
        </a:xfrm>
        <a:prstGeom prst="rect">
          <a:avLst/>
        </a:prstGeom>
        <a:ln>
          <a:solidFill>
            <a:schemeClr val="tx1"/>
          </a:solidFill>
        </a:ln>
      </xdr:spPr>
    </xdr:pic>
    <xdr:clientData/>
  </xdr:twoCellAnchor>
  <xdr:twoCellAnchor editAs="oneCell">
    <xdr:from>
      <xdr:col>3</xdr:col>
      <xdr:colOff>370632</xdr:colOff>
      <xdr:row>532</xdr:row>
      <xdr:rowOff>65705</xdr:rowOff>
    </xdr:from>
    <xdr:to>
      <xdr:col>9</xdr:col>
      <xdr:colOff>113998</xdr:colOff>
      <xdr:row>550</xdr:row>
      <xdr:rowOff>105305</xdr:rowOff>
    </xdr:to>
    <xdr:pic>
      <xdr:nvPicPr>
        <xdr:cNvPr id="10" name="Picture 9"/>
        <xdr:cNvPicPr>
          <a:picLocks noChangeAspect="1"/>
        </xdr:cNvPicPr>
      </xdr:nvPicPr>
      <xdr:blipFill>
        <a:blip xmlns:r="http://schemas.openxmlformats.org/officeDocument/2006/relationships" r:embed="rId6"/>
        <a:stretch>
          <a:fillRect/>
        </a:stretch>
      </xdr:blipFill>
      <xdr:spPr>
        <a:xfrm>
          <a:off x="1818432" y="95550655"/>
          <a:ext cx="3781219" cy="3240000"/>
        </a:xfrm>
        <a:prstGeom prst="rect">
          <a:avLst/>
        </a:prstGeom>
        <a:ln>
          <a:solidFill>
            <a:schemeClr val="tx1"/>
          </a:solidFill>
        </a:ln>
      </xdr:spPr>
    </xdr:pic>
    <xdr:clientData/>
  </xdr:twoCellAnchor>
  <xdr:twoCellAnchor>
    <xdr:from>
      <xdr:col>1</xdr:col>
      <xdr:colOff>196850</xdr:colOff>
      <xdr:row>461</xdr:row>
      <xdr:rowOff>127000</xdr:rowOff>
    </xdr:from>
    <xdr:to>
      <xdr:col>11</xdr:col>
      <xdr:colOff>477789</xdr:colOff>
      <xdr:row>501</xdr:row>
      <xdr:rowOff>73722</xdr:rowOff>
    </xdr:to>
    <xdr:grpSp>
      <xdr:nvGrpSpPr>
        <xdr:cNvPr id="2" name="Group 1"/>
        <xdr:cNvGrpSpPr/>
      </xdr:nvGrpSpPr>
      <xdr:grpSpPr>
        <a:xfrm>
          <a:off x="577850" y="95605600"/>
          <a:ext cx="6272164" cy="7566722"/>
          <a:chOff x="596900" y="84232750"/>
          <a:chExt cx="6389639" cy="7058722"/>
        </a:xfrm>
      </xdr:grpSpPr>
      <xdr:pic>
        <xdr:nvPicPr>
          <xdr:cNvPr id="11" name="Picture 1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109206" y="89131080"/>
            <a:ext cx="2877333" cy="2160000"/>
          </a:xfrm>
          <a:prstGeom prst="rect">
            <a:avLst/>
          </a:prstGeom>
          <a:ln>
            <a:solidFill>
              <a:schemeClr val="tx1"/>
            </a:solidFill>
          </a:ln>
        </xdr:spPr>
      </xdr:pic>
      <xdr:pic>
        <xdr:nvPicPr>
          <xdr:cNvPr id="12" name="Picture 11"/>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596900" y="84232750"/>
            <a:ext cx="3117113" cy="2340000"/>
          </a:xfrm>
          <a:prstGeom prst="rect">
            <a:avLst/>
          </a:prstGeom>
          <a:ln>
            <a:solidFill>
              <a:schemeClr val="tx1"/>
            </a:solidFill>
          </a:ln>
        </xdr:spPr>
      </xdr:pic>
      <xdr:pic>
        <xdr:nvPicPr>
          <xdr:cNvPr id="13" name="Picture 1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596900" y="86681915"/>
            <a:ext cx="3117113" cy="2340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857483" y="86681915"/>
            <a:ext cx="3117113" cy="2340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96900" y="89131080"/>
            <a:ext cx="1618313" cy="216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857483" y="84232750"/>
            <a:ext cx="3117113" cy="234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353053" y="89131472"/>
            <a:ext cx="1618313" cy="2160000"/>
          </a:xfrm>
          <a:prstGeom prst="rect">
            <a:avLst/>
          </a:prstGeom>
          <a:ln>
            <a:solidFill>
              <a:schemeClr val="tx1"/>
            </a:solidFill>
          </a:ln>
        </xdr:spPr>
      </xdr:pic>
    </xdr:grpSp>
    <xdr:clientData/>
  </xdr:twoCellAnchor>
  <xdr:twoCellAnchor editAs="oneCell">
    <xdr:from>
      <xdr:col>2</xdr:col>
      <xdr:colOff>260350</xdr:colOff>
      <xdr:row>574</xdr:row>
      <xdr:rowOff>27139</xdr:rowOff>
    </xdr:from>
    <xdr:to>
      <xdr:col>10</xdr:col>
      <xdr:colOff>77586</xdr:colOff>
      <xdr:row>594</xdr:row>
      <xdr:rowOff>71139</xdr:rowOff>
    </xdr:to>
    <xdr:pic>
      <xdr:nvPicPr>
        <xdr:cNvPr id="18" name="Picture 17"/>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a:ext>
          </a:extLst>
        </a:blip>
        <a:srcRect/>
        <a:stretch/>
      </xdr:blipFill>
      <xdr:spPr>
        <a:xfrm>
          <a:off x="1111250" y="104268739"/>
          <a:ext cx="5048889" cy="3600000"/>
        </a:xfrm>
        <a:prstGeom prst="rect">
          <a:avLst/>
        </a:prstGeom>
        <a:ln>
          <a:solidFill>
            <a:schemeClr val="tx1"/>
          </a:solidFill>
        </a:ln>
      </xdr:spPr>
    </xdr:pic>
    <xdr:clientData/>
  </xdr:twoCellAnchor>
  <xdr:twoCellAnchor editAs="oneCell">
    <xdr:from>
      <xdr:col>3</xdr:col>
      <xdr:colOff>17062</xdr:colOff>
      <xdr:row>553</xdr:row>
      <xdr:rowOff>57150</xdr:rowOff>
    </xdr:from>
    <xdr:to>
      <xdr:col>9</xdr:col>
      <xdr:colOff>364664</xdr:colOff>
      <xdr:row>573</xdr:row>
      <xdr:rowOff>101150</xdr:rowOff>
    </xdr:to>
    <xdr:pic>
      <xdr:nvPicPr>
        <xdr:cNvPr id="19" name="Picture 18"/>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a:ext>
          </a:extLst>
        </a:blip>
        <a:srcRect/>
        <a:stretch/>
      </xdr:blipFill>
      <xdr:spPr>
        <a:xfrm>
          <a:off x="1464862" y="100564950"/>
          <a:ext cx="4385455" cy="3600000"/>
        </a:xfrm>
        <a:prstGeom prst="rect">
          <a:avLst/>
        </a:prstGeom>
        <a:ln>
          <a:solidFill>
            <a:schemeClr val="tx1"/>
          </a:solidFill>
        </a:ln>
      </xdr:spPr>
    </xdr:pic>
    <xdr:clientData/>
  </xdr:twoCellAnchor>
  <xdr:twoCellAnchor>
    <xdr:from>
      <xdr:col>6</xdr:col>
      <xdr:colOff>129081</xdr:colOff>
      <xdr:row>580</xdr:row>
      <xdr:rowOff>127496</xdr:rowOff>
    </xdr:from>
    <xdr:to>
      <xdr:col>7</xdr:col>
      <xdr:colOff>473377</xdr:colOff>
      <xdr:row>586</xdr:row>
      <xdr:rowOff>46938</xdr:rowOff>
    </xdr:to>
    <xdr:sp macro="" textlink="">
      <xdr:nvSpPr>
        <xdr:cNvPr id="20" name="Rectangle 19"/>
        <xdr:cNvSpPr/>
      </xdr:nvSpPr>
      <xdr:spPr>
        <a:xfrm rot="2922791">
          <a:off x="3322833" y="105442544"/>
          <a:ext cx="986242" cy="97294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1</xdr:col>
      <xdr:colOff>438150</xdr:colOff>
      <xdr:row>8</xdr:row>
      <xdr:rowOff>165100</xdr:rowOff>
    </xdr:from>
    <xdr:to>
      <xdr:col>10</xdr:col>
      <xdr:colOff>113453</xdr:colOff>
      <xdr:row>30</xdr:row>
      <xdr:rowOff>51650</xdr:rowOff>
    </xdr:to>
    <xdr:pic>
      <xdr:nvPicPr>
        <xdr:cNvPr id="21" name="Picture 20"/>
        <xdr:cNvPicPr>
          <a:picLocks noChangeAspect="1"/>
        </xdr:cNvPicPr>
      </xdr:nvPicPr>
      <xdr:blipFill>
        <a:blip xmlns:r="http://schemas.openxmlformats.org/officeDocument/2006/relationships" r:embed="rId17"/>
        <a:stretch>
          <a:fillRect/>
        </a:stretch>
      </xdr:blipFill>
      <xdr:spPr>
        <a:xfrm>
          <a:off x="838200" y="1854200"/>
          <a:ext cx="5400000" cy="3836250"/>
        </a:xfrm>
        <a:prstGeom prst="rect">
          <a:avLst/>
        </a:prstGeom>
        <a:ln>
          <a:solidFill>
            <a:schemeClr val="tx1"/>
          </a:solidFill>
        </a:ln>
      </xdr:spPr>
    </xdr:pic>
    <xdr:clientData/>
  </xdr:twoCellAnchor>
  <xdr:twoCellAnchor editAs="oneCell">
    <xdr:from>
      <xdr:col>12</xdr:col>
      <xdr:colOff>749300</xdr:colOff>
      <xdr:row>50</xdr:row>
      <xdr:rowOff>95250</xdr:rowOff>
    </xdr:from>
    <xdr:to>
      <xdr:col>16</xdr:col>
      <xdr:colOff>181251</xdr:colOff>
      <xdr:row>54</xdr:row>
      <xdr:rowOff>1456648</xdr:rowOff>
    </xdr:to>
    <xdr:pic>
      <xdr:nvPicPr>
        <xdr:cNvPr id="22" name="Picture 21"/>
        <xdr:cNvPicPr>
          <a:picLocks noChangeAspect="1"/>
        </xdr:cNvPicPr>
      </xdr:nvPicPr>
      <xdr:blipFill>
        <a:blip xmlns:r="http://schemas.openxmlformats.org/officeDocument/2006/relationships" r:embed="rId18"/>
        <a:stretch>
          <a:fillRect/>
        </a:stretch>
      </xdr:blipFill>
      <xdr:spPr>
        <a:xfrm>
          <a:off x="8096250" y="9791700"/>
          <a:ext cx="2880000" cy="2085298"/>
        </a:xfrm>
        <a:prstGeom prst="rect">
          <a:avLst/>
        </a:prstGeom>
        <a:ln>
          <a:solidFill>
            <a:schemeClr val="tx1"/>
          </a:solidFill>
        </a:ln>
      </xdr:spPr>
    </xdr:pic>
    <xdr:clientData/>
  </xdr:twoCellAnchor>
  <xdr:twoCellAnchor editAs="oneCell">
    <xdr:from>
      <xdr:col>12</xdr:col>
      <xdr:colOff>1270000</xdr:colOff>
      <xdr:row>232</xdr:row>
      <xdr:rowOff>19050</xdr:rowOff>
    </xdr:from>
    <xdr:to>
      <xdr:col>21</xdr:col>
      <xdr:colOff>15201</xdr:colOff>
      <xdr:row>244</xdr:row>
      <xdr:rowOff>66732</xdr:rowOff>
    </xdr:to>
    <xdr:pic>
      <xdr:nvPicPr>
        <xdr:cNvPr id="23" name="Picture 22"/>
        <xdr:cNvPicPr>
          <a:picLocks noChangeAspect="1"/>
        </xdr:cNvPicPr>
      </xdr:nvPicPr>
      <xdr:blipFill>
        <a:blip xmlns:r="http://schemas.openxmlformats.org/officeDocument/2006/relationships" r:embed="rId19"/>
        <a:stretch>
          <a:fillRect/>
        </a:stretch>
      </xdr:blipFill>
      <xdr:spPr>
        <a:xfrm>
          <a:off x="8616950" y="54902100"/>
          <a:ext cx="5400000" cy="2263832"/>
        </a:xfrm>
        <a:prstGeom prst="rect">
          <a:avLst/>
        </a:prstGeom>
        <a:ln>
          <a:solidFill>
            <a:schemeClr val="tx1"/>
          </a:solidFill>
        </a:ln>
      </xdr:spPr>
    </xdr:pic>
    <xdr:clientData/>
  </xdr:twoCellAnchor>
  <xdr:twoCellAnchor editAs="oneCell">
    <xdr:from>
      <xdr:col>14</xdr:col>
      <xdr:colOff>571500</xdr:colOff>
      <xdr:row>283</xdr:row>
      <xdr:rowOff>342900</xdr:rowOff>
    </xdr:from>
    <xdr:to>
      <xdr:col>23</xdr:col>
      <xdr:colOff>196175</xdr:colOff>
      <xdr:row>290</xdr:row>
      <xdr:rowOff>19213</xdr:rowOff>
    </xdr:to>
    <xdr:pic>
      <xdr:nvPicPr>
        <xdr:cNvPr id="24" name="Picture 23"/>
        <xdr:cNvPicPr>
          <a:picLocks noChangeAspect="1"/>
        </xdr:cNvPicPr>
      </xdr:nvPicPr>
      <xdr:blipFill>
        <a:blip xmlns:r="http://schemas.openxmlformats.org/officeDocument/2006/relationships" r:embed="rId20"/>
        <a:stretch>
          <a:fillRect/>
        </a:stretch>
      </xdr:blipFill>
      <xdr:spPr>
        <a:xfrm>
          <a:off x="9810750" y="60340875"/>
          <a:ext cx="5111075" cy="1324138"/>
        </a:xfrm>
        <a:prstGeom prst="rect">
          <a:avLst/>
        </a:prstGeom>
        <a:ln>
          <a:solidFill>
            <a:schemeClr val="tx1"/>
          </a:solidFill>
        </a:ln>
      </xdr:spPr>
    </xdr:pic>
    <xdr:clientData/>
  </xdr:twoCellAnchor>
  <xdr:twoCellAnchor editAs="oneCell">
    <xdr:from>
      <xdr:col>12</xdr:col>
      <xdr:colOff>647700</xdr:colOff>
      <xdr:row>300</xdr:row>
      <xdr:rowOff>114300</xdr:rowOff>
    </xdr:from>
    <xdr:to>
      <xdr:col>20</xdr:col>
      <xdr:colOff>34250</xdr:colOff>
      <xdr:row>312</xdr:row>
      <xdr:rowOff>133467</xdr:rowOff>
    </xdr:to>
    <xdr:pic>
      <xdr:nvPicPr>
        <xdr:cNvPr id="25" name="Picture 24"/>
        <xdr:cNvPicPr>
          <a:picLocks noChangeAspect="1"/>
        </xdr:cNvPicPr>
      </xdr:nvPicPr>
      <xdr:blipFill>
        <a:blip xmlns:r="http://schemas.openxmlformats.org/officeDocument/2006/relationships" r:embed="rId21"/>
        <a:stretch>
          <a:fillRect/>
        </a:stretch>
      </xdr:blipFill>
      <xdr:spPr>
        <a:xfrm>
          <a:off x="7994650" y="61233050"/>
          <a:ext cx="5400000" cy="2228967"/>
        </a:xfrm>
        <a:prstGeom prst="rect">
          <a:avLst/>
        </a:prstGeom>
        <a:ln>
          <a:solidFill>
            <a:schemeClr val="tx1"/>
          </a:solidFill>
        </a:ln>
      </xdr:spPr>
    </xdr:pic>
    <xdr:clientData/>
  </xdr:twoCellAnchor>
  <xdr:twoCellAnchor editAs="oneCell">
    <xdr:from>
      <xdr:col>12</xdr:col>
      <xdr:colOff>292100</xdr:colOff>
      <xdr:row>340</xdr:row>
      <xdr:rowOff>139700</xdr:rowOff>
    </xdr:from>
    <xdr:to>
      <xdr:col>19</xdr:col>
      <xdr:colOff>320001</xdr:colOff>
      <xdr:row>348</xdr:row>
      <xdr:rowOff>65319</xdr:rowOff>
    </xdr:to>
    <xdr:pic>
      <xdr:nvPicPr>
        <xdr:cNvPr id="26" name="Picture 25"/>
        <xdr:cNvPicPr>
          <a:picLocks noChangeAspect="1"/>
        </xdr:cNvPicPr>
      </xdr:nvPicPr>
      <xdr:blipFill>
        <a:blip xmlns:r="http://schemas.openxmlformats.org/officeDocument/2006/relationships" r:embed="rId22"/>
        <a:stretch>
          <a:fillRect/>
        </a:stretch>
      </xdr:blipFill>
      <xdr:spPr>
        <a:xfrm>
          <a:off x="7639050" y="69361050"/>
          <a:ext cx="5400000" cy="1398819"/>
        </a:xfrm>
        <a:prstGeom prst="rect">
          <a:avLst/>
        </a:prstGeom>
        <a:ln>
          <a:solidFill>
            <a:schemeClr val="tx1"/>
          </a:solidFill>
        </a:ln>
      </xdr:spPr>
    </xdr:pic>
    <xdr:clientData/>
  </xdr:twoCellAnchor>
  <xdr:twoCellAnchor editAs="oneCell">
    <xdr:from>
      <xdr:col>12</xdr:col>
      <xdr:colOff>381000</xdr:colOff>
      <xdr:row>380</xdr:row>
      <xdr:rowOff>69850</xdr:rowOff>
    </xdr:from>
    <xdr:to>
      <xdr:col>19</xdr:col>
      <xdr:colOff>408901</xdr:colOff>
      <xdr:row>386</xdr:row>
      <xdr:rowOff>71117</xdr:rowOff>
    </xdr:to>
    <xdr:pic>
      <xdr:nvPicPr>
        <xdr:cNvPr id="27" name="Picture 2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7727950" y="77393800"/>
          <a:ext cx="5400000" cy="1106167"/>
        </a:xfrm>
        <a:prstGeom prst="rect">
          <a:avLst/>
        </a:prstGeom>
        <a:ln>
          <a:solidFill>
            <a:schemeClr val="tx1"/>
          </a:solidFill>
        </a:ln>
      </xdr:spPr>
    </xdr:pic>
    <xdr:clientData/>
  </xdr:twoCellAnchor>
  <xdr:twoCellAnchor>
    <xdr:from>
      <xdr:col>1</xdr:col>
      <xdr:colOff>38100</xdr:colOff>
      <xdr:row>646</xdr:row>
      <xdr:rowOff>9525</xdr:rowOff>
    </xdr:from>
    <xdr:to>
      <xdr:col>11</xdr:col>
      <xdr:colOff>450000</xdr:colOff>
      <xdr:row>684</xdr:row>
      <xdr:rowOff>79748</xdr:rowOff>
    </xdr:to>
    <xdr:grpSp>
      <xdr:nvGrpSpPr>
        <xdr:cNvPr id="3" name="Group 2"/>
        <xdr:cNvGrpSpPr/>
      </xdr:nvGrpSpPr>
      <xdr:grpSpPr>
        <a:xfrm>
          <a:off x="419100" y="130778250"/>
          <a:ext cx="6403125" cy="7309223"/>
          <a:chOff x="419100" y="130825875"/>
          <a:chExt cx="6403125" cy="7309223"/>
        </a:xfrm>
      </xdr:grpSpPr>
      <xdr:pic>
        <xdr:nvPicPr>
          <xdr:cNvPr id="28" name="Picture 27"/>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419100" y="130825875"/>
            <a:ext cx="6403125" cy="360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419100" y="134535098"/>
            <a:ext cx="6403125" cy="3600000"/>
          </a:xfrm>
          <a:prstGeom prst="rect">
            <a:avLst/>
          </a:prstGeom>
          <a:ln>
            <a:solidFill>
              <a:schemeClr val="tx1"/>
            </a:solidFill>
          </a:ln>
        </xdr:spPr>
      </xdr:pic>
    </xdr:grpSp>
    <xdr:clientData/>
  </xdr:twoCellAnchor>
  <xdr:twoCellAnchor>
    <xdr:from>
      <xdr:col>1</xdr:col>
      <xdr:colOff>85725</xdr:colOff>
      <xdr:row>692</xdr:row>
      <xdr:rowOff>19050</xdr:rowOff>
    </xdr:from>
    <xdr:to>
      <xdr:col>11</xdr:col>
      <xdr:colOff>497625</xdr:colOff>
      <xdr:row>730</xdr:row>
      <xdr:rowOff>144042</xdr:rowOff>
    </xdr:to>
    <xdr:grpSp>
      <xdr:nvGrpSpPr>
        <xdr:cNvPr id="4" name="Group 3"/>
        <xdr:cNvGrpSpPr/>
      </xdr:nvGrpSpPr>
      <xdr:grpSpPr>
        <a:xfrm>
          <a:off x="466725" y="139550775"/>
          <a:ext cx="6403125" cy="7363992"/>
          <a:chOff x="466725" y="139598400"/>
          <a:chExt cx="6403125" cy="7363992"/>
        </a:xfrm>
      </xdr:grpSpPr>
      <xdr:pic>
        <xdr:nvPicPr>
          <xdr:cNvPr id="30" name="Picture 29"/>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466725" y="143362392"/>
            <a:ext cx="6403125" cy="360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466725" y="139598400"/>
            <a:ext cx="6403125" cy="3600000"/>
          </a:xfrm>
          <a:prstGeom prst="rect">
            <a:avLst/>
          </a:prstGeom>
          <a:ln>
            <a:solidFill>
              <a:schemeClr val="tx1"/>
            </a:solidFill>
          </a:ln>
        </xdr:spPr>
      </xdr:pic>
    </xdr:grpSp>
    <xdr:clientData/>
  </xdr:twoCellAnchor>
  <xdr:twoCellAnchor editAs="oneCell">
    <xdr:from>
      <xdr:col>0</xdr:col>
      <xdr:colOff>247651</xdr:colOff>
      <xdr:row>601</xdr:row>
      <xdr:rowOff>0</xdr:rowOff>
    </xdr:from>
    <xdr:to>
      <xdr:col>11</xdr:col>
      <xdr:colOff>278551</xdr:colOff>
      <xdr:row>619</xdr:row>
      <xdr:rowOff>171000</xdr:rowOff>
    </xdr:to>
    <xdr:pic>
      <xdr:nvPicPr>
        <xdr:cNvPr id="32" name="Picture 31"/>
        <xdr:cNvPicPr>
          <a:picLocks noChangeAspect="1"/>
        </xdr:cNvPicPr>
      </xdr:nvPicPr>
      <xdr:blipFill>
        <a:blip xmlns:r="http://schemas.openxmlformats.org/officeDocument/2006/relationships" r:embed="rId28"/>
        <a:stretch>
          <a:fillRect/>
        </a:stretch>
      </xdr:blipFill>
      <xdr:spPr>
        <a:xfrm>
          <a:off x="247651" y="122196225"/>
          <a:ext cx="6403125" cy="360000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14</xdr:row>
      <xdr:rowOff>0</xdr:rowOff>
    </xdr:from>
    <xdr:to>
      <xdr:col>7</xdr:col>
      <xdr:colOff>419185</xdr:colOff>
      <xdr:row>32</xdr:row>
      <xdr:rowOff>171000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582707" y="3249706"/>
          <a:ext cx="6403125" cy="3600000"/>
        </a:xfrm>
        <a:prstGeom prst="rect">
          <a:avLst/>
        </a:prstGeom>
      </xdr:spPr>
    </xdr:pic>
    <xdr:clientData/>
  </xdr:twoCellAnchor>
  <xdr:twoCellAnchor editAs="oneCell">
    <xdr:from>
      <xdr:col>1</xdr:col>
      <xdr:colOff>1</xdr:colOff>
      <xdr:row>34</xdr:row>
      <xdr:rowOff>0</xdr:rowOff>
    </xdr:from>
    <xdr:to>
      <xdr:col>7</xdr:col>
      <xdr:colOff>419185</xdr:colOff>
      <xdr:row>52</xdr:row>
      <xdr:rowOff>171000</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582707" y="7059706"/>
          <a:ext cx="6403125" cy="3600000"/>
        </a:xfrm>
        <a:prstGeom prst="rect">
          <a:avLst/>
        </a:prstGeom>
      </xdr:spPr>
    </xdr:pic>
    <xdr:clientData/>
  </xdr:twoCellAnchor>
  <xdr:twoCellAnchor editAs="oneCell">
    <xdr:from>
      <xdr:col>1</xdr:col>
      <xdr:colOff>1</xdr:colOff>
      <xdr:row>54</xdr:row>
      <xdr:rowOff>0</xdr:rowOff>
    </xdr:from>
    <xdr:to>
      <xdr:col>7</xdr:col>
      <xdr:colOff>419185</xdr:colOff>
      <xdr:row>72</xdr:row>
      <xdr:rowOff>171000</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3"/>
        <a:stretch>
          <a:fillRect/>
        </a:stretch>
      </xdr:blipFill>
      <xdr:spPr>
        <a:xfrm>
          <a:off x="582707" y="10679206"/>
          <a:ext cx="6403125" cy="3600000"/>
        </a:xfrm>
        <a:prstGeom prst="rect">
          <a:avLst/>
        </a:prstGeom>
      </xdr:spPr>
    </xdr:pic>
    <xdr:clientData/>
  </xdr:twoCellAnchor>
  <xdr:twoCellAnchor editAs="oneCell">
    <xdr:from>
      <xdr:col>1</xdr:col>
      <xdr:colOff>1</xdr:colOff>
      <xdr:row>74</xdr:row>
      <xdr:rowOff>0</xdr:rowOff>
    </xdr:from>
    <xdr:to>
      <xdr:col>7</xdr:col>
      <xdr:colOff>419185</xdr:colOff>
      <xdr:row>92</xdr:row>
      <xdr:rowOff>171000</xdr:rowOff>
    </xdr:to>
    <xdr:pic>
      <xdr:nvPicPr>
        <xdr:cNvPr id="5" name="Picture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4"/>
        <a:stretch>
          <a:fillRect/>
        </a:stretch>
      </xdr:blipFill>
      <xdr:spPr>
        <a:xfrm>
          <a:off x="582707" y="14489206"/>
          <a:ext cx="6403125" cy="3600000"/>
        </a:xfrm>
        <a:prstGeom prst="rect">
          <a:avLst/>
        </a:prstGeom>
      </xdr:spPr>
    </xdr:pic>
    <xdr:clientData/>
  </xdr:twoCellAnchor>
  <xdr:twoCellAnchor editAs="oneCell">
    <xdr:from>
      <xdr:col>1</xdr:col>
      <xdr:colOff>1</xdr:colOff>
      <xdr:row>94</xdr:row>
      <xdr:rowOff>0</xdr:rowOff>
    </xdr:from>
    <xdr:to>
      <xdr:col>7</xdr:col>
      <xdr:colOff>419185</xdr:colOff>
      <xdr:row>112</xdr:row>
      <xdr:rowOff>171000</xdr:rowOff>
    </xdr:to>
    <xdr:pic>
      <xdr:nvPicPr>
        <xdr:cNvPr id="6" name="Picture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a:stretch>
          <a:fillRect/>
        </a:stretch>
      </xdr:blipFill>
      <xdr:spPr>
        <a:xfrm>
          <a:off x="582707" y="18299206"/>
          <a:ext cx="6403125" cy="3600000"/>
        </a:xfrm>
        <a:prstGeom prst="rect">
          <a:avLst/>
        </a:prstGeom>
      </xdr:spPr>
    </xdr:pic>
    <xdr:clientData/>
  </xdr:twoCellAnchor>
  <xdr:twoCellAnchor editAs="oneCell">
    <xdr:from>
      <xdr:col>1</xdr:col>
      <xdr:colOff>1</xdr:colOff>
      <xdr:row>114</xdr:row>
      <xdr:rowOff>0</xdr:rowOff>
    </xdr:from>
    <xdr:to>
      <xdr:col>7</xdr:col>
      <xdr:colOff>419185</xdr:colOff>
      <xdr:row>132</xdr:row>
      <xdr:rowOff>171000</xdr:rowOff>
    </xdr:to>
    <xdr:pic>
      <xdr:nvPicPr>
        <xdr:cNvPr id="7" name="Picture 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6"/>
        <a:stretch>
          <a:fillRect/>
        </a:stretch>
      </xdr:blipFill>
      <xdr:spPr>
        <a:xfrm>
          <a:off x="582707" y="22109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Q4Zeze44h4CpkLnU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S882"/>
  <sheetViews>
    <sheetView tabSelected="1" view="pageBreakPreview" zoomScaleNormal="100" zoomScaleSheetLayoutView="100" zoomScalePageLayoutView="85" workbookViewId="0">
      <selection activeCell="O11" sqref="O11"/>
    </sheetView>
  </sheetViews>
  <sheetFormatPr defaultColWidth="9.140625" defaultRowHeight="15" x14ac:dyDescent="0.25"/>
  <cols>
    <col min="1" max="1" width="5.7109375" style="5" customWidth="1"/>
    <col min="2" max="2" width="7.140625" style="43" customWidth="1"/>
    <col min="3" max="3" width="8.5703125" style="44" customWidth="1"/>
    <col min="4" max="4" width="7.85546875" style="44" customWidth="1"/>
    <col min="5" max="5" width="8" style="44" customWidth="1"/>
    <col min="6" max="6" width="9.28515625" style="44" customWidth="1"/>
    <col min="7" max="7" width="9" style="5" customWidth="1"/>
    <col min="8" max="8" width="11.5703125" style="5" customWidth="1"/>
    <col min="9" max="9" width="12.28515625" style="5" customWidth="1"/>
    <col min="10" max="10" width="8.5703125" style="5" customWidth="1"/>
    <col min="11" max="11" width="7.5703125" style="5" customWidth="1"/>
    <col min="12" max="12" width="12" style="5" customWidth="1"/>
    <col min="13" max="13" width="18.28515625" style="5" customWidth="1"/>
    <col min="14" max="14" width="12.7109375" style="5" customWidth="1"/>
    <col min="15" max="16384" width="9.140625" style="5"/>
  </cols>
  <sheetData>
    <row r="2" spans="1:12" ht="18.75" x14ac:dyDescent="0.3">
      <c r="A2" s="346" t="s">
        <v>76</v>
      </c>
      <c r="B2" s="346"/>
      <c r="C2" s="346"/>
      <c r="D2" s="346"/>
      <c r="E2" s="346"/>
      <c r="F2" s="346"/>
      <c r="G2" s="346"/>
      <c r="H2" s="346"/>
      <c r="I2" s="346"/>
      <c r="J2" s="346"/>
      <c r="K2" s="346"/>
      <c r="L2" s="346"/>
    </row>
    <row r="3" spans="1:12" ht="18.75" x14ac:dyDescent="0.3">
      <c r="A3" s="29"/>
      <c r="B3" s="37"/>
      <c r="C3" s="38"/>
      <c r="D3" s="38"/>
      <c r="E3" s="38"/>
      <c r="F3" s="38"/>
      <c r="G3" s="29"/>
      <c r="H3" s="29"/>
      <c r="I3" s="29"/>
      <c r="J3" s="29"/>
      <c r="K3" s="29"/>
      <c r="L3" s="29"/>
    </row>
    <row r="4" spans="1:12" ht="18.75" x14ac:dyDescent="0.3">
      <c r="A4" s="346" t="s">
        <v>77</v>
      </c>
      <c r="B4" s="346"/>
      <c r="C4" s="346"/>
      <c r="D4" s="346"/>
      <c r="E4" s="346"/>
      <c r="F4" s="346"/>
      <c r="G4" s="346"/>
      <c r="H4" s="346"/>
      <c r="I4" s="346"/>
      <c r="J4" s="346"/>
      <c r="K4" s="346"/>
      <c r="L4" s="346"/>
    </row>
    <row r="5" spans="1:12" ht="18.75" x14ac:dyDescent="0.3">
      <c r="A5" s="29"/>
      <c r="B5" s="37"/>
      <c r="C5" s="38"/>
      <c r="D5" s="38"/>
      <c r="E5" s="38"/>
      <c r="F5" s="38"/>
      <c r="G5" s="29"/>
      <c r="H5" s="29"/>
      <c r="I5" s="29"/>
      <c r="J5" s="29"/>
      <c r="K5" s="29"/>
      <c r="L5" s="29"/>
    </row>
    <row r="6" spans="1:12" ht="18.75" x14ac:dyDescent="0.3">
      <c r="A6" s="347" t="s">
        <v>608</v>
      </c>
      <c r="B6" s="348"/>
      <c r="C6" s="348"/>
      <c r="D6" s="348"/>
      <c r="E6" s="348"/>
      <c r="F6" s="348"/>
      <c r="G6" s="348"/>
      <c r="H6" s="348"/>
      <c r="I6" s="348"/>
      <c r="J6" s="348"/>
      <c r="K6" s="348"/>
      <c r="L6" s="348"/>
    </row>
    <row r="7" spans="1:12" x14ac:dyDescent="0.25">
      <c r="A7" s="144"/>
      <c r="B7" s="145"/>
      <c r="C7" s="146"/>
      <c r="D7" s="146"/>
      <c r="E7" s="146"/>
      <c r="F7" s="146"/>
      <c r="G7" s="144"/>
      <c r="H7" s="144"/>
      <c r="I7" s="144"/>
      <c r="J7" s="144"/>
      <c r="K7" s="144"/>
      <c r="L7" s="144"/>
    </row>
    <row r="8" spans="1:12" ht="17.45" customHeight="1" x14ac:dyDescent="0.25">
      <c r="A8" s="349" t="s">
        <v>609</v>
      </c>
      <c r="B8" s="349"/>
      <c r="C8" s="349"/>
      <c r="D8" s="349"/>
      <c r="E8" s="349"/>
      <c r="F8" s="349"/>
      <c r="G8" s="349"/>
      <c r="H8" s="349"/>
      <c r="I8" s="349"/>
      <c r="J8" s="349"/>
      <c r="K8" s="349"/>
      <c r="L8" s="349"/>
    </row>
    <row r="9" spans="1:12" ht="15.75" x14ac:dyDescent="0.25">
      <c r="A9" s="349"/>
      <c r="B9" s="349"/>
      <c r="C9" s="349"/>
      <c r="D9" s="349"/>
      <c r="E9" s="349"/>
      <c r="F9" s="349"/>
      <c r="G9" s="349"/>
      <c r="H9" s="349"/>
      <c r="I9" s="349"/>
      <c r="J9" s="349"/>
      <c r="K9" s="349"/>
      <c r="L9" s="349"/>
    </row>
    <row r="10" spans="1:12" ht="15.75" x14ac:dyDescent="0.25">
      <c r="A10" s="366"/>
      <c r="B10" s="366"/>
      <c r="C10" s="366"/>
      <c r="D10" s="366"/>
      <c r="E10" s="366"/>
      <c r="F10" s="366"/>
      <c r="G10" s="366"/>
      <c r="H10" s="366"/>
      <c r="I10" s="366"/>
      <c r="J10" s="366"/>
      <c r="K10" s="366"/>
      <c r="L10" s="366"/>
    </row>
    <row r="30" spans="1:12" ht="15.75" x14ac:dyDescent="0.25">
      <c r="A30" s="351" t="s">
        <v>78</v>
      </c>
      <c r="B30" s="351"/>
      <c r="C30" s="351"/>
      <c r="D30" s="351"/>
      <c r="E30" s="351"/>
      <c r="F30" s="351"/>
      <c r="G30" s="351"/>
      <c r="H30" s="351"/>
      <c r="I30" s="351"/>
      <c r="J30" s="351"/>
      <c r="K30" s="351"/>
      <c r="L30" s="351"/>
    </row>
    <row r="31" spans="1:12" ht="15.75" x14ac:dyDescent="0.25">
      <c r="A31" s="351"/>
      <c r="B31" s="351"/>
      <c r="C31" s="351"/>
      <c r="D31" s="351"/>
      <c r="E31" s="351"/>
      <c r="F31" s="351"/>
      <c r="G31" s="351"/>
      <c r="H31" s="351"/>
      <c r="I31" s="351"/>
      <c r="J31" s="351"/>
      <c r="K31" s="351"/>
      <c r="L31" s="351"/>
    </row>
    <row r="32" spans="1:12" ht="15.75" x14ac:dyDescent="0.25">
      <c r="A32" s="351" t="s">
        <v>360</v>
      </c>
      <c r="B32" s="351"/>
      <c r="C32" s="351"/>
      <c r="D32" s="351"/>
      <c r="E32" s="351"/>
      <c r="F32" s="351"/>
      <c r="G32" s="351"/>
      <c r="H32" s="351"/>
      <c r="I32" s="351"/>
      <c r="J32" s="351"/>
      <c r="K32" s="351"/>
      <c r="L32" s="351"/>
    </row>
    <row r="33" spans="1:12" ht="15.75" x14ac:dyDescent="0.25">
      <c r="A33" s="351" t="s">
        <v>115</v>
      </c>
      <c r="B33" s="351"/>
      <c r="C33" s="351"/>
      <c r="D33" s="351"/>
      <c r="E33" s="351"/>
      <c r="F33" s="351"/>
      <c r="G33" s="351"/>
      <c r="H33" s="351"/>
      <c r="I33" s="351"/>
      <c r="J33" s="351"/>
      <c r="K33" s="351"/>
      <c r="L33" s="351"/>
    </row>
    <row r="34" spans="1:12" ht="15.75" x14ac:dyDescent="0.25">
      <c r="A34" s="351" t="s">
        <v>116</v>
      </c>
      <c r="B34" s="351"/>
      <c r="C34" s="351"/>
      <c r="D34" s="351"/>
      <c r="E34" s="351"/>
      <c r="F34" s="351"/>
      <c r="G34" s="351"/>
      <c r="H34" s="351"/>
      <c r="I34" s="351"/>
      <c r="J34" s="351"/>
      <c r="K34" s="351"/>
      <c r="L34" s="351"/>
    </row>
    <row r="35" spans="1:12" ht="15.75" x14ac:dyDescent="0.25">
      <c r="A35" s="351" t="s">
        <v>117</v>
      </c>
      <c r="B35" s="351"/>
      <c r="C35" s="351"/>
      <c r="D35" s="351"/>
      <c r="E35" s="351"/>
      <c r="F35" s="351"/>
      <c r="G35" s="351"/>
      <c r="H35" s="351"/>
      <c r="I35" s="351"/>
      <c r="J35" s="351"/>
      <c r="K35" s="351"/>
      <c r="L35" s="351"/>
    </row>
    <row r="36" spans="1:12" ht="15.75" x14ac:dyDescent="0.25">
      <c r="A36" s="28"/>
      <c r="B36" s="39"/>
      <c r="C36" s="40"/>
      <c r="D36" s="40"/>
      <c r="E36" s="40"/>
      <c r="F36" s="40"/>
      <c r="G36" s="28"/>
      <c r="H36" s="28"/>
      <c r="I36" s="28"/>
      <c r="J36" s="28"/>
      <c r="K36" s="28"/>
      <c r="L36" s="28"/>
    </row>
    <row r="37" spans="1:12" ht="15.75" x14ac:dyDescent="0.25">
      <c r="A37" s="351" t="s">
        <v>119</v>
      </c>
      <c r="B37" s="351"/>
      <c r="C37" s="351"/>
      <c r="D37" s="351"/>
      <c r="E37" s="351"/>
      <c r="F37" s="351"/>
      <c r="G37" s="351"/>
      <c r="H37" s="351"/>
      <c r="I37" s="351"/>
      <c r="J37" s="351"/>
      <c r="K37" s="351"/>
      <c r="L37" s="351"/>
    </row>
    <row r="38" spans="1:12" x14ac:dyDescent="0.25">
      <c r="A38" s="27"/>
      <c r="B38" s="41"/>
      <c r="C38" s="42"/>
      <c r="D38" s="42"/>
      <c r="E38" s="42"/>
      <c r="F38" s="42"/>
      <c r="G38" s="27"/>
      <c r="H38" s="27"/>
      <c r="I38" s="27"/>
      <c r="J38" s="27"/>
      <c r="K38" s="27"/>
      <c r="L38" s="27"/>
    </row>
    <row r="39" spans="1:12" x14ac:dyDescent="0.25">
      <c r="A39" s="350" t="s">
        <v>118</v>
      </c>
      <c r="B39" s="350"/>
      <c r="C39" s="350"/>
      <c r="D39" s="350"/>
      <c r="E39" s="350"/>
      <c r="F39" s="350"/>
      <c r="G39" s="350"/>
      <c r="H39" s="350"/>
      <c r="I39" s="350"/>
      <c r="J39" s="350"/>
      <c r="K39" s="350"/>
      <c r="L39" s="350"/>
    </row>
    <row r="42" spans="1:12" ht="46.5" customHeight="1" x14ac:dyDescent="0.25">
      <c r="A42" s="363" t="s">
        <v>120</v>
      </c>
      <c r="B42" s="364"/>
      <c r="C42" s="364"/>
      <c r="D42" s="364"/>
      <c r="E42" s="364"/>
      <c r="F42" s="364"/>
      <c r="G42" s="364"/>
      <c r="H42" s="364"/>
      <c r="I42" s="364"/>
      <c r="J42" s="364"/>
      <c r="K42" s="364"/>
      <c r="L42" s="365"/>
    </row>
    <row r="43" spans="1:12" x14ac:dyDescent="0.25">
      <c r="A43" s="355" t="s">
        <v>66</v>
      </c>
      <c r="B43" s="356"/>
      <c r="C43" s="356"/>
      <c r="D43" s="356"/>
      <c r="E43" s="356"/>
      <c r="F43" s="356"/>
      <c r="G43" s="356"/>
      <c r="H43" s="356"/>
      <c r="I43" s="356"/>
      <c r="J43" s="356"/>
      <c r="K43" s="356"/>
      <c r="L43" s="357"/>
    </row>
    <row r="44" spans="1:12" x14ac:dyDescent="0.25">
      <c r="A44" s="358"/>
      <c r="B44" s="359"/>
      <c r="C44" s="359"/>
      <c r="D44" s="359"/>
      <c r="E44" s="359"/>
      <c r="F44" s="359"/>
      <c r="G44" s="359"/>
      <c r="H44" s="359"/>
      <c r="I44" s="359"/>
      <c r="J44" s="359"/>
      <c r="K44" s="359"/>
      <c r="L44" s="360"/>
    </row>
    <row r="45" spans="1:12" x14ac:dyDescent="0.25">
      <c r="A45" s="18"/>
      <c r="I45" s="5" t="s">
        <v>1</v>
      </c>
      <c r="K45" s="367" t="str">
        <f ca="1">TEXT(TODAY(),"DD/MM/YYYY")</f>
        <v>29/07/2025</v>
      </c>
      <c r="L45" s="368"/>
    </row>
    <row r="46" spans="1:12" x14ac:dyDescent="0.25">
      <c r="A46" s="18"/>
      <c r="L46" s="19"/>
    </row>
    <row r="47" spans="1:12" x14ac:dyDescent="0.25">
      <c r="A47" s="20"/>
      <c r="B47" s="369" t="s">
        <v>2</v>
      </c>
      <c r="C47" s="369"/>
      <c r="D47" s="369"/>
      <c r="E47" s="41"/>
      <c r="F47" s="42" t="s">
        <v>3</v>
      </c>
      <c r="G47" s="361" t="s">
        <v>598</v>
      </c>
      <c r="H47" s="361"/>
      <c r="I47" s="361"/>
      <c r="J47" s="361"/>
      <c r="K47" s="361"/>
      <c r="L47" s="362"/>
    </row>
    <row r="48" spans="1:12" x14ac:dyDescent="0.25">
      <c r="A48" s="18"/>
      <c r="C48" s="43"/>
      <c r="D48" s="43"/>
      <c r="E48" s="43"/>
      <c r="G48" s="11"/>
      <c r="H48" s="11"/>
      <c r="I48" s="11"/>
      <c r="J48" s="11"/>
      <c r="K48" s="11"/>
      <c r="L48" s="21"/>
    </row>
    <row r="49" spans="1:19" x14ac:dyDescent="0.25">
      <c r="A49" s="20"/>
      <c r="B49" s="369" t="s">
        <v>4</v>
      </c>
      <c r="C49" s="369"/>
      <c r="D49" s="369"/>
      <c r="E49" s="41"/>
      <c r="F49" s="42" t="s">
        <v>3</v>
      </c>
      <c r="G49" s="361" t="s">
        <v>609</v>
      </c>
      <c r="H49" s="361"/>
      <c r="I49" s="361"/>
      <c r="J49" s="361"/>
      <c r="K49" s="361"/>
      <c r="L49" s="362"/>
    </row>
    <row r="50" spans="1:19" x14ac:dyDescent="0.25">
      <c r="A50" s="22"/>
      <c r="B50" s="45"/>
      <c r="C50" s="46"/>
      <c r="D50" s="46"/>
      <c r="E50" s="46"/>
      <c r="F50" s="46"/>
      <c r="G50" s="14"/>
      <c r="H50" s="14"/>
      <c r="I50" s="14"/>
      <c r="J50" s="14"/>
      <c r="K50" s="14"/>
      <c r="L50" s="15"/>
    </row>
    <row r="51" spans="1:19" ht="15" customHeight="1" x14ac:dyDescent="0.25">
      <c r="A51" s="393" t="s">
        <v>55</v>
      </c>
      <c r="B51" s="394"/>
      <c r="C51" s="394"/>
      <c r="D51" s="394"/>
      <c r="E51" s="394"/>
      <c r="F51" s="394"/>
      <c r="G51" s="394"/>
      <c r="H51" s="394"/>
      <c r="I51" s="394"/>
      <c r="J51" s="394"/>
      <c r="K51" s="394"/>
      <c r="L51" s="395"/>
    </row>
    <row r="52" spans="1:19" x14ac:dyDescent="0.25">
      <c r="A52" s="52">
        <v>1</v>
      </c>
      <c r="B52" s="274" t="s">
        <v>8</v>
      </c>
      <c r="C52" s="274"/>
      <c r="D52" s="274"/>
      <c r="E52" s="274"/>
      <c r="F52" s="275"/>
      <c r="G52" s="184" t="s">
        <v>56</v>
      </c>
      <c r="H52" s="184"/>
      <c r="I52" s="184"/>
      <c r="J52" s="184"/>
      <c r="K52" s="184"/>
      <c r="L52" s="184"/>
    </row>
    <row r="53" spans="1:19" x14ac:dyDescent="0.25">
      <c r="A53" s="374">
        <v>2</v>
      </c>
      <c r="B53" s="274" t="s">
        <v>9</v>
      </c>
      <c r="C53" s="274"/>
      <c r="D53" s="274"/>
      <c r="E53" s="274"/>
      <c r="F53" s="275"/>
      <c r="G53" s="392">
        <v>45859</v>
      </c>
      <c r="H53" s="392"/>
      <c r="I53" s="392"/>
      <c r="J53" s="392"/>
      <c r="K53" s="392"/>
      <c r="L53" s="392"/>
    </row>
    <row r="54" spans="1:19" x14ac:dyDescent="0.25">
      <c r="A54" s="293"/>
      <c r="B54" s="274" t="s">
        <v>121</v>
      </c>
      <c r="C54" s="274"/>
      <c r="D54" s="274"/>
      <c r="E54" s="274"/>
      <c r="F54" s="275"/>
      <c r="G54" s="385" t="str">
        <f ca="1">TEXT(TODAY(),"DD/MM/YYYY")</f>
        <v>29/07/2025</v>
      </c>
      <c r="H54" s="385"/>
      <c r="I54" s="385"/>
      <c r="J54" s="385"/>
      <c r="K54" s="385"/>
      <c r="L54" s="385"/>
    </row>
    <row r="55" spans="1:19" ht="270" customHeight="1" x14ac:dyDescent="0.25">
      <c r="A55" s="53">
        <v>3</v>
      </c>
      <c r="B55" s="352" t="s">
        <v>122</v>
      </c>
      <c r="C55" s="353"/>
      <c r="D55" s="353"/>
      <c r="E55" s="353"/>
      <c r="F55" s="354"/>
      <c r="G55" s="227" t="s">
        <v>662</v>
      </c>
      <c r="H55" s="227"/>
      <c r="I55" s="227"/>
      <c r="J55" s="227"/>
      <c r="K55" s="227"/>
      <c r="L55" s="227"/>
    </row>
    <row r="56" spans="1:19" ht="46.5" customHeight="1" x14ac:dyDescent="0.25">
      <c r="A56" s="53">
        <v>4</v>
      </c>
      <c r="B56" s="352" t="s">
        <v>123</v>
      </c>
      <c r="C56" s="353"/>
      <c r="D56" s="353"/>
      <c r="E56" s="353"/>
      <c r="F56" s="354"/>
      <c r="G56" s="227" t="s">
        <v>610</v>
      </c>
      <c r="H56" s="227"/>
      <c r="I56" s="227"/>
      <c r="J56" s="227"/>
      <c r="K56" s="227"/>
      <c r="L56" s="227"/>
    </row>
    <row r="57" spans="1:19" x14ac:dyDescent="0.25">
      <c r="A57" s="374">
        <v>5</v>
      </c>
      <c r="B57" s="386" t="s">
        <v>124</v>
      </c>
      <c r="C57" s="387"/>
      <c r="D57" s="387"/>
      <c r="E57" s="387"/>
      <c r="F57" s="388"/>
      <c r="G57" s="397" t="s">
        <v>659</v>
      </c>
      <c r="H57" s="353"/>
      <c r="I57" s="353"/>
      <c r="J57" s="353"/>
      <c r="K57" s="353"/>
      <c r="L57" s="354"/>
    </row>
    <row r="58" spans="1:19" ht="72.75" customHeight="1" x14ac:dyDescent="0.25">
      <c r="A58" s="381"/>
      <c r="B58" s="389"/>
      <c r="C58" s="390"/>
      <c r="D58" s="390"/>
      <c r="E58" s="390"/>
      <c r="F58" s="391"/>
      <c r="G58" s="375"/>
      <c r="H58" s="376"/>
      <c r="I58" s="376"/>
      <c r="J58" s="376"/>
      <c r="K58" s="376"/>
      <c r="L58" s="377"/>
    </row>
    <row r="59" spans="1:19" ht="15.75" customHeight="1" x14ac:dyDescent="0.25">
      <c r="A59" s="13">
        <v>6.1</v>
      </c>
      <c r="B59" s="184" t="s">
        <v>465</v>
      </c>
      <c r="C59" s="184"/>
      <c r="D59" s="184"/>
      <c r="E59" s="184"/>
      <c r="F59" s="184"/>
      <c r="G59" s="227" t="s">
        <v>611</v>
      </c>
      <c r="H59" s="227"/>
      <c r="I59" s="227"/>
      <c r="J59" s="227"/>
      <c r="K59" s="227"/>
      <c r="L59" s="227"/>
    </row>
    <row r="60" spans="1:19" ht="15.75" customHeight="1" x14ac:dyDescent="0.25">
      <c r="A60" s="13">
        <v>6.2</v>
      </c>
      <c r="B60" s="184" t="s">
        <v>508</v>
      </c>
      <c r="C60" s="184"/>
      <c r="D60" s="184"/>
      <c r="E60" s="184"/>
      <c r="F60" s="184"/>
      <c r="G60" s="396">
        <v>46538</v>
      </c>
      <c r="H60" s="227"/>
      <c r="I60" s="227"/>
      <c r="J60" s="227"/>
      <c r="K60" s="227"/>
      <c r="L60" s="227"/>
    </row>
    <row r="61" spans="1:19" ht="15.75" customHeight="1" x14ac:dyDescent="0.25">
      <c r="A61" s="313" t="s">
        <v>10</v>
      </c>
      <c r="B61" s="314"/>
      <c r="C61" s="314"/>
      <c r="D61" s="314"/>
      <c r="E61" s="314"/>
      <c r="F61" s="314"/>
      <c r="G61" s="314"/>
      <c r="H61" s="314"/>
      <c r="I61" s="314"/>
      <c r="J61" s="314"/>
      <c r="K61" s="314"/>
      <c r="L61" s="315"/>
    </row>
    <row r="62" spans="1:19" x14ac:dyDescent="0.25">
      <c r="A62" s="53" t="s">
        <v>466</v>
      </c>
      <c r="B62" s="382" t="s">
        <v>393</v>
      </c>
      <c r="C62" s="383"/>
      <c r="D62" s="383"/>
      <c r="E62" s="383"/>
      <c r="F62" s="384"/>
      <c r="G62" s="273">
        <v>17</v>
      </c>
      <c r="H62" s="274"/>
      <c r="I62" s="274"/>
      <c r="J62" s="274"/>
      <c r="K62" s="274"/>
      <c r="L62" s="275"/>
      <c r="O62" s="103" t="s">
        <v>509</v>
      </c>
      <c r="P62" s="103" t="s">
        <v>510</v>
      </c>
      <c r="Q62" s="103" t="s">
        <v>511</v>
      </c>
      <c r="R62" s="103" t="s">
        <v>396</v>
      </c>
      <c r="S62" s="103" t="s">
        <v>512</v>
      </c>
    </row>
    <row r="63" spans="1:19" x14ac:dyDescent="0.25">
      <c r="A63" s="53" t="s">
        <v>467</v>
      </c>
      <c r="B63" s="222" t="s">
        <v>394</v>
      </c>
      <c r="C63" s="222"/>
      <c r="D63" s="222"/>
      <c r="E63" s="222"/>
      <c r="F63" s="222"/>
      <c r="G63" s="184">
        <v>20</v>
      </c>
      <c r="H63" s="184"/>
      <c r="I63" s="184"/>
      <c r="J63" s="184"/>
      <c r="K63" s="184"/>
      <c r="L63" s="184"/>
      <c r="O63" s="103" t="s">
        <v>509</v>
      </c>
      <c r="P63" s="103" t="s">
        <v>513</v>
      </c>
      <c r="Q63" s="103" t="s">
        <v>514</v>
      </c>
      <c r="R63" s="103" t="s">
        <v>515</v>
      </c>
      <c r="S63" s="103" t="s">
        <v>516</v>
      </c>
    </row>
    <row r="64" spans="1:19" x14ac:dyDescent="0.25">
      <c r="A64" s="53" t="s">
        <v>468</v>
      </c>
      <c r="B64" s="222" t="s">
        <v>397</v>
      </c>
      <c r="C64" s="222"/>
      <c r="D64" s="222"/>
      <c r="E64" s="222"/>
      <c r="F64" s="222"/>
      <c r="G64" s="184" t="s">
        <v>674</v>
      </c>
      <c r="H64" s="184"/>
      <c r="I64" s="184"/>
      <c r="J64" s="184"/>
      <c r="K64" s="184"/>
      <c r="L64" s="184"/>
      <c r="O64" s="103" t="s">
        <v>517</v>
      </c>
      <c r="P64" s="103" t="s">
        <v>518</v>
      </c>
      <c r="Q64" s="103" t="s">
        <v>519</v>
      </c>
      <c r="R64" s="103" t="s">
        <v>395</v>
      </c>
      <c r="S64" s="103" t="s">
        <v>520</v>
      </c>
    </row>
    <row r="65" spans="1:19" x14ac:dyDescent="0.25">
      <c r="A65" s="53">
        <v>2</v>
      </c>
      <c r="B65" s="229" t="s">
        <v>398</v>
      </c>
      <c r="C65" s="229"/>
      <c r="D65" s="229"/>
      <c r="E65" s="229"/>
      <c r="F65" s="229"/>
      <c r="G65" s="184" t="s">
        <v>627</v>
      </c>
      <c r="H65" s="184"/>
      <c r="I65" s="184"/>
      <c r="J65" s="184"/>
      <c r="K65" s="184"/>
      <c r="L65" s="184"/>
      <c r="O65" s="103" t="s">
        <v>521</v>
      </c>
      <c r="P65" s="103" t="s">
        <v>522</v>
      </c>
      <c r="Q65" s="103" t="s">
        <v>523</v>
      </c>
      <c r="R65" s="103" t="s">
        <v>524</v>
      </c>
      <c r="S65" s="103" t="s">
        <v>525</v>
      </c>
    </row>
    <row r="66" spans="1:19" x14ac:dyDescent="0.25">
      <c r="A66" s="53">
        <v>3</v>
      </c>
      <c r="B66" s="229" t="s">
        <v>125</v>
      </c>
      <c r="C66" s="229"/>
      <c r="D66" s="229"/>
      <c r="E66" s="229"/>
      <c r="F66" s="229"/>
      <c r="G66" s="227" t="s">
        <v>395</v>
      </c>
      <c r="H66" s="227"/>
      <c r="I66" s="227"/>
      <c r="J66" s="227"/>
      <c r="K66" s="227"/>
      <c r="L66" s="227"/>
      <c r="O66" s="103" t="s">
        <v>526</v>
      </c>
      <c r="P66" s="103" t="s">
        <v>527</v>
      </c>
      <c r="Q66" s="103" t="s">
        <v>511</v>
      </c>
      <c r="R66" s="103" t="s">
        <v>528</v>
      </c>
      <c r="S66" s="103" t="s">
        <v>529</v>
      </c>
    </row>
    <row r="67" spans="1:19" x14ac:dyDescent="0.25">
      <c r="A67" s="53">
        <v>4</v>
      </c>
      <c r="B67" s="229" t="s">
        <v>127</v>
      </c>
      <c r="C67" s="229"/>
      <c r="D67" s="229"/>
      <c r="E67" s="229"/>
      <c r="F67" s="229"/>
      <c r="G67" s="227" t="s">
        <v>395</v>
      </c>
      <c r="H67" s="227"/>
      <c r="I67" s="227"/>
      <c r="J67" s="227"/>
      <c r="K67" s="227"/>
      <c r="L67" s="227"/>
      <c r="O67" s="103" t="s">
        <v>530</v>
      </c>
      <c r="P67" s="103" t="s">
        <v>510</v>
      </c>
      <c r="Q67" s="103"/>
      <c r="R67" s="103" t="s">
        <v>531</v>
      </c>
      <c r="S67" s="103" t="s">
        <v>532</v>
      </c>
    </row>
    <row r="68" spans="1:19" x14ac:dyDescent="0.25">
      <c r="A68" s="53">
        <v>5</v>
      </c>
      <c r="B68" s="229" t="s">
        <v>126</v>
      </c>
      <c r="C68" s="229"/>
      <c r="D68" s="229"/>
      <c r="E68" s="229"/>
      <c r="F68" s="229"/>
      <c r="G68" s="227" t="s">
        <v>396</v>
      </c>
      <c r="H68" s="227"/>
      <c r="I68" s="227"/>
      <c r="J68" s="227"/>
      <c r="K68" s="227"/>
      <c r="L68" s="227"/>
      <c r="O68" s="103" t="s">
        <v>533</v>
      </c>
      <c r="P68" s="103" t="s">
        <v>534</v>
      </c>
      <c r="Q68" s="103"/>
      <c r="R68" s="103" t="s">
        <v>535</v>
      </c>
      <c r="S68" s="103" t="s">
        <v>536</v>
      </c>
    </row>
    <row r="69" spans="1:19" x14ac:dyDescent="0.25">
      <c r="A69" s="53">
        <v>6</v>
      </c>
      <c r="B69" s="229" t="s">
        <v>399</v>
      </c>
      <c r="C69" s="229"/>
      <c r="D69" s="229"/>
      <c r="E69" s="229"/>
      <c r="F69" s="229"/>
      <c r="G69" s="227">
        <v>410206</v>
      </c>
      <c r="H69" s="227"/>
      <c r="I69" s="227"/>
      <c r="J69" s="227"/>
      <c r="K69" s="227"/>
      <c r="L69" s="227"/>
      <c r="O69" s="103" t="s">
        <v>537</v>
      </c>
      <c r="P69" s="103" t="s">
        <v>538</v>
      </c>
      <c r="Q69" s="103"/>
      <c r="R69" s="103" t="s">
        <v>539</v>
      </c>
      <c r="S69" s="103" t="s">
        <v>540</v>
      </c>
    </row>
    <row r="70" spans="1:19" ht="30.95" customHeight="1" x14ac:dyDescent="0.25">
      <c r="A70" s="53">
        <v>7</v>
      </c>
      <c r="B70" s="229" t="s">
        <v>128</v>
      </c>
      <c r="C70" s="229"/>
      <c r="D70" s="229"/>
      <c r="E70" s="229"/>
      <c r="F70" s="229"/>
      <c r="G70" s="227" t="str">
        <f>CONCATENATE((IF(OR(G49="",G49="NA"),"",G49)),", ",(IF(OR(B62="",B62="NA"),"",B62)),".",(IF(OR(G62="",G62="NA"),"",G62)),", ",(IF(OR(B63="",B63="NA"),"",B63)),". ",(IF(OR(G63="",G63="NA"),"",G63)),", near ",(IF(OR(G64="",G64="NA"),"",G64)),", ",(IF(OR(G65="",G65="NA"),"",G65)),", ",(IF(OR(G66="",G66="NA"),"",G66)),", ",(IF(OR(G71="",G71="NA"),"",G71)),", ",(IF(OR(G67="",G67="NA"),"",G67)),", ",(IF(OR(G68="",G68="NA"),"",G68))," - ",(IF(OR(G69="",G69="NA"),"",G69)),".")</f>
        <v>Shivsagar, Plot No.17, Sector. 20, near Tricity Crest, Internal Road, Panvel, Panvel, Panvel, Raigad - 410206.</v>
      </c>
      <c r="H70" s="227"/>
      <c r="I70" s="227"/>
      <c r="J70" s="227"/>
      <c r="K70" s="227"/>
      <c r="L70" s="227"/>
      <c r="O70" s="103"/>
      <c r="P70" s="103"/>
      <c r="Q70" s="103"/>
      <c r="R70" s="103" t="s">
        <v>541</v>
      </c>
      <c r="S70" s="103" t="s">
        <v>542</v>
      </c>
    </row>
    <row r="71" spans="1:19" x14ac:dyDescent="0.25">
      <c r="A71" s="374">
        <v>8</v>
      </c>
      <c r="B71" s="222" t="s">
        <v>129</v>
      </c>
      <c r="C71" s="222"/>
      <c r="D71" s="222"/>
      <c r="E71" s="222"/>
      <c r="F71" s="222"/>
      <c r="G71" s="227" t="s">
        <v>395</v>
      </c>
      <c r="H71" s="227"/>
      <c r="I71" s="227"/>
      <c r="J71" s="227"/>
      <c r="K71" s="227"/>
      <c r="L71" s="227"/>
      <c r="O71" s="103"/>
      <c r="P71" s="103"/>
      <c r="Q71" s="103"/>
      <c r="R71" s="103" t="s">
        <v>543</v>
      </c>
      <c r="S71" s="103" t="s">
        <v>544</v>
      </c>
    </row>
    <row r="72" spans="1:19" x14ac:dyDescent="0.25">
      <c r="A72" s="381"/>
      <c r="B72" s="222" t="s">
        <v>130</v>
      </c>
      <c r="C72" s="222"/>
      <c r="D72" s="222"/>
      <c r="E72" s="222"/>
      <c r="F72" s="222"/>
      <c r="G72" s="227" t="s">
        <v>53</v>
      </c>
      <c r="H72" s="227"/>
      <c r="I72" s="227"/>
      <c r="J72" s="227"/>
      <c r="K72" s="227"/>
      <c r="L72" s="227"/>
      <c r="O72" s="103"/>
      <c r="P72" s="103"/>
      <c r="Q72" s="103"/>
      <c r="R72" s="103" t="s">
        <v>545</v>
      </c>
      <c r="S72" s="103" t="s">
        <v>546</v>
      </c>
    </row>
    <row r="73" spans="1:19" x14ac:dyDescent="0.25">
      <c r="A73" s="381"/>
      <c r="B73" s="222" t="s">
        <v>131</v>
      </c>
      <c r="C73" s="222"/>
      <c r="D73" s="222"/>
      <c r="E73" s="222"/>
      <c r="F73" s="222"/>
      <c r="G73" s="227" t="s">
        <v>53</v>
      </c>
      <c r="H73" s="227"/>
      <c r="I73" s="227"/>
      <c r="J73" s="227"/>
      <c r="K73" s="227"/>
      <c r="L73" s="227"/>
      <c r="O73" s="103"/>
      <c r="P73" s="103"/>
      <c r="Q73" s="103"/>
      <c r="R73" s="103" t="s">
        <v>547</v>
      </c>
      <c r="S73" s="103" t="s">
        <v>548</v>
      </c>
    </row>
    <row r="74" spans="1:19" x14ac:dyDescent="0.25">
      <c r="A74" s="293"/>
      <c r="B74" s="222" t="s">
        <v>132</v>
      </c>
      <c r="C74" s="222"/>
      <c r="D74" s="222"/>
      <c r="E74" s="222"/>
      <c r="F74" s="222"/>
      <c r="G74" s="227" t="s">
        <v>54</v>
      </c>
      <c r="H74" s="227"/>
      <c r="I74" s="227"/>
      <c r="J74" s="227"/>
      <c r="K74" s="227"/>
      <c r="L74" s="227"/>
      <c r="O74" s="103"/>
      <c r="P74" s="103"/>
      <c r="Q74" s="103"/>
      <c r="R74" s="103" t="s">
        <v>549</v>
      </c>
      <c r="S74" s="103" t="s">
        <v>550</v>
      </c>
    </row>
    <row r="75" spans="1:19" x14ac:dyDescent="0.25">
      <c r="A75" s="374">
        <v>9</v>
      </c>
      <c r="B75" s="230" t="s">
        <v>133</v>
      </c>
      <c r="C75" s="231"/>
      <c r="D75" s="231"/>
      <c r="E75" s="231"/>
      <c r="F75" s="231"/>
      <c r="G75" s="231"/>
      <c r="H75" s="231"/>
      <c r="I75" s="231"/>
      <c r="J75" s="231"/>
      <c r="K75" s="231"/>
      <c r="L75" s="232"/>
      <c r="O75" s="103"/>
      <c r="P75" s="103"/>
      <c r="Q75" s="103"/>
      <c r="R75" s="103" t="s">
        <v>551</v>
      </c>
      <c r="S75" s="103" t="s">
        <v>552</v>
      </c>
    </row>
    <row r="76" spans="1:19" x14ac:dyDescent="0.25">
      <c r="A76" s="381"/>
      <c r="B76" s="229" t="s">
        <v>134</v>
      </c>
      <c r="C76" s="229"/>
      <c r="D76" s="229"/>
      <c r="E76" s="229"/>
      <c r="F76" s="229"/>
      <c r="G76" s="227" t="str">
        <f>IF(AND(G68="Mumbai"),"Upper Class","Middle Class")</f>
        <v>Middle Class</v>
      </c>
      <c r="H76" s="227"/>
      <c r="I76" s="227"/>
      <c r="J76" s="227"/>
      <c r="K76" s="227"/>
      <c r="L76" s="227"/>
      <c r="O76" s="103"/>
      <c r="P76" s="103"/>
      <c r="Q76" s="103"/>
      <c r="R76" s="103" t="s">
        <v>553</v>
      </c>
      <c r="S76" s="103" t="s">
        <v>554</v>
      </c>
    </row>
    <row r="77" spans="1:19" x14ac:dyDescent="0.25">
      <c r="A77" s="293"/>
      <c r="B77" s="229" t="s">
        <v>135</v>
      </c>
      <c r="C77" s="229"/>
      <c r="D77" s="229"/>
      <c r="E77" s="229"/>
      <c r="F77" s="229"/>
      <c r="G77" s="227" t="s">
        <v>618</v>
      </c>
      <c r="H77" s="227"/>
      <c r="I77" s="227"/>
      <c r="J77" s="227"/>
      <c r="K77" s="227"/>
      <c r="L77" s="227"/>
    </row>
    <row r="78" spans="1:19" ht="30.75" customHeight="1" x14ac:dyDescent="0.25">
      <c r="A78" s="53">
        <v>10</v>
      </c>
      <c r="B78" s="184" t="s">
        <v>136</v>
      </c>
      <c r="C78" s="229"/>
      <c r="D78" s="229"/>
      <c r="E78" s="229"/>
      <c r="F78" s="229"/>
      <c r="G78" s="227" t="s">
        <v>557</v>
      </c>
      <c r="H78" s="227"/>
      <c r="I78" s="227"/>
      <c r="J78" s="227"/>
      <c r="K78" s="227"/>
      <c r="L78" s="227"/>
      <c r="O78" s="1" t="s">
        <v>511</v>
      </c>
      <c r="P78" s="1" t="s">
        <v>509</v>
      </c>
      <c r="Q78" s="1" t="s">
        <v>396</v>
      </c>
      <c r="R78" s="1" t="s">
        <v>510</v>
      </c>
    </row>
    <row r="79" spans="1:19" ht="63" customHeight="1" x14ac:dyDescent="0.25">
      <c r="A79" s="53">
        <v>11</v>
      </c>
      <c r="B79" s="184" t="s">
        <v>400</v>
      </c>
      <c r="C79" s="229"/>
      <c r="D79" s="229"/>
      <c r="E79" s="229"/>
      <c r="F79" s="229"/>
      <c r="G79" s="227" t="s">
        <v>54</v>
      </c>
      <c r="H79" s="227"/>
      <c r="I79" s="227"/>
      <c r="J79" s="227"/>
      <c r="K79" s="227"/>
      <c r="L79" s="227"/>
      <c r="O79" s="1" t="s">
        <v>555</v>
      </c>
      <c r="P79" s="1" t="s">
        <v>556</v>
      </c>
      <c r="Q79" s="1" t="s">
        <v>557</v>
      </c>
      <c r="R79" s="1" t="s">
        <v>558</v>
      </c>
    </row>
    <row r="80" spans="1:19" ht="32.25" customHeight="1" x14ac:dyDescent="0.25">
      <c r="A80" s="53">
        <v>12</v>
      </c>
      <c r="B80" s="184" t="s">
        <v>401</v>
      </c>
      <c r="C80" s="229"/>
      <c r="D80" s="229"/>
      <c r="E80" s="229"/>
      <c r="F80" s="229"/>
      <c r="G80" s="227" t="s">
        <v>51</v>
      </c>
      <c r="H80" s="227"/>
      <c r="I80" s="227"/>
      <c r="J80" s="227"/>
      <c r="K80" s="227"/>
      <c r="L80" s="227"/>
      <c r="O80" s="1" t="s">
        <v>559</v>
      </c>
      <c r="P80" s="1" t="s">
        <v>560</v>
      </c>
      <c r="Q80" s="1" t="s">
        <v>561</v>
      </c>
      <c r="R80" s="1" t="s">
        <v>562</v>
      </c>
    </row>
    <row r="81" spans="1:18" x14ac:dyDescent="0.25">
      <c r="A81" s="26">
        <v>13</v>
      </c>
      <c r="B81" s="229" t="s">
        <v>137</v>
      </c>
      <c r="C81" s="229"/>
      <c r="D81" s="229"/>
      <c r="E81" s="229"/>
      <c r="F81" s="229"/>
      <c r="G81" s="229"/>
      <c r="H81" s="229"/>
      <c r="I81" s="229"/>
      <c r="J81" s="229"/>
      <c r="K81" s="229"/>
      <c r="L81" s="229"/>
      <c r="O81" s="1" t="s">
        <v>563</v>
      </c>
      <c r="P81" s="1" t="s">
        <v>564</v>
      </c>
      <c r="Q81" s="1" t="s">
        <v>565</v>
      </c>
      <c r="R81" s="1" t="s">
        <v>566</v>
      </c>
    </row>
    <row r="82" spans="1:18" ht="15.75" x14ac:dyDescent="0.25">
      <c r="A82" s="322"/>
      <c r="B82" s="323"/>
      <c r="C82" s="323"/>
      <c r="D82" s="324"/>
      <c r="E82" s="401" t="s">
        <v>49</v>
      </c>
      <c r="F82" s="401"/>
      <c r="G82" s="372" t="s">
        <v>50</v>
      </c>
      <c r="H82" s="373"/>
      <c r="I82" s="372" t="s">
        <v>47</v>
      </c>
      <c r="J82" s="373"/>
      <c r="K82" s="401" t="s">
        <v>48</v>
      </c>
      <c r="L82" s="401"/>
      <c r="O82" s="1" t="s">
        <v>567</v>
      </c>
      <c r="P82" s="1" t="s">
        <v>568</v>
      </c>
      <c r="Q82" s="1" t="s">
        <v>569</v>
      </c>
      <c r="R82" s="104"/>
    </row>
    <row r="83" spans="1:18" x14ac:dyDescent="0.25">
      <c r="A83" s="372" t="s">
        <v>138</v>
      </c>
      <c r="B83" s="398"/>
      <c r="C83" s="398"/>
      <c r="D83" s="373"/>
      <c r="E83" s="344" t="s">
        <v>617</v>
      </c>
      <c r="F83" s="344"/>
      <c r="G83" s="344" t="s">
        <v>615</v>
      </c>
      <c r="H83" s="344"/>
      <c r="I83" s="344" t="s">
        <v>614</v>
      </c>
      <c r="J83" s="344"/>
      <c r="K83" s="344" t="s">
        <v>616</v>
      </c>
      <c r="L83" s="344"/>
      <c r="O83" s="1" t="s">
        <v>563</v>
      </c>
      <c r="P83" s="1" t="s">
        <v>564</v>
      </c>
      <c r="Q83" s="1" t="s">
        <v>565</v>
      </c>
      <c r="R83" s="1" t="s">
        <v>566</v>
      </c>
    </row>
    <row r="84" spans="1:18" ht="34.5" customHeight="1" x14ac:dyDescent="0.25">
      <c r="A84" s="372" t="s">
        <v>139</v>
      </c>
      <c r="B84" s="398" t="s">
        <v>47</v>
      </c>
      <c r="C84" s="398"/>
      <c r="D84" s="373"/>
      <c r="E84" s="344" t="s">
        <v>635</v>
      </c>
      <c r="F84" s="344"/>
      <c r="G84" s="344" t="s">
        <v>636</v>
      </c>
      <c r="H84" s="344"/>
      <c r="I84" s="344" t="s">
        <v>637</v>
      </c>
      <c r="J84" s="344"/>
      <c r="K84" s="344" t="s">
        <v>638</v>
      </c>
      <c r="L84" s="344"/>
      <c r="O84" s="1" t="s">
        <v>565</v>
      </c>
      <c r="P84" s="1" t="s">
        <v>570</v>
      </c>
      <c r="Q84" s="1" t="s">
        <v>571</v>
      </c>
      <c r="R84" s="105"/>
    </row>
    <row r="85" spans="1:18" ht="15.75" x14ac:dyDescent="0.25">
      <c r="A85" s="372" t="s">
        <v>140</v>
      </c>
      <c r="B85" s="398" t="s">
        <v>48</v>
      </c>
      <c r="C85" s="398"/>
      <c r="D85" s="373"/>
      <c r="E85" s="344" t="s">
        <v>628</v>
      </c>
      <c r="F85" s="344"/>
      <c r="G85" s="344" t="s">
        <v>629</v>
      </c>
      <c r="H85" s="344"/>
      <c r="I85" s="344" t="s">
        <v>628</v>
      </c>
      <c r="J85" s="344"/>
      <c r="K85" s="344" t="s">
        <v>627</v>
      </c>
      <c r="L85" s="344"/>
      <c r="O85" s="105"/>
      <c r="P85" s="1" t="s">
        <v>572</v>
      </c>
      <c r="Q85" s="1" t="s">
        <v>573</v>
      </c>
      <c r="R85" s="105"/>
    </row>
    <row r="86" spans="1:18" ht="15.75" x14ac:dyDescent="0.25">
      <c r="A86" s="374">
        <v>14.1</v>
      </c>
      <c r="B86" s="229" t="s">
        <v>141</v>
      </c>
      <c r="C86" s="229"/>
      <c r="D86" s="229"/>
      <c r="E86" s="229"/>
      <c r="F86" s="229"/>
      <c r="G86" s="276" t="s">
        <v>142</v>
      </c>
      <c r="H86" s="276"/>
      <c r="I86" s="276"/>
      <c r="J86" s="297" t="s">
        <v>143</v>
      </c>
      <c r="K86" s="298"/>
      <c r="L86" s="299"/>
      <c r="O86" s="105"/>
      <c r="P86" s="1" t="s">
        <v>574</v>
      </c>
      <c r="Q86" s="1" t="s">
        <v>575</v>
      </c>
      <c r="R86" s="105"/>
    </row>
    <row r="87" spans="1:18" ht="15.75" x14ac:dyDescent="0.25">
      <c r="A87" s="381"/>
      <c r="B87" s="229" t="s">
        <v>49</v>
      </c>
      <c r="C87" s="229"/>
      <c r="D87" s="229"/>
      <c r="E87" s="229"/>
      <c r="F87" s="229"/>
      <c r="G87" s="276" t="s">
        <v>170</v>
      </c>
      <c r="H87" s="276"/>
      <c r="I87" s="276"/>
      <c r="J87" s="297" t="s">
        <v>170</v>
      </c>
      <c r="K87" s="298"/>
      <c r="L87" s="299"/>
      <c r="O87" s="105"/>
      <c r="P87" s="1" t="s">
        <v>576</v>
      </c>
      <c r="Q87" s="105" t="s">
        <v>577</v>
      </c>
      <c r="R87" s="105"/>
    </row>
    <row r="88" spans="1:18" ht="15.75" x14ac:dyDescent="0.25">
      <c r="A88" s="381"/>
      <c r="B88" s="229" t="s">
        <v>50</v>
      </c>
      <c r="C88" s="229"/>
      <c r="D88" s="229"/>
      <c r="E88" s="229"/>
      <c r="F88" s="229"/>
      <c r="G88" s="276" t="s">
        <v>170</v>
      </c>
      <c r="H88" s="276"/>
      <c r="I88" s="276"/>
      <c r="J88" s="297" t="s">
        <v>170</v>
      </c>
      <c r="K88" s="298"/>
      <c r="L88" s="299"/>
      <c r="O88" s="105"/>
      <c r="P88" s="1" t="s">
        <v>578</v>
      </c>
      <c r="Q88" s="105"/>
      <c r="R88" s="105"/>
    </row>
    <row r="89" spans="1:18" ht="15.75" x14ac:dyDescent="0.25">
      <c r="A89" s="381"/>
      <c r="B89" s="184" t="s">
        <v>47</v>
      </c>
      <c r="C89" s="229"/>
      <c r="D89" s="229"/>
      <c r="E89" s="229"/>
      <c r="F89" s="229"/>
      <c r="G89" s="276" t="s">
        <v>170</v>
      </c>
      <c r="H89" s="276"/>
      <c r="I89" s="276"/>
      <c r="J89" s="297" t="s">
        <v>170</v>
      </c>
      <c r="K89" s="298"/>
      <c r="L89" s="299"/>
      <c r="O89" s="105"/>
      <c r="P89" s="1" t="s">
        <v>579</v>
      </c>
      <c r="Q89" s="105"/>
      <c r="R89" s="105"/>
    </row>
    <row r="90" spans="1:18" ht="15.75" x14ac:dyDescent="0.25">
      <c r="A90" s="293"/>
      <c r="B90" s="184" t="s">
        <v>48</v>
      </c>
      <c r="C90" s="229"/>
      <c r="D90" s="229"/>
      <c r="E90" s="229"/>
      <c r="F90" s="229"/>
      <c r="G90" s="276" t="s">
        <v>170</v>
      </c>
      <c r="H90" s="276"/>
      <c r="I90" s="276"/>
      <c r="J90" s="297" t="s">
        <v>170</v>
      </c>
      <c r="K90" s="298"/>
      <c r="L90" s="299"/>
      <c r="O90" s="105"/>
      <c r="P90" s="1" t="s">
        <v>580</v>
      </c>
      <c r="Q90" s="105"/>
      <c r="R90" s="105"/>
    </row>
    <row r="91" spans="1:18" x14ac:dyDescent="0.25">
      <c r="A91" s="53">
        <v>14.2</v>
      </c>
      <c r="B91" s="184" t="s">
        <v>581</v>
      </c>
      <c r="C91" s="184"/>
      <c r="D91" s="184"/>
      <c r="E91" s="184"/>
      <c r="F91" s="184"/>
      <c r="G91" s="227" t="s">
        <v>640</v>
      </c>
      <c r="H91" s="227"/>
      <c r="I91" s="227"/>
      <c r="J91" s="227"/>
      <c r="K91" s="227"/>
      <c r="L91" s="227"/>
    </row>
    <row r="92" spans="1:18" x14ac:dyDescent="0.25">
      <c r="A92" s="53">
        <v>14.3</v>
      </c>
      <c r="B92" s="184" t="s">
        <v>402</v>
      </c>
      <c r="C92" s="184"/>
      <c r="D92" s="184"/>
      <c r="E92" s="184"/>
      <c r="F92" s="184"/>
      <c r="G92" s="399" t="s">
        <v>639</v>
      </c>
      <c r="H92" s="400"/>
      <c r="I92" s="400"/>
      <c r="J92" s="400"/>
      <c r="K92" s="400"/>
      <c r="L92" s="400"/>
    </row>
    <row r="93" spans="1:18" x14ac:dyDescent="0.25">
      <c r="A93" s="374">
        <v>15</v>
      </c>
      <c r="B93" s="352" t="s">
        <v>144</v>
      </c>
      <c r="C93" s="353"/>
      <c r="D93" s="353"/>
      <c r="E93" s="353"/>
      <c r="F93" s="354"/>
      <c r="G93" s="378" t="s">
        <v>590</v>
      </c>
      <c r="H93" s="379"/>
      <c r="I93" s="380"/>
      <c r="J93" s="378" t="s">
        <v>613</v>
      </c>
      <c r="K93" s="379"/>
      <c r="L93" s="380"/>
    </row>
    <row r="94" spans="1:18" x14ac:dyDescent="0.25">
      <c r="A94" s="293"/>
      <c r="B94" s="375"/>
      <c r="C94" s="376"/>
      <c r="D94" s="376"/>
      <c r="E94" s="376"/>
      <c r="F94" s="377"/>
      <c r="G94" s="378" t="s">
        <v>589</v>
      </c>
      <c r="H94" s="379"/>
      <c r="I94" s="380"/>
      <c r="J94" s="378" t="s">
        <v>613</v>
      </c>
      <c r="K94" s="379"/>
      <c r="L94" s="380"/>
    </row>
    <row r="95" spans="1:18" ht="14.1" customHeight="1" x14ac:dyDescent="0.25">
      <c r="A95" s="374">
        <v>16</v>
      </c>
      <c r="B95" s="352" t="s">
        <v>403</v>
      </c>
      <c r="C95" s="353"/>
      <c r="D95" s="353"/>
      <c r="E95" s="353"/>
      <c r="F95" s="354"/>
      <c r="G95" s="378" t="s">
        <v>590</v>
      </c>
      <c r="H95" s="379"/>
      <c r="I95" s="380"/>
      <c r="J95" s="378" t="s">
        <v>613</v>
      </c>
      <c r="K95" s="379"/>
      <c r="L95" s="380"/>
    </row>
    <row r="96" spans="1:18" ht="15" customHeight="1" x14ac:dyDescent="0.25">
      <c r="A96" s="293"/>
      <c r="B96" s="375"/>
      <c r="C96" s="376"/>
      <c r="D96" s="376"/>
      <c r="E96" s="376"/>
      <c r="F96" s="377"/>
      <c r="G96" s="378" t="s">
        <v>589</v>
      </c>
      <c r="H96" s="379"/>
      <c r="I96" s="380"/>
      <c r="J96" s="378" t="s">
        <v>613</v>
      </c>
      <c r="K96" s="379"/>
      <c r="L96" s="380"/>
    </row>
    <row r="97" spans="1:12" ht="46.5" customHeight="1" x14ac:dyDescent="0.25">
      <c r="A97" s="53">
        <v>17</v>
      </c>
      <c r="B97" s="184" t="s">
        <v>145</v>
      </c>
      <c r="C97" s="184"/>
      <c r="D97" s="184"/>
      <c r="E97" s="184"/>
      <c r="F97" s="184"/>
      <c r="G97" s="227" t="s">
        <v>207</v>
      </c>
      <c r="H97" s="227"/>
      <c r="I97" s="227"/>
      <c r="J97" s="227"/>
      <c r="K97" s="227"/>
      <c r="L97" s="227"/>
    </row>
    <row r="98" spans="1:12" x14ac:dyDescent="0.25">
      <c r="A98" s="450" t="s">
        <v>446</v>
      </c>
      <c r="B98" s="451"/>
      <c r="C98" s="451"/>
      <c r="D98" s="451"/>
      <c r="E98" s="451"/>
      <c r="F98" s="451"/>
      <c r="G98" s="451"/>
      <c r="H98" s="451"/>
      <c r="I98" s="451"/>
      <c r="J98" s="451"/>
      <c r="K98" s="451"/>
      <c r="L98" s="452"/>
    </row>
    <row r="99" spans="1:12" s="48" customFormat="1" x14ac:dyDescent="0.25">
      <c r="A99" s="26">
        <v>1</v>
      </c>
      <c r="B99" s="184" t="s">
        <v>404</v>
      </c>
      <c r="C99" s="184"/>
      <c r="D99" s="184"/>
      <c r="E99" s="184"/>
      <c r="F99" s="184"/>
      <c r="G99" s="294" t="str">
        <f>G76</f>
        <v>Middle Class</v>
      </c>
      <c r="H99" s="295"/>
      <c r="I99" s="295"/>
      <c r="J99" s="295"/>
      <c r="K99" s="295"/>
      <c r="L99" s="296"/>
    </row>
    <row r="100" spans="1:12" customFormat="1" x14ac:dyDescent="0.25">
      <c r="A100" s="26">
        <v>2</v>
      </c>
      <c r="B100" s="184" t="s">
        <v>405</v>
      </c>
      <c r="C100" s="184"/>
      <c r="D100" s="184"/>
      <c r="E100" s="184"/>
      <c r="F100" s="184"/>
      <c r="G100" s="230" t="s">
        <v>63</v>
      </c>
      <c r="H100" s="231"/>
      <c r="I100" s="231"/>
      <c r="J100" s="231"/>
      <c r="K100" s="231"/>
      <c r="L100" s="232"/>
    </row>
    <row r="101" spans="1:12" customFormat="1" x14ac:dyDescent="0.25">
      <c r="A101" s="52">
        <v>3</v>
      </c>
      <c r="B101" s="184" t="s">
        <v>406</v>
      </c>
      <c r="C101" s="184"/>
      <c r="D101" s="184"/>
      <c r="E101" s="184"/>
      <c r="F101" s="184"/>
      <c r="G101" s="382" t="s">
        <v>54</v>
      </c>
      <c r="H101" s="383"/>
      <c r="I101" s="383"/>
      <c r="J101" s="383"/>
      <c r="K101" s="383"/>
      <c r="L101" s="384"/>
    </row>
    <row r="102" spans="1:12" customFormat="1" ht="45.75" customHeight="1" x14ac:dyDescent="0.25">
      <c r="A102" s="374">
        <v>4</v>
      </c>
      <c r="B102" s="352" t="s">
        <v>146</v>
      </c>
      <c r="C102" s="353"/>
      <c r="D102" s="353"/>
      <c r="E102" s="353"/>
      <c r="F102" s="354"/>
      <c r="G102" s="402" t="s">
        <v>630</v>
      </c>
      <c r="H102" s="403"/>
      <c r="I102" s="403"/>
      <c r="J102" s="403"/>
      <c r="K102" s="403"/>
      <c r="L102" s="404"/>
    </row>
    <row r="103" spans="1:12" customFormat="1" ht="44.1" customHeight="1" x14ac:dyDescent="0.25">
      <c r="A103" s="381"/>
      <c r="B103" s="453"/>
      <c r="C103" s="280"/>
      <c r="D103" s="280"/>
      <c r="E103" s="280"/>
      <c r="F103" s="454"/>
      <c r="G103" s="396" t="s">
        <v>631</v>
      </c>
      <c r="H103" s="396"/>
      <c r="I103" s="396"/>
      <c r="J103" s="396"/>
      <c r="K103" s="396"/>
      <c r="L103" s="396"/>
    </row>
    <row r="104" spans="1:12" customFormat="1" ht="45" customHeight="1" x14ac:dyDescent="0.25">
      <c r="A104" s="381"/>
      <c r="B104" s="453"/>
      <c r="C104" s="280"/>
      <c r="D104" s="280"/>
      <c r="E104" s="280"/>
      <c r="F104" s="454"/>
      <c r="G104" s="396" t="s">
        <v>632</v>
      </c>
      <c r="H104" s="396"/>
      <c r="I104" s="396"/>
      <c r="J104" s="396"/>
      <c r="K104" s="396"/>
      <c r="L104" s="396"/>
    </row>
    <row r="105" spans="1:12" customFormat="1" ht="30.6" customHeight="1" x14ac:dyDescent="0.25">
      <c r="A105" s="293"/>
      <c r="B105" s="375"/>
      <c r="C105" s="376"/>
      <c r="D105" s="376"/>
      <c r="E105" s="376"/>
      <c r="F105" s="377"/>
      <c r="G105" s="396" t="s">
        <v>633</v>
      </c>
      <c r="H105" s="396"/>
      <c r="I105" s="396"/>
      <c r="J105" s="396"/>
      <c r="K105" s="396"/>
      <c r="L105" s="396"/>
    </row>
    <row r="106" spans="1:12" customFormat="1" ht="15" customHeight="1" x14ac:dyDescent="0.25">
      <c r="A106" s="52">
        <v>5</v>
      </c>
      <c r="B106" s="184" t="s">
        <v>416</v>
      </c>
      <c r="C106" s="184"/>
      <c r="D106" s="184"/>
      <c r="E106" s="184"/>
      <c r="F106" s="184"/>
      <c r="G106" s="222" t="s">
        <v>157</v>
      </c>
      <c r="H106" s="222"/>
      <c r="I106" s="222"/>
      <c r="J106" s="222"/>
      <c r="K106" s="222"/>
      <c r="L106" s="222"/>
    </row>
    <row r="107" spans="1:12" customFormat="1" x14ac:dyDescent="0.25">
      <c r="A107" s="52">
        <v>6</v>
      </c>
      <c r="B107" s="184" t="s">
        <v>417</v>
      </c>
      <c r="C107" s="184"/>
      <c r="D107" s="184"/>
      <c r="E107" s="184"/>
      <c r="F107" s="184"/>
      <c r="G107" s="222" t="s">
        <v>641</v>
      </c>
      <c r="H107" s="222"/>
      <c r="I107" s="222"/>
      <c r="J107" s="222"/>
      <c r="K107" s="222"/>
      <c r="L107" s="222"/>
    </row>
    <row r="108" spans="1:12" customFormat="1" x14ac:dyDescent="0.25">
      <c r="A108" s="52">
        <v>7</v>
      </c>
      <c r="B108" s="184" t="s">
        <v>418</v>
      </c>
      <c r="C108" s="184"/>
      <c r="D108" s="184"/>
      <c r="E108" s="184"/>
      <c r="F108" s="184"/>
      <c r="G108" s="222" t="str">
        <f>IF(AND(ISNUMBER(SEARCH("Flat",G194)),ISNUMBER(SEARCH("Shop",G194)),ISNUMBER(SEARCH("Office",G194))),"Residential + Commercial",IF(AND(ISNUMBER(SEARCH("Flat",G194)),ISNUMBER(SEARCH("Shop",G194))),"Residential + Commercial",IF(AND(ISNUMBER(SEARCH("Flat",G194)),ISNUMBER(SEARCH("Office",G194))),"Residential + Commercial",IF(AND(ISNUMBER(SEARCH("Shop",G194)),ISNUMBER(SEARCH("Office",G194))),"Commercial",IF(ISNUMBER(SEARCH("Shop",G194)),"Commercial",IF(ISNUMBER(SEARCH("Office",G194)),"Commercial",IF(ISNUMBER(SEARCH("Flat",G194)),"Residential")))))))</f>
        <v>Residential + Commercial</v>
      </c>
      <c r="H108" s="222"/>
      <c r="I108" s="222"/>
      <c r="J108" s="222"/>
      <c r="K108" s="222"/>
      <c r="L108" s="222"/>
    </row>
    <row r="109" spans="1:12" customFormat="1" x14ac:dyDescent="0.25">
      <c r="A109" s="52">
        <v>8</v>
      </c>
      <c r="B109" s="184" t="s">
        <v>419</v>
      </c>
      <c r="C109" s="184"/>
      <c r="D109" s="184"/>
      <c r="E109" s="184"/>
      <c r="F109" s="184"/>
      <c r="G109" s="222" t="str">
        <f>G108</f>
        <v>Residential + Commercial</v>
      </c>
      <c r="H109" s="222"/>
      <c r="I109" s="222"/>
      <c r="J109" s="222"/>
      <c r="K109" s="222"/>
      <c r="L109" s="222"/>
    </row>
    <row r="110" spans="1:12" customFormat="1" x14ac:dyDescent="0.25">
      <c r="A110" s="52">
        <v>9</v>
      </c>
      <c r="B110" s="184" t="s">
        <v>415</v>
      </c>
      <c r="C110" s="184"/>
      <c r="D110" s="184"/>
      <c r="E110" s="184"/>
      <c r="F110" s="184"/>
      <c r="G110" s="222" t="s">
        <v>53</v>
      </c>
      <c r="H110" s="222"/>
      <c r="I110" s="222"/>
      <c r="J110" s="222"/>
      <c r="K110" s="222"/>
      <c r="L110" s="222"/>
    </row>
    <row r="111" spans="1:12" customFormat="1" x14ac:dyDescent="0.25">
      <c r="A111" s="52">
        <v>10</v>
      </c>
      <c r="B111" s="184" t="s">
        <v>147</v>
      </c>
      <c r="C111" s="184"/>
      <c r="D111" s="184"/>
      <c r="E111" s="184"/>
      <c r="F111" s="184"/>
      <c r="G111" s="222" t="s">
        <v>158</v>
      </c>
      <c r="H111" s="222"/>
      <c r="I111" s="222"/>
      <c r="J111" s="222"/>
      <c r="K111" s="222"/>
      <c r="L111" s="222"/>
    </row>
    <row r="112" spans="1:12" customFormat="1" x14ac:dyDescent="0.25">
      <c r="A112" s="52">
        <v>11</v>
      </c>
      <c r="B112" s="184" t="s">
        <v>148</v>
      </c>
      <c r="C112" s="184"/>
      <c r="D112" s="184"/>
      <c r="E112" s="184"/>
      <c r="F112" s="184"/>
      <c r="G112" s="222" t="s">
        <v>53</v>
      </c>
      <c r="H112" s="222"/>
      <c r="I112" s="222"/>
      <c r="J112" s="222"/>
      <c r="K112" s="222"/>
      <c r="L112" s="222"/>
    </row>
    <row r="113" spans="1:12" customFormat="1" x14ac:dyDescent="0.25">
      <c r="A113" s="52">
        <v>12</v>
      </c>
      <c r="B113" s="184" t="s">
        <v>149</v>
      </c>
      <c r="C113" s="184"/>
      <c r="D113" s="184"/>
      <c r="E113" s="184"/>
      <c r="F113" s="184"/>
      <c r="G113" s="222" t="s">
        <v>582</v>
      </c>
      <c r="H113" s="222"/>
      <c r="I113" s="222"/>
      <c r="J113" s="222"/>
      <c r="K113" s="222"/>
      <c r="L113" s="222"/>
    </row>
    <row r="114" spans="1:12" customFormat="1" ht="30" customHeight="1" x14ac:dyDescent="0.25">
      <c r="A114" s="52">
        <v>13</v>
      </c>
      <c r="B114" s="184" t="s">
        <v>150</v>
      </c>
      <c r="C114" s="184"/>
      <c r="D114" s="184"/>
      <c r="E114" s="184"/>
      <c r="F114" s="184"/>
      <c r="G114" s="222" t="s">
        <v>407</v>
      </c>
      <c r="H114" s="222"/>
      <c r="I114" s="222"/>
      <c r="J114" s="222"/>
      <c r="K114" s="222"/>
      <c r="L114" s="222"/>
    </row>
    <row r="115" spans="1:12" customFormat="1" x14ac:dyDescent="0.25">
      <c r="A115" s="52">
        <v>14</v>
      </c>
      <c r="B115" s="184" t="s">
        <v>151</v>
      </c>
      <c r="C115" s="184"/>
      <c r="D115" s="184"/>
      <c r="E115" s="184"/>
      <c r="F115" s="184"/>
      <c r="G115" s="229" t="s">
        <v>54</v>
      </c>
      <c r="H115" s="229"/>
      <c r="I115" s="229"/>
      <c r="J115" s="229"/>
      <c r="K115" s="229"/>
      <c r="L115" s="229"/>
    </row>
    <row r="116" spans="1:12" customFormat="1" x14ac:dyDescent="0.25">
      <c r="A116" s="52">
        <v>15</v>
      </c>
      <c r="B116" s="184" t="s">
        <v>152</v>
      </c>
      <c r="C116" s="184"/>
      <c r="D116" s="184"/>
      <c r="E116" s="184"/>
      <c r="F116" s="184"/>
      <c r="G116" s="229" t="s">
        <v>642</v>
      </c>
      <c r="H116" s="229"/>
      <c r="I116" s="229"/>
      <c r="J116" s="229"/>
      <c r="K116" s="229"/>
      <c r="L116" s="229"/>
    </row>
    <row r="117" spans="1:12" customFormat="1" x14ac:dyDescent="0.25">
      <c r="A117" s="52">
        <v>16</v>
      </c>
      <c r="B117" s="184" t="s">
        <v>153</v>
      </c>
      <c r="C117" s="184"/>
      <c r="D117" s="184"/>
      <c r="E117" s="184"/>
      <c r="F117" s="184"/>
      <c r="G117" s="229" t="s">
        <v>159</v>
      </c>
      <c r="H117" s="229"/>
      <c r="I117" s="229"/>
      <c r="J117" s="229"/>
      <c r="K117" s="229"/>
      <c r="L117" s="229"/>
    </row>
    <row r="118" spans="1:12" customFormat="1" x14ac:dyDescent="0.25">
      <c r="A118" s="52">
        <v>17</v>
      </c>
      <c r="B118" s="184" t="s">
        <v>154</v>
      </c>
      <c r="C118" s="184"/>
      <c r="D118" s="184"/>
      <c r="E118" s="184"/>
      <c r="F118" s="184"/>
      <c r="G118" s="229" t="s">
        <v>53</v>
      </c>
      <c r="H118" s="229"/>
      <c r="I118" s="229"/>
      <c r="J118" s="229"/>
      <c r="K118" s="229"/>
      <c r="L118" s="229"/>
    </row>
    <row r="119" spans="1:12" customFormat="1" x14ac:dyDescent="0.25">
      <c r="A119" s="52">
        <v>18</v>
      </c>
      <c r="B119" s="184" t="s">
        <v>155</v>
      </c>
      <c r="C119" s="184"/>
      <c r="D119" s="184"/>
      <c r="E119" s="184"/>
      <c r="F119" s="184"/>
      <c r="G119" s="184" t="s">
        <v>634</v>
      </c>
      <c r="H119" s="184"/>
      <c r="I119" s="184"/>
      <c r="J119" s="184"/>
      <c r="K119" s="184"/>
      <c r="L119" s="184"/>
    </row>
    <row r="120" spans="1:12" customFormat="1" ht="32.1" customHeight="1" x14ac:dyDescent="0.25">
      <c r="A120" s="52">
        <v>19</v>
      </c>
      <c r="B120" s="184" t="s">
        <v>599</v>
      </c>
      <c r="C120" s="184"/>
      <c r="D120" s="184"/>
      <c r="E120" s="184"/>
      <c r="F120" s="184"/>
      <c r="G120" s="184" t="s">
        <v>661</v>
      </c>
      <c r="H120" s="184"/>
      <c r="I120" s="184"/>
      <c r="J120" s="184"/>
      <c r="K120" s="184"/>
      <c r="L120" s="184"/>
    </row>
    <row r="121" spans="1:12" customFormat="1" ht="76.5" customHeight="1" x14ac:dyDescent="0.25">
      <c r="A121" s="52">
        <v>20</v>
      </c>
      <c r="B121" s="184" t="s">
        <v>156</v>
      </c>
      <c r="C121" s="184"/>
      <c r="D121" s="184"/>
      <c r="E121" s="184"/>
      <c r="F121" s="184"/>
      <c r="G121" s="229" t="s">
        <v>54</v>
      </c>
      <c r="H121" s="229"/>
      <c r="I121" s="229"/>
      <c r="J121" s="229"/>
      <c r="K121" s="229"/>
      <c r="L121" s="229"/>
    </row>
    <row r="122" spans="1:12" customFormat="1" x14ac:dyDescent="0.25">
      <c r="A122" s="405" t="s">
        <v>160</v>
      </c>
      <c r="B122" s="406"/>
      <c r="C122" s="406"/>
      <c r="D122" s="406"/>
      <c r="E122" s="406"/>
      <c r="F122" s="406"/>
      <c r="G122" s="406"/>
      <c r="H122" s="406"/>
      <c r="I122" s="406"/>
      <c r="J122" s="406"/>
      <c r="K122" s="406"/>
      <c r="L122" s="407"/>
    </row>
    <row r="123" spans="1:12" customFormat="1" x14ac:dyDescent="0.25">
      <c r="A123" s="26" t="s">
        <v>161</v>
      </c>
      <c r="B123" s="464" t="s">
        <v>447</v>
      </c>
      <c r="C123" s="465"/>
      <c r="D123" s="465"/>
      <c r="E123" s="465"/>
      <c r="F123" s="465"/>
      <c r="G123" s="465"/>
      <c r="H123" s="465"/>
      <c r="I123" s="465"/>
      <c r="J123" s="465"/>
      <c r="K123" s="465"/>
      <c r="L123" s="466"/>
    </row>
    <row r="124" spans="1:12" customFormat="1" x14ac:dyDescent="0.25">
      <c r="A124" s="408">
        <v>1</v>
      </c>
      <c r="B124" s="184" t="s">
        <v>168</v>
      </c>
      <c r="C124" s="184"/>
      <c r="D124" s="184"/>
      <c r="E124" s="184"/>
      <c r="F124" s="184"/>
      <c r="G124" s="229">
        <v>2267.4899999999998</v>
      </c>
      <c r="H124" s="229"/>
      <c r="I124" s="229"/>
      <c r="J124" s="229"/>
      <c r="K124" s="229"/>
      <c r="L124" s="229"/>
    </row>
    <row r="125" spans="1:12" customFormat="1" x14ac:dyDescent="0.25">
      <c r="A125" s="409"/>
      <c r="B125" s="184" t="s">
        <v>169</v>
      </c>
      <c r="C125" s="184"/>
      <c r="D125" s="184"/>
      <c r="E125" s="184"/>
      <c r="F125" s="184"/>
      <c r="G125" s="229">
        <v>2267.4899999999998</v>
      </c>
      <c r="H125" s="229"/>
      <c r="I125" s="229"/>
      <c r="J125" s="229"/>
      <c r="K125" s="229"/>
      <c r="L125" s="229"/>
    </row>
    <row r="126" spans="1:12" customFormat="1" x14ac:dyDescent="0.25">
      <c r="A126" s="409"/>
      <c r="B126" s="184" t="s">
        <v>162</v>
      </c>
      <c r="C126" s="184"/>
      <c r="D126" s="184"/>
      <c r="E126" s="184"/>
      <c r="F126" s="184"/>
      <c r="G126" s="336" t="s">
        <v>170</v>
      </c>
      <c r="H126" s="337"/>
      <c r="I126" s="337"/>
      <c r="J126" s="337"/>
      <c r="K126" s="337"/>
      <c r="L126" s="338"/>
    </row>
    <row r="127" spans="1:12" customFormat="1" x14ac:dyDescent="0.25">
      <c r="A127" s="410"/>
      <c r="B127" s="184" t="s">
        <v>163</v>
      </c>
      <c r="C127" s="184"/>
      <c r="D127" s="184"/>
      <c r="E127" s="184"/>
      <c r="F127" s="184"/>
      <c r="G127" s="336" t="s">
        <v>170</v>
      </c>
      <c r="H127" s="337"/>
      <c r="I127" s="337"/>
      <c r="J127" s="337"/>
      <c r="K127" s="337"/>
      <c r="L127" s="338"/>
    </row>
    <row r="128" spans="1:12" customFormat="1" x14ac:dyDescent="0.25">
      <c r="A128" s="26">
        <v>2</v>
      </c>
      <c r="B128" s="184" t="s">
        <v>164</v>
      </c>
      <c r="C128" s="184"/>
      <c r="D128" s="184"/>
      <c r="E128" s="184"/>
      <c r="F128" s="184"/>
      <c r="G128" s="294" t="s">
        <v>171</v>
      </c>
      <c r="H128" s="295"/>
      <c r="I128" s="295"/>
      <c r="J128" s="295"/>
      <c r="K128" s="295"/>
      <c r="L128" s="296"/>
    </row>
    <row r="129" spans="1:12" customFormat="1" ht="60.75" customHeight="1" x14ac:dyDescent="0.25">
      <c r="A129" s="26">
        <v>3</v>
      </c>
      <c r="B129" s="184" t="s">
        <v>165</v>
      </c>
      <c r="C129" s="184"/>
      <c r="D129" s="184"/>
      <c r="E129" s="184"/>
      <c r="F129" s="184"/>
      <c r="G129" s="273" t="s">
        <v>172</v>
      </c>
      <c r="H129" s="295"/>
      <c r="I129" s="295"/>
      <c r="J129" s="295"/>
      <c r="K129" s="295"/>
      <c r="L129" s="296"/>
    </row>
    <row r="130" spans="1:12" customFormat="1" ht="25.5" customHeight="1" x14ac:dyDescent="0.25">
      <c r="A130" s="408">
        <v>4</v>
      </c>
      <c r="B130" s="352" t="s">
        <v>173</v>
      </c>
      <c r="C130" s="353"/>
      <c r="D130" s="353"/>
      <c r="E130" s="353"/>
      <c r="F130" s="354"/>
      <c r="G130" s="344" t="s">
        <v>595</v>
      </c>
      <c r="H130" s="344"/>
      <c r="I130" s="488">
        <v>91900</v>
      </c>
      <c r="J130" s="488"/>
      <c r="K130" s="488"/>
      <c r="L130" s="488"/>
    </row>
    <row r="131" spans="1:12" customFormat="1" ht="25.5" customHeight="1" x14ac:dyDescent="0.25">
      <c r="A131" s="410"/>
      <c r="B131" s="375"/>
      <c r="C131" s="376"/>
      <c r="D131" s="376"/>
      <c r="E131" s="376"/>
      <c r="F131" s="377"/>
      <c r="G131" s="344" t="s">
        <v>596</v>
      </c>
      <c r="H131" s="344"/>
      <c r="I131" s="488">
        <v>29800</v>
      </c>
      <c r="J131" s="488"/>
      <c r="K131" s="488"/>
      <c r="L131" s="488"/>
    </row>
    <row r="132" spans="1:12" customFormat="1" x14ac:dyDescent="0.25">
      <c r="A132" s="26">
        <v>5</v>
      </c>
      <c r="B132" s="184" t="s">
        <v>166</v>
      </c>
      <c r="C132" s="184"/>
      <c r="D132" s="184"/>
      <c r="E132" s="184"/>
      <c r="F132" s="184"/>
      <c r="G132" s="336" t="s">
        <v>171</v>
      </c>
      <c r="H132" s="337"/>
      <c r="I132" s="337"/>
      <c r="J132" s="337"/>
      <c r="K132" s="337"/>
      <c r="L132" s="338"/>
    </row>
    <row r="133" spans="1:12" customFormat="1" x14ac:dyDescent="0.25">
      <c r="A133" s="374">
        <v>6</v>
      </c>
      <c r="B133" s="300" t="s">
        <v>167</v>
      </c>
      <c r="C133" s="301"/>
      <c r="D133" s="301"/>
      <c r="E133" s="301"/>
      <c r="F133" s="302"/>
      <c r="G133" s="475" t="s">
        <v>175</v>
      </c>
      <c r="H133" s="477"/>
      <c r="I133" s="477"/>
      <c r="J133" s="477"/>
      <c r="K133" s="477"/>
      <c r="L133" s="476"/>
    </row>
    <row r="134" spans="1:12" customFormat="1" x14ac:dyDescent="0.25">
      <c r="A134" s="381"/>
      <c r="B134" s="472"/>
      <c r="C134" s="473"/>
      <c r="D134" s="473"/>
      <c r="E134" s="473"/>
      <c r="F134" s="474"/>
      <c r="G134" s="463" t="s">
        <v>176</v>
      </c>
      <c r="H134" s="463"/>
      <c r="I134" s="475" t="s">
        <v>13</v>
      </c>
      <c r="J134" s="476"/>
      <c r="K134" s="463" t="s">
        <v>177</v>
      </c>
      <c r="L134" s="463"/>
    </row>
    <row r="135" spans="1:12" customFormat="1" x14ac:dyDescent="0.25">
      <c r="A135" s="381"/>
      <c r="B135" s="472"/>
      <c r="C135" s="473"/>
      <c r="D135" s="473"/>
      <c r="E135" s="473"/>
      <c r="F135" s="474"/>
      <c r="G135" s="467">
        <f>G124</f>
        <v>2267.4899999999998</v>
      </c>
      <c r="H135" s="467"/>
      <c r="I135" s="525">
        <v>60000</v>
      </c>
      <c r="J135" s="526"/>
      <c r="K135" s="468">
        <f>G135*I135</f>
        <v>136049400</v>
      </c>
      <c r="L135" s="468"/>
    </row>
    <row r="136" spans="1:12" customFormat="1" x14ac:dyDescent="0.25">
      <c r="A136" s="381"/>
      <c r="B136" s="472"/>
      <c r="C136" s="473"/>
      <c r="D136" s="473"/>
      <c r="E136" s="473"/>
      <c r="F136" s="474"/>
      <c r="G136" s="475" t="s">
        <v>174</v>
      </c>
      <c r="H136" s="477"/>
      <c r="I136" s="477"/>
      <c r="J136" s="477"/>
      <c r="K136" s="477"/>
      <c r="L136" s="476"/>
    </row>
    <row r="137" spans="1:12" customFormat="1" x14ac:dyDescent="0.25">
      <c r="A137" s="381"/>
      <c r="B137" s="472"/>
      <c r="C137" s="473"/>
      <c r="D137" s="473"/>
      <c r="E137" s="473"/>
      <c r="F137" s="474"/>
      <c r="G137" s="463" t="s">
        <v>176</v>
      </c>
      <c r="H137" s="463"/>
      <c r="I137" s="475" t="s">
        <v>13</v>
      </c>
      <c r="J137" s="476"/>
      <c r="K137" s="463" t="s">
        <v>177</v>
      </c>
      <c r="L137" s="463"/>
    </row>
    <row r="138" spans="1:12" customFormat="1" x14ac:dyDescent="0.25">
      <c r="A138" s="293"/>
      <c r="B138" s="303"/>
      <c r="C138" s="304"/>
      <c r="D138" s="304"/>
      <c r="E138" s="304"/>
      <c r="F138" s="305"/>
      <c r="G138" s="467">
        <f>G125</f>
        <v>2267.4899999999998</v>
      </c>
      <c r="H138" s="467"/>
      <c r="I138" s="525">
        <v>60000</v>
      </c>
      <c r="J138" s="526"/>
      <c r="K138" s="468">
        <f>G138*I138</f>
        <v>136049400</v>
      </c>
      <c r="L138" s="468"/>
    </row>
    <row r="139" spans="1:12" customFormat="1" x14ac:dyDescent="0.25">
      <c r="A139" s="26" t="s">
        <v>179</v>
      </c>
      <c r="B139" s="478" t="s">
        <v>178</v>
      </c>
      <c r="C139" s="479"/>
      <c r="D139" s="479"/>
      <c r="E139" s="479"/>
      <c r="F139" s="479"/>
      <c r="G139" s="479"/>
      <c r="H139" s="479"/>
      <c r="I139" s="479"/>
      <c r="J139" s="479"/>
      <c r="K139" s="479"/>
      <c r="L139" s="480"/>
    </row>
    <row r="140" spans="1:12" customFormat="1" x14ac:dyDescent="0.25">
      <c r="A140" s="26" t="s">
        <v>408</v>
      </c>
      <c r="B140" s="436" t="s">
        <v>180</v>
      </c>
      <c r="C140" s="436"/>
      <c r="D140" s="436"/>
      <c r="E140" s="436"/>
      <c r="F140" s="436"/>
      <c r="G140" s="436"/>
      <c r="H140" s="436"/>
      <c r="I140" s="436"/>
      <c r="J140" s="436"/>
      <c r="K140" s="436"/>
      <c r="L140" s="436"/>
    </row>
    <row r="141" spans="1:12" customFormat="1" ht="31.5" customHeight="1" x14ac:dyDescent="0.25">
      <c r="A141" s="26" t="s">
        <v>5</v>
      </c>
      <c r="B141" s="184" t="s">
        <v>190</v>
      </c>
      <c r="C141" s="184"/>
      <c r="D141" s="184"/>
      <c r="E141" s="184"/>
      <c r="F141" s="184"/>
      <c r="G141" s="229" t="str">
        <f>G108</f>
        <v>Residential + Commercial</v>
      </c>
      <c r="H141" s="229"/>
      <c r="I141" s="229"/>
      <c r="J141" s="229"/>
      <c r="K141" s="229"/>
      <c r="L141" s="229"/>
    </row>
    <row r="142" spans="1:12" customFormat="1" ht="31.5" customHeight="1" x14ac:dyDescent="0.25">
      <c r="A142" s="52" t="s">
        <v>6</v>
      </c>
      <c r="B142" s="184" t="s">
        <v>181</v>
      </c>
      <c r="C142" s="184"/>
      <c r="D142" s="184"/>
      <c r="E142" s="184"/>
      <c r="F142" s="184"/>
      <c r="G142" s="222" t="s">
        <v>37</v>
      </c>
      <c r="H142" s="222"/>
      <c r="I142" s="222"/>
      <c r="J142" s="222"/>
      <c r="K142" s="222"/>
      <c r="L142" s="222"/>
    </row>
    <row r="143" spans="1:12" customFormat="1" x14ac:dyDescent="0.25">
      <c r="A143" s="26" t="s">
        <v>183</v>
      </c>
      <c r="B143" s="184" t="s">
        <v>182</v>
      </c>
      <c r="C143" s="184"/>
      <c r="D143" s="184"/>
      <c r="E143" s="184"/>
      <c r="F143" s="184"/>
      <c r="G143" s="229" t="s">
        <v>207</v>
      </c>
      <c r="H143" s="229"/>
      <c r="I143" s="229"/>
      <c r="J143" s="229"/>
      <c r="K143" s="229"/>
      <c r="L143" s="229"/>
    </row>
    <row r="144" spans="1:12" customFormat="1" ht="33.75" customHeight="1" x14ac:dyDescent="0.25">
      <c r="A144" s="52" t="s">
        <v>7</v>
      </c>
      <c r="B144" s="273" t="s">
        <v>184</v>
      </c>
      <c r="C144" s="274"/>
      <c r="D144" s="274"/>
      <c r="E144" s="274"/>
      <c r="F144" s="275"/>
      <c r="G144" s="229" t="s">
        <v>644</v>
      </c>
      <c r="H144" s="229"/>
      <c r="I144" s="229"/>
      <c r="J144" s="229"/>
      <c r="K144" s="229"/>
      <c r="L144" s="229"/>
    </row>
    <row r="145" spans="1:14" customFormat="1" x14ac:dyDescent="0.25">
      <c r="A145" s="26" t="s">
        <v>40</v>
      </c>
      <c r="B145" s="273" t="s">
        <v>185</v>
      </c>
      <c r="C145" s="274"/>
      <c r="D145" s="274"/>
      <c r="E145" s="274"/>
      <c r="F145" s="275"/>
      <c r="G145" s="294" t="s">
        <v>171</v>
      </c>
      <c r="H145" s="295"/>
      <c r="I145" s="295"/>
      <c r="J145" s="295"/>
      <c r="K145" s="295"/>
      <c r="L145" s="296"/>
    </row>
    <row r="146" spans="1:14" customFormat="1" ht="15" customHeight="1" x14ac:dyDescent="0.25">
      <c r="A146" s="276" t="s">
        <v>41</v>
      </c>
      <c r="B146" s="386" t="s">
        <v>186</v>
      </c>
      <c r="C146" s="387"/>
      <c r="D146" s="387"/>
      <c r="E146" s="387"/>
      <c r="F146" s="388"/>
      <c r="G146" s="276" t="s">
        <v>187</v>
      </c>
      <c r="H146" s="276"/>
      <c r="I146" s="276"/>
      <c r="J146" s="297" t="s">
        <v>188</v>
      </c>
      <c r="K146" s="298"/>
      <c r="L146" s="299"/>
    </row>
    <row r="147" spans="1:14" customFormat="1" ht="31.5" customHeight="1" x14ac:dyDescent="0.25">
      <c r="A147" s="276"/>
      <c r="B147" s="469"/>
      <c r="C147" s="470"/>
      <c r="D147" s="470"/>
      <c r="E147" s="470"/>
      <c r="F147" s="471"/>
      <c r="G147" s="345" t="s">
        <v>207</v>
      </c>
      <c r="H147" s="345"/>
      <c r="I147" s="345"/>
      <c r="J147" s="378" t="s">
        <v>207</v>
      </c>
      <c r="K147" s="379"/>
      <c r="L147" s="380"/>
    </row>
    <row r="148" spans="1:14" customFormat="1" ht="33" customHeight="1" x14ac:dyDescent="0.25">
      <c r="A148" s="52" t="s">
        <v>42</v>
      </c>
      <c r="B148" s="184" t="s">
        <v>189</v>
      </c>
      <c r="C148" s="184"/>
      <c r="D148" s="184"/>
      <c r="E148" s="184"/>
      <c r="F148" s="184"/>
      <c r="G148" s="227" t="s">
        <v>646</v>
      </c>
      <c r="H148" s="222"/>
      <c r="I148" s="222"/>
      <c r="J148" s="222"/>
      <c r="K148" s="222"/>
      <c r="L148" s="222"/>
      <c r="N148" s="8" t="s">
        <v>645</v>
      </c>
    </row>
    <row r="149" spans="1:14" customFormat="1" x14ac:dyDescent="0.25">
      <c r="A149" s="26" t="s">
        <v>43</v>
      </c>
      <c r="B149" s="294" t="s">
        <v>191</v>
      </c>
      <c r="C149" s="295"/>
      <c r="D149" s="295"/>
      <c r="E149" s="295"/>
      <c r="F149" s="296"/>
      <c r="G149" s="184" t="str">
        <f>G78</f>
        <v>Panvel Municipal Corporation</v>
      </c>
      <c r="H149" s="184"/>
      <c r="I149" s="184"/>
      <c r="J149" s="184"/>
      <c r="K149" s="184"/>
      <c r="L149" s="184"/>
    </row>
    <row r="150" spans="1:14" customFormat="1" ht="29.25" customHeight="1" x14ac:dyDescent="0.25">
      <c r="A150" s="52" t="s">
        <v>44</v>
      </c>
      <c r="B150" s="184" t="s">
        <v>193</v>
      </c>
      <c r="C150" s="184"/>
      <c r="D150" s="184"/>
      <c r="E150" s="184"/>
      <c r="F150" s="184"/>
      <c r="G150" s="227" t="s">
        <v>53</v>
      </c>
      <c r="H150" s="227"/>
      <c r="I150" s="227"/>
      <c r="J150" s="227"/>
      <c r="K150" s="227"/>
      <c r="L150" s="227"/>
    </row>
    <row r="151" spans="1:14" customFormat="1" ht="33" customHeight="1" x14ac:dyDescent="0.25">
      <c r="A151" s="52" t="s">
        <v>45</v>
      </c>
      <c r="B151" s="184" t="s">
        <v>192</v>
      </c>
      <c r="C151" s="184"/>
      <c r="D151" s="184"/>
      <c r="E151" s="184"/>
      <c r="F151" s="184"/>
      <c r="G151" s="227" t="s">
        <v>54</v>
      </c>
      <c r="H151" s="227"/>
      <c r="I151" s="227"/>
      <c r="J151" s="227"/>
      <c r="K151" s="227"/>
      <c r="L151" s="227"/>
    </row>
    <row r="152" spans="1:14" customFormat="1" x14ac:dyDescent="0.25">
      <c r="A152" s="26" t="s">
        <v>408</v>
      </c>
      <c r="B152" s="444" t="s">
        <v>194</v>
      </c>
      <c r="C152" s="445"/>
      <c r="D152" s="445"/>
      <c r="E152" s="445"/>
      <c r="F152" s="445"/>
      <c r="G152" s="445"/>
      <c r="H152" s="445"/>
      <c r="I152" s="445"/>
      <c r="J152" s="445"/>
      <c r="K152" s="445"/>
      <c r="L152" s="446"/>
    </row>
    <row r="153" spans="1:14" customFormat="1" x14ac:dyDescent="0.25">
      <c r="A153" s="26" t="s">
        <v>195</v>
      </c>
      <c r="B153" s="294" t="s">
        <v>196</v>
      </c>
      <c r="C153" s="295"/>
      <c r="D153" s="295"/>
      <c r="E153" s="295"/>
      <c r="F153" s="295"/>
      <c r="G153" s="295"/>
      <c r="H153" s="295"/>
      <c r="I153" s="295"/>
      <c r="J153" s="295"/>
      <c r="K153" s="295"/>
      <c r="L153" s="296"/>
    </row>
    <row r="154" spans="1:14" customFormat="1" x14ac:dyDescent="0.25">
      <c r="A154" s="26">
        <v>1</v>
      </c>
      <c r="B154" s="229" t="s">
        <v>197</v>
      </c>
      <c r="C154" s="229"/>
      <c r="D154" s="229"/>
      <c r="E154" s="229"/>
      <c r="F154" s="229"/>
      <c r="G154" s="341" t="s">
        <v>409</v>
      </c>
      <c r="H154" s="342"/>
      <c r="I154" s="342"/>
      <c r="J154" s="342"/>
      <c r="K154" s="342"/>
      <c r="L154" s="343"/>
    </row>
    <row r="155" spans="1:14" customFormat="1" x14ac:dyDescent="0.25">
      <c r="A155" s="26">
        <v>2</v>
      </c>
      <c r="B155" s="229" t="s">
        <v>198</v>
      </c>
      <c r="C155" s="229"/>
      <c r="D155" s="229"/>
      <c r="E155" s="229"/>
      <c r="F155" s="229"/>
      <c r="G155" s="341" t="s">
        <v>207</v>
      </c>
      <c r="H155" s="342"/>
      <c r="I155" s="342"/>
      <c r="J155" s="342"/>
      <c r="K155" s="342"/>
      <c r="L155" s="343"/>
    </row>
    <row r="156" spans="1:14" customFormat="1" x14ac:dyDescent="0.25">
      <c r="A156" s="26">
        <v>3</v>
      </c>
      <c r="B156" s="229" t="s">
        <v>583</v>
      </c>
      <c r="C156" s="229"/>
      <c r="D156" s="229"/>
      <c r="E156" s="229"/>
      <c r="F156" s="229"/>
      <c r="G156" s="341" t="s">
        <v>206</v>
      </c>
      <c r="H156" s="342"/>
      <c r="I156" s="342"/>
      <c r="J156" s="342"/>
      <c r="K156" s="342"/>
      <c r="L156" s="343"/>
    </row>
    <row r="157" spans="1:14" customFormat="1" ht="45.75" customHeight="1" x14ac:dyDescent="0.25">
      <c r="A157" s="52">
        <v>4</v>
      </c>
      <c r="B157" s="184" t="s">
        <v>199</v>
      </c>
      <c r="C157" s="184"/>
      <c r="D157" s="184"/>
      <c r="E157" s="184"/>
      <c r="F157" s="184"/>
      <c r="G157" s="341" t="s">
        <v>52</v>
      </c>
      <c r="H157" s="342"/>
      <c r="I157" s="342"/>
      <c r="J157" s="342"/>
      <c r="K157" s="342"/>
      <c r="L157" s="343"/>
    </row>
    <row r="158" spans="1:14" customFormat="1" x14ac:dyDescent="0.25">
      <c r="A158" s="26">
        <v>5</v>
      </c>
      <c r="B158" s="229" t="s">
        <v>200</v>
      </c>
      <c r="C158" s="229"/>
      <c r="D158" s="229"/>
      <c r="E158" s="229"/>
      <c r="F158" s="229"/>
      <c r="G158" s="341" t="s">
        <v>207</v>
      </c>
      <c r="H158" s="342"/>
      <c r="I158" s="342"/>
      <c r="J158" s="342"/>
      <c r="K158" s="342"/>
      <c r="L158" s="343"/>
    </row>
    <row r="159" spans="1:14" customFormat="1" x14ac:dyDescent="0.25">
      <c r="A159" s="26">
        <v>6</v>
      </c>
      <c r="B159" s="229" t="s">
        <v>201</v>
      </c>
      <c r="C159" s="229"/>
      <c r="D159" s="229"/>
      <c r="E159" s="229"/>
      <c r="F159" s="229"/>
      <c r="G159" s="341" t="s">
        <v>207</v>
      </c>
      <c r="H159" s="342"/>
      <c r="I159" s="342"/>
      <c r="J159" s="342"/>
      <c r="K159" s="342"/>
      <c r="L159" s="343"/>
    </row>
    <row r="160" spans="1:14" customFormat="1" x14ac:dyDescent="0.25">
      <c r="A160" s="26">
        <v>7</v>
      </c>
      <c r="B160" s="229" t="s">
        <v>202</v>
      </c>
      <c r="C160" s="229"/>
      <c r="D160" s="229"/>
      <c r="E160" s="229"/>
      <c r="F160" s="229"/>
      <c r="G160" s="341" t="s">
        <v>207</v>
      </c>
      <c r="H160" s="342"/>
      <c r="I160" s="342"/>
      <c r="J160" s="342"/>
      <c r="K160" s="342"/>
      <c r="L160" s="343"/>
    </row>
    <row r="161" spans="1:12" customFormat="1" ht="30.75" customHeight="1" x14ac:dyDescent="0.25">
      <c r="A161" s="26">
        <v>8</v>
      </c>
      <c r="B161" s="184" t="s">
        <v>203</v>
      </c>
      <c r="C161" s="184"/>
      <c r="D161" s="184"/>
      <c r="E161" s="184"/>
      <c r="F161" s="184"/>
      <c r="G161" s="341" t="s">
        <v>207</v>
      </c>
      <c r="H161" s="342"/>
      <c r="I161" s="342"/>
      <c r="J161" s="342"/>
      <c r="K161" s="342"/>
      <c r="L161" s="343"/>
    </row>
    <row r="162" spans="1:12" customFormat="1" x14ac:dyDescent="0.25">
      <c r="A162" s="26">
        <v>9</v>
      </c>
      <c r="B162" s="229" t="s">
        <v>204</v>
      </c>
      <c r="C162" s="229"/>
      <c r="D162" s="229"/>
      <c r="E162" s="229"/>
      <c r="F162" s="229"/>
      <c r="G162" s="341" t="s">
        <v>207</v>
      </c>
      <c r="H162" s="342"/>
      <c r="I162" s="342"/>
      <c r="J162" s="342"/>
      <c r="K162" s="342"/>
      <c r="L162" s="343"/>
    </row>
    <row r="163" spans="1:12" customFormat="1" x14ac:dyDescent="0.25">
      <c r="A163" s="26">
        <v>10</v>
      </c>
      <c r="B163" s="229" t="s">
        <v>205</v>
      </c>
      <c r="C163" s="229"/>
      <c r="D163" s="229"/>
      <c r="E163" s="229"/>
      <c r="F163" s="229"/>
      <c r="G163" s="341" t="s">
        <v>52</v>
      </c>
      <c r="H163" s="342"/>
      <c r="I163" s="342"/>
      <c r="J163" s="342"/>
      <c r="K163" s="342"/>
      <c r="L163" s="343"/>
    </row>
    <row r="164" spans="1:12" customFormat="1" x14ac:dyDescent="0.25">
      <c r="A164" s="408">
        <v>11</v>
      </c>
      <c r="B164" s="266" t="s">
        <v>208</v>
      </c>
      <c r="C164" s="267"/>
      <c r="D164" s="267"/>
      <c r="E164" s="267"/>
      <c r="F164" s="267"/>
      <c r="G164" s="267"/>
      <c r="H164" s="267"/>
      <c r="I164" s="267"/>
      <c r="J164" s="267"/>
      <c r="K164" s="267"/>
      <c r="L164" s="268"/>
    </row>
    <row r="165" spans="1:12" customFormat="1" x14ac:dyDescent="0.25">
      <c r="A165" s="409"/>
      <c r="B165" s="339" t="s">
        <v>209</v>
      </c>
      <c r="C165" s="339"/>
      <c r="D165" s="339"/>
      <c r="E165" s="339"/>
      <c r="F165" s="339"/>
      <c r="G165" s="326" t="s">
        <v>207</v>
      </c>
      <c r="H165" s="327"/>
      <c r="I165" s="327"/>
      <c r="J165" s="327"/>
      <c r="K165" s="327"/>
      <c r="L165" s="328"/>
    </row>
    <row r="166" spans="1:12" customFormat="1" x14ac:dyDescent="0.25">
      <c r="A166" s="409"/>
      <c r="B166" s="339" t="s">
        <v>210</v>
      </c>
      <c r="C166" s="339"/>
      <c r="D166" s="339"/>
      <c r="E166" s="339"/>
      <c r="F166" s="339"/>
      <c r="G166" s="332"/>
      <c r="H166" s="333"/>
      <c r="I166" s="333"/>
      <c r="J166" s="333"/>
      <c r="K166" s="333"/>
      <c r="L166" s="334"/>
    </row>
    <row r="167" spans="1:12" customFormat="1" x14ac:dyDescent="0.25">
      <c r="A167" s="410"/>
      <c r="B167" s="339" t="s">
        <v>211</v>
      </c>
      <c r="C167" s="339"/>
      <c r="D167" s="339"/>
      <c r="E167" s="339"/>
      <c r="F167" s="339"/>
      <c r="G167" s="340" t="s">
        <v>226</v>
      </c>
      <c r="H167" s="340"/>
      <c r="I167" s="340"/>
      <c r="J167" s="340"/>
      <c r="K167" s="340"/>
      <c r="L167" s="340"/>
    </row>
    <row r="168" spans="1:12" customFormat="1" x14ac:dyDescent="0.25">
      <c r="A168" s="408">
        <v>12</v>
      </c>
      <c r="B168" s="266" t="s">
        <v>212</v>
      </c>
      <c r="C168" s="267"/>
      <c r="D168" s="267"/>
      <c r="E168" s="267"/>
      <c r="F168" s="267"/>
      <c r="G168" s="267"/>
      <c r="H168" s="267"/>
      <c r="I168" s="267"/>
      <c r="J168" s="267"/>
      <c r="K168" s="267"/>
      <c r="L168" s="268"/>
    </row>
    <row r="169" spans="1:12" customFormat="1" x14ac:dyDescent="0.25">
      <c r="A169" s="409"/>
      <c r="B169" s="339" t="s">
        <v>213</v>
      </c>
      <c r="C169" s="339"/>
      <c r="D169" s="339"/>
      <c r="E169" s="339"/>
      <c r="F169" s="339"/>
      <c r="G169" s="326" t="s">
        <v>207</v>
      </c>
      <c r="H169" s="327"/>
      <c r="I169" s="327"/>
      <c r="J169" s="327"/>
      <c r="K169" s="327"/>
      <c r="L169" s="328"/>
    </row>
    <row r="170" spans="1:12" customFormat="1" x14ac:dyDescent="0.25">
      <c r="A170" s="409"/>
      <c r="B170" s="339" t="s">
        <v>214</v>
      </c>
      <c r="C170" s="339"/>
      <c r="D170" s="339"/>
      <c r="E170" s="339"/>
      <c r="F170" s="339"/>
      <c r="G170" s="329"/>
      <c r="H170" s="330"/>
      <c r="I170" s="330"/>
      <c r="J170" s="330"/>
      <c r="K170" s="330"/>
      <c r="L170" s="331"/>
    </row>
    <row r="171" spans="1:12" customFormat="1" x14ac:dyDescent="0.25">
      <c r="A171" s="409"/>
      <c r="B171" s="339" t="s">
        <v>215</v>
      </c>
      <c r="C171" s="339"/>
      <c r="D171" s="339"/>
      <c r="E171" s="339"/>
      <c r="F171" s="339"/>
      <c r="G171" s="329"/>
      <c r="H171" s="330"/>
      <c r="I171" s="330"/>
      <c r="J171" s="330"/>
      <c r="K171" s="330"/>
      <c r="L171" s="331"/>
    </row>
    <row r="172" spans="1:12" customFormat="1" x14ac:dyDescent="0.25">
      <c r="A172" s="409"/>
      <c r="B172" s="339" t="s">
        <v>216</v>
      </c>
      <c r="C172" s="339"/>
      <c r="D172" s="339"/>
      <c r="E172" s="339"/>
      <c r="F172" s="339"/>
      <c r="G172" s="329"/>
      <c r="H172" s="330"/>
      <c r="I172" s="330"/>
      <c r="J172" s="330"/>
      <c r="K172" s="330"/>
      <c r="L172" s="331"/>
    </row>
    <row r="173" spans="1:12" customFormat="1" x14ac:dyDescent="0.25">
      <c r="A173" s="409"/>
      <c r="B173" s="339" t="s">
        <v>217</v>
      </c>
      <c r="C173" s="339"/>
      <c r="D173" s="339"/>
      <c r="E173" s="339"/>
      <c r="F173" s="339"/>
      <c r="G173" s="329"/>
      <c r="H173" s="330"/>
      <c r="I173" s="330"/>
      <c r="J173" s="330"/>
      <c r="K173" s="330"/>
      <c r="L173" s="331"/>
    </row>
    <row r="174" spans="1:12" customFormat="1" x14ac:dyDescent="0.25">
      <c r="A174" s="410"/>
      <c r="B174" s="339" t="s">
        <v>218</v>
      </c>
      <c r="C174" s="339"/>
      <c r="D174" s="339"/>
      <c r="E174" s="339"/>
      <c r="F174" s="339"/>
      <c r="G174" s="332"/>
      <c r="H174" s="333"/>
      <c r="I174" s="333"/>
      <c r="J174" s="333"/>
      <c r="K174" s="333"/>
      <c r="L174" s="334"/>
    </row>
    <row r="175" spans="1:12" customFormat="1" x14ac:dyDescent="0.25">
      <c r="A175" s="408">
        <v>13</v>
      </c>
      <c r="B175" s="266" t="s">
        <v>219</v>
      </c>
      <c r="C175" s="267"/>
      <c r="D175" s="267"/>
      <c r="E175" s="267"/>
      <c r="F175" s="267"/>
      <c r="G175" s="267"/>
      <c r="H175" s="267"/>
      <c r="I175" s="267"/>
      <c r="J175" s="267"/>
      <c r="K175" s="267"/>
      <c r="L175" s="268"/>
    </row>
    <row r="176" spans="1:12" customFormat="1" x14ac:dyDescent="0.25">
      <c r="A176" s="409"/>
      <c r="B176" s="339" t="s">
        <v>220</v>
      </c>
      <c r="C176" s="339"/>
      <c r="D176" s="339"/>
      <c r="E176" s="339"/>
      <c r="F176" s="339"/>
      <c r="G176" s="326" t="s">
        <v>207</v>
      </c>
      <c r="H176" s="327"/>
      <c r="I176" s="327"/>
      <c r="J176" s="327"/>
      <c r="K176" s="327"/>
      <c r="L176" s="328"/>
    </row>
    <row r="177" spans="1:13" customFormat="1" x14ac:dyDescent="0.25">
      <c r="A177" s="409"/>
      <c r="B177" s="339" t="s">
        <v>221</v>
      </c>
      <c r="C177" s="339"/>
      <c r="D177" s="339"/>
      <c r="E177" s="339"/>
      <c r="F177" s="339"/>
      <c r="G177" s="329"/>
      <c r="H177" s="330"/>
      <c r="I177" s="330"/>
      <c r="J177" s="330"/>
      <c r="K177" s="330"/>
      <c r="L177" s="331"/>
    </row>
    <row r="178" spans="1:13" customFormat="1" x14ac:dyDescent="0.25">
      <c r="A178" s="409"/>
      <c r="B178" s="339" t="s">
        <v>222</v>
      </c>
      <c r="C178" s="339"/>
      <c r="D178" s="339"/>
      <c r="E178" s="339"/>
      <c r="F178" s="339"/>
      <c r="G178" s="329"/>
      <c r="H178" s="330"/>
      <c r="I178" s="330"/>
      <c r="J178" s="330"/>
      <c r="K178" s="330"/>
      <c r="L178" s="331"/>
    </row>
    <row r="179" spans="1:13" customFormat="1" x14ac:dyDescent="0.25">
      <c r="A179" s="409"/>
      <c r="B179" s="339" t="s">
        <v>223</v>
      </c>
      <c r="C179" s="339"/>
      <c r="D179" s="339"/>
      <c r="E179" s="339"/>
      <c r="F179" s="339"/>
      <c r="G179" s="329"/>
      <c r="H179" s="330"/>
      <c r="I179" s="330"/>
      <c r="J179" s="330"/>
      <c r="K179" s="330"/>
      <c r="L179" s="331"/>
    </row>
    <row r="180" spans="1:13" customFormat="1" x14ac:dyDescent="0.25">
      <c r="A180" s="409"/>
      <c r="B180" s="339" t="s">
        <v>224</v>
      </c>
      <c r="C180" s="339"/>
      <c r="D180" s="339"/>
      <c r="E180" s="339"/>
      <c r="F180" s="339"/>
      <c r="G180" s="329"/>
      <c r="H180" s="330"/>
      <c r="I180" s="330"/>
      <c r="J180" s="330"/>
      <c r="K180" s="330"/>
      <c r="L180" s="331"/>
    </row>
    <row r="181" spans="1:13" customFormat="1" x14ac:dyDescent="0.25">
      <c r="A181" s="410"/>
      <c r="B181" s="339" t="s">
        <v>225</v>
      </c>
      <c r="C181" s="339"/>
      <c r="D181" s="339"/>
      <c r="E181" s="339"/>
      <c r="F181" s="339"/>
      <c r="G181" s="332"/>
      <c r="H181" s="333"/>
      <c r="I181" s="333"/>
      <c r="J181" s="333"/>
      <c r="K181" s="333"/>
      <c r="L181" s="334"/>
    </row>
    <row r="182" spans="1:13" s="71" customFormat="1" x14ac:dyDescent="0.25">
      <c r="A182" s="106" t="s">
        <v>408</v>
      </c>
      <c r="B182" s="447" t="s">
        <v>227</v>
      </c>
      <c r="C182" s="448"/>
      <c r="D182" s="448"/>
      <c r="E182" s="448"/>
      <c r="F182" s="448"/>
      <c r="G182" s="448"/>
      <c r="H182" s="448"/>
      <c r="I182" s="448"/>
      <c r="J182" s="448"/>
      <c r="K182" s="448"/>
      <c r="L182" s="449"/>
    </row>
    <row r="183" spans="1:13" s="71" customFormat="1" ht="47.25" customHeight="1" x14ac:dyDescent="0.25">
      <c r="A183" s="106"/>
      <c r="B183" s="372" t="s">
        <v>584</v>
      </c>
      <c r="C183" s="398"/>
      <c r="D183" s="398"/>
      <c r="E183" s="285" t="str">
        <f>G78</f>
        <v>Panvel Municipal Corporation</v>
      </c>
      <c r="F183" s="285"/>
      <c r="G183" s="285"/>
      <c r="H183" s="285"/>
      <c r="I183" s="285"/>
      <c r="J183" s="285"/>
      <c r="K183" s="285"/>
      <c r="L183" s="285"/>
    </row>
    <row r="184" spans="1:13" customFormat="1" x14ac:dyDescent="0.25">
      <c r="A184" s="26">
        <v>1</v>
      </c>
      <c r="B184" s="294" t="s">
        <v>228</v>
      </c>
      <c r="C184" s="295"/>
      <c r="D184" s="296"/>
      <c r="E184" s="230" t="s">
        <v>647</v>
      </c>
      <c r="F184" s="231"/>
      <c r="G184" s="231"/>
      <c r="H184" s="231"/>
      <c r="I184" s="232"/>
      <c r="J184" s="64" t="s">
        <v>231</v>
      </c>
      <c r="K184" s="486">
        <v>45827</v>
      </c>
      <c r="L184" s="487"/>
    </row>
    <row r="185" spans="1:13" customFormat="1" x14ac:dyDescent="0.25">
      <c r="A185" s="26">
        <v>2</v>
      </c>
      <c r="B185" s="294" t="s">
        <v>229</v>
      </c>
      <c r="C185" s="295"/>
      <c r="D185" s="296">
        <f>D184</f>
        <v>0</v>
      </c>
      <c r="E185" s="230" t="str">
        <f>E184</f>
        <v>CARPC/RB/2025/APL/00191</v>
      </c>
      <c r="F185" s="231"/>
      <c r="G185" s="231"/>
      <c r="H185" s="231"/>
      <c r="I185" s="232"/>
      <c r="J185" s="64" t="s">
        <v>231</v>
      </c>
      <c r="K185" s="486">
        <f>K184</f>
        <v>45827</v>
      </c>
      <c r="L185" s="487"/>
    </row>
    <row r="186" spans="1:13" customFormat="1" x14ac:dyDescent="0.25">
      <c r="A186" s="408">
        <v>3</v>
      </c>
      <c r="B186" s="352" t="s">
        <v>649</v>
      </c>
      <c r="C186" s="353"/>
      <c r="D186" s="353"/>
      <c r="E186" s="230" t="s">
        <v>647</v>
      </c>
      <c r="F186" s="231"/>
      <c r="G186" s="231"/>
      <c r="H186" s="231"/>
      <c r="I186" s="232"/>
      <c r="J186" s="64" t="s">
        <v>231</v>
      </c>
      <c r="K186" s="486">
        <v>45821</v>
      </c>
      <c r="L186" s="487"/>
    </row>
    <row r="187" spans="1:13" customFormat="1" x14ac:dyDescent="0.25">
      <c r="A187" s="410"/>
      <c r="B187" s="375"/>
      <c r="C187" s="376"/>
      <c r="D187" s="376"/>
      <c r="E187" s="382" t="s">
        <v>648</v>
      </c>
      <c r="F187" s="231"/>
      <c r="G187" s="231"/>
      <c r="H187" s="231"/>
      <c r="I187" s="231"/>
      <c r="J187" s="231"/>
      <c r="K187" s="231"/>
      <c r="L187" s="232"/>
    </row>
    <row r="188" spans="1:13" customFormat="1" x14ac:dyDescent="0.25">
      <c r="A188" s="221">
        <v>4</v>
      </c>
      <c r="B188" s="184" t="s">
        <v>620</v>
      </c>
      <c r="C188" s="184"/>
      <c r="D188" s="184"/>
      <c r="E188" s="222" t="s">
        <v>624</v>
      </c>
      <c r="F188" s="222"/>
      <c r="G188" s="222"/>
      <c r="H188" s="222"/>
      <c r="I188" s="222"/>
      <c r="J188" s="64" t="s">
        <v>231</v>
      </c>
      <c r="K188" s="223">
        <v>45253</v>
      </c>
      <c r="L188" s="223"/>
      <c r="M188" s="149" t="s">
        <v>621</v>
      </c>
    </row>
    <row r="189" spans="1:13" customFormat="1" x14ac:dyDescent="0.25">
      <c r="A189" s="221"/>
      <c r="B189" s="184"/>
      <c r="C189" s="184"/>
      <c r="D189" s="184"/>
      <c r="E189" s="222" t="s">
        <v>643</v>
      </c>
      <c r="F189" s="222"/>
      <c r="G189" s="222"/>
      <c r="H189" s="222"/>
      <c r="I189" s="222"/>
      <c r="J189" s="222"/>
      <c r="K189" s="222"/>
      <c r="L189" s="222"/>
    </row>
    <row r="190" spans="1:13" customFormat="1" x14ac:dyDescent="0.25">
      <c r="A190" s="221">
        <v>5</v>
      </c>
      <c r="B190" s="184" t="s">
        <v>622</v>
      </c>
      <c r="C190" s="184"/>
      <c r="D190" s="184"/>
      <c r="E190" s="222" t="s">
        <v>625</v>
      </c>
      <c r="F190" s="222"/>
      <c r="G190" s="222"/>
      <c r="H190" s="222"/>
      <c r="I190" s="222"/>
      <c r="J190" s="64" t="s">
        <v>231</v>
      </c>
      <c r="K190" s="223">
        <v>44713</v>
      </c>
      <c r="L190" s="223"/>
    </row>
    <row r="191" spans="1:13" customFormat="1" ht="30.75" customHeight="1" x14ac:dyDescent="0.25">
      <c r="A191" s="221"/>
      <c r="B191" s="184"/>
      <c r="C191" s="184"/>
      <c r="D191" s="184"/>
      <c r="E191" s="222"/>
      <c r="F191" s="222"/>
      <c r="G191" s="222"/>
      <c r="H191" s="222"/>
      <c r="I191" s="222"/>
      <c r="J191" s="150" t="s">
        <v>623</v>
      </c>
      <c r="K191" s="223">
        <v>47634</v>
      </c>
      <c r="L191" s="223"/>
    </row>
    <row r="192" spans="1:13" customFormat="1" ht="30.75" customHeight="1" x14ac:dyDescent="0.25">
      <c r="A192" s="221"/>
      <c r="B192" s="184"/>
      <c r="C192" s="184"/>
      <c r="D192" s="184"/>
      <c r="E192" s="227" t="s">
        <v>626</v>
      </c>
      <c r="F192" s="222"/>
      <c r="G192" s="222"/>
      <c r="H192" s="222"/>
      <c r="I192" s="222"/>
      <c r="J192" s="222"/>
      <c r="K192" s="222"/>
      <c r="L192" s="222"/>
      <c r="M192">
        <f>55-3.95</f>
        <v>51.05</v>
      </c>
    </row>
    <row r="193" spans="1:14" s="71" customFormat="1" x14ac:dyDescent="0.25">
      <c r="A193" s="106">
        <v>4</v>
      </c>
      <c r="B193" s="214" t="s">
        <v>230</v>
      </c>
      <c r="C193" s="215"/>
      <c r="D193" s="216"/>
      <c r="E193" s="211" t="s">
        <v>51</v>
      </c>
      <c r="F193" s="212"/>
      <c r="G193" s="212"/>
      <c r="H193" s="213"/>
      <c r="I193" s="107" t="s">
        <v>231</v>
      </c>
      <c r="J193" s="441" t="s">
        <v>51</v>
      </c>
      <c r="K193" s="442"/>
      <c r="L193" s="443"/>
    </row>
    <row r="194" spans="1:14" customFormat="1" x14ac:dyDescent="0.25">
      <c r="A194" s="26">
        <v>5</v>
      </c>
      <c r="B194" s="229" t="s">
        <v>232</v>
      </c>
      <c r="C194" s="229"/>
      <c r="D194" s="229"/>
      <c r="E194" s="229"/>
      <c r="F194" s="229"/>
      <c r="G194" s="230" t="s">
        <v>660</v>
      </c>
      <c r="H194" s="231"/>
      <c r="I194" s="231"/>
      <c r="J194" s="231"/>
      <c r="K194" s="231"/>
      <c r="L194" s="232"/>
    </row>
    <row r="195" spans="1:14" customFormat="1" x14ac:dyDescent="0.25">
      <c r="A195" s="26">
        <v>6</v>
      </c>
      <c r="B195" s="229" t="s">
        <v>233</v>
      </c>
      <c r="C195" s="229"/>
      <c r="D195" s="229"/>
      <c r="E195" s="229"/>
      <c r="F195" s="229"/>
      <c r="G195" s="230" t="s">
        <v>650</v>
      </c>
      <c r="H195" s="231"/>
      <c r="I195" s="231"/>
      <c r="J195" s="231"/>
      <c r="K195" s="231"/>
      <c r="L195" s="232"/>
    </row>
    <row r="196" spans="1:14" customFormat="1" x14ac:dyDescent="0.25">
      <c r="A196" s="26">
        <v>7</v>
      </c>
      <c r="B196" s="229" t="s">
        <v>234</v>
      </c>
      <c r="C196" s="229"/>
      <c r="D196" s="229"/>
      <c r="E196" s="229"/>
      <c r="F196" s="229"/>
      <c r="G196" s="230" t="s">
        <v>650</v>
      </c>
      <c r="H196" s="231"/>
      <c r="I196" s="231"/>
      <c r="J196" s="231"/>
      <c r="K196" s="231"/>
      <c r="L196" s="232"/>
    </row>
    <row r="197" spans="1:14" ht="16.5" thickBot="1" x14ac:dyDescent="0.3">
      <c r="A197" s="217" t="s">
        <v>507</v>
      </c>
      <c r="B197" s="218"/>
      <c r="C197" s="218"/>
      <c r="D197" s="218"/>
      <c r="E197" s="218"/>
      <c r="F197" s="218"/>
      <c r="G197" s="218"/>
      <c r="H197" s="218"/>
      <c r="I197" s="218"/>
      <c r="J197" s="218"/>
      <c r="K197" s="218"/>
      <c r="L197" s="219"/>
    </row>
    <row r="198" spans="1:14" s="112" customFormat="1" ht="14.25" x14ac:dyDescent="0.25">
      <c r="A198" s="260" t="s">
        <v>585</v>
      </c>
      <c r="B198" s="261"/>
      <c r="C198" s="261"/>
      <c r="D198" s="258" t="s">
        <v>650</v>
      </c>
      <c r="E198" s="258"/>
      <c r="F198" s="258"/>
      <c r="G198" s="258"/>
      <c r="H198" s="258"/>
      <c r="I198" s="258"/>
      <c r="J198" s="258"/>
      <c r="K198" s="258"/>
      <c r="L198" s="259"/>
      <c r="M198" s="256" t="str">
        <f ca="1">(IF(H202&gt;99%,"All work completed. Please provide OC.",IF(H202&gt;89.8%,"Plinth, RCC, Brick, Plaster, Flooring, Painting work Completed. Finishing work is in process.",IF(H202&lt;94%,(IF(D202=0,"Work not yet Started.",IF(F202=25%,"Piling work in process",IF(F202=50%,"Excavation work in process",IF(F202=100%,"Excavation work Completed. ","0")))&amp;(IF(D203=0%,"",IF(D203=N204,"Footing work is process",IF(D203=N205,"Footing work Completed",IF(D203=N206,"1st Basement Completed",IF(D203=N207,"1st &amp; 2nd Basement Completed",IF(D203=N208,"1st to 3rd Basement Completed",IF(D203=N209,"1st to 4th Basement Completed",IF(D203=N210,"Plinth work is process",IF(D203=N211,"Plinth work completed","0")))))))))))&amp;(IF(D204=(F199+I199+L199),", RCC Slab",IF(D204&gt;0,", RCC upto "&amp;D204&amp;" Slab",""))&amp;(IF(D205=L199,", Brickwork",IF(D205&gt;0,", Brickwork upto "&amp;D205&amp;" Floor",""))&amp;(IF(D206=L199,", Internal Plaster",IF(D206&gt;0,", Internal Plaster upto "&amp;D206&amp;" Floor",""))&amp;(IF(D207=L199,", External Plaster",IF(D207&gt;0,", External Plaster upto "&amp;D207&amp;" Floor",""))&amp;(IF(D208=L199,", Flooring",IF(D208&gt;0,", Flooring upto "&amp;D208&amp;" Floor",""))&amp;(IF(D209=L199,", Painting",IF(D209&gt;0,", Painting upto "&amp;D209&amp;" Floor",""))&amp;(IF(D210&gt;0,", Finishing upto "&amp;D210&amp;" Floor","")&amp;(IF(D204&gt;0.5," Completed",""))))))))))))))</f>
        <v>Excavation work Completed. Plinth work completed, RCC upto 2 Slab Completed</v>
      </c>
      <c r="N198" s="257"/>
    </row>
    <row r="199" spans="1:14" s="112" customFormat="1" x14ac:dyDescent="0.25">
      <c r="A199" s="262" t="s">
        <v>198</v>
      </c>
      <c r="B199" s="220"/>
      <c r="C199" s="109">
        <v>0</v>
      </c>
      <c r="D199" s="220" t="s">
        <v>477</v>
      </c>
      <c r="E199" s="220"/>
      <c r="F199" s="109">
        <v>1</v>
      </c>
      <c r="G199" s="220" t="s">
        <v>478</v>
      </c>
      <c r="H199" s="220"/>
      <c r="I199" s="109">
        <v>0</v>
      </c>
      <c r="J199" s="220" t="s">
        <v>479</v>
      </c>
      <c r="K199" s="220"/>
      <c r="L199" s="116">
        <f ca="1">--TRIM(RIGHT(SUBSTITUTE(LEFT(D198,_xlfn.AGGREGATE(16,6,FIND({0,1,2,3,4,5,6,7,8,9},D198,ROW(INDIRECT("1:"&amp;LEN(D198)))),1))," ",REPT(" ",LEN(D198))),LEN(D198)))</f>
        <v>12</v>
      </c>
      <c r="M199" s="110"/>
      <c r="N199" s="111"/>
    </row>
    <row r="200" spans="1:14" s="108" customFormat="1" x14ac:dyDescent="0.25">
      <c r="A200" s="224" t="s">
        <v>480</v>
      </c>
      <c r="B200" s="225"/>
      <c r="C200" s="225"/>
      <c r="D200" s="484" t="str">
        <f ca="1">M198</f>
        <v>Excavation work Completed. Plinth work completed, RCC upto 2 Slab Completed</v>
      </c>
      <c r="E200" s="484"/>
      <c r="F200" s="484"/>
      <c r="G200" s="484"/>
      <c r="H200" s="484"/>
      <c r="I200" s="484"/>
      <c r="J200" s="484"/>
      <c r="K200" s="484"/>
      <c r="L200" s="485"/>
      <c r="M200" s="113"/>
      <c r="N200" s="114"/>
    </row>
    <row r="201" spans="1:14" s="108" customFormat="1" ht="15" customHeight="1" x14ac:dyDescent="0.2">
      <c r="A201" s="200" t="s">
        <v>482</v>
      </c>
      <c r="B201" s="191"/>
      <c r="C201" s="191"/>
      <c r="D201" s="191" t="s">
        <v>484</v>
      </c>
      <c r="E201" s="191"/>
      <c r="F201" s="191" t="s">
        <v>485</v>
      </c>
      <c r="G201" s="191"/>
      <c r="H201" s="191" t="s">
        <v>486</v>
      </c>
      <c r="I201" s="191"/>
      <c r="J201" s="191" t="s">
        <v>586</v>
      </c>
      <c r="K201" s="191"/>
      <c r="L201" s="226"/>
      <c r="M201" s="117" t="s">
        <v>487</v>
      </c>
      <c r="N201" s="118">
        <f ca="1">L199*25%</f>
        <v>3</v>
      </c>
    </row>
    <row r="202" spans="1:14" s="108" customFormat="1" ht="15" customHeight="1" x14ac:dyDescent="0.2">
      <c r="A202" s="200" t="s">
        <v>488</v>
      </c>
      <c r="B202" s="191"/>
      <c r="C202" s="191"/>
      <c r="D202" s="191">
        <f ca="1">N203</f>
        <v>12</v>
      </c>
      <c r="E202" s="191"/>
      <c r="F202" s="193">
        <f ca="1">((100/L199)*D202)/100</f>
        <v>1</v>
      </c>
      <c r="G202" s="193"/>
      <c r="H202" s="193">
        <f ca="1">(((D203/L199*10)+(40/(F199+I199+L199)*D204)+(15/(L199)*D205)+(5/(L199)*D206)+(5/L199*D207)+(10/L199*D208)+(5/L199*D209)+(5/L199*D210)+(5/L199*D211))/100)</f>
        <v>0.16153846153846152</v>
      </c>
      <c r="I202" s="193"/>
      <c r="J202" s="193">
        <f ca="1">((((D202/L199)*10)+((D203/L199)*20)+(30/(L199+I199+F199)*D204)+(15/L199*D205)+(5/L199*D206)+(5/L199*D207)+(5/L199*D208)+(5/L199*D209)+(2.5/L199*D210)+(2.5/L199*D211))/100)</f>
        <v>0.34615384615384615</v>
      </c>
      <c r="K202" s="193"/>
      <c r="L202" s="201"/>
      <c r="M202" s="117" t="s">
        <v>489</v>
      </c>
      <c r="N202" s="119">
        <f ca="1">L199*50%</f>
        <v>6</v>
      </c>
    </row>
    <row r="203" spans="1:14" s="108" customFormat="1" x14ac:dyDescent="0.2">
      <c r="A203" s="200" t="s">
        <v>36</v>
      </c>
      <c r="B203" s="191"/>
      <c r="C203" s="191"/>
      <c r="D203" s="228">
        <f ca="1">N211</f>
        <v>12</v>
      </c>
      <c r="E203" s="191"/>
      <c r="F203" s="193">
        <f ca="1">((100/L199)*D203)/100</f>
        <v>1</v>
      </c>
      <c r="G203" s="193"/>
      <c r="H203" s="193"/>
      <c r="I203" s="193"/>
      <c r="J203" s="193"/>
      <c r="K203" s="193"/>
      <c r="L203" s="201"/>
      <c r="M203" s="117" t="s">
        <v>490</v>
      </c>
      <c r="N203" s="119">
        <f ca="1">L199</f>
        <v>12</v>
      </c>
    </row>
    <row r="204" spans="1:14" s="108" customFormat="1" ht="15" customHeight="1" x14ac:dyDescent="0.2">
      <c r="A204" s="200" t="s">
        <v>491</v>
      </c>
      <c r="B204" s="191"/>
      <c r="C204" s="191"/>
      <c r="D204" s="191">
        <v>2</v>
      </c>
      <c r="E204" s="191"/>
      <c r="F204" s="193">
        <f ca="1">((100/(F199+I199+L199))*D204)/100</f>
        <v>0.15384615384615385</v>
      </c>
      <c r="G204" s="193"/>
      <c r="H204" s="193"/>
      <c r="I204" s="193"/>
      <c r="J204" s="193"/>
      <c r="K204" s="193"/>
      <c r="L204" s="201"/>
      <c r="M204" s="117" t="s">
        <v>492</v>
      </c>
      <c r="N204" s="120">
        <f ca="1">(IF(B199&gt;1,(L199/(B199+2)),L199/4))</f>
        <v>3</v>
      </c>
    </row>
    <row r="205" spans="1:14" s="108" customFormat="1" ht="15" customHeight="1" x14ac:dyDescent="0.2">
      <c r="A205" s="200" t="s">
        <v>493</v>
      </c>
      <c r="B205" s="191" t="s">
        <v>587</v>
      </c>
      <c r="C205" s="191"/>
      <c r="D205" s="191">
        <v>0</v>
      </c>
      <c r="E205" s="191"/>
      <c r="F205" s="193">
        <f ca="1">((100/L199)*D205)/100</f>
        <v>0</v>
      </c>
      <c r="G205" s="193"/>
      <c r="H205" s="193"/>
      <c r="I205" s="193"/>
      <c r="J205" s="193"/>
      <c r="K205" s="193"/>
      <c r="L205" s="201"/>
      <c r="M205" s="117" t="s">
        <v>494</v>
      </c>
      <c r="N205" s="120">
        <f ca="1">(IF(B199&gt;1,(L199/(B199+2)+N204),L199/4+N204))</f>
        <v>6</v>
      </c>
    </row>
    <row r="206" spans="1:14" s="108" customFormat="1" ht="15" customHeight="1" x14ac:dyDescent="0.2">
      <c r="A206" s="200" t="s">
        <v>495</v>
      </c>
      <c r="B206" s="191" t="s">
        <v>587</v>
      </c>
      <c r="C206" s="191"/>
      <c r="D206" s="191">
        <v>0</v>
      </c>
      <c r="E206" s="191"/>
      <c r="F206" s="193">
        <f ca="1">((100/L199)*D206)/100</f>
        <v>0</v>
      </c>
      <c r="G206" s="193"/>
      <c r="H206" s="193"/>
      <c r="I206" s="193"/>
      <c r="J206" s="193"/>
      <c r="K206" s="193"/>
      <c r="L206" s="201"/>
      <c r="M206" s="117" t="s">
        <v>496</v>
      </c>
      <c r="N206" s="120">
        <f>(IF(B199&gt;1,(L199/(B199+2)+N205),0))</f>
        <v>0</v>
      </c>
    </row>
    <row r="207" spans="1:14" s="108" customFormat="1" ht="15" customHeight="1" x14ac:dyDescent="0.2">
      <c r="A207" s="200" t="s">
        <v>497</v>
      </c>
      <c r="B207" s="191" t="s">
        <v>588</v>
      </c>
      <c r="C207" s="191"/>
      <c r="D207" s="191">
        <v>0</v>
      </c>
      <c r="E207" s="191"/>
      <c r="F207" s="193">
        <f ca="1">((100/(L199))*D207)/100</f>
        <v>0</v>
      </c>
      <c r="G207" s="193"/>
      <c r="H207" s="193"/>
      <c r="I207" s="193"/>
      <c r="J207" s="193"/>
      <c r="K207" s="193"/>
      <c r="L207" s="201"/>
      <c r="M207" s="117" t="s">
        <v>498</v>
      </c>
      <c r="N207" s="120">
        <f>(IF(B199&gt;2,(L199/(B199+2)+N206),0))</f>
        <v>0</v>
      </c>
    </row>
    <row r="208" spans="1:14" s="108" customFormat="1" ht="15" customHeight="1" x14ac:dyDescent="0.2">
      <c r="A208" s="200" t="s">
        <v>499</v>
      </c>
      <c r="B208" s="191" t="s">
        <v>499</v>
      </c>
      <c r="C208" s="191"/>
      <c r="D208" s="191">
        <v>0</v>
      </c>
      <c r="E208" s="191"/>
      <c r="F208" s="193">
        <f ca="1">((100/L199)*D208)/100</f>
        <v>0</v>
      </c>
      <c r="G208" s="193"/>
      <c r="H208" s="193"/>
      <c r="I208" s="193"/>
      <c r="J208" s="193"/>
      <c r="K208" s="193"/>
      <c r="L208" s="201"/>
      <c r="M208" s="117" t="s">
        <v>500</v>
      </c>
      <c r="N208" s="121">
        <f>(IF(B199&gt;3,(L199/(B199+2)+N207),0))</f>
        <v>0</v>
      </c>
    </row>
    <row r="209" spans="1:14" s="108" customFormat="1" ht="15" customHeight="1" x14ac:dyDescent="0.2">
      <c r="A209" s="200" t="s">
        <v>501</v>
      </c>
      <c r="B209" s="191"/>
      <c r="C209" s="191"/>
      <c r="D209" s="191">
        <v>0</v>
      </c>
      <c r="E209" s="191"/>
      <c r="F209" s="193">
        <f ca="1">((100/L199)*D209)/100</f>
        <v>0</v>
      </c>
      <c r="G209" s="193"/>
      <c r="H209" s="193"/>
      <c r="I209" s="193"/>
      <c r="J209" s="193"/>
      <c r="K209" s="193"/>
      <c r="L209" s="201"/>
      <c r="M209" s="117" t="s">
        <v>502</v>
      </c>
      <c r="N209" s="120">
        <f>(IF(B199&gt;4,(L199/(B199+2)+N208),0))</f>
        <v>0</v>
      </c>
    </row>
    <row r="210" spans="1:14" s="115" customFormat="1" ht="15" customHeight="1" x14ac:dyDescent="0.25">
      <c r="A210" s="200" t="s">
        <v>503</v>
      </c>
      <c r="B210" s="191" t="s">
        <v>503</v>
      </c>
      <c r="C210" s="191"/>
      <c r="D210" s="191">
        <v>0</v>
      </c>
      <c r="E210" s="191"/>
      <c r="F210" s="193">
        <f ca="1">((100/(L199))*D210)/100</f>
        <v>0</v>
      </c>
      <c r="G210" s="193"/>
      <c r="H210" s="193"/>
      <c r="I210" s="193"/>
      <c r="J210" s="193"/>
      <c r="K210" s="193"/>
      <c r="L210" s="201"/>
      <c r="M210" s="122" t="s">
        <v>504</v>
      </c>
      <c r="N210" s="123">
        <f ca="1">(IF(B199=1,(L199/(B199+3)+N205),IF(B199=0,(L199/4+N205),IF(B199&gt;1,0))))</f>
        <v>9</v>
      </c>
    </row>
    <row r="211" spans="1:14" s="108" customFormat="1" ht="15.75" customHeight="1" thickBot="1" x14ac:dyDescent="0.25">
      <c r="A211" s="210" t="s">
        <v>505</v>
      </c>
      <c r="B211" s="192"/>
      <c r="C211" s="192"/>
      <c r="D211" s="192">
        <v>0</v>
      </c>
      <c r="E211" s="192"/>
      <c r="F211" s="202">
        <f ca="1">((100/(L199))*C211)/100</f>
        <v>0</v>
      </c>
      <c r="G211" s="202"/>
      <c r="H211" s="202"/>
      <c r="I211" s="202"/>
      <c r="J211" s="202"/>
      <c r="K211" s="202"/>
      <c r="L211" s="203"/>
      <c r="M211" s="124" t="s">
        <v>506</v>
      </c>
      <c r="N211" s="125">
        <f ca="1">(IF(B199&gt;1.5,(L199/(B199+2)+N205+MAX(0,N206-N205)+MAX(0,N207-N206)+MAX(0,N208-N207)+MAX(0,N209-N208)+MAX(0,N210-N209)),IF(B199=1,(L199/(B199+3)+N210),IF(B199=0,L199/4+N210))))</f>
        <v>12</v>
      </c>
    </row>
    <row r="212" spans="1:14" customFormat="1" ht="15.75" customHeight="1" x14ac:dyDescent="0.25">
      <c r="A212" s="438" t="s">
        <v>472</v>
      </c>
      <c r="B212" s="439"/>
      <c r="C212" s="439"/>
      <c r="D212" s="439"/>
      <c r="E212" s="439"/>
      <c r="F212" s="439"/>
      <c r="G212" s="439"/>
      <c r="H212" s="439"/>
      <c r="I212" s="439"/>
      <c r="J212" s="439"/>
      <c r="K212" s="439"/>
      <c r="L212" s="440"/>
    </row>
    <row r="213" spans="1:14" customFormat="1" ht="15.75" customHeight="1" x14ac:dyDescent="0.25">
      <c r="A213" s="163" t="s">
        <v>95</v>
      </c>
      <c r="B213" s="164"/>
      <c r="C213" s="165"/>
      <c r="D213" s="166" t="s">
        <v>235</v>
      </c>
      <c r="E213" s="167"/>
      <c r="F213" s="168"/>
      <c r="G213" s="169" t="s">
        <v>236</v>
      </c>
      <c r="H213" s="170"/>
      <c r="I213" s="171"/>
      <c r="J213" s="163" t="s">
        <v>427</v>
      </c>
      <c r="K213" s="164"/>
      <c r="L213" s="165"/>
    </row>
    <row r="214" spans="1:14" customFormat="1" ht="22.5" customHeight="1" x14ac:dyDescent="0.25">
      <c r="A214" s="185" t="s">
        <v>428</v>
      </c>
      <c r="B214" s="186"/>
      <c r="C214" s="187"/>
      <c r="D214" s="204">
        <f>COUNT(G234:G245)</f>
        <v>12</v>
      </c>
      <c r="E214" s="205"/>
      <c r="F214" s="206"/>
      <c r="G214" s="207">
        <f>SUM(G234:G245)</f>
        <v>5417.0927927999992</v>
      </c>
      <c r="H214" s="208"/>
      <c r="I214" s="209"/>
      <c r="J214" s="185">
        <f>SUM(H234:H245)</f>
        <v>6500.5113513600008</v>
      </c>
      <c r="K214" s="186"/>
      <c r="L214" s="187"/>
    </row>
    <row r="215" spans="1:14" customFormat="1" x14ac:dyDescent="0.25">
      <c r="A215" s="163" t="s">
        <v>237</v>
      </c>
      <c r="B215" s="164"/>
      <c r="C215" s="165"/>
      <c r="D215" s="166">
        <f>SUM(D214:D214)</f>
        <v>12</v>
      </c>
      <c r="E215" s="167"/>
      <c r="F215" s="168"/>
      <c r="G215" s="432">
        <f>SUM(G214:G214)</f>
        <v>5417.0927927999992</v>
      </c>
      <c r="H215" s="433"/>
      <c r="I215" s="434"/>
      <c r="J215" s="163">
        <f>SUM(J214:J214)</f>
        <v>6500.5113513600008</v>
      </c>
      <c r="K215" s="164"/>
      <c r="L215" s="165"/>
    </row>
    <row r="216" spans="1:14" customFormat="1" ht="15.75" customHeight="1" x14ac:dyDescent="0.25">
      <c r="A216" s="438" t="s">
        <v>473</v>
      </c>
      <c r="B216" s="439"/>
      <c r="C216" s="439"/>
      <c r="D216" s="439"/>
      <c r="E216" s="439"/>
      <c r="F216" s="439"/>
      <c r="G216" s="439"/>
      <c r="H216" s="439"/>
      <c r="I216" s="439"/>
      <c r="J216" s="439"/>
      <c r="K216" s="439"/>
      <c r="L216" s="440"/>
    </row>
    <row r="217" spans="1:14" customFormat="1" ht="15.75" customHeight="1" x14ac:dyDescent="0.25">
      <c r="A217" s="163" t="s">
        <v>95</v>
      </c>
      <c r="B217" s="164"/>
      <c r="C217" s="165"/>
      <c r="D217" s="166" t="s">
        <v>235</v>
      </c>
      <c r="E217" s="167"/>
      <c r="F217" s="168"/>
      <c r="G217" s="169" t="s">
        <v>236</v>
      </c>
      <c r="H217" s="170"/>
      <c r="I217" s="171"/>
      <c r="J217" s="163" t="s">
        <v>427</v>
      </c>
      <c r="K217" s="164"/>
      <c r="L217" s="165"/>
    </row>
    <row r="218" spans="1:14" customFormat="1" ht="23.1" customHeight="1" x14ac:dyDescent="0.25">
      <c r="A218" s="185" t="s">
        <v>429</v>
      </c>
      <c r="B218" s="186"/>
      <c r="C218" s="187"/>
      <c r="D218" s="204">
        <f>COUNT(E291:E298)+COUNT(E300:E309)+COUNT(E310:E319)+COUNT(E320:E329)+COUNT(E330:E339)+COUNT(E340:E341,E343:E349)+COUNT(E350:E359)+COUNT(E360:E369)+COUNT(E370:E379)+COUNT(E381,E383:E388)</f>
        <v>94</v>
      </c>
      <c r="E218" s="205"/>
      <c r="F218" s="206"/>
      <c r="G218" s="207">
        <f>SUM(E291:E298)+SUM(E300:E309)+SUM(E310:E319)+SUM(E320:E329)+SUM(E330:E339)+SUM(E340:E341,E343:E349)+SUM(E350:E359)+SUM(E360:E369)+SUM(E370:E379)+SUM(E381,E383:E388)</f>
        <v>57056.96353500001</v>
      </c>
      <c r="H218" s="208"/>
      <c r="I218" s="209"/>
      <c r="J218" s="207">
        <f>SUM(F291:F298)+SUM(F300:F309)+SUM(F310:F319)+SUM(F320:F329)+SUM(F330:F339)+SUM(F340:F341,F343:F349)+SUM(F350:F359)+SUM(F360:F369)+SUM(F370:F379)+SUM(F381,F383:F388)</f>
        <v>68468.356242000009</v>
      </c>
      <c r="K218" s="208"/>
      <c r="L218" s="209"/>
    </row>
    <row r="219" spans="1:14" customFormat="1" x14ac:dyDescent="0.25">
      <c r="A219" s="163" t="s">
        <v>237</v>
      </c>
      <c r="B219" s="164"/>
      <c r="C219" s="165"/>
      <c r="D219" s="166">
        <f>SUM(D218:D218)</f>
        <v>94</v>
      </c>
      <c r="E219" s="167"/>
      <c r="F219" s="168"/>
      <c r="G219" s="432">
        <f>SUM(G218:G218)</f>
        <v>57056.96353500001</v>
      </c>
      <c r="H219" s="433"/>
      <c r="I219" s="434"/>
      <c r="J219" s="163">
        <f>SUM(J218:J218)</f>
        <v>68468.356242000009</v>
      </c>
      <c r="K219" s="164"/>
      <c r="L219" s="165"/>
    </row>
    <row r="220" spans="1:14" customFormat="1" ht="15.75" hidden="1" customHeight="1" x14ac:dyDescent="0.25">
      <c r="A220" s="438" t="s">
        <v>474</v>
      </c>
      <c r="B220" s="439"/>
      <c r="C220" s="439"/>
      <c r="D220" s="439"/>
      <c r="E220" s="439"/>
      <c r="F220" s="439"/>
      <c r="G220" s="439"/>
      <c r="H220" s="439"/>
      <c r="I220" s="439"/>
      <c r="J220" s="439"/>
      <c r="K220" s="439"/>
      <c r="L220" s="440"/>
    </row>
    <row r="221" spans="1:14" customFormat="1" ht="15.75" hidden="1" customHeight="1" x14ac:dyDescent="0.25">
      <c r="A221" s="163" t="s">
        <v>95</v>
      </c>
      <c r="B221" s="164"/>
      <c r="C221" s="165"/>
      <c r="D221" s="166" t="s">
        <v>235</v>
      </c>
      <c r="E221" s="167"/>
      <c r="F221" s="168"/>
      <c r="G221" s="169" t="s">
        <v>236</v>
      </c>
      <c r="H221" s="170"/>
      <c r="I221" s="171"/>
      <c r="J221" s="163" t="s">
        <v>427</v>
      </c>
      <c r="K221" s="164"/>
      <c r="L221" s="165"/>
    </row>
    <row r="222" spans="1:14" customFormat="1" hidden="1" x14ac:dyDescent="0.25">
      <c r="A222" s="197" t="s">
        <v>425</v>
      </c>
      <c r="B222" s="198"/>
      <c r="C222" s="199"/>
      <c r="D222" s="437"/>
      <c r="E222" s="205"/>
      <c r="F222" s="206"/>
      <c r="G222" s="194"/>
      <c r="H222" s="195"/>
      <c r="I222" s="196"/>
      <c r="J222" s="197"/>
      <c r="K222" s="198"/>
      <c r="L222" s="199"/>
    </row>
    <row r="223" spans="1:14" customFormat="1" hidden="1" x14ac:dyDescent="0.25">
      <c r="A223" s="197" t="s">
        <v>426</v>
      </c>
      <c r="B223" s="198"/>
      <c r="C223" s="199"/>
      <c r="D223" s="437"/>
      <c r="E223" s="205"/>
      <c r="F223" s="206"/>
      <c r="G223" s="194"/>
      <c r="H223" s="195"/>
      <c r="I223" s="196"/>
      <c r="J223" s="197"/>
      <c r="K223" s="198"/>
      <c r="L223" s="199"/>
    </row>
    <row r="224" spans="1:14" customFormat="1" hidden="1" x14ac:dyDescent="0.25">
      <c r="A224" s="163" t="s">
        <v>237</v>
      </c>
      <c r="B224" s="164"/>
      <c r="C224" s="165"/>
      <c r="D224" s="166">
        <f>SUM(D222:D223)</f>
        <v>0</v>
      </c>
      <c r="E224" s="167"/>
      <c r="F224" s="168"/>
      <c r="G224" s="169">
        <f>SUM(G222:G223)</f>
        <v>0</v>
      </c>
      <c r="H224" s="170"/>
      <c r="I224" s="171"/>
      <c r="J224" s="163">
        <f>SUM(J222:J223)</f>
        <v>0</v>
      </c>
      <c r="K224" s="164"/>
      <c r="L224" s="165"/>
    </row>
    <row r="225" spans="1:14" customFormat="1" ht="16.5" hidden="1" customHeight="1" x14ac:dyDescent="0.25">
      <c r="A225" s="163" t="s">
        <v>238</v>
      </c>
      <c r="B225" s="164"/>
      <c r="C225" s="165"/>
      <c r="D225" s="481">
        <f>D215+D219+D224</f>
        <v>106</v>
      </c>
      <c r="E225" s="482"/>
      <c r="F225" s="483"/>
      <c r="G225" s="432">
        <f>G215+G219+G224</f>
        <v>62474.056327800012</v>
      </c>
      <c r="H225" s="433"/>
      <c r="I225" s="434"/>
      <c r="J225" s="432">
        <f>J215+J219+J224</f>
        <v>74968.867593360017</v>
      </c>
      <c r="K225" s="433"/>
      <c r="L225" s="434"/>
    </row>
    <row r="226" spans="1:14" ht="31.5" customHeight="1" x14ac:dyDescent="0.25">
      <c r="A226" s="52" t="s">
        <v>6</v>
      </c>
      <c r="B226" s="184" t="s">
        <v>11</v>
      </c>
      <c r="C226" s="184"/>
      <c r="D226" s="184"/>
      <c r="E226" s="184"/>
      <c r="F226" s="184"/>
      <c r="G226" s="184" t="s">
        <v>12</v>
      </c>
      <c r="H226" s="184"/>
      <c r="I226" s="184"/>
      <c r="J226" s="184"/>
      <c r="K226" s="184"/>
      <c r="L226" s="184"/>
    </row>
    <row r="227" spans="1:14" ht="15.75" x14ac:dyDescent="0.25">
      <c r="A227" s="429" t="s">
        <v>239</v>
      </c>
      <c r="B227" s="430"/>
      <c r="C227" s="430"/>
      <c r="D227" s="430"/>
      <c r="E227" s="430"/>
      <c r="F227" s="430"/>
      <c r="G227" s="430"/>
      <c r="H227" s="430"/>
      <c r="I227" s="430"/>
      <c r="J227" s="430"/>
      <c r="K227" s="430"/>
      <c r="L227" s="431"/>
    </row>
    <row r="228" spans="1:14" ht="15.75" x14ac:dyDescent="0.25">
      <c r="A228" s="248" t="s">
        <v>414</v>
      </c>
      <c r="B228" s="249"/>
      <c r="C228" s="249"/>
      <c r="D228" s="249"/>
      <c r="E228" s="249"/>
      <c r="F228" s="249"/>
      <c r="G228" s="249"/>
      <c r="H228" s="249"/>
      <c r="I228" s="249"/>
      <c r="J228" s="249"/>
      <c r="K228" s="249"/>
      <c r="L228" s="250"/>
    </row>
    <row r="229" spans="1:14" customFormat="1" ht="27" customHeight="1" x14ac:dyDescent="0.25">
      <c r="A229" s="426" t="s">
        <v>67</v>
      </c>
      <c r="B229" s="172" t="s">
        <v>68</v>
      </c>
      <c r="C229" s="172" t="s">
        <v>69</v>
      </c>
      <c r="D229" s="172" t="s">
        <v>70</v>
      </c>
      <c r="E229" s="172" t="s">
        <v>83</v>
      </c>
      <c r="F229" s="172" t="s">
        <v>602</v>
      </c>
      <c r="G229" s="172" t="s">
        <v>601</v>
      </c>
      <c r="H229" s="172" t="s">
        <v>243</v>
      </c>
      <c r="I229" s="172" t="s">
        <v>591</v>
      </c>
      <c r="J229" s="181"/>
      <c r="K229" s="181"/>
      <c r="L229" s="172"/>
    </row>
    <row r="230" spans="1:14" customFormat="1" ht="38.25" customHeight="1" x14ac:dyDescent="0.25">
      <c r="A230" s="427"/>
      <c r="B230" s="173"/>
      <c r="C230" s="173"/>
      <c r="D230" s="173"/>
      <c r="E230" s="173"/>
      <c r="F230" s="173"/>
      <c r="G230" s="173"/>
      <c r="H230" s="173"/>
      <c r="I230" s="174"/>
      <c r="J230" s="182"/>
      <c r="K230" s="254"/>
      <c r="L230" s="173"/>
    </row>
    <row r="231" spans="1:14" customFormat="1" x14ac:dyDescent="0.25">
      <c r="A231" s="428"/>
      <c r="B231" s="174"/>
      <c r="C231" s="174"/>
      <c r="D231" s="174"/>
      <c r="E231" s="174"/>
      <c r="F231" s="174"/>
      <c r="G231" s="174"/>
      <c r="H231" s="174"/>
      <c r="I231" s="151">
        <v>2500</v>
      </c>
      <c r="J231" s="183"/>
      <c r="K231" s="255"/>
      <c r="L231" s="174"/>
    </row>
    <row r="232" spans="1:14" customFormat="1" x14ac:dyDescent="0.25">
      <c r="A232" s="423" t="s">
        <v>410</v>
      </c>
      <c r="B232" s="424"/>
      <c r="C232" s="424"/>
      <c r="D232" s="424"/>
      <c r="E232" s="424"/>
      <c r="F232" s="424"/>
      <c r="G232" s="424"/>
      <c r="H232" s="424"/>
      <c r="I232" s="424"/>
      <c r="J232" s="424"/>
      <c r="K232" s="424"/>
      <c r="L232" s="425"/>
    </row>
    <row r="233" spans="1:14" customFormat="1" x14ac:dyDescent="0.25">
      <c r="A233" s="188" t="s">
        <v>651</v>
      </c>
      <c r="B233" s="189"/>
      <c r="C233" s="189"/>
      <c r="D233" s="189"/>
      <c r="E233" s="189"/>
      <c r="F233" s="189"/>
      <c r="G233" s="189"/>
      <c r="H233" s="189"/>
      <c r="I233" s="189"/>
      <c r="J233" s="189"/>
      <c r="K233" s="189"/>
      <c r="L233" s="190"/>
    </row>
    <row r="234" spans="1:14" customFormat="1" ht="15" customHeight="1" x14ac:dyDescent="0.25">
      <c r="A234" s="128">
        <v>1</v>
      </c>
      <c r="B234" s="251" t="s">
        <v>594</v>
      </c>
      <c r="C234" s="132">
        <v>1</v>
      </c>
      <c r="D234" s="129" t="s">
        <v>412</v>
      </c>
      <c r="E234" s="130">
        <f>(34.293)*(10.764)</f>
        <v>369.12985199999997</v>
      </c>
      <c r="F234" s="130">
        <f>(3.051*3.15)*(10.764)</f>
        <v>103.44903659999999</v>
      </c>
      <c r="G234" s="130">
        <f>E234+(IF(F234&lt;201,F234,IF(F234&lt;301,F234/2,F234/3)))</f>
        <v>472.57888859999997</v>
      </c>
      <c r="H234" s="131">
        <f>G234*1.2</f>
        <v>567.09466631999999</v>
      </c>
      <c r="I234" s="131">
        <f>H234*I$231</f>
        <v>1417736.6658000001</v>
      </c>
      <c r="J234" s="131"/>
      <c r="K234" s="128" t="s">
        <v>170</v>
      </c>
      <c r="L234" s="133" t="s">
        <v>170</v>
      </c>
      <c r="M234">
        <f>3.051*10.67</f>
        <v>32.554169999999999</v>
      </c>
      <c r="N234" s="60">
        <f>10.764</f>
        <v>10.763999999999999</v>
      </c>
    </row>
    <row r="235" spans="1:14" customFormat="1" x14ac:dyDescent="0.25">
      <c r="A235" s="128">
        <f>A234+1</f>
        <v>2</v>
      </c>
      <c r="B235" s="252"/>
      <c r="C235" s="132">
        <f>C234+1</f>
        <v>2</v>
      </c>
      <c r="D235" s="129" t="s">
        <v>412</v>
      </c>
      <c r="E235" s="130">
        <f>(31.359)*(10.764)</f>
        <v>337.54827599999999</v>
      </c>
      <c r="F235" s="130">
        <f>(2.79*3.72)*(10.764)</f>
        <v>111.71740319999999</v>
      </c>
      <c r="G235" s="130">
        <f t="shared" ref="G235:G260" si="0">E235+(IF(F235&lt;201,F235,IF(F235&lt;301,F235/2,F235/3)))</f>
        <v>449.26567919999997</v>
      </c>
      <c r="H235" s="131">
        <f t="shared" ref="H235:H260" si="1">G235*1.2</f>
        <v>539.11881503999996</v>
      </c>
      <c r="I235" s="131">
        <f t="shared" ref="I235:I260" si="2">H235*I$231</f>
        <v>1347797.0375999999</v>
      </c>
      <c r="J235" s="131"/>
      <c r="K235" s="128" t="s">
        <v>170</v>
      </c>
      <c r="L235" s="133" t="s">
        <v>170</v>
      </c>
    </row>
    <row r="236" spans="1:14" customFormat="1" x14ac:dyDescent="0.25">
      <c r="A236" s="128">
        <f t="shared" ref="A236:A259" si="3">A235+1</f>
        <v>3</v>
      </c>
      <c r="B236" s="252"/>
      <c r="C236" s="143">
        <f t="shared" ref="C236:C245" si="4">C235+1</f>
        <v>3</v>
      </c>
      <c r="D236" s="129" t="s">
        <v>412</v>
      </c>
      <c r="E236" s="130">
        <f>(32.916)*(10.764)</f>
        <v>354.30782399999993</v>
      </c>
      <c r="F236" s="130">
        <f>(3.085*3.15)*(10.764)</f>
        <v>104.60186099999999</v>
      </c>
      <c r="G236" s="130">
        <f t="shared" si="0"/>
        <v>458.90968499999991</v>
      </c>
      <c r="H236" s="131">
        <f t="shared" si="1"/>
        <v>550.69162199999982</v>
      </c>
      <c r="I236" s="131">
        <f t="shared" si="2"/>
        <v>1376729.0549999995</v>
      </c>
      <c r="J236" s="131"/>
      <c r="K236" s="128" t="s">
        <v>170</v>
      </c>
      <c r="L236" s="133" t="s">
        <v>170</v>
      </c>
    </row>
    <row r="237" spans="1:14" customFormat="1" x14ac:dyDescent="0.25">
      <c r="A237" s="128">
        <f t="shared" si="3"/>
        <v>4</v>
      </c>
      <c r="B237" s="252"/>
      <c r="C237" s="143">
        <f t="shared" si="4"/>
        <v>4</v>
      </c>
      <c r="D237" s="129" t="s">
        <v>412</v>
      </c>
      <c r="E237" s="130">
        <f>(32.916)*(10.764)</f>
        <v>354.30782399999993</v>
      </c>
      <c r="F237" s="130">
        <f>(3.085*3.15)*(10.764)</f>
        <v>104.60186099999999</v>
      </c>
      <c r="G237" s="130">
        <f t="shared" si="0"/>
        <v>458.90968499999991</v>
      </c>
      <c r="H237" s="131">
        <f t="shared" si="1"/>
        <v>550.69162199999982</v>
      </c>
      <c r="I237" s="131">
        <f t="shared" si="2"/>
        <v>1376729.0549999995</v>
      </c>
      <c r="J237" s="131"/>
      <c r="K237" s="128" t="s">
        <v>170</v>
      </c>
      <c r="L237" s="133" t="s">
        <v>170</v>
      </c>
    </row>
    <row r="238" spans="1:14" customFormat="1" x14ac:dyDescent="0.25">
      <c r="A238" s="128">
        <f t="shared" si="3"/>
        <v>5</v>
      </c>
      <c r="B238" s="252"/>
      <c r="C238" s="143">
        <f t="shared" si="4"/>
        <v>5</v>
      </c>
      <c r="D238" s="129" t="s">
        <v>412</v>
      </c>
      <c r="E238" s="130">
        <f>(29.768)*(10.764)</f>
        <v>320.422752</v>
      </c>
      <c r="F238" s="130">
        <f>(2.79*3.15)*(10.764)</f>
        <v>94.599413999999982</v>
      </c>
      <c r="G238" s="130">
        <f t="shared" si="0"/>
        <v>415.02216599999997</v>
      </c>
      <c r="H238" s="131">
        <f t="shared" si="1"/>
        <v>498.02659919999996</v>
      </c>
      <c r="I238" s="131">
        <f>H238*I$231</f>
        <v>1245066.4979999999</v>
      </c>
      <c r="J238" s="131"/>
      <c r="K238" s="128" t="s">
        <v>170</v>
      </c>
      <c r="L238" s="133" t="s">
        <v>170</v>
      </c>
    </row>
    <row r="239" spans="1:14" customFormat="1" x14ac:dyDescent="0.25">
      <c r="A239" s="128">
        <f t="shared" si="3"/>
        <v>6</v>
      </c>
      <c r="B239" s="252"/>
      <c r="C239" s="143">
        <f t="shared" si="4"/>
        <v>6</v>
      </c>
      <c r="D239" s="129" t="s">
        <v>412</v>
      </c>
      <c r="E239" s="130">
        <f>(32.554)*(10.764)</f>
        <v>350.41125599999998</v>
      </c>
      <c r="F239" s="130">
        <f>(3.051*3.15)*(10.764)</f>
        <v>103.44903659999999</v>
      </c>
      <c r="G239" s="130">
        <f t="shared" si="0"/>
        <v>453.86029259999998</v>
      </c>
      <c r="H239" s="131">
        <f t="shared" si="1"/>
        <v>544.63235111999995</v>
      </c>
      <c r="I239" s="131">
        <f t="shared" si="2"/>
        <v>1361580.8777999999</v>
      </c>
      <c r="J239" s="131"/>
      <c r="K239" s="128" t="s">
        <v>170</v>
      </c>
      <c r="L239" s="133" t="s">
        <v>170</v>
      </c>
    </row>
    <row r="240" spans="1:14" customFormat="1" x14ac:dyDescent="0.25">
      <c r="A240" s="128">
        <f t="shared" si="3"/>
        <v>7</v>
      </c>
      <c r="B240" s="252"/>
      <c r="C240" s="143">
        <f t="shared" si="4"/>
        <v>7</v>
      </c>
      <c r="D240" s="129" t="s">
        <v>412</v>
      </c>
      <c r="E240" s="130">
        <f>(32.554)*(10.764)</f>
        <v>350.41125599999998</v>
      </c>
      <c r="F240" s="130">
        <f>(3.051*3.15)*(10.764)</f>
        <v>103.44903659999999</v>
      </c>
      <c r="G240" s="130">
        <f t="shared" si="0"/>
        <v>453.86029259999998</v>
      </c>
      <c r="H240" s="131">
        <f t="shared" si="1"/>
        <v>544.63235111999995</v>
      </c>
      <c r="I240" s="131">
        <f t="shared" si="2"/>
        <v>1361580.8777999999</v>
      </c>
      <c r="J240" s="131"/>
      <c r="K240" s="128" t="s">
        <v>170</v>
      </c>
      <c r="L240" s="133" t="s">
        <v>170</v>
      </c>
    </row>
    <row r="241" spans="1:12" customFormat="1" x14ac:dyDescent="0.25">
      <c r="A241" s="128">
        <f t="shared" si="3"/>
        <v>8</v>
      </c>
      <c r="B241" s="252"/>
      <c r="C241" s="143">
        <f t="shared" si="4"/>
        <v>8</v>
      </c>
      <c r="D241" s="129" t="s">
        <v>412</v>
      </c>
      <c r="E241" s="130">
        <f>(29.768)*(10.764)</f>
        <v>320.422752</v>
      </c>
      <c r="F241" s="130">
        <f>(2.79*3.15)*(10.764)</f>
        <v>94.599413999999982</v>
      </c>
      <c r="G241" s="130">
        <f t="shared" si="0"/>
        <v>415.02216599999997</v>
      </c>
      <c r="H241" s="131">
        <f t="shared" si="1"/>
        <v>498.02659919999996</v>
      </c>
      <c r="I241" s="131">
        <f t="shared" si="2"/>
        <v>1245066.4979999999</v>
      </c>
      <c r="J241" s="131"/>
      <c r="K241" s="128" t="s">
        <v>170</v>
      </c>
      <c r="L241" s="133" t="s">
        <v>170</v>
      </c>
    </row>
    <row r="242" spans="1:12" customFormat="1" x14ac:dyDescent="0.25">
      <c r="A242" s="128">
        <f t="shared" si="3"/>
        <v>9</v>
      </c>
      <c r="B242" s="252"/>
      <c r="C242" s="143">
        <f t="shared" si="4"/>
        <v>9</v>
      </c>
      <c r="D242" s="129" t="s">
        <v>412</v>
      </c>
      <c r="E242" s="130">
        <f>(32.916)*(10.764)</f>
        <v>354.30782399999993</v>
      </c>
      <c r="F242" s="130">
        <f>(3.085*3.15)*(10.764)</f>
        <v>104.60186099999999</v>
      </c>
      <c r="G242" s="130">
        <f t="shared" si="0"/>
        <v>458.90968499999991</v>
      </c>
      <c r="H242" s="131">
        <f t="shared" si="1"/>
        <v>550.69162199999982</v>
      </c>
      <c r="I242" s="131">
        <f t="shared" si="2"/>
        <v>1376729.0549999995</v>
      </c>
      <c r="J242" s="131"/>
      <c r="K242" s="128" t="s">
        <v>170</v>
      </c>
      <c r="L242" s="133" t="s">
        <v>170</v>
      </c>
    </row>
    <row r="243" spans="1:12" customFormat="1" x14ac:dyDescent="0.25">
      <c r="A243" s="128">
        <f t="shared" si="3"/>
        <v>10</v>
      </c>
      <c r="B243" s="252"/>
      <c r="C243" s="143">
        <f t="shared" si="4"/>
        <v>10</v>
      </c>
      <c r="D243" s="129" t="s">
        <v>412</v>
      </c>
      <c r="E243" s="130">
        <f>(32.916)*(10.764)</f>
        <v>354.30782399999993</v>
      </c>
      <c r="F243" s="130">
        <f>(3.085*3.15)*(10.764)</f>
        <v>104.60186099999999</v>
      </c>
      <c r="G243" s="130">
        <f t="shared" si="0"/>
        <v>458.90968499999991</v>
      </c>
      <c r="H243" s="131">
        <f t="shared" si="1"/>
        <v>550.69162199999982</v>
      </c>
      <c r="I243" s="131">
        <f t="shared" si="2"/>
        <v>1376729.0549999995</v>
      </c>
      <c r="J243" s="131"/>
      <c r="K243" s="128" t="s">
        <v>170</v>
      </c>
      <c r="L243" s="133" t="s">
        <v>170</v>
      </c>
    </row>
    <row r="244" spans="1:12" customFormat="1" x14ac:dyDescent="0.25">
      <c r="A244" s="128">
        <f t="shared" si="3"/>
        <v>11</v>
      </c>
      <c r="B244" s="252"/>
      <c r="C244" s="143">
        <f t="shared" si="4"/>
        <v>11</v>
      </c>
      <c r="D244" s="129" t="s">
        <v>412</v>
      </c>
      <c r="E244" s="130">
        <f>(31.359)*(10.764)</f>
        <v>337.54827599999999</v>
      </c>
      <c r="F244" s="130">
        <f>(2.79*3.72)*(10.764)</f>
        <v>111.71740319999999</v>
      </c>
      <c r="G244" s="130">
        <f t="shared" si="0"/>
        <v>449.26567919999997</v>
      </c>
      <c r="H244" s="131">
        <f t="shared" si="1"/>
        <v>539.11881503999996</v>
      </c>
      <c r="I244" s="131">
        <f t="shared" si="2"/>
        <v>1347797.0375999999</v>
      </c>
      <c r="J244" s="131"/>
      <c r="K244" s="128" t="s">
        <v>170</v>
      </c>
      <c r="L244" s="133" t="s">
        <v>170</v>
      </c>
    </row>
    <row r="245" spans="1:12" customFormat="1" x14ac:dyDescent="0.25">
      <c r="A245" s="128">
        <f t="shared" si="3"/>
        <v>12</v>
      </c>
      <c r="B245" s="252"/>
      <c r="C245" s="143">
        <f t="shared" si="4"/>
        <v>12</v>
      </c>
      <c r="D245" s="129" t="s">
        <v>412</v>
      </c>
      <c r="E245" s="130">
        <f>(34.293)*(10.764)</f>
        <v>369.12985199999997</v>
      </c>
      <c r="F245" s="130">
        <f>(3.051*3.15)*(10.764)</f>
        <v>103.44903659999999</v>
      </c>
      <c r="G245" s="130">
        <f t="shared" si="0"/>
        <v>472.57888859999997</v>
      </c>
      <c r="H245" s="131">
        <f t="shared" si="1"/>
        <v>567.09466631999999</v>
      </c>
      <c r="I245" s="131">
        <f t="shared" si="2"/>
        <v>1417736.6658000001</v>
      </c>
      <c r="J245" s="131"/>
      <c r="K245" s="128" t="s">
        <v>170</v>
      </c>
      <c r="L245" s="133" t="s">
        <v>170</v>
      </c>
    </row>
    <row r="246" spans="1:12" customFormat="1" ht="14.45" hidden="1" customHeight="1" x14ac:dyDescent="0.25">
      <c r="A246" s="128">
        <f t="shared" si="3"/>
        <v>13</v>
      </c>
      <c r="B246" s="252"/>
      <c r="C246" s="132" t="s">
        <v>111</v>
      </c>
      <c r="D246" s="129" t="s">
        <v>412</v>
      </c>
      <c r="E246" s="129"/>
      <c r="F246" s="129"/>
      <c r="G246" s="130">
        <f t="shared" si="0"/>
        <v>0</v>
      </c>
      <c r="H246" s="131">
        <f t="shared" si="1"/>
        <v>0</v>
      </c>
      <c r="I246" s="131">
        <f t="shared" si="2"/>
        <v>0</v>
      </c>
      <c r="J246" s="131"/>
      <c r="K246" s="128" t="s">
        <v>170</v>
      </c>
      <c r="L246" s="133" t="s">
        <v>170</v>
      </c>
    </row>
    <row r="247" spans="1:12" customFormat="1" ht="14.45" hidden="1" customHeight="1" x14ac:dyDescent="0.25">
      <c r="A247" s="128">
        <f t="shared" si="3"/>
        <v>14</v>
      </c>
      <c r="B247" s="252"/>
      <c r="C247" s="132" t="s">
        <v>111</v>
      </c>
      <c r="D247" s="129" t="s">
        <v>412</v>
      </c>
      <c r="E247" s="129"/>
      <c r="F247" s="129"/>
      <c r="G247" s="130">
        <f t="shared" si="0"/>
        <v>0</v>
      </c>
      <c r="H247" s="131">
        <f t="shared" si="1"/>
        <v>0</v>
      </c>
      <c r="I247" s="131">
        <f t="shared" si="2"/>
        <v>0</v>
      </c>
      <c r="J247" s="131"/>
      <c r="K247" s="128" t="s">
        <v>170</v>
      </c>
      <c r="L247" s="133" t="s">
        <v>170</v>
      </c>
    </row>
    <row r="248" spans="1:12" customFormat="1" ht="14.45" hidden="1" customHeight="1" x14ac:dyDescent="0.25">
      <c r="A248" s="128">
        <f t="shared" si="3"/>
        <v>15</v>
      </c>
      <c r="B248" s="252"/>
      <c r="C248" s="132" t="s">
        <v>111</v>
      </c>
      <c r="D248" s="129" t="s">
        <v>412</v>
      </c>
      <c r="E248" s="129"/>
      <c r="F248" s="129"/>
      <c r="G248" s="130">
        <f t="shared" si="0"/>
        <v>0</v>
      </c>
      <c r="H248" s="131">
        <f t="shared" si="1"/>
        <v>0</v>
      </c>
      <c r="I248" s="131">
        <f t="shared" si="2"/>
        <v>0</v>
      </c>
      <c r="J248" s="131"/>
      <c r="K248" s="128" t="s">
        <v>170</v>
      </c>
      <c r="L248" s="133" t="s">
        <v>170</v>
      </c>
    </row>
    <row r="249" spans="1:12" customFormat="1" ht="14.45" hidden="1" customHeight="1" x14ac:dyDescent="0.25">
      <c r="A249" s="128">
        <f t="shared" si="3"/>
        <v>16</v>
      </c>
      <c r="B249" s="252"/>
      <c r="C249" s="132" t="s">
        <v>111</v>
      </c>
      <c r="D249" s="129" t="s">
        <v>412</v>
      </c>
      <c r="E249" s="129"/>
      <c r="F249" s="129"/>
      <c r="G249" s="130">
        <f t="shared" si="0"/>
        <v>0</v>
      </c>
      <c r="H249" s="131">
        <f t="shared" si="1"/>
        <v>0</v>
      </c>
      <c r="I249" s="131">
        <f t="shared" si="2"/>
        <v>0</v>
      </c>
      <c r="J249" s="131"/>
      <c r="K249" s="128" t="s">
        <v>170</v>
      </c>
      <c r="L249" s="133" t="s">
        <v>170</v>
      </c>
    </row>
    <row r="250" spans="1:12" customFormat="1" ht="14.45" hidden="1" customHeight="1" x14ac:dyDescent="0.25">
      <c r="A250" s="128">
        <f t="shared" si="3"/>
        <v>17</v>
      </c>
      <c r="B250" s="252"/>
      <c r="C250" s="132" t="s">
        <v>111</v>
      </c>
      <c r="D250" s="129" t="s">
        <v>412</v>
      </c>
      <c r="E250" s="129"/>
      <c r="F250" s="129"/>
      <c r="G250" s="130">
        <f t="shared" si="0"/>
        <v>0</v>
      </c>
      <c r="H250" s="131">
        <f t="shared" si="1"/>
        <v>0</v>
      </c>
      <c r="I250" s="131">
        <f t="shared" si="2"/>
        <v>0</v>
      </c>
      <c r="J250" s="131"/>
      <c r="K250" s="128" t="s">
        <v>170</v>
      </c>
      <c r="L250" s="133" t="s">
        <v>170</v>
      </c>
    </row>
    <row r="251" spans="1:12" customFormat="1" ht="14.45" hidden="1" customHeight="1" x14ac:dyDescent="0.25">
      <c r="A251" s="128">
        <f t="shared" si="3"/>
        <v>18</v>
      </c>
      <c r="B251" s="253"/>
      <c r="C251" s="132" t="s">
        <v>111</v>
      </c>
      <c r="D251" s="129" t="s">
        <v>412</v>
      </c>
      <c r="E251" s="129"/>
      <c r="F251" s="129"/>
      <c r="G251" s="130">
        <f t="shared" si="0"/>
        <v>0</v>
      </c>
      <c r="H251" s="131">
        <f t="shared" si="1"/>
        <v>0</v>
      </c>
      <c r="I251" s="131">
        <f t="shared" si="2"/>
        <v>0</v>
      </c>
      <c r="J251" s="131"/>
      <c r="K251" s="128" t="s">
        <v>170</v>
      </c>
      <c r="L251" s="133" t="s">
        <v>170</v>
      </c>
    </row>
    <row r="252" spans="1:12" customFormat="1" hidden="1" x14ac:dyDescent="0.25">
      <c r="A252" s="128">
        <f t="shared" si="3"/>
        <v>19</v>
      </c>
      <c r="B252" s="251" t="s">
        <v>594</v>
      </c>
      <c r="C252" s="132" t="s">
        <v>111</v>
      </c>
      <c r="D252" s="129" t="s">
        <v>412</v>
      </c>
      <c r="E252" s="129"/>
      <c r="F252" s="129"/>
      <c r="G252" s="130">
        <f t="shared" si="0"/>
        <v>0</v>
      </c>
      <c r="H252" s="131">
        <f t="shared" si="1"/>
        <v>0</v>
      </c>
      <c r="I252" s="131">
        <f t="shared" si="2"/>
        <v>0</v>
      </c>
      <c r="J252" s="131"/>
      <c r="K252" s="128" t="s">
        <v>170</v>
      </c>
      <c r="L252" s="133" t="s">
        <v>170</v>
      </c>
    </row>
    <row r="253" spans="1:12" customFormat="1" hidden="1" x14ac:dyDescent="0.25">
      <c r="A253" s="128">
        <f t="shared" si="3"/>
        <v>20</v>
      </c>
      <c r="B253" s="252"/>
      <c r="C253" s="132" t="s">
        <v>111</v>
      </c>
      <c r="D253" s="129" t="s">
        <v>412</v>
      </c>
      <c r="E253" s="129"/>
      <c r="F253" s="129"/>
      <c r="G253" s="130">
        <f t="shared" si="0"/>
        <v>0</v>
      </c>
      <c r="H253" s="131">
        <f t="shared" si="1"/>
        <v>0</v>
      </c>
      <c r="I253" s="131">
        <f t="shared" si="2"/>
        <v>0</v>
      </c>
      <c r="J253" s="131"/>
      <c r="K253" s="128" t="s">
        <v>170</v>
      </c>
      <c r="L253" s="133" t="s">
        <v>170</v>
      </c>
    </row>
    <row r="254" spans="1:12" customFormat="1" hidden="1" x14ac:dyDescent="0.25">
      <c r="A254" s="128">
        <f t="shared" si="3"/>
        <v>21</v>
      </c>
      <c r="B254" s="252"/>
      <c r="C254" s="132" t="s">
        <v>111</v>
      </c>
      <c r="D254" s="129" t="s">
        <v>412</v>
      </c>
      <c r="E254" s="129"/>
      <c r="F254" s="129"/>
      <c r="G254" s="130">
        <f t="shared" si="0"/>
        <v>0</v>
      </c>
      <c r="H254" s="131">
        <f t="shared" si="1"/>
        <v>0</v>
      </c>
      <c r="I254" s="131">
        <f t="shared" si="2"/>
        <v>0</v>
      </c>
      <c r="J254" s="131"/>
      <c r="K254" s="128" t="s">
        <v>170</v>
      </c>
      <c r="L254" s="133" t="s">
        <v>170</v>
      </c>
    </row>
    <row r="255" spans="1:12" customFormat="1" hidden="1" x14ac:dyDescent="0.25">
      <c r="A255" s="128">
        <f>A254+1</f>
        <v>22</v>
      </c>
      <c r="B255" s="252"/>
      <c r="C255" s="132" t="s">
        <v>111</v>
      </c>
      <c r="D255" s="129" t="s">
        <v>412</v>
      </c>
      <c r="E255" s="129"/>
      <c r="F255" s="129"/>
      <c r="G255" s="130">
        <f t="shared" si="0"/>
        <v>0</v>
      </c>
      <c r="H255" s="131">
        <f t="shared" si="1"/>
        <v>0</v>
      </c>
      <c r="I255" s="131">
        <f t="shared" si="2"/>
        <v>0</v>
      </c>
      <c r="J255" s="131"/>
      <c r="K255" s="128" t="s">
        <v>170</v>
      </c>
      <c r="L255" s="133" t="s">
        <v>170</v>
      </c>
    </row>
    <row r="256" spans="1:12" customFormat="1" hidden="1" x14ac:dyDescent="0.25">
      <c r="A256" s="128">
        <f t="shared" si="3"/>
        <v>23</v>
      </c>
      <c r="B256" s="252"/>
      <c r="C256" s="132" t="s">
        <v>111</v>
      </c>
      <c r="D256" s="129" t="s">
        <v>412</v>
      </c>
      <c r="E256" s="129"/>
      <c r="F256" s="129"/>
      <c r="G256" s="130">
        <f t="shared" si="0"/>
        <v>0</v>
      </c>
      <c r="H256" s="131">
        <f t="shared" si="1"/>
        <v>0</v>
      </c>
      <c r="I256" s="131">
        <f t="shared" si="2"/>
        <v>0</v>
      </c>
      <c r="J256" s="131"/>
      <c r="K256" s="128" t="s">
        <v>170</v>
      </c>
      <c r="L256" s="133" t="s">
        <v>170</v>
      </c>
    </row>
    <row r="257" spans="1:12" customFormat="1" hidden="1" x14ac:dyDescent="0.25">
      <c r="A257" s="128">
        <f t="shared" si="3"/>
        <v>24</v>
      </c>
      <c r="B257" s="252"/>
      <c r="C257" s="132" t="s">
        <v>111</v>
      </c>
      <c r="D257" s="129" t="s">
        <v>412</v>
      </c>
      <c r="E257" s="129"/>
      <c r="F257" s="129"/>
      <c r="G257" s="130">
        <f t="shared" si="0"/>
        <v>0</v>
      </c>
      <c r="H257" s="131">
        <f t="shared" si="1"/>
        <v>0</v>
      </c>
      <c r="I257" s="131">
        <f t="shared" si="2"/>
        <v>0</v>
      </c>
      <c r="J257" s="131"/>
      <c r="K257" s="128" t="s">
        <v>170</v>
      </c>
      <c r="L257" s="133" t="s">
        <v>170</v>
      </c>
    </row>
    <row r="258" spans="1:12" customFormat="1" hidden="1" x14ac:dyDescent="0.25">
      <c r="A258" s="128">
        <f t="shared" si="3"/>
        <v>25</v>
      </c>
      <c r="B258" s="252"/>
      <c r="C258" s="132" t="s">
        <v>111</v>
      </c>
      <c r="D258" s="129" t="s">
        <v>412</v>
      </c>
      <c r="E258" s="129"/>
      <c r="F258" s="129"/>
      <c r="G258" s="130">
        <f t="shared" si="0"/>
        <v>0</v>
      </c>
      <c r="H258" s="131">
        <f t="shared" si="1"/>
        <v>0</v>
      </c>
      <c r="I258" s="131">
        <f t="shared" si="2"/>
        <v>0</v>
      </c>
      <c r="J258" s="131"/>
      <c r="K258" s="128" t="s">
        <v>170</v>
      </c>
      <c r="L258" s="133" t="s">
        <v>170</v>
      </c>
    </row>
    <row r="259" spans="1:12" customFormat="1" hidden="1" x14ac:dyDescent="0.25">
      <c r="A259" s="128">
        <f t="shared" si="3"/>
        <v>26</v>
      </c>
      <c r="B259" s="252"/>
      <c r="C259" s="132" t="s">
        <v>111</v>
      </c>
      <c r="D259" s="129" t="s">
        <v>412</v>
      </c>
      <c r="E259" s="129"/>
      <c r="F259" s="129"/>
      <c r="G259" s="130">
        <f t="shared" si="0"/>
        <v>0</v>
      </c>
      <c r="H259" s="131">
        <f t="shared" si="1"/>
        <v>0</v>
      </c>
      <c r="I259" s="131">
        <f t="shared" si="2"/>
        <v>0</v>
      </c>
      <c r="J259" s="131"/>
      <c r="K259" s="128" t="s">
        <v>170</v>
      </c>
      <c r="L259" s="133" t="s">
        <v>170</v>
      </c>
    </row>
    <row r="260" spans="1:12" customFormat="1" hidden="1" x14ac:dyDescent="0.25">
      <c r="A260" s="128">
        <f>A259+1</f>
        <v>27</v>
      </c>
      <c r="B260" s="253"/>
      <c r="C260" s="132" t="s">
        <v>111</v>
      </c>
      <c r="D260" s="129" t="s">
        <v>412</v>
      </c>
      <c r="E260" s="129"/>
      <c r="F260" s="129"/>
      <c r="G260" s="130">
        <f t="shared" si="0"/>
        <v>0</v>
      </c>
      <c r="H260" s="131">
        <f t="shared" si="1"/>
        <v>0</v>
      </c>
      <c r="I260" s="131">
        <f t="shared" si="2"/>
        <v>0</v>
      </c>
      <c r="J260" s="131"/>
      <c r="K260" s="128" t="s">
        <v>170</v>
      </c>
      <c r="L260" s="133" t="s">
        <v>170</v>
      </c>
    </row>
    <row r="261" spans="1:12" customFormat="1" hidden="1" x14ac:dyDescent="0.25">
      <c r="A261" s="455" t="s">
        <v>413</v>
      </c>
      <c r="B261" s="455"/>
      <c r="C261" s="455"/>
      <c r="D261" s="455"/>
      <c r="E261" s="455"/>
      <c r="F261" s="455"/>
      <c r="G261" s="455"/>
      <c r="H261" s="455"/>
      <c r="I261" s="455"/>
      <c r="J261" s="455"/>
      <c r="K261" s="455"/>
      <c r="L261" s="455"/>
    </row>
    <row r="262" spans="1:12" customFormat="1" hidden="1" x14ac:dyDescent="0.25">
      <c r="A262" s="242" t="s">
        <v>411</v>
      </c>
      <c r="B262" s="242"/>
      <c r="C262" s="242"/>
      <c r="D262" s="242"/>
      <c r="E262" s="242"/>
      <c r="F262" s="242"/>
      <c r="G262" s="242"/>
      <c r="H262" s="242"/>
      <c r="I262" s="242"/>
      <c r="J262" s="242"/>
      <c r="K262" s="242"/>
      <c r="L262" s="242"/>
    </row>
    <row r="263" spans="1:12" customFormat="1" hidden="1" x14ac:dyDescent="0.25">
      <c r="A263" s="128">
        <f>A260+1</f>
        <v>28</v>
      </c>
      <c r="B263" s="251" t="s">
        <v>594</v>
      </c>
      <c r="C263" s="132" t="s">
        <v>112</v>
      </c>
      <c r="D263" s="129" t="s">
        <v>412</v>
      </c>
      <c r="E263" s="129"/>
      <c r="F263" s="129"/>
      <c r="G263" s="130">
        <f t="shared" ref="G263:G282" si="5">E263+(IF(F263&lt;201,F263,IF(F263&lt;301,F263/2,F263/3)))</f>
        <v>0</v>
      </c>
      <c r="H263" s="131">
        <f t="shared" ref="H263:H282" si="6">G263*1.2</f>
        <v>0</v>
      </c>
      <c r="I263" s="131">
        <f t="shared" ref="I263:I282" si="7">H263*I$231</f>
        <v>0</v>
      </c>
      <c r="J263" s="131"/>
      <c r="K263" s="128" t="s">
        <v>170</v>
      </c>
      <c r="L263" s="133" t="s">
        <v>170</v>
      </c>
    </row>
    <row r="264" spans="1:12" customFormat="1" hidden="1" x14ac:dyDescent="0.25">
      <c r="A264" s="128">
        <f t="shared" ref="A264:A274" si="8">A263+1</f>
        <v>29</v>
      </c>
      <c r="B264" s="252"/>
      <c r="C264" s="132" t="s">
        <v>112</v>
      </c>
      <c r="D264" s="129" t="s">
        <v>412</v>
      </c>
      <c r="E264" s="129"/>
      <c r="F264" s="129"/>
      <c r="G264" s="130">
        <f t="shared" si="5"/>
        <v>0</v>
      </c>
      <c r="H264" s="131">
        <f t="shared" si="6"/>
        <v>0</v>
      </c>
      <c r="I264" s="131">
        <f t="shared" si="7"/>
        <v>0</v>
      </c>
      <c r="J264" s="131"/>
      <c r="K264" s="128" t="s">
        <v>170</v>
      </c>
      <c r="L264" s="133" t="s">
        <v>170</v>
      </c>
    </row>
    <row r="265" spans="1:12" customFormat="1" hidden="1" x14ac:dyDescent="0.25">
      <c r="A265" s="128">
        <f t="shared" si="8"/>
        <v>30</v>
      </c>
      <c r="B265" s="252"/>
      <c r="C265" s="132" t="s">
        <v>112</v>
      </c>
      <c r="D265" s="129" t="s">
        <v>412</v>
      </c>
      <c r="E265" s="129"/>
      <c r="F265" s="129"/>
      <c r="G265" s="130">
        <f t="shared" si="5"/>
        <v>0</v>
      </c>
      <c r="H265" s="131">
        <f t="shared" si="6"/>
        <v>0</v>
      </c>
      <c r="I265" s="131">
        <f t="shared" si="7"/>
        <v>0</v>
      </c>
      <c r="J265" s="131"/>
      <c r="K265" s="128" t="s">
        <v>170</v>
      </c>
      <c r="L265" s="133" t="s">
        <v>170</v>
      </c>
    </row>
    <row r="266" spans="1:12" customFormat="1" hidden="1" x14ac:dyDescent="0.25">
      <c r="A266" s="128">
        <f t="shared" si="8"/>
        <v>31</v>
      </c>
      <c r="B266" s="252"/>
      <c r="C266" s="132" t="s">
        <v>112</v>
      </c>
      <c r="D266" s="129" t="s">
        <v>412</v>
      </c>
      <c r="E266" s="129"/>
      <c r="F266" s="129"/>
      <c r="G266" s="130">
        <f t="shared" si="5"/>
        <v>0</v>
      </c>
      <c r="H266" s="131">
        <f t="shared" si="6"/>
        <v>0</v>
      </c>
      <c r="I266" s="131">
        <f t="shared" si="7"/>
        <v>0</v>
      </c>
      <c r="J266" s="131"/>
      <c r="K266" s="128" t="s">
        <v>170</v>
      </c>
      <c r="L266" s="133" t="s">
        <v>170</v>
      </c>
    </row>
    <row r="267" spans="1:12" customFormat="1" hidden="1" x14ac:dyDescent="0.25">
      <c r="A267" s="128">
        <f t="shared" si="8"/>
        <v>32</v>
      </c>
      <c r="B267" s="252"/>
      <c r="C267" s="132" t="s">
        <v>112</v>
      </c>
      <c r="D267" s="129" t="s">
        <v>412</v>
      </c>
      <c r="E267" s="129"/>
      <c r="F267" s="129"/>
      <c r="G267" s="130">
        <f t="shared" si="5"/>
        <v>0</v>
      </c>
      <c r="H267" s="131">
        <f t="shared" si="6"/>
        <v>0</v>
      </c>
      <c r="I267" s="131">
        <f t="shared" si="7"/>
        <v>0</v>
      </c>
      <c r="J267" s="131"/>
      <c r="K267" s="128" t="s">
        <v>170</v>
      </c>
      <c r="L267" s="133" t="s">
        <v>170</v>
      </c>
    </row>
    <row r="268" spans="1:12" customFormat="1" hidden="1" x14ac:dyDescent="0.25">
      <c r="A268" s="128">
        <f t="shared" si="8"/>
        <v>33</v>
      </c>
      <c r="B268" s="252"/>
      <c r="C268" s="132" t="s">
        <v>112</v>
      </c>
      <c r="D268" s="129" t="s">
        <v>412</v>
      </c>
      <c r="E268" s="129"/>
      <c r="F268" s="129"/>
      <c r="G268" s="130">
        <f t="shared" si="5"/>
        <v>0</v>
      </c>
      <c r="H268" s="131">
        <f t="shared" si="6"/>
        <v>0</v>
      </c>
      <c r="I268" s="131">
        <f t="shared" si="7"/>
        <v>0</v>
      </c>
      <c r="J268" s="131"/>
      <c r="K268" s="128" t="s">
        <v>170</v>
      </c>
      <c r="L268" s="133" t="s">
        <v>170</v>
      </c>
    </row>
    <row r="269" spans="1:12" customFormat="1" hidden="1" x14ac:dyDescent="0.25">
      <c r="A269" s="128">
        <f t="shared" si="8"/>
        <v>34</v>
      </c>
      <c r="B269" s="252"/>
      <c r="C269" s="132" t="s">
        <v>112</v>
      </c>
      <c r="D269" s="129" t="s">
        <v>412</v>
      </c>
      <c r="E269" s="129"/>
      <c r="F269" s="129"/>
      <c r="G269" s="130">
        <f t="shared" si="5"/>
        <v>0</v>
      </c>
      <c r="H269" s="131">
        <f t="shared" si="6"/>
        <v>0</v>
      </c>
      <c r="I269" s="131">
        <f t="shared" si="7"/>
        <v>0</v>
      </c>
      <c r="J269" s="131"/>
      <c r="K269" s="128" t="s">
        <v>170</v>
      </c>
      <c r="L269" s="133" t="s">
        <v>170</v>
      </c>
    </row>
    <row r="270" spans="1:12" customFormat="1" hidden="1" x14ac:dyDescent="0.25">
      <c r="A270" s="128">
        <f t="shared" si="8"/>
        <v>35</v>
      </c>
      <c r="B270" s="252"/>
      <c r="C270" s="132" t="s">
        <v>112</v>
      </c>
      <c r="D270" s="129" t="s">
        <v>412</v>
      </c>
      <c r="E270" s="129"/>
      <c r="F270" s="129"/>
      <c r="G270" s="130">
        <f t="shared" si="5"/>
        <v>0</v>
      </c>
      <c r="H270" s="131">
        <f t="shared" si="6"/>
        <v>0</v>
      </c>
      <c r="I270" s="131">
        <f t="shared" si="7"/>
        <v>0</v>
      </c>
      <c r="J270" s="131"/>
      <c r="K270" s="128" t="s">
        <v>170</v>
      </c>
      <c r="L270" s="133" t="s">
        <v>170</v>
      </c>
    </row>
    <row r="271" spans="1:12" customFormat="1" hidden="1" x14ac:dyDescent="0.25">
      <c r="A271" s="128">
        <f t="shared" si="8"/>
        <v>36</v>
      </c>
      <c r="B271" s="253"/>
      <c r="C271" s="132" t="s">
        <v>112</v>
      </c>
      <c r="D271" s="129" t="s">
        <v>412</v>
      </c>
      <c r="E271" s="129"/>
      <c r="F271" s="129"/>
      <c r="G271" s="130">
        <f t="shared" si="5"/>
        <v>0</v>
      </c>
      <c r="H271" s="131">
        <f t="shared" si="6"/>
        <v>0</v>
      </c>
      <c r="I271" s="131">
        <f t="shared" si="7"/>
        <v>0</v>
      </c>
      <c r="J271" s="131"/>
      <c r="K271" s="128" t="s">
        <v>170</v>
      </c>
      <c r="L271" s="133" t="s">
        <v>170</v>
      </c>
    </row>
    <row r="272" spans="1:12" customFormat="1" ht="15" hidden="1" customHeight="1" x14ac:dyDescent="0.25">
      <c r="A272" s="128">
        <f t="shared" si="8"/>
        <v>37</v>
      </c>
      <c r="B272" s="251" t="s">
        <v>594</v>
      </c>
      <c r="C272" s="132" t="s">
        <v>112</v>
      </c>
      <c r="D272" s="129" t="s">
        <v>412</v>
      </c>
      <c r="E272" s="129"/>
      <c r="F272" s="129"/>
      <c r="G272" s="130">
        <f t="shared" si="5"/>
        <v>0</v>
      </c>
      <c r="H272" s="131">
        <f t="shared" si="6"/>
        <v>0</v>
      </c>
      <c r="I272" s="131">
        <f t="shared" si="7"/>
        <v>0</v>
      </c>
      <c r="J272" s="131"/>
      <c r="K272" s="128" t="s">
        <v>170</v>
      </c>
      <c r="L272" s="133" t="s">
        <v>170</v>
      </c>
    </row>
    <row r="273" spans="1:16" customFormat="1" hidden="1" x14ac:dyDescent="0.25">
      <c r="A273" s="128">
        <f t="shared" si="8"/>
        <v>38</v>
      </c>
      <c r="B273" s="252"/>
      <c r="C273" s="132" t="s">
        <v>112</v>
      </c>
      <c r="D273" s="129" t="s">
        <v>412</v>
      </c>
      <c r="E273" s="129"/>
      <c r="F273" s="129"/>
      <c r="G273" s="130">
        <f t="shared" si="5"/>
        <v>0</v>
      </c>
      <c r="H273" s="131">
        <f t="shared" si="6"/>
        <v>0</v>
      </c>
      <c r="I273" s="131">
        <f t="shared" si="7"/>
        <v>0</v>
      </c>
      <c r="J273" s="131"/>
      <c r="K273" s="128" t="s">
        <v>170</v>
      </c>
      <c r="L273" s="133" t="s">
        <v>170</v>
      </c>
    </row>
    <row r="274" spans="1:16" customFormat="1" hidden="1" x14ac:dyDescent="0.25">
      <c r="A274" s="128">
        <f t="shared" si="8"/>
        <v>39</v>
      </c>
      <c r="B274" s="252"/>
      <c r="C274" s="132" t="s">
        <v>112</v>
      </c>
      <c r="D274" s="129" t="s">
        <v>412</v>
      </c>
      <c r="E274" s="129"/>
      <c r="F274" s="129"/>
      <c r="G274" s="130">
        <f t="shared" si="5"/>
        <v>0</v>
      </c>
      <c r="H274" s="131">
        <f t="shared" si="6"/>
        <v>0</v>
      </c>
      <c r="I274" s="131">
        <f t="shared" si="7"/>
        <v>0</v>
      </c>
      <c r="J274" s="131"/>
      <c r="K274" s="128" t="s">
        <v>170</v>
      </c>
      <c r="L274" s="133" t="s">
        <v>170</v>
      </c>
    </row>
    <row r="275" spans="1:16" customFormat="1" hidden="1" x14ac:dyDescent="0.25">
      <c r="A275" s="128">
        <f>A274+1</f>
        <v>40</v>
      </c>
      <c r="B275" s="252"/>
      <c r="C275" s="132" t="s">
        <v>112</v>
      </c>
      <c r="D275" s="129" t="s">
        <v>412</v>
      </c>
      <c r="E275" s="129"/>
      <c r="F275" s="129"/>
      <c r="G275" s="130">
        <f t="shared" si="5"/>
        <v>0</v>
      </c>
      <c r="H275" s="131">
        <f t="shared" si="6"/>
        <v>0</v>
      </c>
      <c r="I275" s="131">
        <f t="shared" si="7"/>
        <v>0</v>
      </c>
      <c r="J275" s="131"/>
      <c r="K275" s="128" t="s">
        <v>170</v>
      </c>
      <c r="L275" s="133" t="s">
        <v>170</v>
      </c>
    </row>
    <row r="276" spans="1:16" customFormat="1" hidden="1" x14ac:dyDescent="0.25">
      <c r="A276" s="128">
        <f t="shared" ref="A276:A279" si="9">A275+1</f>
        <v>41</v>
      </c>
      <c r="B276" s="252"/>
      <c r="C276" s="132" t="s">
        <v>112</v>
      </c>
      <c r="D276" s="129" t="s">
        <v>412</v>
      </c>
      <c r="E276" s="129"/>
      <c r="F276" s="129"/>
      <c r="G276" s="130">
        <f t="shared" si="5"/>
        <v>0</v>
      </c>
      <c r="H276" s="131">
        <f t="shared" si="6"/>
        <v>0</v>
      </c>
      <c r="I276" s="131">
        <f t="shared" si="7"/>
        <v>0</v>
      </c>
      <c r="J276" s="131"/>
      <c r="K276" s="128" t="s">
        <v>170</v>
      </c>
      <c r="L276" s="133" t="s">
        <v>170</v>
      </c>
    </row>
    <row r="277" spans="1:16" customFormat="1" hidden="1" x14ac:dyDescent="0.25">
      <c r="A277" s="128">
        <f t="shared" si="9"/>
        <v>42</v>
      </c>
      <c r="B277" s="252"/>
      <c r="C277" s="132" t="s">
        <v>112</v>
      </c>
      <c r="D277" s="129" t="s">
        <v>412</v>
      </c>
      <c r="E277" s="129"/>
      <c r="F277" s="129"/>
      <c r="G277" s="130">
        <f t="shared" si="5"/>
        <v>0</v>
      </c>
      <c r="H277" s="131">
        <f t="shared" si="6"/>
        <v>0</v>
      </c>
      <c r="I277" s="131">
        <f t="shared" si="7"/>
        <v>0</v>
      </c>
      <c r="J277" s="131"/>
      <c r="K277" s="128" t="s">
        <v>170</v>
      </c>
      <c r="L277" s="133" t="s">
        <v>170</v>
      </c>
    </row>
    <row r="278" spans="1:16" customFormat="1" hidden="1" x14ac:dyDescent="0.25">
      <c r="A278" s="128">
        <f t="shared" si="9"/>
        <v>43</v>
      </c>
      <c r="B278" s="252"/>
      <c r="C278" s="132" t="s">
        <v>112</v>
      </c>
      <c r="D278" s="129" t="s">
        <v>412</v>
      </c>
      <c r="E278" s="129"/>
      <c r="F278" s="129"/>
      <c r="G278" s="130">
        <f t="shared" si="5"/>
        <v>0</v>
      </c>
      <c r="H278" s="131">
        <f t="shared" si="6"/>
        <v>0</v>
      </c>
      <c r="I278" s="131">
        <f t="shared" si="7"/>
        <v>0</v>
      </c>
      <c r="J278" s="131"/>
      <c r="K278" s="128" t="s">
        <v>170</v>
      </c>
      <c r="L278" s="133" t="s">
        <v>170</v>
      </c>
    </row>
    <row r="279" spans="1:16" customFormat="1" hidden="1" x14ac:dyDescent="0.25">
      <c r="A279" s="128">
        <f t="shared" si="9"/>
        <v>44</v>
      </c>
      <c r="B279" s="252"/>
      <c r="C279" s="132" t="s">
        <v>112</v>
      </c>
      <c r="D279" s="129" t="s">
        <v>412</v>
      </c>
      <c r="E279" s="129"/>
      <c r="F279" s="129"/>
      <c r="G279" s="130">
        <f t="shared" si="5"/>
        <v>0</v>
      </c>
      <c r="H279" s="131">
        <f t="shared" si="6"/>
        <v>0</v>
      </c>
      <c r="I279" s="131">
        <f t="shared" si="7"/>
        <v>0</v>
      </c>
      <c r="J279" s="131"/>
      <c r="K279" s="128" t="s">
        <v>170</v>
      </c>
      <c r="L279" s="133" t="s">
        <v>170</v>
      </c>
    </row>
    <row r="280" spans="1:16" customFormat="1" hidden="1" x14ac:dyDescent="0.25">
      <c r="A280" s="128">
        <f>A279+1</f>
        <v>45</v>
      </c>
      <c r="B280" s="252"/>
      <c r="C280" s="132" t="s">
        <v>112</v>
      </c>
      <c r="D280" s="129" t="s">
        <v>412</v>
      </c>
      <c r="E280" s="129"/>
      <c r="F280" s="129"/>
      <c r="G280" s="130">
        <f t="shared" si="5"/>
        <v>0</v>
      </c>
      <c r="H280" s="131">
        <f t="shared" si="6"/>
        <v>0</v>
      </c>
      <c r="I280" s="131">
        <f t="shared" si="7"/>
        <v>0</v>
      </c>
      <c r="J280" s="131"/>
      <c r="K280" s="128" t="s">
        <v>170</v>
      </c>
      <c r="L280" s="133" t="s">
        <v>170</v>
      </c>
    </row>
    <row r="281" spans="1:16" customFormat="1" hidden="1" x14ac:dyDescent="0.25">
      <c r="A281" s="128">
        <f t="shared" ref="A281" si="10">A280+1</f>
        <v>46</v>
      </c>
      <c r="B281" s="252"/>
      <c r="C281" s="132" t="s">
        <v>112</v>
      </c>
      <c r="D281" s="129" t="s">
        <v>412</v>
      </c>
      <c r="E281" s="129"/>
      <c r="F281" s="129"/>
      <c r="G281" s="130">
        <f t="shared" si="5"/>
        <v>0</v>
      </c>
      <c r="H281" s="131">
        <f t="shared" si="6"/>
        <v>0</v>
      </c>
      <c r="I281" s="131">
        <f t="shared" si="7"/>
        <v>0</v>
      </c>
      <c r="J281" s="131"/>
      <c r="K281" s="128" t="s">
        <v>170</v>
      </c>
      <c r="L281" s="133" t="s">
        <v>170</v>
      </c>
    </row>
    <row r="282" spans="1:16" customFormat="1" hidden="1" x14ac:dyDescent="0.25">
      <c r="A282" s="128">
        <f>A281+1</f>
        <v>47</v>
      </c>
      <c r="B282" s="253"/>
      <c r="C282" s="132" t="s">
        <v>112</v>
      </c>
      <c r="D282" s="129" t="s">
        <v>412</v>
      </c>
      <c r="E282" s="129"/>
      <c r="F282" s="129"/>
      <c r="G282" s="130">
        <f t="shared" si="5"/>
        <v>0</v>
      </c>
      <c r="H282" s="131">
        <f t="shared" si="6"/>
        <v>0</v>
      </c>
      <c r="I282" s="131">
        <f t="shared" si="7"/>
        <v>0</v>
      </c>
      <c r="J282" s="131"/>
      <c r="K282" s="128" t="s">
        <v>170</v>
      </c>
      <c r="L282" s="133" t="s">
        <v>170</v>
      </c>
    </row>
    <row r="283" spans="1:16" ht="15.75" x14ac:dyDescent="0.25">
      <c r="A283" s="248" t="s">
        <v>469</v>
      </c>
      <c r="B283" s="249"/>
      <c r="C283" s="249"/>
      <c r="D283" s="249"/>
      <c r="E283" s="249"/>
      <c r="F283" s="249"/>
      <c r="G283" s="249"/>
      <c r="H283" s="249"/>
      <c r="I283" s="249"/>
      <c r="J283" s="249"/>
      <c r="K283" s="249"/>
      <c r="L283" s="250"/>
    </row>
    <row r="284" spans="1:16" customFormat="1" ht="38.25" customHeight="1" x14ac:dyDescent="0.25">
      <c r="A284" s="172" t="s">
        <v>67</v>
      </c>
      <c r="B284" s="172" t="s">
        <v>68</v>
      </c>
      <c r="C284" s="172" t="s">
        <v>69</v>
      </c>
      <c r="D284" s="172" t="s">
        <v>70</v>
      </c>
      <c r="E284" s="172" t="s">
        <v>83</v>
      </c>
      <c r="F284" s="172" t="s">
        <v>243</v>
      </c>
      <c r="G284" s="24" t="s">
        <v>604</v>
      </c>
      <c r="H284" s="140" t="s">
        <v>605</v>
      </c>
      <c r="I284" s="172" t="s">
        <v>591</v>
      </c>
      <c r="J284" s="172" t="s">
        <v>592</v>
      </c>
      <c r="K284" s="175" t="s">
        <v>603</v>
      </c>
      <c r="L284" s="176"/>
    </row>
    <row r="285" spans="1:16" customFormat="1" ht="31.5" customHeight="1" x14ac:dyDescent="0.25">
      <c r="A285" s="173"/>
      <c r="B285" s="173"/>
      <c r="C285" s="173"/>
      <c r="D285" s="173"/>
      <c r="E285" s="173"/>
      <c r="F285" s="173"/>
      <c r="G285" s="24" t="s">
        <v>606</v>
      </c>
      <c r="H285" s="24" t="s">
        <v>606</v>
      </c>
      <c r="I285" s="174"/>
      <c r="J285" s="173"/>
      <c r="K285" s="177"/>
      <c r="L285" s="178"/>
    </row>
    <row r="286" spans="1:16" customFormat="1" x14ac:dyDescent="0.25">
      <c r="A286" s="174"/>
      <c r="B286" s="174"/>
      <c r="C286" s="174"/>
      <c r="D286" s="174"/>
      <c r="E286" s="174"/>
      <c r="F286" s="174"/>
      <c r="G286" s="151">
        <v>500</v>
      </c>
      <c r="H286" s="151">
        <v>14500</v>
      </c>
      <c r="I286" s="151">
        <v>2500</v>
      </c>
      <c r="J286" s="174"/>
      <c r="K286" s="179"/>
      <c r="L286" s="180"/>
    </row>
    <row r="287" spans="1:16" customFormat="1" hidden="1" x14ac:dyDescent="0.25">
      <c r="A287" s="455" t="s">
        <v>410</v>
      </c>
      <c r="B287" s="455"/>
      <c r="C287" s="455"/>
      <c r="D287" s="455"/>
      <c r="E287" s="455"/>
      <c r="F287" s="455"/>
      <c r="G287" s="455"/>
      <c r="H287" s="455"/>
      <c r="I287" s="455"/>
      <c r="J287" s="455"/>
      <c r="K287" s="455"/>
      <c r="L287" s="455"/>
    </row>
    <row r="288" spans="1:16" customFormat="1" x14ac:dyDescent="0.25">
      <c r="A288" s="242" t="s">
        <v>612</v>
      </c>
      <c r="B288" s="242"/>
      <c r="C288" s="242"/>
      <c r="D288" s="242"/>
      <c r="E288" s="242"/>
      <c r="F288" s="242"/>
      <c r="G288" s="242"/>
      <c r="H288" s="242"/>
      <c r="I288" s="242"/>
      <c r="J288" s="242"/>
      <c r="K288" s="242"/>
      <c r="L288" s="242"/>
      <c r="P288">
        <f>12-3</f>
        <v>9</v>
      </c>
    </row>
    <row r="289" spans="1:14" customFormat="1" x14ac:dyDescent="0.25">
      <c r="A289" s="242" t="s">
        <v>652</v>
      </c>
      <c r="B289" s="242"/>
      <c r="C289" s="242"/>
      <c r="D289" s="242"/>
      <c r="E289" s="242"/>
      <c r="F289" s="242"/>
      <c r="G289" s="242"/>
      <c r="H289" s="242"/>
      <c r="I289" s="242"/>
      <c r="J289" s="242"/>
      <c r="K289" s="242"/>
      <c r="L289" s="242"/>
      <c r="M289">
        <f>100-6</f>
        <v>94</v>
      </c>
      <c r="N289" s="152"/>
    </row>
    <row r="290" spans="1:14" customFormat="1" x14ac:dyDescent="0.25">
      <c r="A290" s="128" t="s">
        <v>170</v>
      </c>
      <c r="B290" s="155" t="s">
        <v>593</v>
      </c>
      <c r="C290" s="129">
        <f>LEFT(B290,SUM(LEN(B290)-LEN(SUBSTITUTE(B290,{"0","1","2","3","4","5","6","7","8","9"},""))))*100+1</f>
        <v>301</v>
      </c>
      <c r="D290" s="160" t="s">
        <v>653</v>
      </c>
      <c r="E290" s="161"/>
      <c r="F290" s="161"/>
      <c r="G290" s="161"/>
      <c r="H290" s="161"/>
      <c r="I290" s="161"/>
      <c r="J290" s="162"/>
      <c r="K290" s="158">
        <f>H290+G290</f>
        <v>0</v>
      </c>
      <c r="L290" s="159"/>
      <c r="M290" s="147">
        <f>0.985*1.65+3.045*5.015+2.15*2.265+3.05*2.45+2.75*3.35+3.05*3.65+2.13*1.25+2.125*1.25+0.9*2.1</f>
        <v>56.791924999999999</v>
      </c>
      <c r="N290" s="152">
        <v>10.763999999999999</v>
      </c>
    </row>
    <row r="291" spans="1:14" customFormat="1" x14ac:dyDescent="0.25">
      <c r="A291" s="128">
        <v>1</v>
      </c>
      <c r="B291" s="156"/>
      <c r="C291" s="129">
        <f t="shared" ref="C291:C299" si="11">C290+1</f>
        <v>302</v>
      </c>
      <c r="D291" s="129" t="s">
        <v>104</v>
      </c>
      <c r="E291" s="130">
        <f>(57.044+(3.045*9.15+3.15*8.4+3.05*9.15+2.45*4.9)/4)*(10.764)</f>
        <v>867.60598274999995</v>
      </c>
      <c r="F291" s="130">
        <f t="shared" ref="F291:F298" si="12">E291*1.2</f>
        <v>1041.1271792999999</v>
      </c>
      <c r="G291" s="131">
        <f t="shared" ref="G291:G298" si="13">E291*G$286</f>
        <v>433802.99137499998</v>
      </c>
      <c r="H291" s="131">
        <f t="shared" ref="H291:H298" si="14">E291*$H$286</f>
        <v>12580286.749875</v>
      </c>
      <c r="I291" s="127">
        <f t="shared" ref="I291:I298" si="15">$I$286*F291</f>
        <v>2602817.9482499994</v>
      </c>
      <c r="J291" s="126">
        <v>20000</v>
      </c>
      <c r="K291" s="158">
        <f t="shared" ref="K291:K299" si="16">H291+G291</f>
        <v>13014089.741249999</v>
      </c>
      <c r="L291" s="159"/>
      <c r="M291" s="153">
        <f>0.985*1.65+3.045*5.015+2.15*2.265+3.05*2.45+2.75*3.35+3.051*3.65+2.125*1.25+2.13*1.25+0.9*2.15</f>
        <v>56.840575000000001</v>
      </c>
      <c r="N291" s="152">
        <f>((3.045*9.15+3.15*8.4+3.05*9.15+2.45*4.9))*10.764</f>
        <v>1014.3374669999999</v>
      </c>
    </row>
    <row r="292" spans="1:14" customFormat="1" x14ac:dyDescent="0.25">
      <c r="A292" s="128">
        <f t="shared" ref="A292:A355" si="17">A291+1</f>
        <v>2</v>
      </c>
      <c r="B292" s="156"/>
      <c r="C292" s="129">
        <f t="shared" si="11"/>
        <v>303</v>
      </c>
      <c r="D292" s="129" t="s">
        <v>100</v>
      </c>
      <c r="E292" s="130">
        <f>(35.769+(2.55*2.785+1.55*5.55+5*1.644+6.3*1.724+3.05*1.915+1.635*2.015+0.835*3.015)/4)*(10.764)</f>
        <v>509.98284674999996</v>
      </c>
      <c r="F292" s="130">
        <f t="shared" si="12"/>
        <v>611.97941609999998</v>
      </c>
      <c r="G292" s="131">
        <f t="shared" si="13"/>
        <v>254991.42337499998</v>
      </c>
      <c r="H292" s="131">
        <f t="shared" si="14"/>
        <v>7394751.2778749997</v>
      </c>
      <c r="I292" s="127">
        <f t="shared" si="15"/>
        <v>1529948.5402499998</v>
      </c>
      <c r="J292" s="126">
        <v>15000</v>
      </c>
      <c r="K292" s="158">
        <f t="shared" si="16"/>
        <v>7649742.7012499999</v>
      </c>
      <c r="L292" s="159"/>
      <c r="M292">
        <f>3.045*3.7+3.2*3+2.896*3.65</f>
        <v>31.436900000000001</v>
      </c>
      <c r="N292" s="152">
        <f>((2.55*2.785+1.55*5.55+5*1.644+6.3*1.724+3.05*1.915+1.635*2.015+0.835*3.015))*10.764</f>
        <v>499.86132299999991</v>
      </c>
    </row>
    <row r="293" spans="1:14" customFormat="1" x14ac:dyDescent="0.25">
      <c r="A293" s="128">
        <f t="shared" si="17"/>
        <v>3</v>
      </c>
      <c r="B293" s="156"/>
      <c r="C293" s="129">
        <f t="shared" si="11"/>
        <v>304</v>
      </c>
      <c r="D293" s="129" t="s">
        <v>104</v>
      </c>
      <c r="E293" s="130">
        <f>(57.044+(3.045*3+3.15*2.3+3.051*3+4.95*2.45)/3)*(10.764)</f>
        <v>749.14748999999995</v>
      </c>
      <c r="F293" s="130">
        <f t="shared" si="12"/>
        <v>898.97698799999989</v>
      </c>
      <c r="G293" s="131">
        <f t="shared" si="13"/>
        <v>374573.745</v>
      </c>
      <c r="H293" s="131">
        <f t="shared" si="14"/>
        <v>10862638.604999999</v>
      </c>
      <c r="I293" s="127">
        <f t="shared" si="15"/>
        <v>2247442.4699999997</v>
      </c>
      <c r="J293" s="126">
        <v>17000</v>
      </c>
      <c r="K293" s="158">
        <f t="shared" si="16"/>
        <v>11237212.349999998</v>
      </c>
      <c r="L293" s="159"/>
      <c r="N293" s="152">
        <f>((3.045*3+3.15*2.3+3.051*3+4.95*2.45))*10.764</f>
        <v>405.37762199999997</v>
      </c>
    </row>
    <row r="294" spans="1:14" customFormat="1" x14ac:dyDescent="0.25">
      <c r="A294" s="128">
        <f t="shared" si="17"/>
        <v>4</v>
      </c>
      <c r="B294" s="156"/>
      <c r="C294" s="129">
        <f t="shared" si="11"/>
        <v>305</v>
      </c>
      <c r="D294" s="129" t="s">
        <v>104</v>
      </c>
      <c r="E294" s="130">
        <f>(57.044+(3.045*3+3.15*2.3+3.051*3)/3)*(10.764)</f>
        <v>705.63401999999985</v>
      </c>
      <c r="F294" s="130">
        <f t="shared" si="12"/>
        <v>846.76082399999984</v>
      </c>
      <c r="G294" s="131">
        <f t="shared" si="13"/>
        <v>352817.00999999995</v>
      </c>
      <c r="H294" s="131">
        <f t="shared" si="14"/>
        <v>10231693.289999997</v>
      </c>
      <c r="I294" s="127">
        <f t="shared" si="15"/>
        <v>2116902.0599999996</v>
      </c>
      <c r="J294" s="126">
        <v>17000</v>
      </c>
      <c r="K294" s="158">
        <f t="shared" si="16"/>
        <v>10584510.299999997</v>
      </c>
      <c r="L294" s="159"/>
      <c r="N294" s="152">
        <f>((3.045*3+3.15*2.3+3.051*3))*10.764</f>
        <v>274.83721200000002</v>
      </c>
    </row>
    <row r="295" spans="1:14" customFormat="1" x14ac:dyDescent="0.25">
      <c r="A295" s="128">
        <f t="shared" si="17"/>
        <v>5</v>
      </c>
      <c r="B295" s="156"/>
      <c r="C295" s="129">
        <f t="shared" si="11"/>
        <v>306</v>
      </c>
      <c r="D295" s="129" t="s">
        <v>104</v>
      </c>
      <c r="E295" s="130">
        <f>(57.044+(3.045*3+3.15*2.3+3.051*3)/3)*(10.764)</f>
        <v>705.63401999999985</v>
      </c>
      <c r="F295" s="130">
        <f t="shared" si="12"/>
        <v>846.76082399999984</v>
      </c>
      <c r="G295" s="131">
        <f t="shared" si="13"/>
        <v>352817.00999999995</v>
      </c>
      <c r="H295" s="131">
        <f t="shared" si="14"/>
        <v>10231693.289999997</v>
      </c>
      <c r="I295" s="127">
        <f t="shared" si="15"/>
        <v>2116902.0599999996</v>
      </c>
      <c r="J295" s="126">
        <v>17000</v>
      </c>
      <c r="K295" s="158">
        <f t="shared" si="16"/>
        <v>10584510.299999997</v>
      </c>
      <c r="L295" s="159"/>
    </row>
    <row r="296" spans="1:14" customFormat="1" x14ac:dyDescent="0.25">
      <c r="A296" s="128">
        <f t="shared" si="17"/>
        <v>6</v>
      </c>
      <c r="B296" s="156"/>
      <c r="C296" s="129">
        <f t="shared" si="11"/>
        <v>307</v>
      </c>
      <c r="D296" s="129" t="s">
        <v>104</v>
      </c>
      <c r="E296" s="130">
        <f>(57.044+(3.045*3+3.15*2.3+3.051*3+4.95*2.45)/3)*(10.764)</f>
        <v>749.14748999999995</v>
      </c>
      <c r="F296" s="130">
        <f t="shared" si="12"/>
        <v>898.97698799999989</v>
      </c>
      <c r="G296" s="131">
        <f t="shared" si="13"/>
        <v>374573.745</v>
      </c>
      <c r="H296" s="131">
        <f t="shared" si="14"/>
        <v>10862638.604999999</v>
      </c>
      <c r="I296" s="127">
        <f t="shared" si="15"/>
        <v>2247442.4699999997</v>
      </c>
      <c r="J296" s="126">
        <v>17000</v>
      </c>
      <c r="K296" s="158">
        <f t="shared" si="16"/>
        <v>11237212.349999998</v>
      </c>
      <c r="L296" s="159"/>
    </row>
    <row r="297" spans="1:14" customFormat="1" x14ac:dyDescent="0.25">
      <c r="A297" s="128">
        <f t="shared" si="17"/>
        <v>7</v>
      </c>
      <c r="B297" s="156"/>
      <c r="C297" s="129">
        <f t="shared" si="11"/>
        <v>308</v>
      </c>
      <c r="D297" s="129" t="s">
        <v>100</v>
      </c>
      <c r="E297" s="130">
        <f>(35.769+(2.55*2.785+1.55*5.55+5*1.644+6.3*1.724+3.05*1.915+1.635*2.015+0.835*3.015)/4)*(10.764)</f>
        <v>509.98284674999996</v>
      </c>
      <c r="F297" s="130">
        <f t="shared" si="12"/>
        <v>611.97941609999998</v>
      </c>
      <c r="G297" s="131">
        <f t="shared" si="13"/>
        <v>254991.42337499998</v>
      </c>
      <c r="H297" s="131">
        <f t="shared" si="14"/>
        <v>7394751.2778749997</v>
      </c>
      <c r="I297" s="127">
        <f t="shared" si="15"/>
        <v>1529948.5402499998</v>
      </c>
      <c r="J297" s="126">
        <v>15000</v>
      </c>
      <c r="K297" s="158">
        <f t="shared" si="16"/>
        <v>7649742.7012499999</v>
      </c>
      <c r="L297" s="159"/>
    </row>
    <row r="298" spans="1:14" customFormat="1" x14ac:dyDescent="0.25">
      <c r="A298" s="128">
        <f t="shared" si="17"/>
        <v>8</v>
      </c>
      <c r="B298" s="156"/>
      <c r="C298" s="129">
        <f t="shared" si="11"/>
        <v>309</v>
      </c>
      <c r="D298" s="129" t="s">
        <v>104</v>
      </c>
      <c r="E298" s="130">
        <f>(57.044+(3.045*9.15+3.15*8.4+3.05*9.15+2.45*4.9)/4)*(10.764)</f>
        <v>867.60598274999995</v>
      </c>
      <c r="F298" s="130">
        <f t="shared" si="12"/>
        <v>1041.1271792999999</v>
      </c>
      <c r="G298" s="131">
        <f t="shared" si="13"/>
        <v>433802.99137499998</v>
      </c>
      <c r="H298" s="131">
        <f t="shared" si="14"/>
        <v>12580286.749875</v>
      </c>
      <c r="I298" s="127">
        <f t="shared" si="15"/>
        <v>2602817.9482499994</v>
      </c>
      <c r="J298" s="126">
        <v>20000</v>
      </c>
      <c r="K298" s="158">
        <f t="shared" si="16"/>
        <v>13014089.741249999</v>
      </c>
      <c r="L298" s="159"/>
    </row>
    <row r="299" spans="1:14" customFormat="1" x14ac:dyDescent="0.25">
      <c r="A299" s="128" t="s">
        <v>170</v>
      </c>
      <c r="B299" s="157"/>
      <c r="C299" s="129">
        <f t="shared" si="11"/>
        <v>310</v>
      </c>
      <c r="D299" s="160" t="s">
        <v>654</v>
      </c>
      <c r="E299" s="161"/>
      <c r="F299" s="161"/>
      <c r="G299" s="161"/>
      <c r="H299" s="161"/>
      <c r="I299" s="161"/>
      <c r="J299" s="162"/>
      <c r="K299" s="158">
        <f t="shared" si="16"/>
        <v>0</v>
      </c>
      <c r="L299" s="159"/>
    </row>
    <row r="300" spans="1:14" customFormat="1" x14ac:dyDescent="0.25">
      <c r="A300" s="128">
        <v>9</v>
      </c>
      <c r="B300" s="155" t="s">
        <v>663</v>
      </c>
      <c r="C300" s="129">
        <f>LEFT(B300,SUM(LEN(B300)-LEN(SUBSTITUTE(B300,{"0","1","2","3","4","5","6","7","8","9"},""))))*100+1</f>
        <v>401</v>
      </c>
      <c r="D300" s="129" t="s">
        <v>104</v>
      </c>
      <c r="E300" s="130">
        <f>(57.044+3.045*1)*(10.764)</f>
        <v>646.7979959999999</v>
      </c>
      <c r="F300" s="130">
        <f>E300*1.2</f>
        <v>776.15759519999983</v>
      </c>
      <c r="G300" s="131">
        <f>E300*G$286</f>
        <v>323398.99799999996</v>
      </c>
      <c r="H300" s="131">
        <f>E300*$H$286</f>
        <v>9378570.9419999979</v>
      </c>
      <c r="I300" s="127">
        <f>$I$286*F300</f>
        <v>1940393.9879999997</v>
      </c>
      <c r="J300" s="126">
        <v>14000</v>
      </c>
      <c r="K300" s="158">
        <f>H300+G300</f>
        <v>9701969.9399999976</v>
      </c>
      <c r="L300" s="159"/>
      <c r="M300" s="147">
        <f>0.985*1.65+3.045*5.015+2.15*2.265+3.05*2.45+2.75*3.35+3.05*3.65+2.13*1.25+2.125*1.25+0.9*2.1</f>
        <v>56.791924999999999</v>
      </c>
    </row>
    <row r="301" spans="1:14" customFormat="1" x14ac:dyDescent="0.25">
      <c r="A301" s="128">
        <f t="shared" si="17"/>
        <v>10</v>
      </c>
      <c r="B301" s="156"/>
      <c r="C301" s="129">
        <f t="shared" ref="C301:C309" si="18">C300+1</f>
        <v>402</v>
      </c>
      <c r="D301" s="129" t="s">
        <v>104</v>
      </c>
      <c r="E301" s="130">
        <f>(57.044+3.045*1)*(10.764)</f>
        <v>646.7979959999999</v>
      </c>
      <c r="F301" s="130">
        <f t="shared" ref="F301:F309" si="19">E301*1.2</f>
        <v>776.15759519999983</v>
      </c>
      <c r="G301" s="131">
        <f t="shared" ref="G301:G309" si="20">E301*G$286</f>
        <v>323398.99799999996</v>
      </c>
      <c r="H301" s="131">
        <f t="shared" ref="H301:H309" si="21">E301*$H$286</f>
        <v>9378570.9419999979</v>
      </c>
      <c r="I301" s="127">
        <f t="shared" ref="I301:I309" si="22">$I$286*F301</f>
        <v>1940393.9879999997</v>
      </c>
      <c r="J301" s="126">
        <v>14000</v>
      </c>
      <c r="K301" s="158">
        <f t="shared" ref="K301:K309" si="23">H301+G301</f>
        <v>9701969.9399999976</v>
      </c>
      <c r="L301" s="159"/>
    </row>
    <row r="302" spans="1:14" customFormat="1" x14ac:dyDescent="0.25">
      <c r="A302" s="128">
        <f t="shared" si="17"/>
        <v>11</v>
      </c>
      <c r="B302" s="156"/>
      <c r="C302" s="129">
        <f t="shared" si="18"/>
        <v>403</v>
      </c>
      <c r="D302" s="129" t="s">
        <v>100</v>
      </c>
      <c r="E302" s="130">
        <f>(35.514)*(10.764)</f>
        <v>382.272696</v>
      </c>
      <c r="F302" s="130">
        <f t="shared" si="19"/>
        <v>458.7272352</v>
      </c>
      <c r="G302" s="131">
        <f t="shared" si="20"/>
        <v>191136.348</v>
      </c>
      <c r="H302" s="131">
        <f t="shared" si="21"/>
        <v>5542954.0920000002</v>
      </c>
      <c r="I302" s="127">
        <f t="shared" si="22"/>
        <v>1146818.088</v>
      </c>
      <c r="J302" s="126">
        <v>10000</v>
      </c>
      <c r="K302" s="158">
        <f t="shared" si="23"/>
        <v>5734090.4400000004</v>
      </c>
      <c r="L302" s="159"/>
    </row>
    <row r="303" spans="1:14" customFormat="1" x14ac:dyDescent="0.25">
      <c r="A303" s="128">
        <f t="shared" si="17"/>
        <v>12</v>
      </c>
      <c r="B303" s="156"/>
      <c r="C303" s="129">
        <f t="shared" si="18"/>
        <v>404</v>
      </c>
      <c r="D303" s="129" t="s">
        <v>104</v>
      </c>
      <c r="E303" s="130">
        <f>(57.044+3.045*1)*(10.764)</f>
        <v>646.7979959999999</v>
      </c>
      <c r="F303" s="130">
        <f t="shared" si="19"/>
        <v>776.15759519999983</v>
      </c>
      <c r="G303" s="131">
        <f t="shared" si="20"/>
        <v>323398.99799999996</v>
      </c>
      <c r="H303" s="131">
        <f t="shared" si="21"/>
        <v>9378570.9419999979</v>
      </c>
      <c r="I303" s="127">
        <f t="shared" si="22"/>
        <v>1940393.9879999997</v>
      </c>
      <c r="J303" s="126">
        <v>14000</v>
      </c>
      <c r="K303" s="158">
        <f t="shared" si="23"/>
        <v>9701969.9399999976</v>
      </c>
      <c r="L303" s="159"/>
    </row>
    <row r="304" spans="1:14" customFormat="1" x14ac:dyDescent="0.25">
      <c r="A304" s="128">
        <f t="shared" si="17"/>
        <v>13</v>
      </c>
      <c r="B304" s="156"/>
      <c r="C304" s="129">
        <f t="shared" si="18"/>
        <v>405</v>
      </c>
      <c r="D304" s="129" t="s">
        <v>104</v>
      </c>
      <c r="E304" s="130">
        <f>(57.044+3.045*1)*(10.764)</f>
        <v>646.7979959999999</v>
      </c>
      <c r="F304" s="130">
        <f t="shared" si="19"/>
        <v>776.15759519999983</v>
      </c>
      <c r="G304" s="131">
        <f t="shared" si="20"/>
        <v>323398.99799999996</v>
      </c>
      <c r="H304" s="131">
        <f t="shared" si="21"/>
        <v>9378570.9419999979</v>
      </c>
      <c r="I304" s="127">
        <f t="shared" si="22"/>
        <v>1940393.9879999997</v>
      </c>
      <c r="J304" s="126">
        <v>14000</v>
      </c>
      <c r="K304" s="158">
        <f t="shared" si="23"/>
        <v>9701969.9399999976</v>
      </c>
      <c r="L304" s="159"/>
    </row>
    <row r="305" spans="1:14" customFormat="1" x14ac:dyDescent="0.25">
      <c r="A305" s="128">
        <f t="shared" si="17"/>
        <v>14</v>
      </c>
      <c r="B305" s="156"/>
      <c r="C305" s="129">
        <f t="shared" si="18"/>
        <v>406</v>
      </c>
      <c r="D305" s="129" t="s">
        <v>104</v>
      </c>
      <c r="E305" s="130">
        <f>(57.044+3.045*1)*(10.764)</f>
        <v>646.7979959999999</v>
      </c>
      <c r="F305" s="130">
        <f t="shared" si="19"/>
        <v>776.15759519999983</v>
      </c>
      <c r="G305" s="131">
        <f t="shared" si="20"/>
        <v>323398.99799999996</v>
      </c>
      <c r="H305" s="131">
        <f t="shared" si="21"/>
        <v>9378570.9419999979</v>
      </c>
      <c r="I305" s="127">
        <f t="shared" si="22"/>
        <v>1940393.9879999997</v>
      </c>
      <c r="J305" s="126">
        <v>14000</v>
      </c>
      <c r="K305" s="158">
        <f t="shared" si="23"/>
        <v>9701969.9399999976</v>
      </c>
      <c r="L305" s="159"/>
    </row>
    <row r="306" spans="1:14" customFormat="1" x14ac:dyDescent="0.25">
      <c r="A306" s="128">
        <f t="shared" si="17"/>
        <v>15</v>
      </c>
      <c r="B306" s="156"/>
      <c r="C306" s="129">
        <f t="shared" si="18"/>
        <v>407</v>
      </c>
      <c r="D306" s="129" t="s">
        <v>104</v>
      </c>
      <c r="E306" s="130">
        <f>(57.044+3.045*1)*(10.764)</f>
        <v>646.7979959999999</v>
      </c>
      <c r="F306" s="130">
        <f t="shared" si="19"/>
        <v>776.15759519999983</v>
      </c>
      <c r="G306" s="131">
        <f t="shared" si="20"/>
        <v>323398.99799999996</v>
      </c>
      <c r="H306" s="131">
        <f t="shared" si="21"/>
        <v>9378570.9419999979</v>
      </c>
      <c r="I306" s="127">
        <f t="shared" si="22"/>
        <v>1940393.9879999997</v>
      </c>
      <c r="J306" s="126">
        <v>14000</v>
      </c>
      <c r="K306" s="158">
        <f t="shared" si="23"/>
        <v>9701969.9399999976</v>
      </c>
      <c r="L306" s="159"/>
    </row>
    <row r="307" spans="1:14" customFormat="1" x14ac:dyDescent="0.25">
      <c r="A307" s="128">
        <f t="shared" si="17"/>
        <v>16</v>
      </c>
      <c r="B307" s="156"/>
      <c r="C307" s="129">
        <f t="shared" si="18"/>
        <v>408</v>
      </c>
      <c r="D307" s="129" t="s">
        <v>100</v>
      </c>
      <c r="E307" s="130">
        <f>(35.514)*(10.764)</f>
        <v>382.272696</v>
      </c>
      <c r="F307" s="130">
        <f t="shared" si="19"/>
        <v>458.7272352</v>
      </c>
      <c r="G307" s="131">
        <f t="shared" si="20"/>
        <v>191136.348</v>
      </c>
      <c r="H307" s="131">
        <f t="shared" si="21"/>
        <v>5542954.0920000002</v>
      </c>
      <c r="I307" s="127">
        <f t="shared" si="22"/>
        <v>1146818.088</v>
      </c>
      <c r="J307" s="126">
        <v>10000</v>
      </c>
      <c r="K307" s="158">
        <f t="shared" si="23"/>
        <v>5734090.4400000004</v>
      </c>
      <c r="L307" s="159"/>
    </row>
    <row r="308" spans="1:14" customFormat="1" x14ac:dyDescent="0.25">
      <c r="A308" s="128">
        <f t="shared" si="17"/>
        <v>17</v>
      </c>
      <c r="B308" s="156"/>
      <c r="C308" s="129">
        <f t="shared" si="18"/>
        <v>409</v>
      </c>
      <c r="D308" s="129" t="s">
        <v>104</v>
      </c>
      <c r="E308" s="130">
        <f>(57.044+3.045*1)*(10.764)</f>
        <v>646.7979959999999</v>
      </c>
      <c r="F308" s="130">
        <f t="shared" si="19"/>
        <v>776.15759519999983</v>
      </c>
      <c r="G308" s="131">
        <f t="shared" si="20"/>
        <v>323398.99799999996</v>
      </c>
      <c r="H308" s="131">
        <f t="shared" si="21"/>
        <v>9378570.9419999979</v>
      </c>
      <c r="I308" s="127">
        <f t="shared" si="22"/>
        <v>1940393.9879999997</v>
      </c>
      <c r="J308" s="126">
        <v>14000</v>
      </c>
      <c r="K308" s="158">
        <f t="shared" si="23"/>
        <v>9701969.9399999976</v>
      </c>
      <c r="L308" s="159"/>
      <c r="N308">
        <f>44/3</f>
        <v>14.666666666666666</v>
      </c>
    </row>
    <row r="309" spans="1:14" customFormat="1" x14ac:dyDescent="0.25">
      <c r="A309" s="128">
        <f t="shared" si="17"/>
        <v>18</v>
      </c>
      <c r="B309" s="157"/>
      <c r="C309" s="129">
        <f t="shared" si="18"/>
        <v>410</v>
      </c>
      <c r="D309" s="129" t="s">
        <v>104</v>
      </c>
      <c r="E309" s="130">
        <f>(57.044+3.045*1)*(10.764)</f>
        <v>646.7979959999999</v>
      </c>
      <c r="F309" s="130">
        <f t="shared" si="19"/>
        <v>776.15759519999983</v>
      </c>
      <c r="G309" s="131">
        <f t="shared" si="20"/>
        <v>323398.99799999996</v>
      </c>
      <c r="H309" s="131">
        <f t="shared" si="21"/>
        <v>9378570.9419999979</v>
      </c>
      <c r="I309" s="127">
        <f t="shared" si="22"/>
        <v>1940393.9879999997</v>
      </c>
      <c r="J309" s="126">
        <v>14000</v>
      </c>
      <c r="K309" s="158">
        <f t="shared" si="23"/>
        <v>9701969.9399999976</v>
      </c>
      <c r="L309" s="159"/>
    </row>
    <row r="310" spans="1:14" customFormat="1" x14ac:dyDescent="0.25">
      <c r="A310" s="128">
        <f t="shared" si="17"/>
        <v>19</v>
      </c>
      <c r="B310" s="155" t="s">
        <v>664</v>
      </c>
      <c r="C310" s="129">
        <f>LEFT(B310,SUM(LEN(B310)-LEN(SUBSTITUTE(B310,{"0","1","2","3","4","5","6","7","8","9"},""))))*100+1</f>
        <v>501</v>
      </c>
      <c r="D310" s="129" t="s">
        <v>104</v>
      </c>
      <c r="E310" s="130">
        <f>(57.044+3.045*1)*(10.764)</f>
        <v>646.7979959999999</v>
      </c>
      <c r="F310" s="130">
        <f>E310*1.2</f>
        <v>776.15759519999983</v>
      </c>
      <c r="G310" s="131">
        <f>E310*G$286</f>
        <v>323398.99799999996</v>
      </c>
      <c r="H310" s="131">
        <f>E310*$H$286</f>
        <v>9378570.9419999979</v>
      </c>
      <c r="I310" s="127">
        <f>$I$286*F310</f>
        <v>1940393.9879999997</v>
      </c>
      <c r="J310" s="126">
        <v>14000</v>
      </c>
      <c r="K310" s="158">
        <f>H310+G310</f>
        <v>9701969.9399999976</v>
      </c>
      <c r="L310" s="159"/>
    </row>
    <row r="311" spans="1:14" customFormat="1" x14ac:dyDescent="0.25">
      <c r="A311" s="128">
        <f t="shared" si="17"/>
        <v>20</v>
      </c>
      <c r="B311" s="156"/>
      <c r="C311" s="129">
        <f t="shared" ref="C311:C319" si="24">C310+1</f>
        <v>502</v>
      </c>
      <c r="D311" s="129" t="s">
        <v>104</v>
      </c>
      <c r="E311" s="130">
        <f>(57.044+3.045*1)*(10.764)</f>
        <v>646.7979959999999</v>
      </c>
      <c r="F311" s="130">
        <f t="shared" ref="F311:F319" si="25">E311*1.2</f>
        <v>776.15759519999983</v>
      </c>
      <c r="G311" s="131">
        <f t="shared" ref="G311:G319" si="26">E311*G$286</f>
        <v>323398.99799999996</v>
      </c>
      <c r="H311" s="131">
        <f t="shared" ref="H311:H319" si="27">E311*$H$286</f>
        <v>9378570.9419999979</v>
      </c>
      <c r="I311" s="127">
        <f t="shared" ref="I311:I319" si="28">$I$286*F311</f>
        <v>1940393.9879999997</v>
      </c>
      <c r="J311" s="126">
        <v>14000</v>
      </c>
      <c r="K311" s="158">
        <f t="shared" ref="K311:K319" si="29">H311+G311</f>
        <v>9701969.9399999976</v>
      </c>
      <c r="L311" s="159"/>
    </row>
    <row r="312" spans="1:14" customFormat="1" x14ac:dyDescent="0.25">
      <c r="A312" s="128">
        <f t="shared" si="17"/>
        <v>21</v>
      </c>
      <c r="B312" s="156"/>
      <c r="C312" s="129">
        <f t="shared" si="24"/>
        <v>503</v>
      </c>
      <c r="D312" s="129" t="s">
        <v>100</v>
      </c>
      <c r="E312" s="130">
        <f>(35.514)*(10.764)</f>
        <v>382.272696</v>
      </c>
      <c r="F312" s="130">
        <f t="shared" si="25"/>
        <v>458.7272352</v>
      </c>
      <c r="G312" s="131">
        <f t="shared" si="26"/>
        <v>191136.348</v>
      </c>
      <c r="H312" s="131">
        <f t="shared" si="27"/>
        <v>5542954.0920000002</v>
      </c>
      <c r="I312" s="127">
        <f t="shared" si="28"/>
        <v>1146818.088</v>
      </c>
      <c r="J312" s="126">
        <v>10000</v>
      </c>
      <c r="K312" s="158">
        <f t="shared" si="29"/>
        <v>5734090.4400000004</v>
      </c>
      <c r="L312" s="159"/>
    </row>
    <row r="313" spans="1:14" customFormat="1" x14ac:dyDescent="0.25">
      <c r="A313" s="128">
        <f t="shared" si="17"/>
        <v>22</v>
      </c>
      <c r="B313" s="156"/>
      <c r="C313" s="129">
        <f t="shared" si="24"/>
        <v>504</v>
      </c>
      <c r="D313" s="129" t="s">
        <v>104</v>
      </c>
      <c r="E313" s="130">
        <f>(57.044+3.045*1)*(10.764)</f>
        <v>646.7979959999999</v>
      </c>
      <c r="F313" s="130">
        <f t="shared" si="25"/>
        <v>776.15759519999983</v>
      </c>
      <c r="G313" s="131">
        <f t="shared" si="26"/>
        <v>323398.99799999996</v>
      </c>
      <c r="H313" s="131">
        <f t="shared" si="27"/>
        <v>9378570.9419999979</v>
      </c>
      <c r="I313" s="127">
        <f t="shared" si="28"/>
        <v>1940393.9879999997</v>
      </c>
      <c r="J313" s="126">
        <v>14000</v>
      </c>
      <c r="K313" s="158">
        <f t="shared" si="29"/>
        <v>9701969.9399999976</v>
      </c>
      <c r="L313" s="159"/>
    </row>
    <row r="314" spans="1:14" customFormat="1" x14ac:dyDescent="0.25">
      <c r="A314" s="128">
        <f t="shared" si="17"/>
        <v>23</v>
      </c>
      <c r="B314" s="156"/>
      <c r="C314" s="129">
        <f t="shared" si="24"/>
        <v>505</v>
      </c>
      <c r="D314" s="129" t="s">
        <v>104</v>
      </c>
      <c r="E314" s="130">
        <f>(57.044+3.045*1)*(10.764)</f>
        <v>646.7979959999999</v>
      </c>
      <c r="F314" s="130">
        <f t="shared" si="25"/>
        <v>776.15759519999983</v>
      </c>
      <c r="G314" s="131">
        <f t="shared" si="26"/>
        <v>323398.99799999996</v>
      </c>
      <c r="H314" s="131">
        <f t="shared" si="27"/>
        <v>9378570.9419999979</v>
      </c>
      <c r="I314" s="127">
        <f t="shared" si="28"/>
        <v>1940393.9879999997</v>
      </c>
      <c r="J314" s="126">
        <v>14000</v>
      </c>
      <c r="K314" s="158">
        <f t="shared" si="29"/>
        <v>9701969.9399999976</v>
      </c>
      <c r="L314" s="159"/>
    </row>
    <row r="315" spans="1:14" customFormat="1" x14ac:dyDescent="0.25">
      <c r="A315" s="128">
        <f t="shared" si="17"/>
        <v>24</v>
      </c>
      <c r="B315" s="156"/>
      <c r="C315" s="129">
        <f t="shared" si="24"/>
        <v>506</v>
      </c>
      <c r="D315" s="129" t="s">
        <v>104</v>
      </c>
      <c r="E315" s="130">
        <f>(57.044+3.045*1)*(10.764)</f>
        <v>646.7979959999999</v>
      </c>
      <c r="F315" s="130">
        <f t="shared" si="25"/>
        <v>776.15759519999983</v>
      </c>
      <c r="G315" s="131">
        <f t="shared" si="26"/>
        <v>323398.99799999996</v>
      </c>
      <c r="H315" s="131">
        <f t="shared" si="27"/>
        <v>9378570.9419999979</v>
      </c>
      <c r="I315" s="127">
        <f t="shared" si="28"/>
        <v>1940393.9879999997</v>
      </c>
      <c r="J315" s="126">
        <v>14000</v>
      </c>
      <c r="K315" s="158">
        <f t="shared" si="29"/>
        <v>9701969.9399999976</v>
      </c>
      <c r="L315" s="159"/>
    </row>
    <row r="316" spans="1:14" customFormat="1" x14ac:dyDescent="0.25">
      <c r="A316" s="128">
        <f t="shared" si="17"/>
        <v>25</v>
      </c>
      <c r="B316" s="156"/>
      <c r="C316" s="129">
        <f t="shared" si="24"/>
        <v>507</v>
      </c>
      <c r="D316" s="129" t="s">
        <v>104</v>
      </c>
      <c r="E316" s="130">
        <f>(57.044+3.045*1)*(10.764)</f>
        <v>646.7979959999999</v>
      </c>
      <c r="F316" s="130">
        <f t="shared" si="25"/>
        <v>776.15759519999983</v>
      </c>
      <c r="G316" s="131">
        <f t="shared" si="26"/>
        <v>323398.99799999996</v>
      </c>
      <c r="H316" s="131">
        <f t="shared" si="27"/>
        <v>9378570.9419999979</v>
      </c>
      <c r="I316" s="127">
        <f t="shared" si="28"/>
        <v>1940393.9879999997</v>
      </c>
      <c r="J316" s="126">
        <v>14000</v>
      </c>
      <c r="K316" s="158">
        <f t="shared" si="29"/>
        <v>9701969.9399999976</v>
      </c>
      <c r="L316" s="159"/>
    </row>
    <row r="317" spans="1:14" customFormat="1" x14ac:dyDescent="0.25">
      <c r="A317" s="128">
        <f t="shared" si="17"/>
        <v>26</v>
      </c>
      <c r="B317" s="156"/>
      <c r="C317" s="129">
        <f t="shared" si="24"/>
        <v>508</v>
      </c>
      <c r="D317" s="129" t="s">
        <v>100</v>
      </c>
      <c r="E317" s="130">
        <f>(35.514)*(10.764)</f>
        <v>382.272696</v>
      </c>
      <c r="F317" s="130">
        <f t="shared" si="25"/>
        <v>458.7272352</v>
      </c>
      <c r="G317" s="131">
        <f t="shared" si="26"/>
        <v>191136.348</v>
      </c>
      <c r="H317" s="131">
        <f t="shared" si="27"/>
        <v>5542954.0920000002</v>
      </c>
      <c r="I317" s="127">
        <f t="shared" si="28"/>
        <v>1146818.088</v>
      </c>
      <c r="J317" s="126">
        <v>10000</v>
      </c>
      <c r="K317" s="158">
        <f t="shared" si="29"/>
        <v>5734090.4400000004</v>
      </c>
      <c r="L317" s="159"/>
    </row>
    <row r="318" spans="1:14" customFormat="1" x14ac:dyDescent="0.25">
      <c r="A318" s="128">
        <f t="shared" si="17"/>
        <v>27</v>
      </c>
      <c r="B318" s="156"/>
      <c r="C318" s="129">
        <f t="shared" si="24"/>
        <v>509</v>
      </c>
      <c r="D318" s="129" t="s">
        <v>104</v>
      </c>
      <c r="E318" s="130">
        <f>(57.044+3.045*1)*(10.764)</f>
        <v>646.7979959999999</v>
      </c>
      <c r="F318" s="130">
        <f t="shared" si="25"/>
        <v>776.15759519999983</v>
      </c>
      <c r="G318" s="131">
        <f t="shared" si="26"/>
        <v>323398.99799999996</v>
      </c>
      <c r="H318" s="131">
        <f t="shared" si="27"/>
        <v>9378570.9419999979</v>
      </c>
      <c r="I318" s="127">
        <f t="shared" si="28"/>
        <v>1940393.9879999997</v>
      </c>
      <c r="J318" s="126">
        <v>14000</v>
      </c>
      <c r="K318" s="158">
        <f t="shared" si="29"/>
        <v>9701969.9399999976</v>
      </c>
      <c r="L318" s="159"/>
    </row>
    <row r="319" spans="1:14" customFormat="1" x14ac:dyDescent="0.25">
      <c r="A319" s="128">
        <f t="shared" si="17"/>
        <v>28</v>
      </c>
      <c r="B319" s="157"/>
      <c r="C319" s="129">
        <f t="shared" si="24"/>
        <v>510</v>
      </c>
      <c r="D319" s="129" t="s">
        <v>104</v>
      </c>
      <c r="E319" s="130">
        <f>(57.044+3.045*1)*(10.764)</f>
        <v>646.7979959999999</v>
      </c>
      <c r="F319" s="130">
        <f t="shared" si="25"/>
        <v>776.15759519999983</v>
      </c>
      <c r="G319" s="131">
        <f t="shared" si="26"/>
        <v>323398.99799999996</v>
      </c>
      <c r="H319" s="131">
        <f t="shared" si="27"/>
        <v>9378570.9419999979</v>
      </c>
      <c r="I319" s="127">
        <f t="shared" si="28"/>
        <v>1940393.9879999997</v>
      </c>
      <c r="J319" s="126">
        <v>14000</v>
      </c>
      <c r="K319" s="158">
        <f t="shared" si="29"/>
        <v>9701969.9399999976</v>
      </c>
      <c r="L319" s="159"/>
    </row>
    <row r="320" spans="1:14" customFormat="1" x14ac:dyDescent="0.25">
      <c r="A320" s="128">
        <f t="shared" si="17"/>
        <v>29</v>
      </c>
      <c r="B320" s="155" t="s">
        <v>665</v>
      </c>
      <c r="C320" s="129">
        <f>LEFT(B320,SUM(LEN(B320)-LEN(SUBSTITUTE(B320,{"0","1","2","3","4","5","6","7","8","9"},""))))*100+1</f>
        <v>601</v>
      </c>
      <c r="D320" s="129" t="s">
        <v>104</v>
      </c>
      <c r="E320" s="130">
        <f>(57.044+3.045*1)*(10.764)</f>
        <v>646.7979959999999</v>
      </c>
      <c r="F320" s="130">
        <f>E320*1.2</f>
        <v>776.15759519999983</v>
      </c>
      <c r="G320" s="131">
        <f>E320*G$286</f>
        <v>323398.99799999996</v>
      </c>
      <c r="H320" s="131">
        <f>E320*$H$286</f>
        <v>9378570.9419999979</v>
      </c>
      <c r="I320" s="127">
        <f>$I$286*F320</f>
        <v>1940393.9879999997</v>
      </c>
      <c r="J320" s="126">
        <v>14000</v>
      </c>
      <c r="K320" s="158">
        <f>H320+G320</f>
        <v>9701969.9399999976</v>
      </c>
      <c r="L320" s="159"/>
    </row>
    <row r="321" spans="1:12" customFormat="1" x14ac:dyDescent="0.25">
      <c r="A321" s="128">
        <f t="shared" si="17"/>
        <v>30</v>
      </c>
      <c r="B321" s="156"/>
      <c r="C321" s="129">
        <f t="shared" ref="C321:C329" si="30">C320+1</f>
        <v>602</v>
      </c>
      <c r="D321" s="129" t="s">
        <v>104</v>
      </c>
      <c r="E321" s="130">
        <f>(57.044+3.045*1)*(10.764)</f>
        <v>646.7979959999999</v>
      </c>
      <c r="F321" s="130">
        <f t="shared" ref="F321:F329" si="31">E321*1.2</f>
        <v>776.15759519999983</v>
      </c>
      <c r="G321" s="131">
        <f t="shared" ref="G321:G329" si="32">E321*G$286</f>
        <v>323398.99799999996</v>
      </c>
      <c r="H321" s="131">
        <f t="shared" ref="H321:H329" si="33">E321*$H$286</f>
        <v>9378570.9419999979</v>
      </c>
      <c r="I321" s="127">
        <f t="shared" ref="I321:I329" si="34">$I$286*F321</f>
        <v>1940393.9879999997</v>
      </c>
      <c r="J321" s="126">
        <v>14000</v>
      </c>
      <c r="K321" s="158">
        <f t="shared" ref="K321:K329" si="35">H321+G321</f>
        <v>9701969.9399999976</v>
      </c>
      <c r="L321" s="159"/>
    </row>
    <row r="322" spans="1:12" customFormat="1" x14ac:dyDescent="0.25">
      <c r="A322" s="128">
        <f t="shared" si="17"/>
        <v>31</v>
      </c>
      <c r="B322" s="156"/>
      <c r="C322" s="129">
        <f t="shared" si="30"/>
        <v>603</v>
      </c>
      <c r="D322" s="129" t="s">
        <v>100</v>
      </c>
      <c r="E322" s="130">
        <f>(35.514)*(10.764)</f>
        <v>382.272696</v>
      </c>
      <c r="F322" s="130">
        <f t="shared" si="31"/>
        <v>458.7272352</v>
      </c>
      <c r="G322" s="131">
        <f t="shared" si="32"/>
        <v>191136.348</v>
      </c>
      <c r="H322" s="131">
        <f t="shared" si="33"/>
        <v>5542954.0920000002</v>
      </c>
      <c r="I322" s="127">
        <f t="shared" si="34"/>
        <v>1146818.088</v>
      </c>
      <c r="J322" s="126">
        <v>10000</v>
      </c>
      <c r="K322" s="158">
        <f t="shared" si="35"/>
        <v>5734090.4400000004</v>
      </c>
      <c r="L322" s="159"/>
    </row>
    <row r="323" spans="1:12" customFormat="1" x14ac:dyDescent="0.25">
      <c r="A323" s="128">
        <f t="shared" si="17"/>
        <v>32</v>
      </c>
      <c r="B323" s="156"/>
      <c r="C323" s="129">
        <f t="shared" si="30"/>
        <v>604</v>
      </c>
      <c r="D323" s="129" t="s">
        <v>104</v>
      </c>
      <c r="E323" s="130">
        <f>(57.044+3.045*1)*(10.764)</f>
        <v>646.7979959999999</v>
      </c>
      <c r="F323" s="130">
        <f t="shared" si="31"/>
        <v>776.15759519999983</v>
      </c>
      <c r="G323" s="131">
        <f t="shared" si="32"/>
        <v>323398.99799999996</v>
      </c>
      <c r="H323" s="131">
        <f t="shared" si="33"/>
        <v>9378570.9419999979</v>
      </c>
      <c r="I323" s="127">
        <f t="shared" si="34"/>
        <v>1940393.9879999997</v>
      </c>
      <c r="J323" s="126">
        <v>14000</v>
      </c>
      <c r="K323" s="158">
        <f t="shared" si="35"/>
        <v>9701969.9399999976</v>
      </c>
      <c r="L323" s="159"/>
    </row>
    <row r="324" spans="1:12" customFormat="1" x14ac:dyDescent="0.25">
      <c r="A324" s="128">
        <f t="shared" si="17"/>
        <v>33</v>
      </c>
      <c r="B324" s="156"/>
      <c r="C324" s="129">
        <f t="shared" si="30"/>
        <v>605</v>
      </c>
      <c r="D324" s="129" t="s">
        <v>104</v>
      </c>
      <c r="E324" s="130">
        <f>(57.044+3.045*1)*(10.764)</f>
        <v>646.7979959999999</v>
      </c>
      <c r="F324" s="130">
        <f t="shared" si="31"/>
        <v>776.15759519999983</v>
      </c>
      <c r="G324" s="131">
        <f t="shared" si="32"/>
        <v>323398.99799999996</v>
      </c>
      <c r="H324" s="131">
        <f t="shared" si="33"/>
        <v>9378570.9419999979</v>
      </c>
      <c r="I324" s="127">
        <f t="shared" si="34"/>
        <v>1940393.9879999997</v>
      </c>
      <c r="J324" s="126">
        <v>14000</v>
      </c>
      <c r="K324" s="158">
        <f t="shared" si="35"/>
        <v>9701969.9399999976</v>
      </c>
      <c r="L324" s="159"/>
    </row>
    <row r="325" spans="1:12" customFormat="1" x14ac:dyDescent="0.25">
      <c r="A325" s="128">
        <f t="shared" si="17"/>
        <v>34</v>
      </c>
      <c r="B325" s="156"/>
      <c r="C325" s="129">
        <f t="shared" si="30"/>
        <v>606</v>
      </c>
      <c r="D325" s="129" t="s">
        <v>104</v>
      </c>
      <c r="E325" s="130">
        <f>(57.044+3.045*1)*(10.764)</f>
        <v>646.7979959999999</v>
      </c>
      <c r="F325" s="130">
        <f t="shared" si="31"/>
        <v>776.15759519999983</v>
      </c>
      <c r="G325" s="131">
        <f t="shared" si="32"/>
        <v>323398.99799999996</v>
      </c>
      <c r="H325" s="131">
        <f t="shared" si="33"/>
        <v>9378570.9419999979</v>
      </c>
      <c r="I325" s="127">
        <f t="shared" si="34"/>
        <v>1940393.9879999997</v>
      </c>
      <c r="J325" s="126">
        <v>14000</v>
      </c>
      <c r="K325" s="158">
        <f t="shared" si="35"/>
        <v>9701969.9399999976</v>
      </c>
      <c r="L325" s="159"/>
    </row>
    <row r="326" spans="1:12" customFormat="1" x14ac:dyDescent="0.25">
      <c r="A326" s="128">
        <f t="shared" si="17"/>
        <v>35</v>
      </c>
      <c r="B326" s="156"/>
      <c r="C326" s="129">
        <f t="shared" si="30"/>
        <v>607</v>
      </c>
      <c r="D326" s="129" t="s">
        <v>104</v>
      </c>
      <c r="E326" s="130">
        <f>(57.044+3.045*1)*(10.764)</f>
        <v>646.7979959999999</v>
      </c>
      <c r="F326" s="130">
        <f t="shared" si="31"/>
        <v>776.15759519999983</v>
      </c>
      <c r="G326" s="131">
        <f t="shared" si="32"/>
        <v>323398.99799999996</v>
      </c>
      <c r="H326" s="131">
        <f t="shared" si="33"/>
        <v>9378570.9419999979</v>
      </c>
      <c r="I326" s="127">
        <f t="shared" si="34"/>
        <v>1940393.9879999997</v>
      </c>
      <c r="J326" s="126">
        <v>14000</v>
      </c>
      <c r="K326" s="158">
        <f t="shared" si="35"/>
        <v>9701969.9399999976</v>
      </c>
      <c r="L326" s="159"/>
    </row>
    <row r="327" spans="1:12" customFormat="1" x14ac:dyDescent="0.25">
      <c r="A327" s="128">
        <f t="shared" si="17"/>
        <v>36</v>
      </c>
      <c r="B327" s="156"/>
      <c r="C327" s="129">
        <f t="shared" si="30"/>
        <v>608</v>
      </c>
      <c r="D327" s="129" t="s">
        <v>100</v>
      </c>
      <c r="E327" s="130">
        <f>(35.514)*(10.764)</f>
        <v>382.272696</v>
      </c>
      <c r="F327" s="130">
        <f t="shared" si="31"/>
        <v>458.7272352</v>
      </c>
      <c r="G327" s="131">
        <f t="shared" si="32"/>
        <v>191136.348</v>
      </c>
      <c r="H327" s="131">
        <f t="shared" si="33"/>
        <v>5542954.0920000002</v>
      </c>
      <c r="I327" s="127">
        <f t="shared" si="34"/>
        <v>1146818.088</v>
      </c>
      <c r="J327" s="126">
        <v>10000</v>
      </c>
      <c r="K327" s="158">
        <f t="shared" si="35"/>
        <v>5734090.4400000004</v>
      </c>
      <c r="L327" s="159"/>
    </row>
    <row r="328" spans="1:12" customFormat="1" x14ac:dyDescent="0.25">
      <c r="A328" s="128">
        <f t="shared" si="17"/>
        <v>37</v>
      </c>
      <c r="B328" s="156"/>
      <c r="C328" s="129">
        <f t="shared" si="30"/>
        <v>609</v>
      </c>
      <c r="D328" s="129" t="s">
        <v>104</v>
      </c>
      <c r="E328" s="130">
        <f>(57.044+3.045*1)*(10.764)</f>
        <v>646.7979959999999</v>
      </c>
      <c r="F328" s="130">
        <f t="shared" si="31"/>
        <v>776.15759519999983</v>
      </c>
      <c r="G328" s="131">
        <f t="shared" si="32"/>
        <v>323398.99799999996</v>
      </c>
      <c r="H328" s="131">
        <f t="shared" si="33"/>
        <v>9378570.9419999979</v>
      </c>
      <c r="I328" s="127">
        <f t="shared" si="34"/>
        <v>1940393.9879999997</v>
      </c>
      <c r="J328" s="126">
        <v>14000</v>
      </c>
      <c r="K328" s="158">
        <f t="shared" si="35"/>
        <v>9701969.9399999976</v>
      </c>
      <c r="L328" s="159"/>
    </row>
    <row r="329" spans="1:12" customFormat="1" x14ac:dyDescent="0.25">
      <c r="A329" s="128">
        <f t="shared" si="17"/>
        <v>38</v>
      </c>
      <c r="B329" s="157"/>
      <c r="C329" s="129">
        <f t="shared" si="30"/>
        <v>610</v>
      </c>
      <c r="D329" s="129" t="s">
        <v>104</v>
      </c>
      <c r="E329" s="130">
        <f>(57.044+3.045*1)*(10.764)</f>
        <v>646.7979959999999</v>
      </c>
      <c r="F329" s="130">
        <f t="shared" si="31"/>
        <v>776.15759519999983</v>
      </c>
      <c r="G329" s="131">
        <f t="shared" si="32"/>
        <v>323398.99799999996</v>
      </c>
      <c r="H329" s="131">
        <f t="shared" si="33"/>
        <v>9378570.9419999979</v>
      </c>
      <c r="I329" s="127">
        <f t="shared" si="34"/>
        <v>1940393.9879999997</v>
      </c>
      <c r="J329" s="126">
        <v>14000</v>
      </c>
      <c r="K329" s="158">
        <f t="shared" si="35"/>
        <v>9701969.9399999976</v>
      </c>
      <c r="L329" s="159"/>
    </row>
    <row r="330" spans="1:12" customFormat="1" x14ac:dyDescent="0.25">
      <c r="A330" s="128">
        <f t="shared" si="17"/>
        <v>39</v>
      </c>
      <c r="B330" s="155" t="s">
        <v>666</v>
      </c>
      <c r="C330" s="129">
        <f>LEFT(B330,SUM(LEN(B330)-LEN(SUBSTITUTE(B330,{"0","1","2","3","4","5","6","7","8","9"},""))))*100+1</f>
        <v>701</v>
      </c>
      <c r="D330" s="129" t="s">
        <v>104</v>
      </c>
      <c r="E330" s="130">
        <f>(57.044+3.045*1)*(10.764)</f>
        <v>646.7979959999999</v>
      </c>
      <c r="F330" s="130">
        <f>E330*1.2</f>
        <v>776.15759519999983</v>
      </c>
      <c r="G330" s="131">
        <f>E330*G$286</f>
        <v>323398.99799999996</v>
      </c>
      <c r="H330" s="131">
        <f>E330*$H$286</f>
        <v>9378570.9419999979</v>
      </c>
      <c r="I330" s="127">
        <f>$I$286*F330</f>
        <v>1940393.9879999997</v>
      </c>
      <c r="J330" s="126">
        <v>14000</v>
      </c>
      <c r="K330" s="158">
        <f>H330+G330</f>
        <v>9701969.9399999976</v>
      </c>
      <c r="L330" s="159"/>
    </row>
    <row r="331" spans="1:12" customFormat="1" x14ac:dyDescent="0.25">
      <c r="A331" s="128">
        <f t="shared" si="17"/>
        <v>40</v>
      </c>
      <c r="B331" s="156"/>
      <c r="C331" s="129">
        <f t="shared" ref="C331:C339" si="36">C330+1</f>
        <v>702</v>
      </c>
      <c r="D331" s="129" t="s">
        <v>104</v>
      </c>
      <c r="E331" s="130">
        <f>(57.044+3.045*1)*(10.764)</f>
        <v>646.7979959999999</v>
      </c>
      <c r="F331" s="130">
        <f t="shared" ref="F331:F339" si="37">E331*1.2</f>
        <v>776.15759519999983</v>
      </c>
      <c r="G331" s="131">
        <f t="shared" ref="G331:G339" si="38">E331*G$286</f>
        <v>323398.99799999996</v>
      </c>
      <c r="H331" s="131">
        <f t="shared" ref="H331:H339" si="39">E331*$H$286</f>
        <v>9378570.9419999979</v>
      </c>
      <c r="I331" s="127">
        <f t="shared" ref="I331:I339" si="40">$I$286*F331</f>
        <v>1940393.9879999997</v>
      </c>
      <c r="J331" s="126">
        <v>14000</v>
      </c>
      <c r="K331" s="158">
        <f t="shared" ref="K331:K339" si="41">H331+G331</f>
        <v>9701969.9399999976</v>
      </c>
      <c r="L331" s="159"/>
    </row>
    <row r="332" spans="1:12" customFormat="1" x14ac:dyDescent="0.25">
      <c r="A332" s="128">
        <f t="shared" si="17"/>
        <v>41</v>
      </c>
      <c r="B332" s="156"/>
      <c r="C332" s="129">
        <f t="shared" si="36"/>
        <v>703</v>
      </c>
      <c r="D332" s="129" t="s">
        <v>100</v>
      </c>
      <c r="E332" s="130">
        <f>(35.514)*(10.764)</f>
        <v>382.272696</v>
      </c>
      <c r="F332" s="130">
        <f t="shared" si="37"/>
        <v>458.7272352</v>
      </c>
      <c r="G332" s="131">
        <f t="shared" si="38"/>
        <v>191136.348</v>
      </c>
      <c r="H332" s="131">
        <f t="shared" si="39"/>
        <v>5542954.0920000002</v>
      </c>
      <c r="I332" s="127">
        <f t="shared" si="40"/>
        <v>1146818.088</v>
      </c>
      <c r="J332" s="126">
        <v>10000</v>
      </c>
      <c r="K332" s="158">
        <f t="shared" si="41"/>
        <v>5734090.4400000004</v>
      </c>
      <c r="L332" s="159"/>
    </row>
    <row r="333" spans="1:12" customFormat="1" x14ac:dyDescent="0.25">
      <c r="A333" s="128">
        <f t="shared" si="17"/>
        <v>42</v>
      </c>
      <c r="B333" s="156"/>
      <c r="C333" s="129">
        <f t="shared" si="36"/>
        <v>704</v>
      </c>
      <c r="D333" s="129" t="s">
        <v>104</v>
      </c>
      <c r="E333" s="130">
        <f>(57.044+3.045*1)*(10.764)</f>
        <v>646.7979959999999</v>
      </c>
      <c r="F333" s="130">
        <f t="shared" si="37"/>
        <v>776.15759519999983</v>
      </c>
      <c r="G333" s="131">
        <f t="shared" si="38"/>
        <v>323398.99799999996</v>
      </c>
      <c r="H333" s="131">
        <f t="shared" si="39"/>
        <v>9378570.9419999979</v>
      </c>
      <c r="I333" s="127">
        <f t="shared" si="40"/>
        <v>1940393.9879999997</v>
      </c>
      <c r="J333" s="126">
        <v>14000</v>
      </c>
      <c r="K333" s="158">
        <f t="shared" si="41"/>
        <v>9701969.9399999976</v>
      </c>
      <c r="L333" s="159"/>
    </row>
    <row r="334" spans="1:12" customFormat="1" x14ac:dyDescent="0.25">
      <c r="A334" s="128">
        <f t="shared" si="17"/>
        <v>43</v>
      </c>
      <c r="B334" s="156"/>
      <c r="C334" s="129">
        <f t="shared" si="36"/>
        <v>705</v>
      </c>
      <c r="D334" s="129" t="s">
        <v>104</v>
      </c>
      <c r="E334" s="130">
        <f>(57.044+3.045*1)*(10.764)</f>
        <v>646.7979959999999</v>
      </c>
      <c r="F334" s="130">
        <f t="shared" si="37"/>
        <v>776.15759519999983</v>
      </c>
      <c r="G334" s="131">
        <f t="shared" si="38"/>
        <v>323398.99799999996</v>
      </c>
      <c r="H334" s="131">
        <f t="shared" si="39"/>
        <v>9378570.9419999979</v>
      </c>
      <c r="I334" s="127">
        <f t="shared" si="40"/>
        <v>1940393.9879999997</v>
      </c>
      <c r="J334" s="126">
        <v>14000</v>
      </c>
      <c r="K334" s="158">
        <f t="shared" si="41"/>
        <v>9701969.9399999976</v>
      </c>
      <c r="L334" s="159"/>
    </row>
    <row r="335" spans="1:12" customFormat="1" x14ac:dyDescent="0.25">
      <c r="A335" s="128">
        <f t="shared" si="17"/>
        <v>44</v>
      </c>
      <c r="B335" s="156"/>
      <c r="C335" s="129">
        <f t="shared" si="36"/>
        <v>706</v>
      </c>
      <c r="D335" s="129" t="s">
        <v>104</v>
      </c>
      <c r="E335" s="130">
        <f>(57.044+3.045*1)*(10.764)</f>
        <v>646.7979959999999</v>
      </c>
      <c r="F335" s="130">
        <f t="shared" si="37"/>
        <v>776.15759519999983</v>
      </c>
      <c r="G335" s="131">
        <f t="shared" si="38"/>
        <v>323398.99799999996</v>
      </c>
      <c r="H335" s="131">
        <f t="shared" si="39"/>
        <v>9378570.9419999979</v>
      </c>
      <c r="I335" s="127">
        <f t="shared" si="40"/>
        <v>1940393.9879999997</v>
      </c>
      <c r="J335" s="126">
        <v>14000</v>
      </c>
      <c r="K335" s="158">
        <f t="shared" si="41"/>
        <v>9701969.9399999976</v>
      </c>
      <c r="L335" s="159"/>
    </row>
    <row r="336" spans="1:12" customFormat="1" x14ac:dyDescent="0.25">
      <c r="A336" s="128">
        <f t="shared" si="17"/>
        <v>45</v>
      </c>
      <c r="B336" s="156"/>
      <c r="C336" s="129">
        <f t="shared" si="36"/>
        <v>707</v>
      </c>
      <c r="D336" s="129" t="s">
        <v>104</v>
      </c>
      <c r="E336" s="130">
        <f>(57.044+3.045*1)*(10.764)</f>
        <v>646.7979959999999</v>
      </c>
      <c r="F336" s="130">
        <f t="shared" si="37"/>
        <v>776.15759519999983</v>
      </c>
      <c r="G336" s="131">
        <f t="shared" si="38"/>
        <v>323398.99799999996</v>
      </c>
      <c r="H336" s="131">
        <f t="shared" si="39"/>
        <v>9378570.9419999979</v>
      </c>
      <c r="I336" s="127">
        <f t="shared" si="40"/>
        <v>1940393.9879999997</v>
      </c>
      <c r="J336" s="126">
        <v>14000</v>
      </c>
      <c r="K336" s="158">
        <f t="shared" si="41"/>
        <v>9701969.9399999976</v>
      </c>
      <c r="L336" s="159"/>
    </row>
    <row r="337" spans="1:12" customFormat="1" x14ac:dyDescent="0.25">
      <c r="A337" s="128">
        <f t="shared" si="17"/>
        <v>46</v>
      </c>
      <c r="B337" s="156"/>
      <c r="C337" s="129">
        <f t="shared" si="36"/>
        <v>708</v>
      </c>
      <c r="D337" s="129" t="s">
        <v>100</v>
      </c>
      <c r="E337" s="130">
        <f>(35.514)*(10.764)</f>
        <v>382.272696</v>
      </c>
      <c r="F337" s="130">
        <f t="shared" si="37"/>
        <v>458.7272352</v>
      </c>
      <c r="G337" s="131">
        <f t="shared" si="38"/>
        <v>191136.348</v>
      </c>
      <c r="H337" s="131">
        <f t="shared" si="39"/>
        <v>5542954.0920000002</v>
      </c>
      <c r="I337" s="127">
        <f t="shared" si="40"/>
        <v>1146818.088</v>
      </c>
      <c r="J337" s="126">
        <v>10000</v>
      </c>
      <c r="K337" s="158">
        <f t="shared" si="41"/>
        <v>5734090.4400000004</v>
      </c>
      <c r="L337" s="159"/>
    </row>
    <row r="338" spans="1:12" customFormat="1" x14ac:dyDescent="0.25">
      <c r="A338" s="128">
        <f t="shared" si="17"/>
        <v>47</v>
      </c>
      <c r="B338" s="156"/>
      <c r="C338" s="129">
        <f t="shared" si="36"/>
        <v>709</v>
      </c>
      <c r="D338" s="129" t="s">
        <v>104</v>
      </c>
      <c r="E338" s="130">
        <f>(57.044+3.045*1)*(10.764)</f>
        <v>646.7979959999999</v>
      </c>
      <c r="F338" s="130">
        <f t="shared" si="37"/>
        <v>776.15759519999983</v>
      </c>
      <c r="G338" s="131">
        <f t="shared" si="38"/>
        <v>323398.99799999996</v>
      </c>
      <c r="H338" s="131">
        <f t="shared" si="39"/>
        <v>9378570.9419999979</v>
      </c>
      <c r="I338" s="127">
        <f t="shared" si="40"/>
        <v>1940393.9879999997</v>
      </c>
      <c r="J338" s="126">
        <v>14000</v>
      </c>
      <c r="K338" s="158">
        <f t="shared" si="41"/>
        <v>9701969.9399999976</v>
      </c>
      <c r="L338" s="159"/>
    </row>
    <row r="339" spans="1:12" customFormat="1" x14ac:dyDescent="0.25">
      <c r="A339" s="128">
        <f t="shared" si="17"/>
        <v>48</v>
      </c>
      <c r="B339" s="157"/>
      <c r="C339" s="129">
        <f t="shared" si="36"/>
        <v>710</v>
      </c>
      <c r="D339" s="129" t="s">
        <v>104</v>
      </c>
      <c r="E339" s="130">
        <f>(57.044+3.045*1)*(10.764)</f>
        <v>646.7979959999999</v>
      </c>
      <c r="F339" s="130">
        <f t="shared" si="37"/>
        <v>776.15759519999983</v>
      </c>
      <c r="G339" s="131">
        <f t="shared" si="38"/>
        <v>323398.99799999996</v>
      </c>
      <c r="H339" s="131">
        <f t="shared" si="39"/>
        <v>9378570.9419999979</v>
      </c>
      <c r="I339" s="127">
        <f t="shared" si="40"/>
        <v>1940393.9879999997</v>
      </c>
      <c r="J339" s="126">
        <v>14000</v>
      </c>
      <c r="K339" s="158">
        <f t="shared" si="41"/>
        <v>9701969.9399999976</v>
      </c>
      <c r="L339" s="159"/>
    </row>
    <row r="340" spans="1:12" customFormat="1" x14ac:dyDescent="0.25">
      <c r="A340" s="128">
        <f t="shared" si="17"/>
        <v>49</v>
      </c>
      <c r="B340" s="155" t="s">
        <v>667</v>
      </c>
      <c r="C340" s="129">
        <f>LEFT(B340,SUM(LEN(B340)-LEN(SUBSTITUTE(B340,{"0","1","2","3","4","5","6","7","8","9"},""))))*100+1</f>
        <v>801</v>
      </c>
      <c r="D340" s="129" t="s">
        <v>104</v>
      </c>
      <c r="E340" s="130">
        <f>(57.044+3.045*1)*(10.764)</f>
        <v>646.7979959999999</v>
      </c>
      <c r="F340" s="130">
        <f>E340*1.2</f>
        <v>776.15759519999983</v>
      </c>
      <c r="G340" s="131">
        <f>E340*G$286</f>
        <v>323398.99799999996</v>
      </c>
      <c r="H340" s="131">
        <f>E340*$H$286</f>
        <v>9378570.9419999979</v>
      </c>
      <c r="I340" s="127">
        <f>$I$286*F340</f>
        <v>1940393.9879999997</v>
      </c>
      <c r="J340" s="126">
        <v>14000</v>
      </c>
      <c r="K340" s="158">
        <f>H340+G340</f>
        <v>9701969.9399999976</v>
      </c>
      <c r="L340" s="159"/>
    </row>
    <row r="341" spans="1:12" customFormat="1" x14ac:dyDescent="0.25">
      <c r="A341" s="128">
        <f t="shared" si="17"/>
        <v>50</v>
      </c>
      <c r="B341" s="156"/>
      <c r="C341" s="129">
        <f t="shared" ref="C341:C349" si="42">C340+1</f>
        <v>802</v>
      </c>
      <c r="D341" s="129" t="s">
        <v>104</v>
      </c>
      <c r="E341" s="130">
        <f>(57.044+3.045*1)*(10.764)</f>
        <v>646.7979959999999</v>
      </c>
      <c r="F341" s="130">
        <f t="shared" ref="F341:F349" si="43">E341*1.2</f>
        <v>776.15759519999983</v>
      </c>
      <c r="G341" s="131">
        <f t="shared" ref="G341:G349" si="44">E341*G$286</f>
        <v>323398.99799999996</v>
      </c>
      <c r="H341" s="131">
        <f t="shared" ref="H341:H349" si="45">E341*$H$286</f>
        <v>9378570.9419999979</v>
      </c>
      <c r="I341" s="127">
        <f t="shared" ref="I341:I349" si="46">$I$286*F341</f>
        <v>1940393.9879999997</v>
      </c>
      <c r="J341" s="126">
        <v>14000</v>
      </c>
      <c r="K341" s="158">
        <f t="shared" ref="K341:K349" si="47">H341+G341</f>
        <v>9701969.9399999976</v>
      </c>
      <c r="L341" s="159"/>
    </row>
    <row r="342" spans="1:12" customFormat="1" x14ac:dyDescent="0.25">
      <c r="A342" s="128" t="s">
        <v>170</v>
      </c>
      <c r="B342" s="156"/>
      <c r="C342" s="129">
        <f t="shared" si="42"/>
        <v>803</v>
      </c>
      <c r="D342" s="160" t="s">
        <v>655</v>
      </c>
      <c r="E342" s="161"/>
      <c r="F342" s="161"/>
      <c r="G342" s="161"/>
      <c r="H342" s="161"/>
      <c r="I342" s="161"/>
      <c r="J342" s="162"/>
      <c r="K342" s="158">
        <f t="shared" si="47"/>
        <v>0</v>
      </c>
      <c r="L342" s="159"/>
    </row>
    <row r="343" spans="1:12" customFormat="1" x14ac:dyDescent="0.25">
      <c r="A343" s="128">
        <v>51</v>
      </c>
      <c r="B343" s="156"/>
      <c r="C343" s="129">
        <f t="shared" si="42"/>
        <v>804</v>
      </c>
      <c r="D343" s="129" t="s">
        <v>104</v>
      </c>
      <c r="E343" s="130">
        <f>(57.044+3.045*1)*(10.764)</f>
        <v>646.7979959999999</v>
      </c>
      <c r="F343" s="130">
        <f t="shared" si="43"/>
        <v>776.15759519999983</v>
      </c>
      <c r="G343" s="131">
        <f t="shared" si="44"/>
        <v>323398.99799999996</v>
      </c>
      <c r="H343" s="131">
        <f t="shared" si="45"/>
        <v>9378570.9419999979</v>
      </c>
      <c r="I343" s="127">
        <f t="shared" si="46"/>
        <v>1940393.9879999997</v>
      </c>
      <c r="J343" s="126">
        <v>14000</v>
      </c>
      <c r="K343" s="158">
        <f t="shared" si="47"/>
        <v>9701969.9399999976</v>
      </c>
      <c r="L343" s="159"/>
    </row>
    <row r="344" spans="1:12" customFormat="1" x14ac:dyDescent="0.25">
      <c r="A344" s="128">
        <f t="shared" si="17"/>
        <v>52</v>
      </c>
      <c r="B344" s="156"/>
      <c r="C344" s="129">
        <f t="shared" si="42"/>
        <v>805</v>
      </c>
      <c r="D344" s="129" t="s">
        <v>104</v>
      </c>
      <c r="E344" s="130">
        <f>(57.044+3.045*1)*(10.764)</f>
        <v>646.7979959999999</v>
      </c>
      <c r="F344" s="130">
        <f t="shared" si="43"/>
        <v>776.15759519999983</v>
      </c>
      <c r="G344" s="131">
        <f t="shared" si="44"/>
        <v>323398.99799999996</v>
      </c>
      <c r="H344" s="131">
        <f t="shared" si="45"/>
        <v>9378570.9419999979</v>
      </c>
      <c r="I344" s="127">
        <f t="shared" si="46"/>
        <v>1940393.9879999997</v>
      </c>
      <c r="J344" s="126">
        <v>14000</v>
      </c>
      <c r="K344" s="158">
        <f t="shared" si="47"/>
        <v>9701969.9399999976</v>
      </c>
      <c r="L344" s="159"/>
    </row>
    <row r="345" spans="1:12" customFormat="1" x14ac:dyDescent="0.25">
      <c r="A345" s="128">
        <f t="shared" si="17"/>
        <v>53</v>
      </c>
      <c r="B345" s="156"/>
      <c r="C345" s="129">
        <f t="shared" si="42"/>
        <v>806</v>
      </c>
      <c r="D345" s="129" t="s">
        <v>104</v>
      </c>
      <c r="E345" s="130">
        <f>(57.044+3.045*1)*(10.764)</f>
        <v>646.7979959999999</v>
      </c>
      <c r="F345" s="130">
        <f t="shared" si="43"/>
        <v>776.15759519999983</v>
      </c>
      <c r="G345" s="131">
        <f t="shared" si="44"/>
        <v>323398.99799999996</v>
      </c>
      <c r="H345" s="131">
        <f t="shared" si="45"/>
        <v>9378570.9419999979</v>
      </c>
      <c r="I345" s="127">
        <f t="shared" si="46"/>
        <v>1940393.9879999997</v>
      </c>
      <c r="J345" s="126">
        <v>14000</v>
      </c>
      <c r="K345" s="158">
        <f t="shared" si="47"/>
        <v>9701969.9399999976</v>
      </c>
      <c r="L345" s="159"/>
    </row>
    <row r="346" spans="1:12" customFormat="1" x14ac:dyDescent="0.25">
      <c r="A346" s="128">
        <f t="shared" si="17"/>
        <v>54</v>
      </c>
      <c r="B346" s="156"/>
      <c r="C346" s="129">
        <f t="shared" si="42"/>
        <v>807</v>
      </c>
      <c r="D346" s="129" t="s">
        <v>104</v>
      </c>
      <c r="E346" s="130">
        <f>(57.044+3.045*1)*(10.764)</f>
        <v>646.7979959999999</v>
      </c>
      <c r="F346" s="130">
        <f t="shared" si="43"/>
        <v>776.15759519999983</v>
      </c>
      <c r="G346" s="131">
        <f t="shared" si="44"/>
        <v>323398.99799999996</v>
      </c>
      <c r="H346" s="131">
        <f t="shared" si="45"/>
        <v>9378570.9419999979</v>
      </c>
      <c r="I346" s="127">
        <f t="shared" si="46"/>
        <v>1940393.9879999997</v>
      </c>
      <c r="J346" s="126">
        <v>14000</v>
      </c>
      <c r="K346" s="158">
        <f t="shared" si="47"/>
        <v>9701969.9399999976</v>
      </c>
      <c r="L346" s="159"/>
    </row>
    <row r="347" spans="1:12" customFormat="1" x14ac:dyDescent="0.25">
      <c r="A347" s="128">
        <f t="shared" si="17"/>
        <v>55</v>
      </c>
      <c r="B347" s="156"/>
      <c r="C347" s="129">
        <f t="shared" si="42"/>
        <v>808</v>
      </c>
      <c r="D347" s="129" t="s">
        <v>100</v>
      </c>
      <c r="E347" s="130">
        <f>(35.514)*(10.764)</f>
        <v>382.272696</v>
      </c>
      <c r="F347" s="130">
        <f t="shared" si="43"/>
        <v>458.7272352</v>
      </c>
      <c r="G347" s="131">
        <f t="shared" si="44"/>
        <v>191136.348</v>
      </c>
      <c r="H347" s="131">
        <f t="shared" si="45"/>
        <v>5542954.0920000002</v>
      </c>
      <c r="I347" s="127">
        <f t="shared" si="46"/>
        <v>1146818.088</v>
      </c>
      <c r="J347" s="126">
        <v>10000</v>
      </c>
      <c r="K347" s="158">
        <f t="shared" si="47"/>
        <v>5734090.4400000004</v>
      </c>
      <c r="L347" s="159"/>
    </row>
    <row r="348" spans="1:12" customFormat="1" x14ac:dyDescent="0.25">
      <c r="A348" s="128">
        <f t="shared" si="17"/>
        <v>56</v>
      </c>
      <c r="B348" s="156"/>
      <c r="C348" s="129">
        <f t="shared" si="42"/>
        <v>809</v>
      </c>
      <c r="D348" s="129" t="s">
        <v>104</v>
      </c>
      <c r="E348" s="130">
        <f>(57.044+3.045*1)*(10.764)</f>
        <v>646.7979959999999</v>
      </c>
      <c r="F348" s="130">
        <f t="shared" si="43"/>
        <v>776.15759519999983</v>
      </c>
      <c r="G348" s="131">
        <f t="shared" si="44"/>
        <v>323398.99799999996</v>
      </c>
      <c r="H348" s="131">
        <f t="shared" si="45"/>
        <v>9378570.9419999979</v>
      </c>
      <c r="I348" s="127">
        <f t="shared" si="46"/>
        <v>1940393.9879999997</v>
      </c>
      <c r="J348" s="126">
        <v>14000</v>
      </c>
      <c r="K348" s="158">
        <f t="shared" si="47"/>
        <v>9701969.9399999976</v>
      </c>
      <c r="L348" s="159"/>
    </row>
    <row r="349" spans="1:12" customFormat="1" x14ac:dyDescent="0.25">
      <c r="A349" s="128">
        <f t="shared" si="17"/>
        <v>57</v>
      </c>
      <c r="B349" s="157"/>
      <c r="C349" s="129">
        <f t="shared" si="42"/>
        <v>810</v>
      </c>
      <c r="D349" s="129" t="s">
        <v>104</v>
      </c>
      <c r="E349" s="130">
        <f>(57.044+3.045*1)*(10.764)</f>
        <v>646.7979959999999</v>
      </c>
      <c r="F349" s="130">
        <f t="shared" si="43"/>
        <v>776.15759519999983</v>
      </c>
      <c r="G349" s="131">
        <f t="shared" si="44"/>
        <v>323398.99799999996</v>
      </c>
      <c r="H349" s="131">
        <f t="shared" si="45"/>
        <v>9378570.9419999979</v>
      </c>
      <c r="I349" s="127">
        <f t="shared" si="46"/>
        <v>1940393.9879999997</v>
      </c>
      <c r="J349" s="126">
        <v>14000</v>
      </c>
      <c r="K349" s="158">
        <f t="shared" si="47"/>
        <v>9701969.9399999976</v>
      </c>
      <c r="L349" s="159"/>
    </row>
    <row r="350" spans="1:12" customFormat="1" x14ac:dyDescent="0.25">
      <c r="A350" s="128">
        <f t="shared" si="17"/>
        <v>58</v>
      </c>
      <c r="B350" s="155" t="s">
        <v>668</v>
      </c>
      <c r="C350" s="129">
        <f>LEFT(B350,SUM(LEN(B350)-LEN(SUBSTITUTE(B350,{"0","1","2","3","4","5","6","7","8","9"},""))))*100+1</f>
        <v>901</v>
      </c>
      <c r="D350" s="129" t="s">
        <v>104</v>
      </c>
      <c r="E350" s="130">
        <f>(57.044+3.045*1)*(10.764)</f>
        <v>646.7979959999999</v>
      </c>
      <c r="F350" s="130">
        <f>E350*1.2</f>
        <v>776.15759519999983</v>
      </c>
      <c r="G350" s="131">
        <f>E350*G$286</f>
        <v>323398.99799999996</v>
      </c>
      <c r="H350" s="131">
        <f>E350*$H$286</f>
        <v>9378570.9419999979</v>
      </c>
      <c r="I350" s="127">
        <f>$I$286*F350</f>
        <v>1940393.9879999997</v>
      </c>
      <c r="J350" s="126">
        <v>14000</v>
      </c>
      <c r="K350" s="158">
        <f>H350+G350</f>
        <v>9701969.9399999976</v>
      </c>
      <c r="L350" s="159"/>
    </row>
    <row r="351" spans="1:12" customFormat="1" x14ac:dyDescent="0.25">
      <c r="A351" s="128">
        <f t="shared" si="17"/>
        <v>59</v>
      </c>
      <c r="B351" s="156"/>
      <c r="C351" s="129">
        <f t="shared" ref="C351:C359" si="48">C350+1</f>
        <v>902</v>
      </c>
      <c r="D351" s="129" t="s">
        <v>104</v>
      </c>
      <c r="E351" s="130">
        <f>(57.044+3.045*1)*(10.764)</f>
        <v>646.7979959999999</v>
      </c>
      <c r="F351" s="130">
        <f t="shared" ref="F351:F359" si="49">E351*1.2</f>
        <v>776.15759519999983</v>
      </c>
      <c r="G351" s="131">
        <f t="shared" ref="G351:G359" si="50">E351*G$286</f>
        <v>323398.99799999996</v>
      </c>
      <c r="H351" s="131">
        <f t="shared" ref="H351:H359" si="51">E351*$H$286</f>
        <v>9378570.9419999979</v>
      </c>
      <c r="I351" s="127">
        <f t="shared" ref="I351:I359" si="52">$I$286*F351</f>
        <v>1940393.9879999997</v>
      </c>
      <c r="J351" s="126">
        <v>14000</v>
      </c>
      <c r="K351" s="158">
        <f t="shared" ref="K351:K359" si="53">H351+G351</f>
        <v>9701969.9399999976</v>
      </c>
      <c r="L351" s="159"/>
    </row>
    <row r="352" spans="1:12" customFormat="1" x14ac:dyDescent="0.25">
      <c r="A352" s="128">
        <f t="shared" si="17"/>
        <v>60</v>
      </c>
      <c r="B352" s="156"/>
      <c r="C352" s="129">
        <f t="shared" si="48"/>
        <v>903</v>
      </c>
      <c r="D352" s="129" t="s">
        <v>100</v>
      </c>
      <c r="E352" s="130">
        <f>(35.514)*(10.764)</f>
        <v>382.272696</v>
      </c>
      <c r="F352" s="130">
        <f t="shared" si="49"/>
        <v>458.7272352</v>
      </c>
      <c r="G352" s="131">
        <f t="shared" si="50"/>
        <v>191136.348</v>
      </c>
      <c r="H352" s="131">
        <f t="shared" si="51"/>
        <v>5542954.0920000002</v>
      </c>
      <c r="I352" s="127">
        <f t="shared" si="52"/>
        <v>1146818.088</v>
      </c>
      <c r="J352" s="126">
        <v>10000</v>
      </c>
      <c r="K352" s="158">
        <f t="shared" si="53"/>
        <v>5734090.4400000004</v>
      </c>
      <c r="L352" s="159"/>
    </row>
    <row r="353" spans="1:12" customFormat="1" x14ac:dyDescent="0.25">
      <c r="A353" s="128">
        <f t="shared" si="17"/>
        <v>61</v>
      </c>
      <c r="B353" s="156"/>
      <c r="C353" s="129">
        <f t="shared" si="48"/>
        <v>904</v>
      </c>
      <c r="D353" s="129" t="s">
        <v>104</v>
      </c>
      <c r="E353" s="130">
        <f>(57.044+3.045*1)*(10.764)</f>
        <v>646.7979959999999</v>
      </c>
      <c r="F353" s="130">
        <f t="shared" si="49"/>
        <v>776.15759519999983</v>
      </c>
      <c r="G353" s="131">
        <f t="shared" si="50"/>
        <v>323398.99799999996</v>
      </c>
      <c r="H353" s="131">
        <f t="shared" si="51"/>
        <v>9378570.9419999979</v>
      </c>
      <c r="I353" s="127">
        <f t="shared" si="52"/>
        <v>1940393.9879999997</v>
      </c>
      <c r="J353" s="126">
        <v>14000</v>
      </c>
      <c r="K353" s="158">
        <f t="shared" si="53"/>
        <v>9701969.9399999976</v>
      </c>
      <c r="L353" s="159"/>
    </row>
    <row r="354" spans="1:12" customFormat="1" x14ac:dyDescent="0.25">
      <c r="A354" s="128">
        <f t="shared" si="17"/>
        <v>62</v>
      </c>
      <c r="B354" s="156"/>
      <c r="C354" s="129">
        <f t="shared" si="48"/>
        <v>905</v>
      </c>
      <c r="D354" s="129" t="s">
        <v>104</v>
      </c>
      <c r="E354" s="130">
        <f>(57.044+3.045*1)*(10.764)</f>
        <v>646.7979959999999</v>
      </c>
      <c r="F354" s="130">
        <f t="shared" si="49"/>
        <v>776.15759519999983</v>
      </c>
      <c r="G354" s="131">
        <f t="shared" si="50"/>
        <v>323398.99799999996</v>
      </c>
      <c r="H354" s="131">
        <f t="shared" si="51"/>
        <v>9378570.9419999979</v>
      </c>
      <c r="I354" s="127">
        <f t="shared" si="52"/>
        <v>1940393.9879999997</v>
      </c>
      <c r="J354" s="126">
        <v>14000</v>
      </c>
      <c r="K354" s="158">
        <f t="shared" si="53"/>
        <v>9701969.9399999976</v>
      </c>
      <c r="L354" s="159"/>
    </row>
    <row r="355" spans="1:12" customFormat="1" x14ac:dyDescent="0.25">
      <c r="A355" s="128">
        <f t="shared" si="17"/>
        <v>63</v>
      </c>
      <c r="B355" s="156"/>
      <c r="C355" s="129">
        <f t="shared" si="48"/>
        <v>906</v>
      </c>
      <c r="D355" s="129" t="s">
        <v>104</v>
      </c>
      <c r="E355" s="130">
        <f>(57.044+3.045*1)*(10.764)</f>
        <v>646.7979959999999</v>
      </c>
      <c r="F355" s="130">
        <f t="shared" si="49"/>
        <v>776.15759519999983</v>
      </c>
      <c r="G355" s="131">
        <f t="shared" si="50"/>
        <v>323398.99799999996</v>
      </c>
      <c r="H355" s="131">
        <f t="shared" si="51"/>
        <v>9378570.9419999979</v>
      </c>
      <c r="I355" s="127">
        <f t="shared" si="52"/>
        <v>1940393.9879999997</v>
      </c>
      <c r="J355" s="126">
        <v>14000</v>
      </c>
      <c r="K355" s="158">
        <f t="shared" si="53"/>
        <v>9701969.9399999976</v>
      </c>
      <c r="L355" s="159"/>
    </row>
    <row r="356" spans="1:12" customFormat="1" x14ac:dyDescent="0.25">
      <c r="A356" s="128">
        <f t="shared" ref="A356:A388" si="54">A355+1</f>
        <v>64</v>
      </c>
      <c r="B356" s="156"/>
      <c r="C356" s="129">
        <f t="shared" si="48"/>
        <v>907</v>
      </c>
      <c r="D356" s="129" t="s">
        <v>104</v>
      </c>
      <c r="E356" s="130">
        <f>(57.044+3.045*1)*(10.764)</f>
        <v>646.7979959999999</v>
      </c>
      <c r="F356" s="130">
        <f t="shared" si="49"/>
        <v>776.15759519999983</v>
      </c>
      <c r="G356" s="131">
        <f t="shared" si="50"/>
        <v>323398.99799999996</v>
      </c>
      <c r="H356" s="131">
        <f t="shared" si="51"/>
        <v>9378570.9419999979</v>
      </c>
      <c r="I356" s="127">
        <f t="shared" si="52"/>
        <v>1940393.9879999997</v>
      </c>
      <c r="J356" s="126">
        <v>14000</v>
      </c>
      <c r="K356" s="158">
        <f t="shared" si="53"/>
        <v>9701969.9399999976</v>
      </c>
      <c r="L356" s="159"/>
    </row>
    <row r="357" spans="1:12" customFormat="1" x14ac:dyDescent="0.25">
      <c r="A357" s="128">
        <f t="shared" si="54"/>
        <v>65</v>
      </c>
      <c r="B357" s="156"/>
      <c r="C357" s="129">
        <f t="shared" si="48"/>
        <v>908</v>
      </c>
      <c r="D357" s="129" t="s">
        <v>100</v>
      </c>
      <c r="E357" s="130">
        <f>(35.514)*(10.764)</f>
        <v>382.272696</v>
      </c>
      <c r="F357" s="130">
        <f t="shared" si="49"/>
        <v>458.7272352</v>
      </c>
      <c r="G357" s="131">
        <f t="shared" si="50"/>
        <v>191136.348</v>
      </c>
      <c r="H357" s="131">
        <f t="shared" si="51"/>
        <v>5542954.0920000002</v>
      </c>
      <c r="I357" s="127">
        <f t="shared" si="52"/>
        <v>1146818.088</v>
      </c>
      <c r="J357" s="126">
        <v>10000</v>
      </c>
      <c r="K357" s="158">
        <f t="shared" si="53"/>
        <v>5734090.4400000004</v>
      </c>
      <c r="L357" s="159"/>
    </row>
    <row r="358" spans="1:12" customFormat="1" x14ac:dyDescent="0.25">
      <c r="A358" s="128">
        <f t="shared" si="54"/>
        <v>66</v>
      </c>
      <c r="B358" s="156"/>
      <c r="C358" s="129">
        <f t="shared" si="48"/>
        <v>909</v>
      </c>
      <c r="D358" s="129" t="s">
        <v>104</v>
      </c>
      <c r="E358" s="130">
        <f>(57.044+3.045*1)*(10.764)</f>
        <v>646.7979959999999</v>
      </c>
      <c r="F358" s="130">
        <f t="shared" si="49"/>
        <v>776.15759519999983</v>
      </c>
      <c r="G358" s="131">
        <f t="shared" si="50"/>
        <v>323398.99799999996</v>
      </c>
      <c r="H358" s="131">
        <f t="shared" si="51"/>
        <v>9378570.9419999979</v>
      </c>
      <c r="I358" s="127">
        <f t="shared" si="52"/>
        <v>1940393.9879999997</v>
      </c>
      <c r="J358" s="126">
        <v>14000</v>
      </c>
      <c r="K358" s="158">
        <f t="shared" si="53"/>
        <v>9701969.9399999976</v>
      </c>
      <c r="L358" s="159"/>
    </row>
    <row r="359" spans="1:12" customFormat="1" x14ac:dyDescent="0.25">
      <c r="A359" s="128">
        <f t="shared" si="54"/>
        <v>67</v>
      </c>
      <c r="B359" s="157"/>
      <c r="C359" s="129">
        <f t="shared" si="48"/>
        <v>910</v>
      </c>
      <c r="D359" s="129" t="s">
        <v>104</v>
      </c>
      <c r="E359" s="130">
        <f>(57.044+3.045*1)*(10.764)</f>
        <v>646.7979959999999</v>
      </c>
      <c r="F359" s="130">
        <f t="shared" si="49"/>
        <v>776.15759519999983</v>
      </c>
      <c r="G359" s="131">
        <f t="shared" si="50"/>
        <v>323398.99799999996</v>
      </c>
      <c r="H359" s="131">
        <f t="shared" si="51"/>
        <v>9378570.9419999979</v>
      </c>
      <c r="I359" s="127">
        <f t="shared" si="52"/>
        <v>1940393.9879999997</v>
      </c>
      <c r="J359" s="126">
        <v>14000</v>
      </c>
      <c r="K359" s="158">
        <f t="shared" si="53"/>
        <v>9701969.9399999976</v>
      </c>
      <c r="L359" s="159"/>
    </row>
    <row r="360" spans="1:12" customFormat="1" x14ac:dyDescent="0.25">
      <c r="A360" s="128">
        <f t="shared" si="54"/>
        <v>68</v>
      </c>
      <c r="B360" s="155" t="s">
        <v>669</v>
      </c>
      <c r="C360" s="129">
        <f>LEFT(B360,SUM(LEN(B360)-LEN(SUBSTITUTE(B360,{"0","1","2","3","4","5","6","7","8","9"},""))))*100+1</f>
        <v>1001</v>
      </c>
      <c r="D360" s="129" t="s">
        <v>104</v>
      </c>
      <c r="E360" s="130">
        <f>(57.044+3.045*1)*(10.764)</f>
        <v>646.7979959999999</v>
      </c>
      <c r="F360" s="130">
        <f>E360*1.2</f>
        <v>776.15759519999983</v>
      </c>
      <c r="G360" s="131">
        <f>E360*G$286</f>
        <v>323398.99799999996</v>
      </c>
      <c r="H360" s="131">
        <f>E360*$H$286</f>
        <v>9378570.9419999979</v>
      </c>
      <c r="I360" s="127">
        <f>$I$286*F360</f>
        <v>1940393.9879999997</v>
      </c>
      <c r="J360" s="126">
        <v>14000</v>
      </c>
      <c r="K360" s="158">
        <f>H360+G360</f>
        <v>9701969.9399999976</v>
      </c>
      <c r="L360" s="159"/>
    </row>
    <row r="361" spans="1:12" customFormat="1" x14ac:dyDescent="0.25">
      <c r="A361" s="128">
        <f t="shared" si="54"/>
        <v>69</v>
      </c>
      <c r="B361" s="156"/>
      <c r="C361" s="129">
        <f t="shared" ref="C361:C369" si="55">C360+1</f>
        <v>1002</v>
      </c>
      <c r="D361" s="129" t="s">
        <v>104</v>
      </c>
      <c r="E361" s="130">
        <f>(57.044+3.045*1)*(10.764)</f>
        <v>646.7979959999999</v>
      </c>
      <c r="F361" s="130">
        <f t="shared" ref="F361:F369" si="56">E361*1.2</f>
        <v>776.15759519999983</v>
      </c>
      <c r="G361" s="131">
        <f t="shared" ref="G361:G369" si="57">E361*G$286</f>
        <v>323398.99799999996</v>
      </c>
      <c r="H361" s="131">
        <f t="shared" ref="H361:H369" si="58">E361*$H$286</f>
        <v>9378570.9419999979</v>
      </c>
      <c r="I361" s="127">
        <f t="shared" ref="I361:I369" si="59">$I$286*F361</f>
        <v>1940393.9879999997</v>
      </c>
      <c r="J361" s="126">
        <v>14000</v>
      </c>
      <c r="K361" s="158">
        <f t="shared" ref="K361:K369" si="60">H361+G361</f>
        <v>9701969.9399999976</v>
      </c>
      <c r="L361" s="159"/>
    </row>
    <row r="362" spans="1:12" customFormat="1" x14ac:dyDescent="0.25">
      <c r="A362" s="128">
        <f t="shared" si="54"/>
        <v>70</v>
      </c>
      <c r="B362" s="156"/>
      <c r="C362" s="129">
        <f t="shared" si="55"/>
        <v>1003</v>
      </c>
      <c r="D362" s="129" t="s">
        <v>100</v>
      </c>
      <c r="E362" s="130">
        <f>(35.514)*(10.764)</f>
        <v>382.272696</v>
      </c>
      <c r="F362" s="130">
        <f t="shared" si="56"/>
        <v>458.7272352</v>
      </c>
      <c r="G362" s="131">
        <f t="shared" si="57"/>
        <v>191136.348</v>
      </c>
      <c r="H362" s="131">
        <f t="shared" si="58"/>
        <v>5542954.0920000002</v>
      </c>
      <c r="I362" s="127">
        <f t="shared" si="59"/>
        <v>1146818.088</v>
      </c>
      <c r="J362" s="126">
        <v>10000</v>
      </c>
      <c r="K362" s="158">
        <f t="shared" si="60"/>
        <v>5734090.4400000004</v>
      </c>
      <c r="L362" s="159"/>
    </row>
    <row r="363" spans="1:12" customFormat="1" x14ac:dyDescent="0.25">
      <c r="A363" s="128">
        <f t="shared" si="54"/>
        <v>71</v>
      </c>
      <c r="B363" s="156"/>
      <c r="C363" s="129">
        <f t="shared" si="55"/>
        <v>1004</v>
      </c>
      <c r="D363" s="129" t="s">
        <v>104</v>
      </c>
      <c r="E363" s="130">
        <f>(57.044+3.045*1)*(10.764)</f>
        <v>646.7979959999999</v>
      </c>
      <c r="F363" s="130">
        <f t="shared" si="56"/>
        <v>776.15759519999983</v>
      </c>
      <c r="G363" s="131">
        <f t="shared" si="57"/>
        <v>323398.99799999996</v>
      </c>
      <c r="H363" s="131">
        <f t="shared" si="58"/>
        <v>9378570.9419999979</v>
      </c>
      <c r="I363" s="127">
        <f t="shared" si="59"/>
        <v>1940393.9879999997</v>
      </c>
      <c r="J363" s="126">
        <v>14000</v>
      </c>
      <c r="K363" s="158">
        <f t="shared" si="60"/>
        <v>9701969.9399999976</v>
      </c>
      <c r="L363" s="159"/>
    </row>
    <row r="364" spans="1:12" customFormat="1" x14ac:dyDescent="0.25">
      <c r="A364" s="128">
        <f t="shared" si="54"/>
        <v>72</v>
      </c>
      <c r="B364" s="156"/>
      <c r="C364" s="129">
        <f t="shared" si="55"/>
        <v>1005</v>
      </c>
      <c r="D364" s="129" t="s">
        <v>104</v>
      </c>
      <c r="E364" s="130">
        <f>(57.044+3.045*1)*(10.764)</f>
        <v>646.7979959999999</v>
      </c>
      <c r="F364" s="130">
        <f t="shared" si="56"/>
        <v>776.15759519999983</v>
      </c>
      <c r="G364" s="131">
        <f t="shared" si="57"/>
        <v>323398.99799999996</v>
      </c>
      <c r="H364" s="131">
        <f t="shared" si="58"/>
        <v>9378570.9419999979</v>
      </c>
      <c r="I364" s="127">
        <f t="shared" si="59"/>
        <v>1940393.9879999997</v>
      </c>
      <c r="J364" s="126">
        <v>14000</v>
      </c>
      <c r="K364" s="158">
        <f t="shared" si="60"/>
        <v>9701969.9399999976</v>
      </c>
      <c r="L364" s="159"/>
    </row>
    <row r="365" spans="1:12" customFormat="1" x14ac:dyDescent="0.25">
      <c r="A365" s="128">
        <f t="shared" si="54"/>
        <v>73</v>
      </c>
      <c r="B365" s="156"/>
      <c r="C365" s="129">
        <f t="shared" si="55"/>
        <v>1006</v>
      </c>
      <c r="D365" s="129" t="s">
        <v>104</v>
      </c>
      <c r="E365" s="130">
        <f>(57.044+3.045*1)*(10.764)</f>
        <v>646.7979959999999</v>
      </c>
      <c r="F365" s="130">
        <f t="shared" si="56"/>
        <v>776.15759519999983</v>
      </c>
      <c r="G365" s="131">
        <f t="shared" si="57"/>
        <v>323398.99799999996</v>
      </c>
      <c r="H365" s="131">
        <f t="shared" si="58"/>
        <v>9378570.9419999979</v>
      </c>
      <c r="I365" s="127">
        <f t="shared" si="59"/>
        <v>1940393.9879999997</v>
      </c>
      <c r="J365" s="126">
        <v>14000</v>
      </c>
      <c r="K365" s="158">
        <f t="shared" si="60"/>
        <v>9701969.9399999976</v>
      </c>
      <c r="L365" s="159"/>
    </row>
    <row r="366" spans="1:12" customFormat="1" x14ac:dyDescent="0.25">
      <c r="A366" s="128">
        <f t="shared" si="54"/>
        <v>74</v>
      </c>
      <c r="B366" s="156"/>
      <c r="C366" s="129">
        <f t="shared" si="55"/>
        <v>1007</v>
      </c>
      <c r="D366" s="129" t="s">
        <v>104</v>
      </c>
      <c r="E366" s="130">
        <f>(57.044+3.045*1)*(10.764)</f>
        <v>646.7979959999999</v>
      </c>
      <c r="F366" s="130">
        <f t="shared" si="56"/>
        <v>776.15759519999983</v>
      </c>
      <c r="G366" s="131">
        <f t="shared" si="57"/>
        <v>323398.99799999996</v>
      </c>
      <c r="H366" s="131">
        <f t="shared" si="58"/>
        <v>9378570.9419999979</v>
      </c>
      <c r="I366" s="127">
        <f t="shared" si="59"/>
        <v>1940393.9879999997</v>
      </c>
      <c r="J366" s="126">
        <v>14000</v>
      </c>
      <c r="K366" s="158">
        <f t="shared" si="60"/>
        <v>9701969.9399999976</v>
      </c>
      <c r="L366" s="159"/>
    </row>
    <row r="367" spans="1:12" customFormat="1" x14ac:dyDescent="0.25">
      <c r="A367" s="128">
        <f t="shared" si="54"/>
        <v>75</v>
      </c>
      <c r="B367" s="156"/>
      <c r="C367" s="129">
        <f t="shared" si="55"/>
        <v>1008</v>
      </c>
      <c r="D367" s="129" t="s">
        <v>100</v>
      </c>
      <c r="E367" s="130">
        <f>(35.514)*(10.764)</f>
        <v>382.272696</v>
      </c>
      <c r="F367" s="130">
        <f t="shared" si="56"/>
        <v>458.7272352</v>
      </c>
      <c r="G367" s="131">
        <f t="shared" si="57"/>
        <v>191136.348</v>
      </c>
      <c r="H367" s="131">
        <f t="shared" si="58"/>
        <v>5542954.0920000002</v>
      </c>
      <c r="I367" s="127">
        <f t="shared" si="59"/>
        <v>1146818.088</v>
      </c>
      <c r="J367" s="126">
        <v>10000</v>
      </c>
      <c r="K367" s="158">
        <f t="shared" si="60"/>
        <v>5734090.4400000004</v>
      </c>
      <c r="L367" s="159"/>
    </row>
    <row r="368" spans="1:12" customFormat="1" x14ac:dyDescent="0.25">
      <c r="A368" s="128">
        <f t="shared" si="54"/>
        <v>76</v>
      </c>
      <c r="B368" s="156"/>
      <c r="C368" s="129">
        <f t="shared" si="55"/>
        <v>1009</v>
      </c>
      <c r="D368" s="129" t="s">
        <v>104</v>
      </c>
      <c r="E368" s="130">
        <f>(57.044+3.045*1)*(10.764)</f>
        <v>646.7979959999999</v>
      </c>
      <c r="F368" s="130">
        <f t="shared" si="56"/>
        <v>776.15759519999983</v>
      </c>
      <c r="G368" s="131">
        <f t="shared" si="57"/>
        <v>323398.99799999996</v>
      </c>
      <c r="H368" s="131">
        <f t="shared" si="58"/>
        <v>9378570.9419999979</v>
      </c>
      <c r="I368" s="127">
        <f t="shared" si="59"/>
        <v>1940393.9879999997</v>
      </c>
      <c r="J368" s="126">
        <v>14000</v>
      </c>
      <c r="K368" s="158">
        <f t="shared" si="60"/>
        <v>9701969.9399999976</v>
      </c>
      <c r="L368" s="159"/>
    </row>
    <row r="369" spans="1:14" customFormat="1" x14ac:dyDescent="0.25">
      <c r="A369" s="128">
        <f t="shared" si="54"/>
        <v>77</v>
      </c>
      <c r="B369" s="157"/>
      <c r="C369" s="129">
        <f t="shared" si="55"/>
        <v>1010</v>
      </c>
      <c r="D369" s="129" t="s">
        <v>104</v>
      </c>
      <c r="E369" s="130">
        <f>(57.044+3.045*1)*(10.764)</f>
        <v>646.7979959999999</v>
      </c>
      <c r="F369" s="130">
        <f t="shared" si="56"/>
        <v>776.15759519999983</v>
      </c>
      <c r="G369" s="131">
        <f t="shared" si="57"/>
        <v>323398.99799999996</v>
      </c>
      <c r="H369" s="131">
        <f t="shared" si="58"/>
        <v>9378570.9419999979</v>
      </c>
      <c r="I369" s="127">
        <f t="shared" si="59"/>
        <v>1940393.9879999997</v>
      </c>
      <c r="J369" s="126">
        <v>14000</v>
      </c>
      <c r="K369" s="158">
        <f t="shared" si="60"/>
        <v>9701969.9399999976</v>
      </c>
      <c r="L369" s="159"/>
    </row>
    <row r="370" spans="1:14" customFormat="1" x14ac:dyDescent="0.25">
      <c r="A370" s="128">
        <f t="shared" si="54"/>
        <v>78</v>
      </c>
      <c r="B370" s="155">
        <v>11</v>
      </c>
      <c r="C370" s="129">
        <f>LEFT(B370,SUM(LEN(B370)-LEN(SUBSTITUTE(B370,{"0","1","2","3","4","5","6","7","8","9"},""))))*100+1</f>
        <v>1101</v>
      </c>
      <c r="D370" s="129" t="s">
        <v>104</v>
      </c>
      <c r="E370" s="130">
        <f>(57.044+3.045*1)*(10.764)</f>
        <v>646.7979959999999</v>
      </c>
      <c r="F370" s="130">
        <f>E370*1.2</f>
        <v>776.15759519999983</v>
      </c>
      <c r="G370" s="131">
        <f>E370*G$286</f>
        <v>323398.99799999996</v>
      </c>
      <c r="H370" s="131">
        <f>E370*$H$286</f>
        <v>9378570.9419999979</v>
      </c>
      <c r="I370" s="127">
        <f>$I$286*F370</f>
        <v>1940393.9879999997</v>
      </c>
      <c r="J370" s="126">
        <v>14000</v>
      </c>
      <c r="K370" s="158">
        <f>H370+G370</f>
        <v>9701969.9399999976</v>
      </c>
      <c r="L370" s="159"/>
    </row>
    <row r="371" spans="1:14" customFormat="1" x14ac:dyDescent="0.25">
      <c r="A371" s="128">
        <f t="shared" si="54"/>
        <v>79</v>
      </c>
      <c r="B371" s="156"/>
      <c r="C371" s="129">
        <f t="shared" ref="C371:C379" si="61">C370+1</f>
        <v>1102</v>
      </c>
      <c r="D371" s="129" t="s">
        <v>104</v>
      </c>
      <c r="E371" s="130">
        <f>(57.044+3.045*1)*(10.764)</f>
        <v>646.7979959999999</v>
      </c>
      <c r="F371" s="130">
        <f t="shared" ref="F371:F379" si="62">E371*1.2</f>
        <v>776.15759519999983</v>
      </c>
      <c r="G371" s="131">
        <f t="shared" ref="G371:G379" si="63">E371*G$286</f>
        <v>323398.99799999996</v>
      </c>
      <c r="H371" s="131">
        <f t="shared" ref="H371:H379" si="64">E371*$H$286</f>
        <v>9378570.9419999979</v>
      </c>
      <c r="I371" s="127">
        <f t="shared" ref="I371:I379" si="65">$I$286*F371</f>
        <v>1940393.9879999997</v>
      </c>
      <c r="J371" s="126">
        <v>14000</v>
      </c>
      <c r="K371" s="158">
        <f t="shared" ref="K371:K379" si="66">H371+G371</f>
        <v>9701969.9399999976</v>
      </c>
      <c r="L371" s="159"/>
    </row>
    <row r="372" spans="1:14" customFormat="1" x14ac:dyDescent="0.25">
      <c r="A372" s="128">
        <f t="shared" si="54"/>
        <v>80</v>
      </c>
      <c r="B372" s="156"/>
      <c r="C372" s="129">
        <f t="shared" si="61"/>
        <v>1103</v>
      </c>
      <c r="D372" s="129" t="s">
        <v>100</v>
      </c>
      <c r="E372" s="130">
        <f>(35.514)*(10.764)</f>
        <v>382.272696</v>
      </c>
      <c r="F372" s="130">
        <f t="shared" si="62"/>
        <v>458.7272352</v>
      </c>
      <c r="G372" s="131">
        <f t="shared" si="63"/>
        <v>191136.348</v>
      </c>
      <c r="H372" s="131">
        <f t="shared" si="64"/>
        <v>5542954.0920000002</v>
      </c>
      <c r="I372" s="127">
        <f t="shared" si="65"/>
        <v>1146818.088</v>
      </c>
      <c r="J372" s="126">
        <v>10000</v>
      </c>
      <c r="K372" s="158">
        <f t="shared" si="66"/>
        <v>5734090.4400000004</v>
      </c>
      <c r="L372" s="159"/>
    </row>
    <row r="373" spans="1:14" customFormat="1" x14ac:dyDescent="0.25">
      <c r="A373" s="128">
        <f t="shared" si="54"/>
        <v>81</v>
      </c>
      <c r="B373" s="156"/>
      <c r="C373" s="129">
        <f t="shared" si="61"/>
        <v>1104</v>
      </c>
      <c r="D373" s="129" t="s">
        <v>104</v>
      </c>
      <c r="E373" s="130">
        <f>(57.044+3.045*1)*(10.764)</f>
        <v>646.7979959999999</v>
      </c>
      <c r="F373" s="130">
        <f t="shared" si="62"/>
        <v>776.15759519999983</v>
      </c>
      <c r="G373" s="131">
        <f t="shared" si="63"/>
        <v>323398.99799999996</v>
      </c>
      <c r="H373" s="131">
        <f t="shared" si="64"/>
        <v>9378570.9419999979</v>
      </c>
      <c r="I373" s="127">
        <f t="shared" si="65"/>
        <v>1940393.9879999997</v>
      </c>
      <c r="J373" s="126">
        <v>14000</v>
      </c>
      <c r="K373" s="158">
        <f t="shared" si="66"/>
        <v>9701969.9399999976</v>
      </c>
      <c r="L373" s="159"/>
    </row>
    <row r="374" spans="1:14" customFormat="1" x14ac:dyDescent="0.25">
      <c r="A374" s="128">
        <f t="shared" si="54"/>
        <v>82</v>
      </c>
      <c r="B374" s="156"/>
      <c r="C374" s="129">
        <f t="shared" si="61"/>
        <v>1105</v>
      </c>
      <c r="D374" s="129" t="s">
        <v>104</v>
      </c>
      <c r="E374" s="130">
        <f>(57.044+3.045*1)*(10.764)</f>
        <v>646.7979959999999</v>
      </c>
      <c r="F374" s="130">
        <f t="shared" si="62"/>
        <v>776.15759519999983</v>
      </c>
      <c r="G374" s="131">
        <f t="shared" si="63"/>
        <v>323398.99799999996</v>
      </c>
      <c r="H374" s="131">
        <f t="shared" si="64"/>
        <v>9378570.9419999979</v>
      </c>
      <c r="I374" s="127">
        <f t="shared" si="65"/>
        <v>1940393.9879999997</v>
      </c>
      <c r="J374" s="126">
        <v>14000</v>
      </c>
      <c r="K374" s="158">
        <f t="shared" si="66"/>
        <v>9701969.9399999976</v>
      </c>
      <c r="L374" s="159"/>
    </row>
    <row r="375" spans="1:14" customFormat="1" x14ac:dyDescent="0.25">
      <c r="A375" s="128">
        <f t="shared" si="54"/>
        <v>83</v>
      </c>
      <c r="B375" s="156"/>
      <c r="C375" s="129">
        <f t="shared" si="61"/>
        <v>1106</v>
      </c>
      <c r="D375" s="129" t="s">
        <v>104</v>
      </c>
      <c r="E375" s="130">
        <f>(57.044+3.045*1)*(10.764)</f>
        <v>646.7979959999999</v>
      </c>
      <c r="F375" s="130">
        <f t="shared" si="62"/>
        <v>776.15759519999983</v>
      </c>
      <c r="G375" s="131">
        <f t="shared" si="63"/>
        <v>323398.99799999996</v>
      </c>
      <c r="H375" s="131">
        <f t="shared" si="64"/>
        <v>9378570.9419999979</v>
      </c>
      <c r="I375" s="127">
        <f t="shared" si="65"/>
        <v>1940393.9879999997</v>
      </c>
      <c r="J375" s="126">
        <v>14000</v>
      </c>
      <c r="K375" s="158">
        <f t="shared" si="66"/>
        <v>9701969.9399999976</v>
      </c>
      <c r="L375" s="159"/>
    </row>
    <row r="376" spans="1:14" customFormat="1" x14ac:dyDescent="0.25">
      <c r="A376" s="128">
        <f t="shared" si="54"/>
        <v>84</v>
      </c>
      <c r="B376" s="156"/>
      <c r="C376" s="129">
        <f t="shared" si="61"/>
        <v>1107</v>
      </c>
      <c r="D376" s="129" t="s">
        <v>104</v>
      </c>
      <c r="E376" s="130">
        <f>(57.044+3.045*1)*(10.764)</f>
        <v>646.7979959999999</v>
      </c>
      <c r="F376" s="130">
        <f t="shared" si="62"/>
        <v>776.15759519999983</v>
      </c>
      <c r="G376" s="131">
        <f t="shared" si="63"/>
        <v>323398.99799999996</v>
      </c>
      <c r="H376" s="131">
        <f t="shared" si="64"/>
        <v>9378570.9419999979</v>
      </c>
      <c r="I376" s="127">
        <f t="shared" si="65"/>
        <v>1940393.9879999997</v>
      </c>
      <c r="J376" s="126">
        <v>14000</v>
      </c>
      <c r="K376" s="158">
        <f t="shared" si="66"/>
        <v>9701969.9399999976</v>
      </c>
      <c r="L376" s="159"/>
    </row>
    <row r="377" spans="1:14" customFormat="1" x14ac:dyDescent="0.25">
      <c r="A377" s="128">
        <f t="shared" si="54"/>
        <v>85</v>
      </c>
      <c r="B377" s="156"/>
      <c r="C377" s="129">
        <f t="shared" si="61"/>
        <v>1108</v>
      </c>
      <c r="D377" s="129" t="s">
        <v>100</v>
      </c>
      <c r="E377" s="130">
        <f>(35.514)*(10.764)</f>
        <v>382.272696</v>
      </c>
      <c r="F377" s="130">
        <f t="shared" si="62"/>
        <v>458.7272352</v>
      </c>
      <c r="G377" s="131">
        <f t="shared" si="63"/>
        <v>191136.348</v>
      </c>
      <c r="H377" s="131">
        <f t="shared" si="64"/>
        <v>5542954.0920000002</v>
      </c>
      <c r="I377" s="127">
        <f t="shared" si="65"/>
        <v>1146818.088</v>
      </c>
      <c r="J377" s="126">
        <v>10000</v>
      </c>
      <c r="K377" s="158">
        <f t="shared" si="66"/>
        <v>5734090.4400000004</v>
      </c>
      <c r="L377" s="159"/>
      <c r="N377">
        <f>10*8-6</f>
        <v>74</v>
      </c>
    </row>
    <row r="378" spans="1:14" customFormat="1" x14ac:dyDescent="0.25">
      <c r="A378" s="128">
        <f t="shared" si="54"/>
        <v>86</v>
      </c>
      <c r="B378" s="156"/>
      <c r="C378" s="129">
        <f t="shared" si="61"/>
        <v>1109</v>
      </c>
      <c r="D378" s="129" t="s">
        <v>104</v>
      </c>
      <c r="E378" s="130">
        <f>(57.044+3.045*1)*(10.764)</f>
        <v>646.7979959999999</v>
      </c>
      <c r="F378" s="130">
        <f t="shared" si="62"/>
        <v>776.15759519999983</v>
      </c>
      <c r="G378" s="131">
        <f t="shared" si="63"/>
        <v>323398.99799999996</v>
      </c>
      <c r="H378" s="131">
        <f t="shared" si="64"/>
        <v>9378570.9419999979</v>
      </c>
      <c r="I378" s="127">
        <f t="shared" si="65"/>
        <v>1940393.9879999997</v>
      </c>
      <c r="J378" s="126">
        <v>14000</v>
      </c>
      <c r="K378" s="158">
        <f t="shared" si="66"/>
        <v>9701969.9399999976</v>
      </c>
      <c r="L378" s="159"/>
    </row>
    <row r="379" spans="1:14" customFormat="1" x14ac:dyDescent="0.25">
      <c r="A379" s="128">
        <f t="shared" si="54"/>
        <v>87</v>
      </c>
      <c r="B379" s="157"/>
      <c r="C379" s="129">
        <f t="shared" si="61"/>
        <v>1110</v>
      </c>
      <c r="D379" s="129" t="s">
        <v>104</v>
      </c>
      <c r="E379" s="130">
        <f>(57.044+3.045*1)*(10.764)</f>
        <v>646.7979959999999</v>
      </c>
      <c r="F379" s="130">
        <f t="shared" si="62"/>
        <v>776.15759519999983</v>
      </c>
      <c r="G379" s="131">
        <f t="shared" si="63"/>
        <v>323398.99799999996</v>
      </c>
      <c r="H379" s="131">
        <f t="shared" si="64"/>
        <v>9378570.9419999979</v>
      </c>
      <c r="I379" s="127">
        <f t="shared" si="65"/>
        <v>1940393.9879999997</v>
      </c>
      <c r="J379" s="126">
        <v>14000</v>
      </c>
      <c r="K379" s="158">
        <f t="shared" si="66"/>
        <v>9701969.9399999976</v>
      </c>
      <c r="L379" s="159"/>
    </row>
    <row r="380" spans="1:14" customFormat="1" x14ac:dyDescent="0.25">
      <c r="A380" s="128" t="s">
        <v>170</v>
      </c>
      <c r="B380" s="155" t="s">
        <v>670</v>
      </c>
      <c r="C380" s="129">
        <f>LEFT(B380,SUM(LEN(B380)-LEN(SUBSTITUTE(B380,{"0","1","2","3","4","5","6","7","8","9"},""))))*100+1</f>
        <v>1201</v>
      </c>
      <c r="D380" s="160" t="s">
        <v>656</v>
      </c>
      <c r="E380" s="161"/>
      <c r="F380" s="161"/>
      <c r="G380" s="161"/>
      <c r="H380" s="161"/>
      <c r="I380" s="161"/>
      <c r="J380" s="162"/>
      <c r="K380" s="158">
        <f>H380+G380</f>
        <v>0</v>
      </c>
      <c r="L380" s="159"/>
    </row>
    <row r="381" spans="1:14" customFormat="1" x14ac:dyDescent="0.25">
      <c r="A381" s="128">
        <v>88</v>
      </c>
      <c r="B381" s="156"/>
      <c r="C381" s="129">
        <f t="shared" ref="C381:C389" si="67">C380+1</f>
        <v>1202</v>
      </c>
      <c r="D381" s="129" t="s">
        <v>104</v>
      </c>
      <c r="E381" s="130">
        <f>(57.044+3.045*1)*(10.764)</f>
        <v>646.7979959999999</v>
      </c>
      <c r="F381" s="130">
        <f t="shared" ref="F381:F388" si="68">E381*1.2</f>
        <v>776.15759519999983</v>
      </c>
      <c r="G381" s="131">
        <f t="shared" ref="G381:G388" si="69">E381*G$286</f>
        <v>323398.99799999996</v>
      </c>
      <c r="H381" s="131">
        <f t="shared" ref="H381:H388" si="70">E381*$H$286</f>
        <v>9378570.9419999979</v>
      </c>
      <c r="I381" s="127">
        <f t="shared" ref="I381:I388" si="71">$I$286*F381</f>
        <v>1940393.9879999997</v>
      </c>
      <c r="J381" s="126">
        <v>14000</v>
      </c>
      <c r="K381" s="158">
        <f t="shared" ref="K381:K389" si="72">H381+G381</f>
        <v>9701969.9399999976</v>
      </c>
      <c r="L381" s="159"/>
    </row>
    <row r="382" spans="1:14" customFormat="1" x14ac:dyDescent="0.25">
      <c r="A382" s="128" t="s">
        <v>170</v>
      </c>
      <c r="B382" s="156"/>
      <c r="C382" s="129">
        <f t="shared" si="67"/>
        <v>1203</v>
      </c>
      <c r="D382" s="160" t="s">
        <v>656</v>
      </c>
      <c r="E382" s="161"/>
      <c r="F382" s="161"/>
      <c r="G382" s="161"/>
      <c r="H382" s="161"/>
      <c r="I382" s="161"/>
      <c r="J382" s="162"/>
      <c r="K382" s="158">
        <f t="shared" si="72"/>
        <v>0</v>
      </c>
      <c r="L382" s="159"/>
    </row>
    <row r="383" spans="1:14" customFormat="1" x14ac:dyDescent="0.25">
      <c r="A383" s="128">
        <v>89</v>
      </c>
      <c r="B383" s="156"/>
      <c r="C383" s="129">
        <f t="shared" si="67"/>
        <v>1204</v>
      </c>
      <c r="D383" s="129" t="s">
        <v>104</v>
      </c>
      <c r="E383" s="130">
        <f>(57.044+3.045*1)*(10.764)</f>
        <v>646.7979959999999</v>
      </c>
      <c r="F383" s="130">
        <f t="shared" si="68"/>
        <v>776.15759519999983</v>
      </c>
      <c r="G383" s="131">
        <f t="shared" si="69"/>
        <v>323398.99799999996</v>
      </c>
      <c r="H383" s="131">
        <f t="shared" si="70"/>
        <v>9378570.9419999979</v>
      </c>
      <c r="I383" s="127">
        <f t="shared" si="71"/>
        <v>1940393.9879999997</v>
      </c>
      <c r="J383" s="126">
        <v>10000</v>
      </c>
      <c r="K383" s="158">
        <f t="shared" si="72"/>
        <v>9701969.9399999976</v>
      </c>
      <c r="L383" s="159"/>
    </row>
    <row r="384" spans="1:14" customFormat="1" x14ac:dyDescent="0.25">
      <c r="A384" s="128">
        <f t="shared" si="54"/>
        <v>90</v>
      </c>
      <c r="B384" s="156"/>
      <c r="C384" s="129">
        <f t="shared" si="67"/>
        <v>1205</v>
      </c>
      <c r="D384" s="129" t="s">
        <v>104</v>
      </c>
      <c r="E384" s="130">
        <f>(57.044+3.045*1)*(10.764)</f>
        <v>646.7979959999999</v>
      </c>
      <c r="F384" s="130">
        <f t="shared" si="68"/>
        <v>776.15759519999983</v>
      </c>
      <c r="G384" s="131">
        <f t="shared" si="69"/>
        <v>323398.99799999996</v>
      </c>
      <c r="H384" s="131">
        <f t="shared" si="70"/>
        <v>9378570.9419999979</v>
      </c>
      <c r="I384" s="127">
        <f t="shared" si="71"/>
        <v>1940393.9879999997</v>
      </c>
      <c r="J384" s="126">
        <v>10000</v>
      </c>
      <c r="K384" s="158">
        <f t="shared" si="72"/>
        <v>9701969.9399999976</v>
      </c>
      <c r="L384" s="159"/>
    </row>
    <row r="385" spans="1:14" customFormat="1" x14ac:dyDescent="0.25">
      <c r="A385" s="128">
        <f t="shared" si="54"/>
        <v>91</v>
      </c>
      <c r="B385" s="156"/>
      <c r="C385" s="129">
        <f t="shared" si="67"/>
        <v>1206</v>
      </c>
      <c r="D385" s="129" t="s">
        <v>104</v>
      </c>
      <c r="E385" s="130">
        <f>(57.044+3.045*1)*(10.764)</f>
        <v>646.7979959999999</v>
      </c>
      <c r="F385" s="130">
        <f t="shared" si="68"/>
        <v>776.15759519999983</v>
      </c>
      <c r="G385" s="131">
        <f t="shared" si="69"/>
        <v>323398.99799999996</v>
      </c>
      <c r="H385" s="131">
        <f t="shared" si="70"/>
        <v>9378570.9419999979</v>
      </c>
      <c r="I385" s="127">
        <f t="shared" si="71"/>
        <v>1940393.9879999997</v>
      </c>
      <c r="J385" s="126">
        <v>10000</v>
      </c>
      <c r="K385" s="158">
        <f t="shared" si="72"/>
        <v>9701969.9399999976</v>
      </c>
      <c r="L385" s="159"/>
    </row>
    <row r="386" spans="1:14" customFormat="1" x14ac:dyDescent="0.25">
      <c r="A386" s="128">
        <f t="shared" si="54"/>
        <v>92</v>
      </c>
      <c r="B386" s="156"/>
      <c r="C386" s="129">
        <f t="shared" si="67"/>
        <v>1207</v>
      </c>
      <c r="D386" s="129" t="s">
        <v>104</v>
      </c>
      <c r="E386" s="130">
        <f>(57.044+3.045*1)*(10.764)</f>
        <v>646.7979959999999</v>
      </c>
      <c r="F386" s="130">
        <f t="shared" si="68"/>
        <v>776.15759519999983</v>
      </c>
      <c r="G386" s="131">
        <f t="shared" si="69"/>
        <v>323398.99799999996</v>
      </c>
      <c r="H386" s="131">
        <f t="shared" si="70"/>
        <v>9378570.9419999979</v>
      </c>
      <c r="I386" s="127">
        <f t="shared" si="71"/>
        <v>1940393.9879999997</v>
      </c>
      <c r="J386" s="126">
        <v>10000</v>
      </c>
      <c r="K386" s="158">
        <f t="shared" si="72"/>
        <v>9701969.9399999976</v>
      </c>
      <c r="L386" s="159"/>
    </row>
    <row r="387" spans="1:14" customFormat="1" x14ac:dyDescent="0.25">
      <c r="A387" s="128">
        <f t="shared" si="54"/>
        <v>93</v>
      </c>
      <c r="B387" s="156"/>
      <c r="C387" s="129">
        <f t="shared" si="67"/>
        <v>1208</v>
      </c>
      <c r="D387" s="129" t="s">
        <v>100</v>
      </c>
      <c r="E387" s="130">
        <f>(35.514)*(10.764)</f>
        <v>382.272696</v>
      </c>
      <c r="F387" s="130">
        <f t="shared" si="68"/>
        <v>458.7272352</v>
      </c>
      <c r="G387" s="131">
        <f t="shared" si="69"/>
        <v>191136.348</v>
      </c>
      <c r="H387" s="131">
        <f t="shared" si="70"/>
        <v>5542954.0920000002</v>
      </c>
      <c r="I387" s="127">
        <f t="shared" si="71"/>
        <v>1146818.088</v>
      </c>
      <c r="J387" s="126">
        <v>10000</v>
      </c>
      <c r="K387" s="158">
        <f t="shared" si="72"/>
        <v>5734090.4400000004</v>
      </c>
      <c r="L387" s="159"/>
    </row>
    <row r="388" spans="1:14" customFormat="1" x14ac:dyDescent="0.25">
      <c r="A388" s="128">
        <f t="shared" si="54"/>
        <v>94</v>
      </c>
      <c r="B388" s="156"/>
      <c r="C388" s="129">
        <f t="shared" si="67"/>
        <v>1209</v>
      </c>
      <c r="D388" s="129" t="s">
        <v>104</v>
      </c>
      <c r="E388" s="130">
        <f>(57.044+3.045*1)*(10.764)</f>
        <v>646.7979959999999</v>
      </c>
      <c r="F388" s="130">
        <f t="shared" si="68"/>
        <v>776.15759519999983</v>
      </c>
      <c r="G388" s="131">
        <f t="shared" si="69"/>
        <v>323398.99799999996</v>
      </c>
      <c r="H388" s="131">
        <f t="shared" si="70"/>
        <v>9378570.9419999979</v>
      </c>
      <c r="I388" s="127">
        <f t="shared" si="71"/>
        <v>1940393.9879999997</v>
      </c>
      <c r="J388" s="126">
        <v>14000</v>
      </c>
      <c r="K388" s="158">
        <f t="shared" si="72"/>
        <v>9701969.9399999976</v>
      </c>
      <c r="L388" s="159"/>
    </row>
    <row r="389" spans="1:14" customFormat="1" x14ac:dyDescent="0.25">
      <c r="A389" s="128" t="s">
        <v>170</v>
      </c>
      <c r="B389" s="157"/>
      <c r="C389" s="129">
        <f t="shared" si="67"/>
        <v>1210</v>
      </c>
      <c r="D389" s="160" t="s">
        <v>656</v>
      </c>
      <c r="E389" s="161"/>
      <c r="F389" s="161"/>
      <c r="G389" s="161"/>
      <c r="H389" s="161"/>
      <c r="I389" s="161"/>
      <c r="J389" s="162"/>
      <c r="K389" s="158">
        <f t="shared" si="72"/>
        <v>0</v>
      </c>
      <c r="L389" s="159"/>
    </row>
    <row r="390" spans="1:14" ht="15" customHeight="1" x14ac:dyDescent="0.25">
      <c r="A390" s="322"/>
      <c r="B390" s="323"/>
      <c r="C390" s="323"/>
      <c r="D390" s="323"/>
      <c r="E390" s="323"/>
      <c r="F390" s="323"/>
      <c r="G390" s="323"/>
      <c r="H390" s="323"/>
      <c r="I390" s="323"/>
      <c r="J390" s="323"/>
      <c r="K390" s="323"/>
      <c r="L390" s="324"/>
    </row>
    <row r="391" spans="1:14" x14ac:dyDescent="0.25">
      <c r="A391" s="243" t="s">
        <v>75</v>
      </c>
      <c r="B391" s="244"/>
      <c r="C391" s="244"/>
      <c r="D391" s="244"/>
      <c r="E391" s="244"/>
      <c r="F391" s="244"/>
      <c r="G391" s="244"/>
      <c r="H391" s="244"/>
      <c r="I391" s="244"/>
      <c r="J391" s="244"/>
      <c r="K391" s="244"/>
      <c r="L391" s="245"/>
    </row>
    <row r="392" spans="1:14" s="68" customFormat="1" ht="47.25" customHeight="1" x14ac:dyDescent="0.25">
      <c r="A392" s="246" t="s">
        <v>240</v>
      </c>
      <c r="B392" s="247"/>
      <c r="C392" s="139" t="s">
        <v>46</v>
      </c>
      <c r="D392" s="137" t="s">
        <v>607</v>
      </c>
      <c r="E392" s="137" t="s">
        <v>241</v>
      </c>
      <c r="F392" s="372" t="s">
        <v>97</v>
      </c>
      <c r="G392" s="373"/>
      <c r="H392" s="138" t="s">
        <v>242</v>
      </c>
      <c r="I392" s="246" t="s">
        <v>439</v>
      </c>
      <c r="J392" s="247"/>
      <c r="K392" s="372" t="s">
        <v>597</v>
      </c>
      <c r="L392" s="373"/>
    </row>
    <row r="393" spans="1:14" x14ac:dyDescent="0.25">
      <c r="A393" s="489" t="s">
        <v>470</v>
      </c>
      <c r="B393" s="490"/>
      <c r="C393" s="490"/>
      <c r="D393" s="490"/>
      <c r="E393" s="490"/>
      <c r="F393" s="490"/>
      <c r="G393" s="490"/>
      <c r="H393" s="490"/>
      <c r="I393" s="490"/>
      <c r="J393" s="490"/>
      <c r="K393" s="490"/>
      <c r="L393" s="491"/>
    </row>
    <row r="394" spans="1:14" ht="14.45" customHeight="1" x14ac:dyDescent="0.25">
      <c r="A394" s="417" t="s">
        <v>609</v>
      </c>
      <c r="B394" s="418"/>
      <c r="C394" s="148" t="s">
        <v>428</v>
      </c>
      <c r="D394" s="69" t="s">
        <v>170</v>
      </c>
      <c r="E394" s="69">
        <f>D214</f>
        <v>12</v>
      </c>
      <c r="F394" s="435">
        <f>G214</f>
        <v>5417.0927927999992</v>
      </c>
      <c r="G394" s="435"/>
      <c r="H394" s="69">
        <f>J214</f>
        <v>6500.5113513600008</v>
      </c>
      <c r="I394" s="413">
        <v>0</v>
      </c>
      <c r="J394" s="414"/>
      <c r="K394" s="238">
        <f t="shared" ref="K394" si="73">(F394*I394)</f>
        <v>0</v>
      </c>
      <c r="L394" s="239"/>
    </row>
    <row r="395" spans="1:14" x14ac:dyDescent="0.25">
      <c r="A395" s="419"/>
      <c r="B395" s="420"/>
      <c r="C395" s="148" t="s">
        <v>429</v>
      </c>
      <c r="D395" s="69" t="s">
        <v>100</v>
      </c>
      <c r="E395" s="69">
        <f>COUNT(E292,E297)+COUNT(E302,E307)+COUNT(E312,E317)+COUNT(E322,E327)+COUNT(E332,E337)+COUNT(E347)+COUNT(E352,E357)+COUNT(E362,E367)+COUNT(E372,E377)+COUNT(E387)</f>
        <v>18</v>
      </c>
      <c r="F395" s="435">
        <f>SUM(E292,E297)+SUM(E302,E307)+SUM(E312,E317)+SUM(E322,E327)+SUM(E332,E337)+SUM(E347)+SUM(E352,E357)+SUM(E362,E367)+SUM(E372,E377)+SUM(E387)</f>
        <v>7136.3288295000002</v>
      </c>
      <c r="G395" s="435"/>
      <c r="H395" s="69">
        <f>SUM(F292,F297)+SUM(F302,F307)+SUM(F312,F317)+SUM(F322,F327)+SUM(F332,F337)+SUM(F347)+SUM(F352,F357)+SUM(F362,F367)+SUM(F372,F377)+SUM(F387)</f>
        <v>8563.5945953999999</v>
      </c>
      <c r="I395" s="413">
        <v>15000</v>
      </c>
      <c r="J395" s="414"/>
      <c r="K395" s="238">
        <f>(F395*I395)</f>
        <v>107044932.44250001</v>
      </c>
      <c r="L395" s="239"/>
    </row>
    <row r="396" spans="1:14" x14ac:dyDescent="0.25">
      <c r="A396" s="421"/>
      <c r="B396" s="422"/>
      <c r="C396" s="148" t="s">
        <v>429</v>
      </c>
      <c r="D396" s="69" t="s">
        <v>104</v>
      </c>
      <c r="E396" s="69">
        <f>COUNT(E291,E293:E296,E298)+COUNT(E300:E301,E303:E306,E308:E309)+COUNT(E310:E311,E313:E316,E318:E319)+COUNT(E320:E321,E323:E326,E328:E329)+COUNT(E330:E331,E333:E336,E338:E339)+COUNT(E340:E341,E343:E346,E348:E349)+COUNT(E350:E351,E353:E356,E358:E359)+COUNT(E360:E361,E363:E366,E368:E369)+COUNT(E370:E371,E373:E376,E378:E379)+COUNT(E381,E383:E386,E388)</f>
        <v>76</v>
      </c>
      <c r="F396" s="501">
        <f>SUM(E291,E293:E296,E298)+SUM(E300:E301,E303:E306,E308:E309)+SUM(E310:E311,E313:E316,E318:E319)+SUM(E320:E321,E323:E326,E328:E329)+SUM(E330:E331,E333:E336,E338:E339)+SUM(E340:E341,E343:E346,E348:E349)+SUM(E350:E351,E353:E356,E358:E359)+SUM(E360:E361,E363:E366,E368:E369)+SUM(E370:E371,E373:E376,E378:E379)+SUM(E381,E383:E386,E388)</f>
        <v>49920.634705499993</v>
      </c>
      <c r="G396" s="502"/>
      <c r="H396" s="69">
        <f>SUM(F291,F293:F296,F298)+SUM(F300:F301,F303:F306,F308:F309)+SUM(F310:F311,F313:F316,F318:F319)+SUM(F320:F321,F323:F326,F328:F329)+SUM(F330:F331,F333:F336,F338:F339)+SUM(F340:F341,F343:F346,F348:F349)+SUM(F350:F351,F353:F356,F358:F359)+SUM(F360:F361,F363:F366,F368:F369)+SUM(F370:F371,F373:F376,F378:F379)+SUM(F381,F383:F386,F388)</f>
        <v>59904.761646599996</v>
      </c>
      <c r="I396" s="413">
        <v>15000</v>
      </c>
      <c r="J396" s="414"/>
      <c r="K396" s="238">
        <f t="shared" ref="K396" si="74">(F396*I396)</f>
        <v>748809520.58249986</v>
      </c>
      <c r="L396" s="239"/>
    </row>
    <row r="397" spans="1:14" x14ac:dyDescent="0.25">
      <c r="A397" s="411" t="s">
        <v>237</v>
      </c>
      <c r="B397" s="412"/>
      <c r="C397" s="50"/>
      <c r="D397" s="51"/>
      <c r="E397" s="51">
        <f>SUM(E394:E396)</f>
        <v>106</v>
      </c>
      <c r="F397" s="370">
        <f>SUM(F394:F396)</f>
        <v>62474.05632779999</v>
      </c>
      <c r="G397" s="371"/>
      <c r="H397" s="51">
        <f>SUM(H394:H396)</f>
        <v>74968.867593360003</v>
      </c>
      <c r="I397" s="415"/>
      <c r="J397" s="416"/>
      <c r="K397" s="496">
        <f>SUM(K394:K396)</f>
        <v>855854453.02499986</v>
      </c>
      <c r="L397" s="497"/>
      <c r="N397" s="5">
        <v>2411860438.7280002</v>
      </c>
    </row>
    <row r="398" spans="1:14" hidden="1" x14ac:dyDescent="0.25">
      <c r="A398" s="489" t="s">
        <v>471</v>
      </c>
      <c r="B398" s="490"/>
      <c r="C398" s="490"/>
      <c r="D398" s="490"/>
      <c r="E398" s="490"/>
      <c r="F398" s="490"/>
      <c r="G398" s="490"/>
      <c r="H398" s="490"/>
      <c r="I398" s="490"/>
      <c r="J398" s="490"/>
      <c r="K398" s="490"/>
      <c r="L398" s="491"/>
    </row>
    <row r="399" spans="1:14" hidden="1" x14ac:dyDescent="0.25">
      <c r="A399" s="235" t="s">
        <v>425</v>
      </c>
      <c r="B399" s="236"/>
      <c r="C399" s="135" t="s">
        <v>429</v>
      </c>
      <c r="D399" s="69" t="s">
        <v>100</v>
      </c>
      <c r="E399" s="141">
        <v>0</v>
      </c>
      <c r="F399" s="237">
        <f>F221</f>
        <v>0</v>
      </c>
      <c r="G399" s="237"/>
      <c r="H399" s="69">
        <f>I221</f>
        <v>0</v>
      </c>
      <c r="I399" s="240">
        <v>19500</v>
      </c>
      <c r="J399" s="241"/>
      <c r="K399" s="238">
        <f t="shared" ref="K399:K400" si="75">(F399*I399)</f>
        <v>0</v>
      </c>
      <c r="L399" s="239"/>
    </row>
    <row r="400" spans="1:14" hidden="1" x14ac:dyDescent="0.25">
      <c r="A400" s="235" t="s">
        <v>426</v>
      </c>
      <c r="B400" s="236"/>
      <c r="C400" s="135" t="s">
        <v>429</v>
      </c>
      <c r="D400" s="69" t="s">
        <v>104</v>
      </c>
      <c r="E400" s="141"/>
      <c r="F400" s="237">
        <f>F222</f>
        <v>0</v>
      </c>
      <c r="G400" s="237"/>
      <c r="H400" s="69">
        <f>I222</f>
        <v>0</v>
      </c>
      <c r="I400" s="240">
        <v>19500</v>
      </c>
      <c r="J400" s="241"/>
      <c r="K400" s="238">
        <f t="shared" si="75"/>
        <v>0</v>
      </c>
      <c r="L400" s="239"/>
    </row>
    <row r="401" spans="1:14" hidden="1" x14ac:dyDescent="0.25">
      <c r="A401" s="411" t="s">
        <v>237</v>
      </c>
      <c r="B401" s="412"/>
      <c r="C401" s="50"/>
      <c r="D401" s="142"/>
      <c r="E401" s="136">
        <f>SUM(E399:E400)</f>
        <v>0</v>
      </c>
      <c r="F401" s="492">
        <f>SUM(F397:F400)</f>
        <v>62474.05632779999</v>
      </c>
      <c r="G401" s="493"/>
      <c r="H401" s="51">
        <f>SUM(H397:H400)</f>
        <v>74968.867593360003</v>
      </c>
      <c r="I401" s="503"/>
      <c r="J401" s="504"/>
      <c r="K401" s="494">
        <f>SUM(K397:K400)</f>
        <v>855854453.02499986</v>
      </c>
      <c r="L401" s="495"/>
      <c r="N401" s="5">
        <v>2411860438.7280002</v>
      </c>
    </row>
    <row r="402" spans="1:14" x14ac:dyDescent="0.25">
      <c r="A402" s="456"/>
      <c r="B402" s="456"/>
      <c r="C402" s="456"/>
      <c r="D402" s="456"/>
      <c r="E402" s="456"/>
      <c r="F402" s="456"/>
      <c r="G402" s="456"/>
      <c r="H402" s="456"/>
      <c r="I402" s="456"/>
      <c r="J402" s="456"/>
      <c r="K402" s="456"/>
      <c r="L402" s="456"/>
    </row>
    <row r="403" spans="1:14" x14ac:dyDescent="0.25">
      <c r="A403" s="498" t="s">
        <v>475</v>
      </c>
      <c r="B403" s="498"/>
      <c r="C403" s="498"/>
      <c r="D403" s="498"/>
      <c r="E403" s="498"/>
      <c r="F403" s="498"/>
      <c r="G403" s="499" t="s">
        <v>65</v>
      </c>
      <c r="H403" s="499"/>
      <c r="I403" s="499"/>
      <c r="J403" s="499"/>
      <c r="K403" s="499"/>
      <c r="L403" s="500"/>
    </row>
    <row r="404" spans="1:14" x14ac:dyDescent="0.25">
      <c r="A404" s="263" t="s">
        <v>244</v>
      </c>
      <c r="B404" s="263"/>
      <c r="C404" s="263"/>
      <c r="D404" s="263"/>
      <c r="E404" s="263"/>
      <c r="F404" s="263"/>
      <c r="G404" s="457">
        <f>K397</f>
        <v>855854453.02499986</v>
      </c>
      <c r="H404" s="457"/>
      <c r="I404" s="457"/>
      <c r="J404" s="457"/>
      <c r="K404" s="457"/>
      <c r="L404" s="458"/>
      <c r="M404" s="154">
        <f>G404/94</f>
        <v>9104834.606648935</v>
      </c>
    </row>
    <row r="405" spans="1:14" ht="48.75" customHeight="1" x14ac:dyDescent="0.25">
      <c r="A405" s="459" t="s">
        <v>673</v>
      </c>
      <c r="B405" s="460"/>
      <c r="C405" s="460"/>
      <c r="D405" s="460"/>
      <c r="E405" s="460"/>
      <c r="F405" s="460"/>
      <c r="G405" s="461">
        <f>H397*2500</f>
        <v>187422168.98340002</v>
      </c>
      <c r="H405" s="461"/>
      <c r="I405" s="461"/>
      <c r="J405" s="461"/>
      <c r="K405" s="461"/>
      <c r="L405" s="462"/>
    </row>
    <row r="406" spans="1:14" x14ac:dyDescent="0.25">
      <c r="A406" s="322"/>
      <c r="B406" s="323"/>
      <c r="C406" s="323"/>
      <c r="D406" s="323"/>
      <c r="E406" s="323"/>
      <c r="F406" s="323"/>
      <c r="G406" s="323"/>
      <c r="H406" s="323"/>
      <c r="I406" s="323"/>
      <c r="J406" s="323"/>
      <c r="K406" s="323"/>
      <c r="L406" s="324"/>
    </row>
    <row r="407" spans="1:14" customFormat="1" x14ac:dyDescent="0.25">
      <c r="A407" s="335" t="s">
        <v>438</v>
      </c>
      <c r="B407" s="335"/>
      <c r="C407" s="335"/>
      <c r="D407" s="335"/>
      <c r="E407" s="335"/>
      <c r="F407" s="335"/>
      <c r="G407" s="335" t="s">
        <v>269</v>
      </c>
      <c r="H407" s="335"/>
      <c r="I407" s="335"/>
      <c r="J407" s="335"/>
      <c r="K407" s="335"/>
      <c r="L407" s="335"/>
    </row>
    <row r="408" spans="1:14" customFormat="1" x14ac:dyDescent="0.25">
      <c r="A408" s="233">
        <v>1</v>
      </c>
      <c r="B408" s="234"/>
      <c r="C408" s="266" t="s">
        <v>245</v>
      </c>
      <c r="D408" s="267"/>
      <c r="E408" s="267"/>
      <c r="F408" s="268"/>
      <c r="G408" s="326" t="s">
        <v>207</v>
      </c>
      <c r="H408" s="327"/>
      <c r="I408" s="327"/>
      <c r="J408" s="327"/>
      <c r="K408" s="327"/>
      <c r="L408" s="328"/>
    </row>
    <row r="409" spans="1:14" customFormat="1" x14ac:dyDescent="0.25">
      <c r="A409" s="233">
        <v>2</v>
      </c>
      <c r="B409" s="234"/>
      <c r="C409" s="266" t="s">
        <v>246</v>
      </c>
      <c r="D409" s="267"/>
      <c r="E409" s="267"/>
      <c r="F409" s="268"/>
      <c r="G409" s="329"/>
      <c r="H409" s="330"/>
      <c r="I409" s="330"/>
      <c r="J409" s="330"/>
      <c r="K409" s="330"/>
      <c r="L409" s="331"/>
    </row>
    <row r="410" spans="1:14" customFormat="1" x14ac:dyDescent="0.25">
      <c r="A410" s="233">
        <v>3</v>
      </c>
      <c r="B410" s="234"/>
      <c r="C410" s="266" t="s">
        <v>247</v>
      </c>
      <c r="D410" s="267"/>
      <c r="E410" s="267"/>
      <c r="F410" s="268"/>
      <c r="G410" s="329"/>
      <c r="H410" s="330"/>
      <c r="I410" s="330"/>
      <c r="J410" s="330"/>
      <c r="K410" s="330"/>
      <c r="L410" s="331"/>
    </row>
    <row r="411" spans="1:14" customFormat="1" x14ac:dyDescent="0.25">
      <c r="A411" s="233">
        <v>4</v>
      </c>
      <c r="B411" s="234"/>
      <c r="C411" s="266" t="s">
        <v>248</v>
      </c>
      <c r="D411" s="267"/>
      <c r="E411" s="267"/>
      <c r="F411" s="268"/>
      <c r="G411" s="329"/>
      <c r="H411" s="330"/>
      <c r="I411" s="330"/>
      <c r="J411" s="330"/>
      <c r="K411" s="330"/>
      <c r="L411" s="331"/>
    </row>
    <row r="412" spans="1:14" customFormat="1" x14ac:dyDescent="0.25">
      <c r="A412" s="233">
        <v>5</v>
      </c>
      <c r="B412" s="234"/>
      <c r="C412" s="266" t="s">
        <v>249</v>
      </c>
      <c r="D412" s="267"/>
      <c r="E412" s="267"/>
      <c r="F412" s="268"/>
      <c r="G412" s="332"/>
      <c r="H412" s="333"/>
      <c r="I412" s="333"/>
      <c r="J412" s="333"/>
      <c r="K412" s="333"/>
      <c r="L412" s="334"/>
    </row>
    <row r="413" spans="1:14" x14ac:dyDescent="0.25">
      <c r="A413" s="322"/>
      <c r="B413" s="323"/>
      <c r="C413" s="323"/>
      <c r="D413" s="323"/>
      <c r="E413" s="323"/>
      <c r="F413" s="323"/>
      <c r="G413" s="323"/>
      <c r="H413" s="323"/>
      <c r="I413" s="323"/>
      <c r="J413" s="323"/>
      <c r="K413" s="323"/>
      <c r="L413" s="324"/>
    </row>
    <row r="414" spans="1:14" customFormat="1" x14ac:dyDescent="0.25">
      <c r="A414" s="335" t="s">
        <v>437</v>
      </c>
      <c r="B414" s="335"/>
      <c r="C414" s="335"/>
      <c r="D414" s="335"/>
      <c r="E414" s="335"/>
      <c r="F414" s="335"/>
      <c r="G414" s="335" t="s">
        <v>269</v>
      </c>
      <c r="H414" s="335"/>
      <c r="I414" s="335"/>
      <c r="J414" s="335"/>
      <c r="K414" s="335"/>
      <c r="L414" s="335"/>
    </row>
    <row r="415" spans="1:14" customFormat="1" x14ac:dyDescent="0.25">
      <c r="A415" s="233">
        <v>1</v>
      </c>
      <c r="B415" s="234"/>
      <c r="C415" s="266" t="s">
        <v>250</v>
      </c>
      <c r="D415" s="267"/>
      <c r="E415" s="267"/>
      <c r="F415" s="268"/>
      <c r="G415" s="326" t="s">
        <v>207</v>
      </c>
      <c r="H415" s="327"/>
      <c r="I415" s="327"/>
      <c r="J415" s="327"/>
      <c r="K415" s="327"/>
      <c r="L415" s="328"/>
    </row>
    <row r="416" spans="1:14" customFormat="1" x14ac:dyDescent="0.25">
      <c r="A416" s="233">
        <v>2</v>
      </c>
      <c r="B416" s="234"/>
      <c r="C416" s="266" t="s">
        <v>251</v>
      </c>
      <c r="D416" s="267"/>
      <c r="E416" s="267"/>
      <c r="F416" s="268"/>
      <c r="G416" s="329"/>
      <c r="H416" s="330"/>
      <c r="I416" s="330"/>
      <c r="J416" s="330"/>
      <c r="K416" s="330"/>
      <c r="L416" s="331"/>
    </row>
    <row r="417" spans="1:12" customFormat="1" x14ac:dyDescent="0.25">
      <c r="A417" s="233">
        <v>3</v>
      </c>
      <c r="B417" s="234"/>
      <c r="C417" s="266" t="s">
        <v>252</v>
      </c>
      <c r="D417" s="267"/>
      <c r="E417" s="267"/>
      <c r="F417" s="268"/>
      <c r="G417" s="329"/>
      <c r="H417" s="330"/>
      <c r="I417" s="330"/>
      <c r="J417" s="330"/>
      <c r="K417" s="330"/>
      <c r="L417" s="331"/>
    </row>
    <row r="418" spans="1:12" customFormat="1" x14ac:dyDescent="0.25">
      <c r="A418" s="233">
        <v>4</v>
      </c>
      <c r="B418" s="234"/>
      <c r="C418" s="266" t="s">
        <v>253</v>
      </c>
      <c r="D418" s="267"/>
      <c r="E418" s="267"/>
      <c r="F418" s="268"/>
      <c r="G418" s="329"/>
      <c r="H418" s="330"/>
      <c r="I418" s="330"/>
      <c r="J418" s="330"/>
      <c r="K418" s="330"/>
      <c r="L418" s="331"/>
    </row>
    <row r="419" spans="1:12" customFormat="1" x14ac:dyDescent="0.25">
      <c r="A419" s="233">
        <v>5</v>
      </c>
      <c r="B419" s="234"/>
      <c r="C419" s="266" t="s">
        <v>254</v>
      </c>
      <c r="D419" s="267"/>
      <c r="E419" s="267"/>
      <c r="F419" s="268"/>
      <c r="G419" s="329"/>
      <c r="H419" s="330"/>
      <c r="I419" s="330"/>
      <c r="J419" s="330"/>
      <c r="K419" s="330"/>
      <c r="L419" s="331"/>
    </row>
    <row r="420" spans="1:12" customFormat="1" x14ac:dyDescent="0.25">
      <c r="A420" s="233">
        <v>6</v>
      </c>
      <c r="B420" s="234"/>
      <c r="C420" s="266" t="s">
        <v>255</v>
      </c>
      <c r="D420" s="267"/>
      <c r="E420" s="267"/>
      <c r="F420" s="268"/>
      <c r="G420" s="329"/>
      <c r="H420" s="330"/>
      <c r="I420" s="330"/>
      <c r="J420" s="330"/>
      <c r="K420" s="330"/>
      <c r="L420" s="331"/>
    </row>
    <row r="421" spans="1:12" customFormat="1" x14ac:dyDescent="0.25">
      <c r="A421" s="233">
        <v>7</v>
      </c>
      <c r="B421" s="234"/>
      <c r="C421" s="266" t="s">
        <v>256</v>
      </c>
      <c r="D421" s="267"/>
      <c r="E421" s="267"/>
      <c r="F421" s="268"/>
      <c r="G421" s="329"/>
      <c r="H421" s="330"/>
      <c r="I421" s="330"/>
      <c r="J421" s="330"/>
      <c r="K421" s="330"/>
      <c r="L421" s="331"/>
    </row>
    <row r="422" spans="1:12" customFormat="1" x14ac:dyDescent="0.25">
      <c r="A422" s="233">
        <v>8</v>
      </c>
      <c r="B422" s="234"/>
      <c r="C422" s="266" t="s">
        <v>257</v>
      </c>
      <c r="D422" s="267"/>
      <c r="E422" s="267"/>
      <c r="F422" s="268"/>
      <c r="G422" s="329"/>
      <c r="H422" s="330"/>
      <c r="I422" s="330"/>
      <c r="J422" s="330"/>
      <c r="K422" s="330"/>
      <c r="L422" s="331"/>
    </row>
    <row r="423" spans="1:12" customFormat="1" x14ac:dyDescent="0.25">
      <c r="A423" s="233">
        <v>9</v>
      </c>
      <c r="B423" s="234"/>
      <c r="C423" s="266" t="s">
        <v>258</v>
      </c>
      <c r="D423" s="267"/>
      <c r="E423" s="267"/>
      <c r="F423" s="268"/>
      <c r="G423" s="329"/>
      <c r="H423" s="330"/>
      <c r="I423" s="330"/>
      <c r="J423" s="330"/>
      <c r="K423" s="330"/>
      <c r="L423" s="331"/>
    </row>
    <row r="424" spans="1:12" customFormat="1" x14ac:dyDescent="0.25">
      <c r="A424" s="233">
        <v>10</v>
      </c>
      <c r="B424" s="234"/>
      <c r="C424" s="266" t="s">
        <v>259</v>
      </c>
      <c r="D424" s="267"/>
      <c r="E424" s="267"/>
      <c r="F424" s="268"/>
      <c r="G424" s="332"/>
      <c r="H424" s="333"/>
      <c r="I424" s="333"/>
      <c r="J424" s="333"/>
      <c r="K424" s="333"/>
      <c r="L424" s="334"/>
    </row>
    <row r="425" spans="1:12" x14ac:dyDescent="0.25">
      <c r="A425" s="322"/>
      <c r="B425" s="323"/>
      <c r="C425" s="323"/>
      <c r="D425" s="323"/>
      <c r="E425" s="323"/>
      <c r="F425" s="323"/>
      <c r="G425" s="323"/>
      <c r="H425" s="323"/>
      <c r="I425" s="323"/>
      <c r="J425" s="323"/>
      <c r="K425" s="323"/>
      <c r="L425" s="324"/>
    </row>
    <row r="426" spans="1:12" customFormat="1" x14ac:dyDescent="0.25">
      <c r="A426" s="335" t="s">
        <v>436</v>
      </c>
      <c r="B426" s="335"/>
      <c r="C426" s="335"/>
      <c r="D426" s="335"/>
      <c r="E426" s="335"/>
      <c r="F426" s="335"/>
      <c r="G426" s="335" t="s">
        <v>269</v>
      </c>
      <c r="H426" s="335"/>
      <c r="I426" s="335"/>
      <c r="J426" s="335"/>
      <c r="K426" s="335"/>
      <c r="L426" s="335"/>
    </row>
    <row r="427" spans="1:12" customFormat="1" x14ac:dyDescent="0.25">
      <c r="A427" s="233">
        <v>1</v>
      </c>
      <c r="B427" s="234"/>
      <c r="C427" s="266" t="s">
        <v>260</v>
      </c>
      <c r="D427" s="267"/>
      <c r="E427" s="267"/>
      <c r="F427" s="268"/>
      <c r="G427" s="326" t="s">
        <v>207</v>
      </c>
      <c r="H427" s="327"/>
      <c r="I427" s="327"/>
      <c r="J427" s="327"/>
      <c r="K427" s="327"/>
      <c r="L427" s="328"/>
    </row>
    <row r="428" spans="1:12" customFormat="1" x14ac:dyDescent="0.25">
      <c r="A428" s="233">
        <v>2</v>
      </c>
      <c r="B428" s="234"/>
      <c r="C428" s="266" t="s">
        <v>261</v>
      </c>
      <c r="D428" s="267"/>
      <c r="E428" s="267"/>
      <c r="F428" s="268"/>
      <c r="G428" s="329"/>
      <c r="H428" s="330"/>
      <c r="I428" s="330"/>
      <c r="J428" s="330"/>
      <c r="K428" s="330"/>
      <c r="L428" s="331"/>
    </row>
    <row r="429" spans="1:12" customFormat="1" x14ac:dyDescent="0.25">
      <c r="A429" s="233">
        <v>3</v>
      </c>
      <c r="B429" s="234"/>
      <c r="C429" s="266" t="s">
        <v>262</v>
      </c>
      <c r="D429" s="267"/>
      <c r="E429" s="267"/>
      <c r="F429" s="268"/>
      <c r="G429" s="329"/>
      <c r="H429" s="330"/>
      <c r="I429" s="330"/>
      <c r="J429" s="330"/>
      <c r="K429" s="330"/>
      <c r="L429" s="331"/>
    </row>
    <row r="430" spans="1:12" customFormat="1" x14ac:dyDescent="0.25">
      <c r="A430" s="233">
        <v>4</v>
      </c>
      <c r="B430" s="234"/>
      <c r="C430" s="266" t="s">
        <v>263</v>
      </c>
      <c r="D430" s="267"/>
      <c r="E430" s="267"/>
      <c r="F430" s="268"/>
      <c r="G430" s="332"/>
      <c r="H430" s="333"/>
      <c r="I430" s="333"/>
      <c r="J430" s="333"/>
      <c r="K430" s="333"/>
      <c r="L430" s="334"/>
    </row>
    <row r="431" spans="1:12" x14ac:dyDescent="0.25">
      <c r="A431" s="322"/>
      <c r="B431" s="323"/>
      <c r="C431" s="323"/>
      <c r="D431" s="323"/>
      <c r="E431" s="323"/>
      <c r="F431" s="323"/>
      <c r="G431" s="323"/>
      <c r="H431" s="323"/>
      <c r="I431" s="323"/>
      <c r="J431" s="323"/>
      <c r="K431" s="323"/>
      <c r="L431" s="324"/>
    </row>
    <row r="432" spans="1:12" customFormat="1" x14ac:dyDescent="0.25">
      <c r="A432" s="335" t="s">
        <v>435</v>
      </c>
      <c r="B432" s="335"/>
      <c r="C432" s="335"/>
      <c r="D432" s="335"/>
      <c r="E432" s="335"/>
      <c r="F432" s="335"/>
      <c r="G432" s="335" t="s">
        <v>269</v>
      </c>
      <c r="H432" s="335"/>
      <c r="I432" s="335"/>
      <c r="J432" s="335"/>
      <c r="K432" s="335"/>
      <c r="L432" s="335"/>
    </row>
    <row r="433" spans="1:14" customFormat="1" x14ac:dyDescent="0.25">
      <c r="A433" s="233">
        <v>1</v>
      </c>
      <c r="B433" s="234"/>
      <c r="C433" s="266" t="s">
        <v>264</v>
      </c>
      <c r="D433" s="267"/>
      <c r="E433" s="267"/>
      <c r="F433" s="268"/>
      <c r="G433" s="326" t="s">
        <v>207</v>
      </c>
      <c r="H433" s="327"/>
      <c r="I433" s="327"/>
      <c r="J433" s="327"/>
      <c r="K433" s="327"/>
      <c r="L433" s="328"/>
    </row>
    <row r="434" spans="1:14" customFormat="1" x14ac:dyDescent="0.25">
      <c r="A434" s="233">
        <v>2</v>
      </c>
      <c r="B434" s="234"/>
      <c r="C434" s="266" t="s">
        <v>265</v>
      </c>
      <c r="D434" s="267"/>
      <c r="E434" s="267"/>
      <c r="F434" s="268"/>
      <c r="G434" s="329"/>
      <c r="H434" s="330"/>
      <c r="I434" s="330"/>
      <c r="J434" s="330"/>
      <c r="K434" s="330"/>
      <c r="L434" s="331"/>
    </row>
    <row r="435" spans="1:14" customFormat="1" x14ac:dyDescent="0.25">
      <c r="A435" s="233">
        <v>3</v>
      </c>
      <c r="B435" s="234"/>
      <c r="C435" s="266" t="s">
        <v>266</v>
      </c>
      <c r="D435" s="267"/>
      <c r="E435" s="267"/>
      <c r="F435" s="268"/>
      <c r="G435" s="329"/>
      <c r="H435" s="330"/>
      <c r="I435" s="330"/>
      <c r="J435" s="330"/>
      <c r="K435" s="330"/>
      <c r="L435" s="331"/>
    </row>
    <row r="436" spans="1:14" customFormat="1" x14ac:dyDescent="0.25">
      <c r="A436" s="233">
        <v>4</v>
      </c>
      <c r="B436" s="234"/>
      <c r="C436" s="266" t="s">
        <v>268</v>
      </c>
      <c r="D436" s="267"/>
      <c r="E436" s="267"/>
      <c r="F436" s="268"/>
      <c r="G436" s="329"/>
      <c r="H436" s="330"/>
      <c r="I436" s="330"/>
      <c r="J436" s="330"/>
      <c r="K436" s="330"/>
      <c r="L436" s="331"/>
    </row>
    <row r="437" spans="1:14" customFormat="1" x14ac:dyDescent="0.25">
      <c r="A437" s="233">
        <v>5</v>
      </c>
      <c r="B437" s="234"/>
      <c r="C437" s="266" t="s">
        <v>267</v>
      </c>
      <c r="D437" s="267"/>
      <c r="E437" s="267"/>
      <c r="F437" s="268"/>
      <c r="G437" s="332"/>
      <c r="H437" s="333"/>
      <c r="I437" s="333"/>
      <c r="J437" s="333"/>
      <c r="K437" s="333"/>
      <c r="L437" s="334"/>
    </row>
    <row r="438" spans="1:14" customFormat="1" x14ac:dyDescent="0.25">
      <c r="A438" s="233"/>
      <c r="B438" s="271"/>
      <c r="C438" s="271"/>
      <c r="D438" s="271"/>
      <c r="E438" s="271"/>
      <c r="F438" s="271"/>
      <c r="G438" s="271"/>
      <c r="H438" s="271"/>
      <c r="I438" s="271"/>
      <c r="J438" s="271"/>
      <c r="K438" s="271"/>
      <c r="L438" s="234"/>
    </row>
    <row r="439" spans="1:14" customFormat="1" x14ac:dyDescent="0.25">
      <c r="A439" s="405" t="s">
        <v>270</v>
      </c>
      <c r="B439" s="406"/>
      <c r="C439" s="406"/>
      <c r="D439" s="406"/>
      <c r="E439" s="406"/>
      <c r="F439" s="406"/>
      <c r="G439" s="406"/>
      <c r="H439" s="406"/>
      <c r="I439" s="406"/>
      <c r="J439" s="406"/>
      <c r="K439" s="406"/>
      <c r="L439" s="407"/>
    </row>
    <row r="440" spans="1:14" customFormat="1" x14ac:dyDescent="0.25">
      <c r="A440" s="233" t="s">
        <v>271</v>
      </c>
      <c r="B440" s="234"/>
      <c r="C440" s="266" t="s">
        <v>277</v>
      </c>
      <c r="D440" s="267"/>
      <c r="E440" s="267"/>
      <c r="F440" s="268"/>
      <c r="G440" s="221" t="s">
        <v>430</v>
      </c>
      <c r="H440" s="221"/>
      <c r="I440" s="221"/>
      <c r="J440" s="221"/>
      <c r="K440" s="221"/>
      <c r="L440" s="221"/>
    </row>
    <row r="441" spans="1:14" customFormat="1" x14ac:dyDescent="0.25">
      <c r="A441" s="233" t="s">
        <v>272</v>
      </c>
      <c r="B441" s="234"/>
      <c r="C441" s="266" t="s">
        <v>278</v>
      </c>
      <c r="D441" s="267"/>
      <c r="E441" s="267"/>
      <c r="F441" s="268"/>
      <c r="G441" s="221" t="s">
        <v>430</v>
      </c>
      <c r="H441" s="221"/>
      <c r="I441" s="221"/>
      <c r="J441" s="221"/>
      <c r="K441" s="221"/>
      <c r="L441" s="221"/>
    </row>
    <row r="442" spans="1:14" customFormat="1" x14ac:dyDescent="0.25">
      <c r="A442" s="233" t="s">
        <v>273</v>
      </c>
      <c r="B442" s="234"/>
      <c r="C442" s="266" t="s">
        <v>279</v>
      </c>
      <c r="D442" s="267"/>
      <c r="E442" s="267"/>
      <c r="F442" s="268"/>
      <c r="G442" s="221" t="s">
        <v>430</v>
      </c>
      <c r="H442" s="221"/>
      <c r="I442" s="221"/>
      <c r="J442" s="221"/>
      <c r="K442" s="221"/>
      <c r="L442" s="221"/>
    </row>
    <row r="443" spans="1:14" customFormat="1" x14ac:dyDescent="0.25">
      <c r="A443" s="233" t="s">
        <v>274</v>
      </c>
      <c r="B443" s="234"/>
      <c r="C443" s="266" t="s">
        <v>280</v>
      </c>
      <c r="D443" s="267"/>
      <c r="E443" s="267"/>
      <c r="F443" s="268"/>
      <c r="G443" s="221" t="s">
        <v>430</v>
      </c>
      <c r="H443" s="221"/>
      <c r="I443" s="221"/>
      <c r="J443" s="221"/>
      <c r="K443" s="221"/>
      <c r="L443" s="221"/>
    </row>
    <row r="444" spans="1:14" customFormat="1" x14ac:dyDescent="0.25">
      <c r="A444" s="233" t="s">
        <v>275</v>
      </c>
      <c r="B444" s="234"/>
      <c r="C444" s="266" t="s">
        <v>281</v>
      </c>
      <c r="D444" s="267"/>
      <c r="E444" s="267"/>
      <c r="F444" s="268"/>
      <c r="G444" s="221" t="s">
        <v>430</v>
      </c>
      <c r="H444" s="221"/>
      <c r="I444" s="221"/>
      <c r="J444" s="221"/>
      <c r="K444" s="221"/>
      <c r="L444" s="221"/>
    </row>
    <row r="445" spans="1:14" customFormat="1" x14ac:dyDescent="0.25">
      <c r="A445" s="233" t="s">
        <v>276</v>
      </c>
      <c r="B445" s="234"/>
      <c r="C445" s="266" t="s">
        <v>282</v>
      </c>
      <c r="D445" s="267"/>
      <c r="E445" s="267"/>
      <c r="F445" s="268"/>
      <c r="G445" s="221" t="s">
        <v>430</v>
      </c>
      <c r="H445" s="221"/>
      <c r="I445" s="221"/>
      <c r="J445" s="221"/>
      <c r="K445" s="221"/>
      <c r="L445" s="221"/>
    </row>
    <row r="446" spans="1:14" s="71" customFormat="1" x14ac:dyDescent="0.25">
      <c r="A446" s="264" t="s">
        <v>440</v>
      </c>
      <c r="B446" s="264"/>
      <c r="C446" s="264"/>
      <c r="D446" s="264"/>
      <c r="E446" s="264"/>
      <c r="F446" s="264"/>
      <c r="G446" s="325">
        <f>G404</f>
        <v>855854453.02499986</v>
      </c>
      <c r="H446" s="325"/>
      <c r="I446" s="325"/>
      <c r="J446" s="325"/>
      <c r="K446" s="325"/>
      <c r="L446" s="325"/>
      <c r="N446" s="73">
        <v>9126534271.6079903</v>
      </c>
    </row>
    <row r="447" spans="1:14" s="71" customFormat="1" ht="28.5" customHeight="1" x14ac:dyDescent="0.25">
      <c r="A447" s="264" t="s">
        <v>441</v>
      </c>
      <c r="B447" s="264"/>
      <c r="C447" s="264"/>
      <c r="D447" s="264"/>
      <c r="E447" s="264"/>
      <c r="F447" s="264"/>
      <c r="G447" s="265" t="s">
        <v>680</v>
      </c>
      <c r="H447" s="265"/>
      <c r="I447" s="265"/>
      <c r="J447" s="265"/>
      <c r="K447" s="265"/>
      <c r="L447" s="265"/>
      <c r="M447" s="71" t="s">
        <v>680</v>
      </c>
    </row>
    <row r="448" spans="1:14" customFormat="1" x14ac:dyDescent="0.25">
      <c r="A448" s="233"/>
      <c r="B448" s="271"/>
      <c r="C448" s="271"/>
      <c r="D448" s="271"/>
      <c r="E448" s="271"/>
      <c r="F448" s="271"/>
      <c r="G448" s="271"/>
      <c r="H448" s="271"/>
      <c r="I448" s="271"/>
      <c r="J448" s="271"/>
      <c r="K448" s="271"/>
      <c r="L448" s="234"/>
    </row>
    <row r="449" spans="1:12" customFormat="1" ht="94.5" customHeight="1" x14ac:dyDescent="0.25">
      <c r="A449" s="273" t="s">
        <v>676</v>
      </c>
      <c r="B449" s="274"/>
      <c r="C449" s="274"/>
      <c r="D449" s="274"/>
      <c r="E449" s="274"/>
      <c r="F449" s="274"/>
      <c r="G449" s="274"/>
      <c r="H449" s="274"/>
      <c r="I449" s="274"/>
      <c r="J449" s="274"/>
      <c r="K449" s="274"/>
      <c r="L449" s="275"/>
    </row>
    <row r="450" spans="1:12" customFormat="1" ht="52.5" hidden="1" customHeight="1" x14ac:dyDescent="0.25">
      <c r="A450" s="273" t="s">
        <v>328</v>
      </c>
      <c r="B450" s="274"/>
      <c r="C450" s="274"/>
      <c r="D450" s="274"/>
      <c r="E450" s="274"/>
      <c r="F450" s="274"/>
      <c r="G450" s="274"/>
      <c r="H450" s="274"/>
      <c r="I450" s="274"/>
      <c r="J450" s="102"/>
      <c r="K450" s="323"/>
      <c r="L450" s="324"/>
    </row>
    <row r="451" spans="1:12" ht="15" customHeight="1" x14ac:dyDescent="0.25">
      <c r="A451" s="316" t="s">
        <v>57</v>
      </c>
      <c r="B451" s="317"/>
      <c r="C451" s="317"/>
      <c r="D451" s="317"/>
      <c r="E451" s="317"/>
      <c r="F451" s="317"/>
      <c r="G451" s="317"/>
      <c r="H451" s="317"/>
      <c r="I451" s="317"/>
      <c r="J451" s="317"/>
      <c r="K451" s="317"/>
      <c r="L451" s="318"/>
    </row>
    <row r="452" spans="1:12" x14ac:dyDescent="0.25">
      <c r="A452" s="134">
        <v>1</v>
      </c>
      <c r="B452" s="269" t="s">
        <v>431</v>
      </c>
      <c r="C452" s="289"/>
      <c r="D452" s="289"/>
      <c r="E452" s="289"/>
      <c r="F452" s="289"/>
      <c r="G452" s="289"/>
      <c r="H452" s="289"/>
      <c r="I452" s="289"/>
      <c r="J452" s="289"/>
      <c r="K452" s="289"/>
      <c r="L452" s="289"/>
    </row>
    <row r="453" spans="1:12" x14ac:dyDescent="0.25">
      <c r="A453" s="134">
        <f>A452+1</f>
        <v>2</v>
      </c>
      <c r="B453" s="269" t="s">
        <v>432</v>
      </c>
      <c r="C453" s="289"/>
      <c r="D453" s="289"/>
      <c r="E453" s="289"/>
      <c r="F453" s="289"/>
      <c r="G453" s="289"/>
      <c r="H453" s="289"/>
      <c r="I453" s="289"/>
      <c r="J453" s="289"/>
      <c r="K453" s="289"/>
      <c r="L453" s="289"/>
    </row>
    <row r="454" spans="1:12" x14ac:dyDescent="0.25">
      <c r="A454" s="134">
        <f t="shared" ref="A454:A460" si="76">A453+1</f>
        <v>3</v>
      </c>
      <c r="B454" s="270" t="s">
        <v>657</v>
      </c>
      <c r="C454" s="285"/>
      <c r="D454" s="285"/>
      <c r="E454" s="285"/>
      <c r="F454" s="285"/>
      <c r="G454" s="285"/>
      <c r="H454" s="285"/>
      <c r="I454" s="285"/>
      <c r="J454" s="285"/>
      <c r="K454" s="285"/>
      <c r="L454" s="285"/>
    </row>
    <row r="455" spans="1:12" x14ac:dyDescent="0.25">
      <c r="A455" s="134">
        <f t="shared" si="76"/>
        <v>4</v>
      </c>
      <c r="B455" s="289" t="s">
        <v>433</v>
      </c>
      <c r="C455" s="289"/>
      <c r="D455" s="289"/>
      <c r="E455" s="289"/>
      <c r="F455" s="289"/>
      <c r="G455" s="289"/>
      <c r="H455" s="289"/>
      <c r="I455" s="289"/>
      <c r="J455" s="289"/>
      <c r="K455" s="289"/>
      <c r="L455" s="289"/>
    </row>
    <row r="456" spans="1:12" x14ac:dyDescent="0.25">
      <c r="A456" s="134">
        <f t="shared" si="76"/>
        <v>5</v>
      </c>
      <c r="B456" s="285" t="s">
        <v>109</v>
      </c>
      <c r="C456" s="285"/>
      <c r="D456" s="285"/>
      <c r="E456" s="285"/>
      <c r="F456" s="285"/>
      <c r="G456" s="285"/>
      <c r="H456" s="285"/>
      <c r="I456" s="285"/>
      <c r="J456" s="285"/>
      <c r="K456" s="285"/>
      <c r="L456" s="285"/>
    </row>
    <row r="457" spans="1:12" ht="15" customHeight="1" x14ac:dyDescent="0.25">
      <c r="A457" s="134">
        <f t="shared" si="76"/>
        <v>6</v>
      </c>
      <c r="B457" s="286" t="s">
        <v>675</v>
      </c>
      <c r="C457" s="287"/>
      <c r="D457" s="287"/>
      <c r="E457" s="287"/>
      <c r="F457" s="287"/>
      <c r="G457" s="287"/>
      <c r="H457" s="287"/>
      <c r="I457" s="287"/>
      <c r="J457" s="287"/>
      <c r="K457" s="287"/>
      <c r="L457" s="288"/>
    </row>
    <row r="458" spans="1:12" ht="30.75" customHeight="1" x14ac:dyDescent="0.25">
      <c r="A458" s="134">
        <f t="shared" si="76"/>
        <v>7</v>
      </c>
      <c r="B458" s="270" t="s">
        <v>600</v>
      </c>
      <c r="C458" s="270"/>
      <c r="D458" s="270"/>
      <c r="E458" s="270"/>
      <c r="F458" s="270"/>
      <c r="G458" s="270"/>
      <c r="H458" s="270"/>
      <c r="I458" s="270"/>
      <c r="J458" s="270"/>
      <c r="K458" s="270"/>
      <c r="L458" s="270"/>
    </row>
    <row r="459" spans="1:12" x14ac:dyDescent="0.25">
      <c r="A459" s="134">
        <f t="shared" si="76"/>
        <v>8</v>
      </c>
      <c r="B459" s="269" t="s">
        <v>434</v>
      </c>
      <c r="C459" s="269"/>
      <c r="D459" s="269"/>
      <c r="E459" s="269"/>
      <c r="F459" s="269"/>
      <c r="G459" s="269"/>
      <c r="H459" s="269"/>
      <c r="I459" s="269"/>
      <c r="J459" s="269"/>
      <c r="K459" s="269"/>
      <c r="L459" s="269"/>
    </row>
    <row r="460" spans="1:12" x14ac:dyDescent="0.25">
      <c r="A460" s="134">
        <f t="shared" si="76"/>
        <v>9</v>
      </c>
      <c r="B460" s="289" t="s">
        <v>658</v>
      </c>
      <c r="C460" s="289"/>
      <c r="D460" s="289"/>
      <c r="E460" s="289"/>
      <c r="F460" s="289"/>
      <c r="G460" s="289"/>
      <c r="H460" s="289"/>
      <c r="I460" s="289"/>
      <c r="J460" s="289"/>
      <c r="K460" s="289"/>
      <c r="L460" s="289"/>
    </row>
    <row r="461" spans="1:12" x14ac:dyDescent="0.25">
      <c r="A461" s="16" t="s">
        <v>58</v>
      </c>
      <c r="B461" s="10"/>
      <c r="C461" s="4"/>
      <c r="D461" s="4"/>
      <c r="E461" s="4"/>
      <c r="F461" s="47" t="str">
        <f>G49</f>
        <v>Shivsagar</v>
      </c>
      <c r="G461" s="2"/>
      <c r="H461" s="2"/>
      <c r="I461" s="2"/>
      <c r="J461" s="2"/>
      <c r="K461" s="2"/>
      <c r="L461" s="2"/>
    </row>
    <row r="462" spans="1:12" x14ac:dyDescent="0.25">
      <c r="A462" s="4"/>
      <c r="B462" s="10"/>
      <c r="C462" s="4"/>
      <c r="D462" s="4"/>
      <c r="E462" s="4"/>
      <c r="F462" s="4"/>
      <c r="G462" s="4"/>
      <c r="H462" s="4"/>
      <c r="I462" s="4"/>
      <c r="J462" s="4"/>
      <c r="K462" s="4"/>
      <c r="L462" s="4"/>
    </row>
    <row r="463" spans="1:12" x14ac:dyDescent="0.25">
      <c r="A463" s="4"/>
      <c r="B463" s="10"/>
      <c r="C463" s="4"/>
      <c r="D463" s="4"/>
      <c r="E463" s="4"/>
      <c r="F463" s="4"/>
      <c r="G463" s="4"/>
      <c r="H463" s="4"/>
      <c r="I463" s="4"/>
      <c r="J463" s="4"/>
      <c r="K463" s="4"/>
      <c r="L463" s="4"/>
    </row>
    <row r="507" spans="1:2" ht="18.75" x14ac:dyDescent="0.25">
      <c r="A507" s="321" t="s">
        <v>283</v>
      </c>
      <c r="B507" s="321"/>
    </row>
    <row r="553" spans="1:1" x14ac:dyDescent="0.25">
      <c r="A553" s="3" t="s">
        <v>0</v>
      </c>
    </row>
    <row r="599" spans="1:12" x14ac:dyDescent="0.25">
      <c r="A599" s="27" t="s">
        <v>329</v>
      </c>
      <c r="B599" s="27"/>
      <c r="C599" s="27"/>
      <c r="D599" s="27"/>
      <c r="E599" s="27"/>
      <c r="F599" s="27"/>
      <c r="G599" s="27"/>
      <c r="H599" s="27"/>
      <c r="I599" s="27"/>
      <c r="J599" s="27"/>
      <c r="K599" s="27"/>
      <c r="L599" s="27"/>
    </row>
    <row r="600" spans="1:12" ht="15" customHeight="1" x14ac:dyDescent="0.25">
      <c r="A600" s="283"/>
      <c r="B600" s="283"/>
      <c r="C600" s="283"/>
      <c r="D600" s="283"/>
      <c r="E600" s="66"/>
      <c r="F600" s="66"/>
      <c r="G600" s="66"/>
      <c r="H600" s="66"/>
      <c r="I600" s="66"/>
      <c r="J600" s="66"/>
      <c r="K600" s="283"/>
      <c r="L600" s="283"/>
    </row>
    <row r="601" spans="1:12" ht="15" customHeight="1" x14ac:dyDescent="0.25">
      <c r="A601" s="283"/>
      <c r="B601" s="283"/>
      <c r="C601" s="283"/>
      <c r="D601" s="283"/>
      <c r="E601" s="66"/>
      <c r="F601" s="68"/>
      <c r="G601" s="12"/>
      <c r="H601" s="12"/>
      <c r="I601" s="61"/>
      <c r="J601" s="61"/>
      <c r="K601" s="283"/>
      <c r="L601" s="283"/>
    </row>
    <row r="602" spans="1:12" ht="15" customHeight="1" x14ac:dyDescent="0.25">
      <c r="A602" s="283"/>
      <c r="B602" s="283"/>
      <c r="C602" s="283"/>
      <c r="D602" s="283"/>
      <c r="E602" s="66"/>
      <c r="F602" s="68"/>
      <c r="G602" s="12"/>
      <c r="H602" s="12"/>
      <c r="I602" s="61"/>
      <c r="J602" s="61"/>
      <c r="K602" s="283"/>
      <c r="L602" s="283"/>
    </row>
    <row r="603" spans="1:12" ht="15" customHeight="1" x14ac:dyDescent="0.25">
      <c r="A603" s="283"/>
      <c r="B603" s="283"/>
      <c r="C603" s="283"/>
      <c r="D603" s="283"/>
      <c r="E603" s="66"/>
      <c r="F603" s="68"/>
      <c r="G603" s="12"/>
      <c r="H603" s="12"/>
      <c r="I603" s="61"/>
      <c r="J603" s="61"/>
      <c r="K603" s="283"/>
      <c r="L603" s="283"/>
    </row>
    <row r="604" spans="1:12" ht="15" customHeight="1" x14ac:dyDescent="0.25">
      <c r="A604" s="283"/>
      <c r="B604" s="283"/>
      <c r="C604" s="283"/>
      <c r="D604" s="283"/>
      <c r="E604" s="66"/>
      <c r="F604" s="68"/>
      <c r="G604" s="61"/>
      <c r="H604" s="12"/>
      <c r="I604" s="61"/>
      <c r="J604" s="61"/>
      <c r="K604" s="283"/>
      <c r="L604" s="283"/>
    </row>
    <row r="605" spans="1:12" ht="15" customHeight="1" x14ac:dyDescent="0.25">
      <c r="A605" s="283"/>
      <c r="B605" s="283"/>
      <c r="C605" s="283"/>
      <c r="D605" s="283"/>
      <c r="E605" s="66"/>
      <c r="F605" s="68"/>
      <c r="G605" s="12"/>
      <c r="H605" s="12"/>
      <c r="I605" s="61"/>
      <c r="J605" s="61"/>
      <c r="K605" s="283"/>
      <c r="L605" s="283"/>
    </row>
    <row r="606" spans="1:12" ht="15" customHeight="1" x14ac:dyDescent="0.25">
      <c r="A606" s="283"/>
      <c r="B606" s="283"/>
      <c r="C606" s="283"/>
      <c r="D606" s="283"/>
      <c r="E606" s="66"/>
      <c r="F606" s="68"/>
      <c r="G606" s="12"/>
      <c r="H606" s="12"/>
      <c r="I606" s="61"/>
      <c r="J606" s="61"/>
      <c r="K606" s="283"/>
      <c r="L606" s="283"/>
    </row>
    <row r="607" spans="1:12" ht="15" customHeight="1" x14ac:dyDescent="0.25">
      <c r="A607" s="283"/>
      <c r="B607" s="283"/>
      <c r="C607" s="283"/>
      <c r="D607" s="283"/>
      <c r="E607" s="66"/>
      <c r="F607" s="68"/>
      <c r="G607" s="61"/>
      <c r="H607" s="12"/>
      <c r="I607" s="61"/>
      <c r="J607" s="61"/>
      <c r="K607" s="283"/>
      <c r="L607" s="283"/>
    </row>
    <row r="608" spans="1:12" ht="15" customHeight="1" x14ac:dyDescent="0.25">
      <c r="A608" s="283"/>
      <c r="B608" s="283"/>
      <c r="C608" s="283"/>
      <c r="D608" s="283"/>
      <c r="E608" s="283"/>
      <c r="F608" s="283"/>
      <c r="G608" s="283"/>
      <c r="H608" s="283"/>
      <c r="I608" s="62"/>
      <c r="J608" s="62"/>
      <c r="K608" s="283"/>
      <c r="L608" s="283"/>
    </row>
    <row r="609" spans="1:12" x14ac:dyDescent="0.25">
      <c r="A609" s="350"/>
      <c r="B609" s="350"/>
      <c r="C609" s="350"/>
      <c r="D609" s="350"/>
      <c r="E609" s="350"/>
      <c r="F609" s="350"/>
      <c r="G609" s="350"/>
      <c r="H609" s="350"/>
      <c r="I609" s="65"/>
      <c r="J609" s="65"/>
      <c r="K609" s="283"/>
      <c r="L609" s="283"/>
    </row>
    <row r="645" spans="1:1" x14ac:dyDescent="0.25">
      <c r="A645" s="27" t="s">
        <v>59</v>
      </c>
    </row>
    <row r="691" spans="1:1" x14ac:dyDescent="0.25">
      <c r="A691" s="27" t="s">
        <v>59</v>
      </c>
    </row>
    <row r="737" spans="1:12" ht="53.25" customHeight="1" x14ac:dyDescent="0.25">
      <c r="A737" s="280" t="s">
        <v>444</v>
      </c>
      <c r="B737" s="280"/>
      <c r="C737" s="280"/>
      <c r="D737" s="280"/>
      <c r="E737" s="280"/>
      <c r="F737" s="280"/>
      <c r="G737" s="280"/>
      <c r="H737" s="280"/>
      <c r="I737" s="280"/>
      <c r="J737" s="280"/>
      <c r="K737" s="280"/>
      <c r="L737" s="280"/>
    </row>
    <row r="741" spans="1:12" x14ac:dyDescent="0.25">
      <c r="A741" s="284" t="s">
        <v>330</v>
      </c>
      <c r="B741" s="284"/>
    </row>
    <row r="743" spans="1:12" x14ac:dyDescent="0.25">
      <c r="A743" s="284" t="s">
        <v>331</v>
      </c>
      <c r="B743" s="284"/>
    </row>
    <row r="746" spans="1:12" x14ac:dyDescent="0.25">
      <c r="I746" s="284" t="s">
        <v>332</v>
      </c>
      <c r="J746" s="284"/>
      <c r="K746" s="284"/>
    </row>
    <row r="747" spans="1:12" x14ac:dyDescent="0.25">
      <c r="H747" s="284" t="s">
        <v>333</v>
      </c>
      <c r="I747" s="284"/>
      <c r="J747" s="284"/>
      <c r="K747" s="284"/>
      <c r="L747" s="284"/>
    </row>
    <row r="750" spans="1:12" ht="60" customHeight="1" x14ac:dyDescent="0.25">
      <c r="A750" s="280" t="s">
        <v>442</v>
      </c>
      <c r="B750" s="280"/>
      <c r="C750" s="280"/>
      <c r="D750" s="280"/>
      <c r="E750" s="280"/>
      <c r="F750" s="280"/>
      <c r="G750" s="280"/>
      <c r="H750" s="280"/>
      <c r="I750" s="280"/>
      <c r="J750" s="280"/>
      <c r="K750" s="280"/>
      <c r="L750" s="280"/>
    </row>
    <row r="752" spans="1:12" x14ac:dyDescent="0.25">
      <c r="I752" s="284" t="s">
        <v>332</v>
      </c>
      <c r="J752" s="284"/>
      <c r="K752" s="284"/>
    </row>
    <row r="753" spans="1:12" x14ac:dyDescent="0.25">
      <c r="H753" s="284" t="s">
        <v>334</v>
      </c>
      <c r="I753" s="284"/>
      <c r="J753" s="284"/>
      <c r="K753" s="284"/>
      <c r="L753" s="284"/>
    </row>
    <row r="756" spans="1:12" x14ac:dyDescent="0.25">
      <c r="A756" s="284"/>
      <c r="B756" s="284"/>
      <c r="C756" s="284"/>
      <c r="D756" s="284"/>
      <c r="E756" s="284"/>
      <c r="F756" s="284"/>
      <c r="G756" s="284"/>
      <c r="H756" s="284"/>
      <c r="I756" s="284"/>
      <c r="J756" s="284"/>
      <c r="K756" s="284"/>
      <c r="L756" s="284"/>
    </row>
    <row r="757" spans="1:12" x14ac:dyDescent="0.25">
      <c r="A757" s="67"/>
      <c r="L757" s="44"/>
    </row>
    <row r="758" spans="1:12" x14ac:dyDescent="0.25">
      <c r="A758" s="67"/>
      <c r="L758" s="44"/>
    </row>
    <row r="759" spans="1:12" x14ac:dyDescent="0.25">
      <c r="B759" s="70" t="s">
        <v>336</v>
      </c>
      <c r="C759" s="184" t="s">
        <v>335</v>
      </c>
      <c r="D759" s="184"/>
      <c r="E759" s="184"/>
      <c r="F759" s="184"/>
      <c r="G759" s="184"/>
      <c r="H759" s="184"/>
      <c r="I759" s="276" t="s">
        <v>338</v>
      </c>
      <c r="J759" s="276"/>
      <c r="K759" s="276"/>
    </row>
    <row r="760" spans="1:12" x14ac:dyDescent="0.25">
      <c r="B760" s="26" t="s">
        <v>336</v>
      </c>
      <c r="C760" s="229" t="s">
        <v>337</v>
      </c>
      <c r="D760" s="229"/>
      <c r="E760" s="229"/>
      <c r="F760" s="229"/>
      <c r="G760" s="229"/>
      <c r="H760" s="229"/>
      <c r="I760" s="276" t="s">
        <v>338</v>
      </c>
      <c r="J760" s="276"/>
      <c r="K760" s="276"/>
    </row>
    <row r="762" spans="1:12" ht="15.75" customHeight="1" x14ac:dyDescent="0.25"/>
    <row r="763" spans="1:12" customFormat="1" ht="15" customHeight="1" x14ac:dyDescent="0.25">
      <c r="A763" s="319" t="s">
        <v>286</v>
      </c>
      <c r="B763" s="319"/>
      <c r="C763" s="319"/>
      <c r="D763" s="319"/>
      <c r="E763" s="319"/>
      <c r="F763" s="319"/>
      <c r="G763" s="319"/>
      <c r="H763" s="319"/>
      <c r="I763" s="319"/>
      <c r="J763" s="319"/>
      <c r="K763" s="319"/>
      <c r="L763" s="319"/>
    </row>
    <row r="764" spans="1:12" customFormat="1" ht="15" customHeight="1" x14ac:dyDescent="0.25">
      <c r="A764" s="320" t="s">
        <v>339</v>
      </c>
      <c r="B764" s="320"/>
      <c r="C764" s="320"/>
      <c r="D764" s="320"/>
      <c r="E764" s="320"/>
      <c r="F764" s="320"/>
      <c r="G764" s="320"/>
      <c r="H764" s="320"/>
      <c r="I764" s="320"/>
      <c r="J764" s="320"/>
      <c r="K764" s="320"/>
      <c r="L764" s="320"/>
    </row>
    <row r="765" spans="1:12" customFormat="1" ht="15" customHeight="1" x14ac:dyDescent="0.25">
      <c r="A765" s="282" t="s">
        <v>287</v>
      </c>
      <c r="B765" s="282"/>
      <c r="C765" s="282"/>
      <c r="D765" s="282"/>
      <c r="E765" s="282"/>
      <c r="F765" s="282"/>
      <c r="G765" s="282"/>
      <c r="H765" s="282"/>
      <c r="I765" s="282"/>
      <c r="J765" s="282"/>
      <c r="K765" s="282"/>
      <c r="L765" s="282"/>
    </row>
    <row r="766" spans="1:12" customFormat="1" x14ac:dyDescent="0.25">
      <c r="A766" s="52">
        <v>1</v>
      </c>
      <c r="B766" s="184" t="s">
        <v>288</v>
      </c>
      <c r="C766" s="184"/>
      <c r="D766" s="184"/>
      <c r="E766" s="184"/>
      <c r="F766" s="184"/>
      <c r="G766" s="184"/>
      <c r="H766" s="184"/>
      <c r="I766" s="184"/>
      <c r="J766" s="184"/>
      <c r="K766" s="184"/>
      <c r="L766" s="184"/>
    </row>
    <row r="767" spans="1:12" customFormat="1" ht="46.5" customHeight="1" x14ac:dyDescent="0.25">
      <c r="A767" s="52">
        <v>2</v>
      </c>
      <c r="B767" s="184" t="s">
        <v>289</v>
      </c>
      <c r="C767" s="184"/>
      <c r="D767" s="184"/>
      <c r="E767" s="184"/>
      <c r="F767" s="184"/>
      <c r="G767" s="184"/>
      <c r="H767" s="184"/>
      <c r="I767" s="184"/>
      <c r="J767" s="184"/>
      <c r="K767" s="184"/>
      <c r="L767" s="184"/>
    </row>
    <row r="768" spans="1:12" customFormat="1" ht="30" customHeight="1" x14ac:dyDescent="0.25">
      <c r="A768" s="52">
        <v>3</v>
      </c>
      <c r="B768" s="184" t="s">
        <v>677</v>
      </c>
      <c r="C768" s="184"/>
      <c r="D768" s="184"/>
      <c r="E768" s="184"/>
      <c r="F768" s="184"/>
      <c r="G768" s="184"/>
      <c r="H768" s="184"/>
      <c r="I768" s="184"/>
      <c r="J768" s="184"/>
      <c r="K768" s="184"/>
      <c r="L768" s="184"/>
    </row>
    <row r="769" spans="1:12" customFormat="1" ht="33" customHeight="1" x14ac:dyDescent="0.25">
      <c r="A769" s="52">
        <v>4</v>
      </c>
      <c r="B769" s="184" t="s">
        <v>678</v>
      </c>
      <c r="C769" s="184"/>
      <c r="D769" s="184"/>
      <c r="E769" s="184"/>
      <c r="F769" s="184"/>
      <c r="G769" s="184"/>
      <c r="H769" s="184"/>
      <c r="I769" s="184"/>
      <c r="J769" s="184"/>
      <c r="K769" s="184"/>
      <c r="L769" s="184"/>
    </row>
    <row r="770" spans="1:12" customFormat="1" ht="15" customHeight="1" x14ac:dyDescent="0.25">
      <c r="A770" s="52">
        <v>5</v>
      </c>
      <c r="B770" s="184" t="s">
        <v>290</v>
      </c>
      <c r="C770" s="184"/>
      <c r="D770" s="184"/>
      <c r="E770" s="184"/>
      <c r="F770" s="184"/>
      <c r="G770" s="184"/>
      <c r="H770" s="184"/>
      <c r="I770" s="184"/>
      <c r="J770" s="184"/>
      <c r="K770" s="184"/>
      <c r="L770" s="184"/>
    </row>
    <row r="771" spans="1:12" customFormat="1" ht="32.25" customHeight="1" x14ac:dyDescent="0.25">
      <c r="A771" s="52">
        <v>6</v>
      </c>
      <c r="B771" s="184" t="s">
        <v>291</v>
      </c>
      <c r="C771" s="184"/>
      <c r="D771" s="184"/>
      <c r="E771" s="184"/>
      <c r="F771" s="184"/>
      <c r="G771" s="184"/>
      <c r="H771" s="184"/>
      <c r="I771" s="184"/>
      <c r="J771" s="184"/>
      <c r="K771" s="184"/>
      <c r="L771" s="184"/>
    </row>
    <row r="772" spans="1:12" customFormat="1" ht="15" customHeight="1" x14ac:dyDescent="0.25">
      <c r="A772" s="52">
        <v>7</v>
      </c>
      <c r="B772" s="184" t="s">
        <v>292</v>
      </c>
      <c r="C772" s="184"/>
      <c r="D772" s="184"/>
      <c r="E772" s="184"/>
      <c r="F772" s="184"/>
      <c r="G772" s="184"/>
      <c r="H772" s="184"/>
      <c r="I772" s="184"/>
      <c r="J772" s="184"/>
      <c r="K772" s="184"/>
      <c r="L772" s="184"/>
    </row>
    <row r="773" spans="1:12" customFormat="1" ht="15" customHeight="1" x14ac:dyDescent="0.25">
      <c r="A773" s="52">
        <v>8</v>
      </c>
      <c r="B773" s="184" t="s">
        <v>293</v>
      </c>
      <c r="C773" s="184"/>
      <c r="D773" s="184"/>
      <c r="E773" s="184"/>
      <c r="F773" s="184"/>
      <c r="G773" s="184"/>
      <c r="H773" s="184"/>
      <c r="I773" s="184"/>
      <c r="J773" s="184"/>
      <c r="K773" s="184"/>
      <c r="L773" s="184"/>
    </row>
    <row r="774" spans="1:12" customFormat="1" ht="15" customHeight="1" x14ac:dyDescent="0.25">
      <c r="A774" s="52">
        <v>9</v>
      </c>
      <c r="B774" s="184" t="s">
        <v>294</v>
      </c>
      <c r="C774" s="184"/>
      <c r="D774" s="184"/>
      <c r="E774" s="184"/>
      <c r="F774" s="184"/>
      <c r="G774" s="184"/>
      <c r="H774" s="184"/>
      <c r="I774" s="184"/>
      <c r="J774" s="184"/>
      <c r="K774" s="184"/>
      <c r="L774" s="184"/>
    </row>
    <row r="775" spans="1:12" customFormat="1" ht="15" customHeight="1" x14ac:dyDescent="0.25">
      <c r="A775" s="52">
        <v>10</v>
      </c>
      <c r="B775" s="184" t="s">
        <v>295</v>
      </c>
      <c r="C775" s="184"/>
      <c r="D775" s="184"/>
      <c r="E775" s="184"/>
      <c r="F775" s="184"/>
      <c r="G775" s="184"/>
      <c r="H775" s="184"/>
      <c r="I775" s="184"/>
      <c r="J775" s="184"/>
      <c r="K775" s="184"/>
      <c r="L775" s="184"/>
    </row>
    <row r="776" spans="1:12" customFormat="1" ht="15" customHeight="1" x14ac:dyDescent="0.25">
      <c r="A776" s="52">
        <v>11</v>
      </c>
      <c r="B776" s="184" t="s">
        <v>296</v>
      </c>
      <c r="C776" s="184"/>
      <c r="D776" s="184"/>
      <c r="E776" s="184"/>
      <c r="F776" s="184"/>
      <c r="G776" s="184"/>
      <c r="H776" s="184"/>
      <c r="I776" s="184"/>
      <c r="J776" s="184"/>
      <c r="K776" s="184"/>
      <c r="L776" s="184"/>
    </row>
    <row r="777" spans="1:12" customFormat="1" ht="15" customHeight="1" x14ac:dyDescent="0.25">
      <c r="A777" s="52">
        <v>12</v>
      </c>
      <c r="B777" s="184" t="s">
        <v>297</v>
      </c>
      <c r="C777" s="184"/>
      <c r="D777" s="184"/>
      <c r="E777" s="184"/>
      <c r="F777" s="184"/>
      <c r="G777" s="184"/>
      <c r="H777" s="184"/>
      <c r="I777" s="184"/>
      <c r="J777" s="184"/>
      <c r="K777" s="184"/>
      <c r="L777" s="184"/>
    </row>
    <row r="778" spans="1:12" customFormat="1" ht="61.5" customHeight="1" x14ac:dyDescent="0.25">
      <c r="A778" s="52">
        <v>13</v>
      </c>
      <c r="B778" s="184" t="s">
        <v>298</v>
      </c>
      <c r="C778" s="184"/>
      <c r="D778" s="184"/>
      <c r="E778" s="184"/>
      <c r="F778" s="184"/>
      <c r="G778" s="184"/>
      <c r="H778" s="184"/>
      <c r="I778" s="184"/>
      <c r="J778" s="184"/>
      <c r="K778" s="184"/>
      <c r="L778" s="184"/>
    </row>
    <row r="779" spans="1:12" customFormat="1" ht="31.5" customHeight="1" x14ac:dyDescent="0.25">
      <c r="A779" s="52">
        <v>14</v>
      </c>
      <c r="B779" s="227" t="s">
        <v>445</v>
      </c>
      <c r="C779" s="227"/>
      <c r="D779" s="227"/>
      <c r="E779" s="227"/>
      <c r="F779" s="227"/>
      <c r="G779" s="227"/>
      <c r="H779" s="227"/>
      <c r="I779" s="227"/>
      <c r="J779" s="227"/>
      <c r="K779" s="227"/>
      <c r="L779" s="227"/>
    </row>
    <row r="780" spans="1:12" customFormat="1" ht="15" customHeight="1" x14ac:dyDescent="0.25">
      <c r="A780" s="52">
        <v>15</v>
      </c>
      <c r="B780" s="184" t="s">
        <v>420</v>
      </c>
      <c r="C780" s="184"/>
      <c r="D780" s="184"/>
      <c r="E780" s="184"/>
      <c r="F780" s="184"/>
      <c r="G780" s="184"/>
      <c r="H780" s="184"/>
      <c r="I780" s="184"/>
      <c r="J780" s="184"/>
      <c r="K780" s="184"/>
      <c r="L780" s="184"/>
    </row>
    <row r="781" spans="1:12" customFormat="1" ht="30.75" customHeight="1" x14ac:dyDescent="0.25">
      <c r="A781" s="52">
        <v>16</v>
      </c>
      <c r="B781" s="184" t="s">
        <v>299</v>
      </c>
      <c r="C781" s="184"/>
      <c r="D781" s="184"/>
      <c r="E781" s="184"/>
      <c r="F781" s="184"/>
      <c r="G781" s="184"/>
      <c r="H781" s="184"/>
      <c r="I781" s="184"/>
      <c r="J781" s="184"/>
      <c r="K781" s="184"/>
      <c r="L781" s="184"/>
    </row>
    <row r="782" spans="1:12" customFormat="1" ht="30.75" customHeight="1" x14ac:dyDescent="0.25">
      <c r="A782" s="52">
        <v>17</v>
      </c>
      <c r="B782" s="184" t="s">
        <v>300</v>
      </c>
      <c r="C782" s="184"/>
      <c r="D782" s="184"/>
      <c r="E782" s="184"/>
      <c r="F782" s="184"/>
      <c r="G782" s="184"/>
      <c r="H782" s="184"/>
      <c r="I782" s="184"/>
      <c r="J782" s="184"/>
      <c r="K782" s="184"/>
      <c r="L782" s="184"/>
    </row>
    <row r="783" spans="1:12" customFormat="1" ht="48.75" customHeight="1" x14ac:dyDescent="0.25">
      <c r="A783" s="52">
        <v>18</v>
      </c>
      <c r="B783" s="184" t="s">
        <v>301</v>
      </c>
      <c r="C783" s="184"/>
      <c r="D783" s="184"/>
      <c r="E783" s="184"/>
      <c r="F783" s="184"/>
      <c r="G783" s="184"/>
      <c r="H783" s="184"/>
      <c r="I783" s="184"/>
      <c r="J783" s="184"/>
      <c r="K783" s="184"/>
      <c r="L783" s="184"/>
    </row>
    <row r="784" spans="1:12" customFormat="1" ht="48.75" customHeight="1" x14ac:dyDescent="0.25">
      <c r="A784" s="52">
        <v>19</v>
      </c>
      <c r="B784" s="184" t="s">
        <v>302</v>
      </c>
      <c r="C784" s="184"/>
      <c r="D784" s="184"/>
      <c r="E784" s="184"/>
      <c r="F784" s="184"/>
      <c r="G784" s="184"/>
      <c r="H784" s="184"/>
      <c r="I784" s="184"/>
      <c r="J784" s="184"/>
      <c r="K784" s="184"/>
      <c r="L784" s="184"/>
    </row>
    <row r="785" spans="1:12" customFormat="1" ht="30.75" customHeight="1" x14ac:dyDescent="0.25">
      <c r="A785" s="52">
        <v>20</v>
      </c>
      <c r="B785" s="184" t="s">
        <v>303</v>
      </c>
      <c r="C785" s="184"/>
      <c r="D785" s="184"/>
      <c r="E785" s="184"/>
      <c r="F785" s="184"/>
      <c r="G785" s="184"/>
      <c r="H785" s="184"/>
      <c r="I785" s="184"/>
      <c r="J785" s="184"/>
      <c r="K785" s="184"/>
      <c r="L785" s="184"/>
    </row>
    <row r="786" spans="1:12" customFormat="1" x14ac:dyDescent="0.25">
      <c r="A786" s="52">
        <v>21</v>
      </c>
      <c r="B786" s="184" t="s">
        <v>304</v>
      </c>
      <c r="C786" s="184"/>
      <c r="D786" s="184"/>
      <c r="E786" s="184"/>
      <c r="F786" s="184"/>
      <c r="G786" s="184"/>
      <c r="H786" s="184"/>
      <c r="I786" s="184"/>
      <c r="J786" s="184"/>
      <c r="K786" s="184"/>
      <c r="L786" s="184"/>
    </row>
    <row r="787" spans="1:12" customFormat="1" x14ac:dyDescent="0.25">
      <c r="A787" s="52">
        <v>22</v>
      </c>
      <c r="B787" s="184" t="s">
        <v>305</v>
      </c>
      <c r="C787" s="184"/>
      <c r="D787" s="184"/>
      <c r="E787" s="184"/>
      <c r="F787" s="184"/>
      <c r="G787" s="184"/>
      <c r="H787" s="184"/>
      <c r="I787" s="184"/>
      <c r="J787" s="184"/>
      <c r="K787" s="184"/>
      <c r="L787" s="184"/>
    </row>
    <row r="788" spans="1:12" customFormat="1" ht="15" customHeight="1" x14ac:dyDescent="0.25">
      <c r="A788" s="52">
        <v>23</v>
      </c>
      <c r="B788" s="184" t="s">
        <v>306</v>
      </c>
      <c r="C788" s="184"/>
      <c r="D788" s="184"/>
      <c r="E788" s="184"/>
      <c r="F788" s="184"/>
      <c r="G788" s="184"/>
      <c r="H788" s="184"/>
      <c r="I788" s="184"/>
      <c r="J788" s="184"/>
      <c r="K788" s="184"/>
      <c r="L788" s="184"/>
    </row>
    <row r="789" spans="1:12" customFormat="1" ht="31.5" customHeight="1" x14ac:dyDescent="0.25">
      <c r="A789" s="52">
        <v>24</v>
      </c>
      <c r="B789" s="184" t="s">
        <v>307</v>
      </c>
      <c r="C789" s="184"/>
      <c r="D789" s="184"/>
      <c r="E789" s="184"/>
      <c r="F789" s="184"/>
      <c r="G789" s="184"/>
      <c r="H789" s="184"/>
      <c r="I789" s="184"/>
      <c r="J789" s="184"/>
      <c r="K789" s="184"/>
      <c r="L789" s="184"/>
    </row>
    <row r="790" spans="1:12" customFormat="1" ht="33" customHeight="1" x14ac:dyDescent="0.25">
      <c r="A790" s="52">
        <v>25</v>
      </c>
      <c r="B790" s="184" t="s">
        <v>308</v>
      </c>
      <c r="C790" s="184"/>
      <c r="D790" s="184"/>
      <c r="E790" s="184"/>
      <c r="F790" s="184"/>
      <c r="G790" s="184"/>
      <c r="H790" s="184"/>
      <c r="I790" s="184"/>
      <c r="J790" s="184"/>
      <c r="K790" s="184"/>
      <c r="L790" s="184"/>
    </row>
    <row r="791" spans="1:12" customFormat="1" ht="15" customHeight="1" x14ac:dyDescent="0.25">
      <c r="A791" s="52">
        <v>26</v>
      </c>
      <c r="B791" s="184" t="s">
        <v>421</v>
      </c>
      <c r="C791" s="184"/>
      <c r="D791" s="184"/>
      <c r="E791" s="184"/>
      <c r="F791" s="184"/>
      <c r="G791" s="184"/>
      <c r="H791" s="184"/>
      <c r="I791" s="184"/>
      <c r="J791" s="184"/>
      <c r="K791" s="184"/>
      <c r="L791" s="184"/>
    </row>
    <row r="792" spans="1:12" customFormat="1" ht="15" customHeight="1" x14ac:dyDescent="0.25">
      <c r="A792" s="63" t="s">
        <v>309</v>
      </c>
      <c r="B792" s="281" t="s">
        <v>14</v>
      </c>
      <c r="C792" s="281"/>
      <c r="D792" s="281"/>
      <c r="E792" s="281"/>
      <c r="F792" s="281"/>
      <c r="G792" s="281" t="s">
        <v>310</v>
      </c>
      <c r="H792" s="281"/>
      <c r="I792" s="281"/>
      <c r="J792" s="281"/>
      <c r="K792" s="281"/>
      <c r="L792" s="281"/>
    </row>
    <row r="793" spans="1:12" customFormat="1" ht="32.25" customHeight="1" x14ac:dyDescent="0.25">
      <c r="A793" s="52">
        <v>1</v>
      </c>
      <c r="B793" s="184" t="s">
        <v>311</v>
      </c>
      <c r="C793" s="184"/>
      <c r="D793" s="184"/>
      <c r="E793" s="184"/>
      <c r="F793" s="184"/>
      <c r="G793" s="184" t="s">
        <v>671</v>
      </c>
      <c r="H793" s="184"/>
      <c r="I793" s="184"/>
      <c r="J793" s="184"/>
      <c r="K793" s="184"/>
      <c r="L793" s="184"/>
    </row>
    <row r="794" spans="1:12" customFormat="1" ht="15" customHeight="1" x14ac:dyDescent="0.25">
      <c r="A794" s="52">
        <v>2</v>
      </c>
      <c r="B794" s="184" t="s">
        <v>312</v>
      </c>
      <c r="C794" s="184"/>
      <c r="D794" s="184"/>
      <c r="E794" s="184"/>
      <c r="F794" s="184"/>
      <c r="G794" s="184" t="s">
        <v>672</v>
      </c>
      <c r="H794" s="184"/>
      <c r="I794" s="184"/>
      <c r="J794" s="184"/>
      <c r="K794" s="184"/>
      <c r="L794" s="184"/>
    </row>
    <row r="795" spans="1:12" customFormat="1" ht="15" customHeight="1" x14ac:dyDescent="0.25">
      <c r="A795" s="276">
        <v>3</v>
      </c>
      <c r="B795" s="184" t="s">
        <v>313</v>
      </c>
      <c r="C795" s="184"/>
      <c r="D795" s="184"/>
      <c r="E795" s="184"/>
      <c r="F795" s="184"/>
      <c r="G795" s="184" t="s">
        <v>340</v>
      </c>
      <c r="H795" s="184"/>
      <c r="I795" s="184"/>
      <c r="J795" s="184"/>
      <c r="K795" s="184"/>
      <c r="L795" s="184"/>
    </row>
    <row r="796" spans="1:12" customFormat="1" ht="15" customHeight="1" x14ac:dyDescent="0.25">
      <c r="A796" s="276"/>
      <c r="B796" s="184"/>
      <c r="C796" s="184"/>
      <c r="D796" s="184"/>
      <c r="E796" s="184"/>
      <c r="F796" s="184"/>
      <c r="G796" s="184" t="s">
        <v>619</v>
      </c>
      <c r="H796" s="184"/>
      <c r="I796" s="184"/>
      <c r="J796" s="184"/>
      <c r="K796" s="184"/>
      <c r="L796" s="184"/>
    </row>
    <row r="797" spans="1:12" customFormat="1" ht="15" customHeight="1" x14ac:dyDescent="0.25">
      <c r="A797" s="276"/>
      <c r="B797" s="184"/>
      <c r="C797" s="184"/>
      <c r="D797" s="184"/>
      <c r="E797" s="184"/>
      <c r="F797" s="184"/>
      <c r="G797" s="184" t="s">
        <v>341</v>
      </c>
      <c r="H797" s="184"/>
      <c r="I797" s="184"/>
      <c r="J797" s="184"/>
      <c r="K797" s="184"/>
      <c r="L797" s="184"/>
    </row>
    <row r="798" spans="1:12" customFormat="1" ht="15" customHeight="1" x14ac:dyDescent="0.25">
      <c r="A798" s="52">
        <v>4</v>
      </c>
      <c r="B798" s="184" t="s">
        <v>314</v>
      </c>
      <c r="C798" s="184"/>
      <c r="D798" s="184"/>
      <c r="E798" s="184"/>
      <c r="F798" s="184"/>
      <c r="G798" s="184" t="s">
        <v>54</v>
      </c>
      <c r="H798" s="184"/>
      <c r="I798" s="184"/>
      <c r="J798" s="184"/>
      <c r="K798" s="184"/>
      <c r="L798" s="184"/>
    </row>
    <row r="799" spans="1:12" customFormat="1" x14ac:dyDescent="0.25">
      <c r="A799" s="276">
        <v>5</v>
      </c>
      <c r="B799" s="184" t="s">
        <v>315</v>
      </c>
      <c r="C799" s="184"/>
      <c r="D799" s="184"/>
      <c r="E799" s="184"/>
      <c r="F799" s="184"/>
      <c r="G799" s="269" t="s">
        <v>316</v>
      </c>
      <c r="H799" s="269"/>
      <c r="I799" s="269"/>
      <c r="J799" s="277">
        <v>45858</v>
      </c>
      <c r="K799" s="278"/>
      <c r="L799" s="279"/>
    </row>
    <row r="800" spans="1:12" customFormat="1" x14ac:dyDescent="0.25">
      <c r="A800" s="276"/>
      <c r="B800" s="184"/>
      <c r="C800" s="184"/>
      <c r="D800" s="184"/>
      <c r="E800" s="184"/>
      <c r="F800" s="184"/>
      <c r="G800" s="269" t="s">
        <v>317</v>
      </c>
      <c r="H800" s="269"/>
      <c r="I800" s="269"/>
      <c r="J800" s="277">
        <v>45859</v>
      </c>
      <c r="K800" s="278"/>
      <c r="L800" s="279"/>
    </row>
    <row r="801" spans="1:12" customFormat="1" ht="15" customHeight="1" x14ac:dyDescent="0.25">
      <c r="A801" s="276"/>
      <c r="B801" s="184"/>
      <c r="C801" s="184"/>
      <c r="D801" s="184"/>
      <c r="E801" s="184"/>
      <c r="F801" s="184"/>
      <c r="G801" s="269" t="s">
        <v>318</v>
      </c>
      <c r="H801" s="269"/>
      <c r="I801" s="269"/>
      <c r="J801" s="277" t="str">
        <f ca="1">TEXT(TODAY(),"DD/MM/YYYY")</f>
        <v>29/07/2025</v>
      </c>
      <c r="K801" s="278"/>
      <c r="L801" s="279"/>
    </row>
    <row r="802" spans="1:12" customFormat="1" ht="15" customHeight="1" x14ac:dyDescent="0.25">
      <c r="A802" s="52">
        <v>6</v>
      </c>
      <c r="B802" s="184" t="s">
        <v>319</v>
      </c>
      <c r="C802" s="184"/>
      <c r="D802" s="184"/>
      <c r="E802" s="184"/>
      <c r="F802" s="184"/>
      <c r="G802" s="184" t="s">
        <v>320</v>
      </c>
      <c r="H802" s="184"/>
      <c r="I802" s="184"/>
      <c r="J802" s="184"/>
      <c r="K802" s="184"/>
      <c r="L802" s="184"/>
    </row>
    <row r="803" spans="1:12" customFormat="1" ht="96.75" customHeight="1" x14ac:dyDescent="0.25">
      <c r="A803" s="52">
        <v>7</v>
      </c>
      <c r="B803" s="184" t="s">
        <v>321</v>
      </c>
      <c r="C803" s="184"/>
      <c r="D803" s="184"/>
      <c r="E803" s="184"/>
      <c r="F803" s="184"/>
      <c r="G803" s="184" t="s">
        <v>342</v>
      </c>
      <c r="H803" s="184"/>
      <c r="I803" s="184"/>
      <c r="J803" s="184"/>
      <c r="K803" s="184"/>
      <c r="L803" s="184"/>
    </row>
    <row r="804" spans="1:12" customFormat="1" ht="33.75" customHeight="1" x14ac:dyDescent="0.25">
      <c r="A804" s="52">
        <v>8</v>
      </c>
      <c r="B804" s="184" t="s">
        <v>322</v>
      </c>
      <c r="C804" s="184"/>
      <c r="D804" s="184"/>
      <c r="E804" s="184"/>
      <c r="F804" s="184"/>
      <c r="G804" s="184" t="s">
        <v>323</v>
      </c>
      <c r="H804" s="184"/>
      <c r="I804" s="184"/>
      <c r="J804" s="184"/>
      <c r="K804" s="184"/>
      <c r="L804" s="184"/>
    </row>
    <row r="805" spans="1:12" customFormat="1" x14ac:dyDescent="0.25">
      <c r="A805" s="52">
        <v>9</v>
      </c>
      <c r="B805" s="184" t="s">
        <v>324</v>
      </c>
      <c r="C805" s="184"/>
      <c r="D805" s="184"/>
      <c r="E805" s="184"/>
      <c r="F805" s="184"/>
      <c r="G805" s="184" t="s">
        <v>54</v>
      </c>
      <c r="H805" s="184"/>
      <c r="I805" s="184"/>
      <c r="J805" s="184"/>
      <c r="K805" s="184"/>
      <c r="L805" s="184"/>
    </row>
    <row r="806" spans="1:12" customFormat="1" ht="33.75" customHeight="1" x14ac:dyDescent="0.25">
      <c r="A806" s="52">
        <v>10</v>
      </c>
      <c r="B806" s="184" t="s">
        <v>325</v>
      </c>
      <c r="C806" s="184"/>
      <c r="D806" s="184"/>
      <c r="E806" s="184"/>
      <c r="F806" s="184"/>
      <c r="G806" s="184" t="s">
        <v>343</v>
      </c>
      <c r="H806" s="184"/>
      <c r="I806" s="184"/>
      <c r="J806" s="184"/>
      <c r="K806" s="184"/>
      <c r="L806" s="184"/>
    </row>
    <row r="807" spans="1:12" customFormat="1" ht="30" customHeight="1" x14ac:dyDescent="0.25">
      <c r="A807" s="52">
        <v>11</v>
      </c>
      <c r="B807" s="184" t="s">
        <v>326</v>
      </c>
      <c r="C807" s="184"/>
      <c r="D807" s="184"/>
      <c r="E807" s="184"/>
      <c r="F807" s="184"/>
      <c r="G807" s="184" t="s">
        <v>170</v>
      </c>
      <c r="H807" s="184"/>
      <c r="I807" s="184"/>
      <c r="J807" s="184"/>
      <c r="K807" s="184"/>
      <c r="L807" s="184"/>
    </row>
    <row r="808" spans="1:12" customFormat="1" ht="79.5" customHeight="1" x14ac:dyDescent="0.25">
      <c r="A808" s="52">
        <v>12</v>
      </c>
      <c r="B808" s="273" t="s">
        <v>327</v>
      </c>
      <c r="C808" s="274"/>
      <c r="D808" s="274"/>
      <c r="E808" s="274"/>
      <c r="F808" s="275"/>
      <c r="G808" s="273" t="s">
        <v>338</v>
      </c>
      <c r="H808" s="274"/>
      <c r="I808" s="274"/>
      <c r="J808" s="274"/>
      <c r="K808" s="274"/>
      <c r="L808" s="275"/>
    </row>
    <row r="809" spans="1:12" customFormat="1" x14ac:dyDescent="0.25">
      <c r="A809" s="272" t="s">
        <v>385</v>
      </c>
      <c r="B809" s="272"/>
      <c r="C809" s="272"/>
      <c r="D809" s="272"/>
      <c r="E809" s="272"/>
      <c r="F809" s="272"/>
      <c r="G809" s="272"/>
      <c r="H809" s="272"/>
      <c r="I809" s="272"/>
      <c r="J809" s="272"/>
      <c r="K809" s="272"/>
      <c r="L809" s="272"/>
    </row>
    <row r="810" spans="1:12" customFormat="1" ht="45.75" customHeight="1" x14ac:dyDescent="0.25">
      <c r="A810" s="72" t="s">
        <v>463</v>
      </c>
      <c r="B810" s="184" t="s">
        <v>679</v>
      </c>
      <c r="C810" s="184"/>
      <c r="D810" s="184"/>
      <c r="E810" s="184"/>
      <c r="F810" s="184"/>
      <c r="G810" s="184"/>
      <c r="H810" s="184"/>
      <c r="I810" s="184"/>
      <c r="J810" s="184"/>
      <c r="K810" s="184"/>
      <c r="L810" s="184"/>
    </row>
    <row r="811" spans="1:12" customFormat="1" ht="78" customHeight="1" x14ac:dyDescent="0.25">
      <c r="A811" s="72" t="s">
        <v>463</v>
      </c>
      <c r="B811" s="184" t="s">
        <v>448</v>
      </c>
      <c r="C811" s="184"/>
      <c r="D811" s="184"/>
      <c r="E811" s="184"/>
      <c r="F811" s="184"/>
      <c r="G811" s="184"/>
      <c r="H811" s="184"/>
      <c r="I811" s="184"/>
      <c r="J811" s="184"/>
      <c r="K811" s="184"/>
      <c r="L811" s="184"/>
    </row>
    <row r="812" spans="1:12" customFormat="1" ht="91.5" customHeight="1" x14ac:dyDescent="0.25">
      <c r="A812" s="72" t="s">
        <v>463</v>
      </c>
      <c r="B812" s="184" t="s">
        <v>449</v>
      </c>
      <c r="C812" s="184"/>
      <c r="D812" s="184"/>
      <c r="E812" s="184"/>
      <c r="F812" s="184"/>
      <c r="G812" s="184"/>
      <c r="H812" s="184"/>
      <c r="I812" s="184"/>
      <c r="J812" s="184"/>
      <c r="K812" s="184"/>
      <c r="L812" s="184"/>
    </row>
    <row r="813" spans="1:12" customFormat="1" ht="61.5" customHeight="1" x14ac:dyDescent="0.25">
      <c r="A813" s="72" t="s">
        <v>463</v>
      </c>
      <c r="B813" s="184" t="s">
        <v>450</v>
      </c>
      <c r="C813" s="184"/>
      <c r="D813" s="184"/>
      <c r="E813" s="184"/>
      <c r="F813" s="184"/>
      <c r="G813" s="184"/>
      <c r="H813" s="184"/>
      <c r="I813" s="184"/>
      <c r="J813" s="184"/>
      <c r="K813" s="184"/>
      <c r="L813" s="184"/>
    </row>
    <row r="814" spans="1:12" customFormat="1" ht="61.5" customHeight="1" x14ac:dyDescent="0.25">
      <c r="A814" s="72" t="s">
        <v>463</v>
      </c>
      <c r="B814" s="184" t="s">
        <v>451</v>
      </c>
      <c r="C814" s="184"/>
      <c r="D814" s="184"/>
      <c r="E814" s="184"/>
      <c r="F814" s="184"/>
      <c r="G814" s="184"/>
      <c r="H814" s="184"/>
      <c r="I814" s="184"/>
      <c r="J814" s="184"/>
      <c r="K814" s="184"/>
      <c r="L814" s="184"/>
    </row>
    <row r="815" spans="1:12" customFormat="1" ht="45" customHeight="1" x14ac:dyDescent="0.25">
      <c r="A815" s="72" t="s">
        <v>463</v>
      </c>
      <c r="B815" s="184" t="s">
        <v>452</v>
      </c>
      <c r="C815" s="184"/>
      <c r="D815" s="184"/>
      <c r="E815" s="184"/>
      <c r="F815" s="184"/>
      <c r="G815" s="184"/>
      <c r="H815" s="184"/>
      <c r="I815" s="184"/>
      <c r="J815" s="184"/>
      <c r="K815" s="184"/>
      <c r="L815" s="184"/>
    </row>
    <row r="816" spans="1:12" customFormat="1" ht="78" customHeight="1" x14ac:dyDescent="0.25">
      <c r="A816" s="72" t="s">
        <v>463</v>
      </c>
      <c r="B816" s="184" t="s">
        <v>453</v>
      </c>
      <c r="C816" s="184"/>
      <c r="D816" s="184"/>
      <c r="E816" s="184"/>
      <c r="F816" s="184"/>
      <c r="G816" s="184"/>
      <c r="H816" s="184"/>
      <c r="I816" s="184"/>
      <c r="J816" s="184"/>
      <c r="K816" s="184"/>
      <c r="L816" s="184"/>
    </row>
    <row r="817" spans="1:12" customFormat="1" ht="105.75" customHeight="1" x14ac:dyDescent="0.25">
      <c r="A817" s="72" t="s">
        <v>463</v>
      </c>
      <c r="B817" s="184" t="s">
        <v>454</v>
      </c>
      <c r="C817" s="184"/>
      <c r="D817" s="184"/>
      <c r="E817" s="184"/>
      <c r="F817" s="184"/>
      <c r="G817" s="184"/>
      <c r="H817" s="184"/>
      <c r="I817" s="184"/>
      <c r="J817" s="184"/>
      <c r="K817" s="184"/>
      <c r="L817" s="184"/>
    </row>
    <row r="818" spans="1:12" customFormat="1" ht="61.5" customHeight="1" x14ac:dyDescent="0.25">
      <c r="A818" s="72" t="s">
        <v>463</v>
      </c>
      <c r="B818" s="184" t="s">
        <v>456</v>
      </c>
      <c r="C818" s="184"/>
      <c r="D818" s="184"/>
      <c r="E818" s="184"/>
      <c r="F818" s="184"/>
      <c r="G818" s="184"/>
      <c r="H818" s="184"/>
      <c r="I818" s="184"/>
      <c r="J818" s="184"/>
      <c r="K818" s="184"/>
      <c r="L818" s="184"/>
    </row>
    <row r="819" spans="1:12" customFormat="1" ht="61.5" customHeight="1" x14ac:dyDescent="0.25">
      <c r="A819" s="72" t="s">
        <v>463</v>
      </c>
      <c r="B819" s="184" t="s">
        <v>457</v>
      </c>
      <c r="C819" s="184"/>
      <c r="D819" s="184"/>
      <c r="E819" s="184"/>
      <c r="F819" s="184"/>
      <c r="G819" s="184"/>
      <c r="H819" s="184"/>
      <c r="I819" s="184"/>
      <c r="J819" s="184"/>
      <c r="K819" s="184"/>
      <c r="L819" s="184"/>
    </row>
    <row r="820" spans="1:12" customFormat="1" ht="60.75" customHeight="1" x14ac:dyDescent="0.25">
      <c r="A820" s="72" t="s">
        <v>463</v>
      </c>
      <c r="B820" s="184" t="s">
        <v>455</v>
      </c>
      <c r="C820" s="184"/>
      <c r="D820" s="184"/>
      <c r="E820" s="184"/>
      <c r="F820" s="184"/>
      <c r="G820" s="184"/>
      <c r="H820" s="184"/>
      <c r="I820" s="184"/>
      <c r="J820" s="184"/>
      <c r="K820" s="184"/>
      <c r="L820" s="184"/>
    </row>
    <row r="821" spans="1:12" customFormat="1" ht="123.75" customHeight="1" x14ac:dyDescent="0.25">
      <c r="A821" s="72" t="s">
        <v>463</v>
      </c>
      <c r="B821" s="184" t="s">
        <v>464</v>
      </c>
      <c r="C821" s="184"/>
      <c r="D821" s="184"/>
      <c r="E821" s="184"/>
      <c r="F821" s="184"/>
      <c r="G821" s="184"/>
      <c r="H821" s="184"/>
      <c r="I821" s="184"/>
      <c r="J821" s="184"/>
      <c r="K821" s="184"/>
      <c r="L821" s="184"/>
    </row>
    <row r="822" spans="1:12" customFormat="1" ht="290.25" customHeight="1" x14ac:dyDescent="0.25">
      <c r="A822" s="72" t="s">
        <v>463</v>
      </c>
      <c r="B822" s="184" t="s">
        <v>458</v>
      </c>
      <c r="C822" s="184"/>
      <c r="D822" s="184"/>
      <c r="E822" s="184"/>
      <c r="F822" s="184"/>
      <c r="G822" s="184"/>
      <c r="H822" s="184"/>
      <c r="I822" s="184"/>
      <c r="J822" s="184"/>
      <c r="K822" s="184"/>
      <c r="L822" s="184"/>
    </row>
    <row r="823" spans="1:12" customFormat="1" ht="33" customHeight="1" x14ac:dyDescent="0.25">
      <c r="A823" s="72" t="s">
        <v>463</v>
      </c>
      <c r="B823" s="184" t="s">
        <v>459</v>
      </c>
      <c r="C823" s="184"/>
      <c r="D823" s="184"/>
      <c r="E823" s="184"/>
      <c r="F823" s="184"/>
      <c r="G823" s="184"/>
      <c r="H823" s="184"/>
      <c r="I823" s="184"/>
      <c r="J823" s="184"/>
      <c r="K823" s="184"/>
      <c r="L823" s="184"/>
    </row>
    <row r="824" spans="1:12" customFormat="1" ht="31.5" customHeight="1" x14ac:dyDescent="0.25">
      <c r="A824" s="72" t="s">
        <v>463</v>
      </c>
      <c r="B824" s="184" t="s">
        <v>460</v>
      </c>
      <c r="C824" s="184"/>
      <c r="D824" s="184"/>
      <c r="E824" s="184"/>
      <c r="F824" s="184"/>
      <c r="G824" s="184"/>
      <c r="H824" s="184"/>
      <c r="I824" s="184"/>
      <c r="J824" s="184"/>
      <c r="K824" s="184"/>
      <c r="L824" s="184"/>
    </row>
    <row r="825" spans="1:12" customFormat="1" ht="77.25" customHeight="1" x14ac:dyDescent="0.25">
      <c r="A825" s="72" t="s">
        <v>463</v>
      </c>
      <c r="B825" s="184" t="s">
        <v>461</v>
      </c>
      <c r="C825" s="184"/>
      <c r="D825" s="184"/>
      <c r="E825" s="184"/>
      <c r="F825" s="184"/>
      <c r="G825" s="184"/>
      <c r="H825" s="184"/>
      <c r="I825" s="184"/>
      <c r="J825" s="184"/>
      <c r="K825" s="184"/>
      <c r="L825" s="184"/>
    </row>
    <row r="826" spans="1:12" customFormat="1" ht="63" customHeight="1" x14ac:dyDescent="0.25">
      <c r="A826" s="72" t="s">
        <v>463</v>
      </c>
      <c r="B826" s="184" t="s">
        <v>462</v>
      </c>
      <c r="C826" s="184"/>
      <c r="D826" s="184"/>
      <c r="E826" s="184"/>
      <c r="F826" s="184"/>
      <c r="G826" s="184"/>
      <c r="H826" s="184"/>
      <c r="I826" s="184"/>
      <c r="J826" s="184"/>
      <c r="K826" s="184"/>
      <c r="L826" s="184"/>
    </row>
    <row r="827" spans="1:12" customFormat="1" x14ac:dyDescent="0.25">
      <c r="A827" s="284"/>
      <c r="B827" s="284"/>
      <c r="C827" s="284"/>
      <c r="D827" s="284"/>
      <c r="E827" s="284"/>
      <c r="F827" s="284"/>
      <c r="G827" s="284"/>
      <c r="H827" s="284"/>
      <c r="I827" s="284"/>
      <c r="J827" s="284"/>
      <c r="K827" s="284"/>
      <c r="L827" s="284"/>
    </row>
    <row r="828" spans="1:12" customFormat="1" ht="15" customHeight="1" x14ac:dyDescent="0.25">
      <c r="A828" s="313" t="s">
        <v>386</v>
      </c>
      <c r="B828" s="314"/>
      <c r="C828" s="314"/>
      <c r="D828" s="314"/>
      <c r="E828" s="314"/>
      <c r="F828" s="314"/>
      <c r="G828" s="314"/>
      <c r="H828" s="314"/>
      <c r="I828" s="314"/>
      <c r="J828" s="314"/>
      <c r="K828" s="314"/>
      <c r="L828" s="315"/>
    </row>
    <row r="829" spans="1:12" customFormat="1" ht="15" customHeight="1" x14ac:dyDescent="0.25">
      <c r="A829" s="26">
        <v>1</v>
      </c>
      <c r="B829" s="184" t="s">
        <v>387</v>
      </c>
      <c r="C829" s="184"/>
      <c r="D829" s="184"/>
      <c r="E829" s="184"/>
      <c r="F829" s="184"/>
      <c r="G829" s="184"/>
      <c r="H829" s="184"/>
      <c r="I829" s="184"/>
      <c r="J829" s="184"/>
      <c r="K829" s="184"/>
      <c r="L829" s="184"/>
    </row>
    <row r="830" spans="1:12" customFormat="1" ht="15" customHeight="1" x14ac:dyDescent="0.25">
      <c r="A830" s="26">
        <f>A829+1</f>
        <v>2</v>
      </c>
      <c r="B830" s="184" t="s">
        <v>391</v>
      </c>
      <c r="C830" s="184"/>
      <c r="D830" s="184"/>
      <c r="E830" s="184"/>
      <c r="F830" s="184"/>
      <c r="G830" s="184"/>
      <c r="H830" s="184"/>
      <c r="I830" s="184"/>
      <c r="J830" s="184"/>
      <c r="K830" s="184"/>
      <c r="L830" s="184"/>
    </row>
    <row r="831" spans="1:12" customFormat="1" ht="15" customHeight="1" x14ac:dyDescent="0.25">
      <c r="A831" s="26">
        <f t="shared" ref="A831:A834" si="77">A830+1</f>
        <v>3</v>
      </c>
      <c r="B831" s="184" t="s">
        <v>392</v>
      </c>
      <c r="C831" s="184"/>
      <c r="D831" s="184"/>
      <c r="E831" s="184"/>
      <c r="F831" s="184"/>
      <c r="G831" s="184"/>
      <c r="H831" s="184"/>
      <c r="I831" s="184"/>
      <c r="J831" s="184"/>
      <c r="K831" s="184"/>
      <c r="L831" s="184"/>
    </row>
    <row r="832" spans="1:12" customFormat="1" ht="45" customHeight="1" x14ac:dyDescent="0.25">
      <c r="A832" s="26">
        <f t="shared" si="77"/>
        <v>4</v>
      </c>
      <c r="B832" s="184" t="s">
        <v>388</v>
      </c>
      <c r="C832" s="184"/>
      <c r="D832" s="184"/>
      <c r="E832" s="184"/>
      <c r="F832" s="184"/>
      <c r="G832" s="184"/>
      <c r="H832" s="184"/>
      <c r="I832" s="184"/>
      <c r="J832" s="184"/>
      <c r="K832" s="184"/>
      <c r="L832" s="184"/>
    </row>
    <row r="833" spans="1:13" customFormat="1" x14ac:dyDescent="0.25">
      <c r="A833" s="26">
        <f t="shared" si="77"/>
        <v>5</v>
      </c>
      <c r="B833" s="184" t="s">
        <v>389</v>
      </c>
      <c r="C833" s="184"/>
      <c r="D833" s="184"/>
      <c r="E833" s="184"/>
      <c r="F833" s="184"/>
      <c r="G833" s="184"/>
      <c r="H833" s="184"/>
      <c r="I833" s="184"/>
      <c r="J833" s="184"/>
      <c r="K833" s="184"/>
      <c r="L833" s="184"/>
    </row>
    <row r="834" spans="1:13" customFormat="1" x14ac:dyDescent="0.25">
      <c r="A834" s="26">
        <f t="shared" si="77"/>
        <v>6</v>
      </c>
      <c r="B834" s="184" t="s">
        <v>390</v>
      </c>
      <c r="C834" s="184"/>
      <c r="D834" s="184"/>
      <c r="E834" s="184"/>
      <c r="F834" s="184"/>
      <c r="G834" s="184"/>
      <c r="H834" s="184"/>
      <c r="I834" s="184"/>
      <c r="J834" s="184"/>
      <c r="K834" s="184"/>
      <c r="L834" s="184"/>
    </row>
    <row r="835" spans="1:13" customFormat="1" x14ac:dyDescent="0.25">
      <c r="A835" s="292" t="s">
        <v>344</v>
      </c>
      <c r="B835" s="292"/>
      <c r="C835" s="292"/>
      <c r="D835" s="292"/>
      <c r="E835" s="292"/>
      <c r="F835" s="292"/>
      <c r="G835" s="292"/>
      <c r="H835" s="292"/>
      <c r="I835" s="292"/>
      <c r="J835" s="292"/>
      <c r="K835" s="292"/>
      <c r="L835" s="292"/>
    </row>
    <row r="836" spans="1:13" customFormat="1" x14ac:dyDescent="0.25">
      <c r="A836" s="291" t="s">
        <v>345</v>
      </c>
      <c r="B836" s="291"/>
      <c r="C836" s="291"/>
      <c r="D836" s="291"/>
      <c r="E836" s="291"/>
      <c r="F836" s="291"/>
      <c r="G836" s="291"/>
      <c r="H836" s="291"/>
      <c r="I836" s="291"/>
      <c r="J836" s="291"/>
      <c r="K836" s="291"/>
      <c r="L836" s="291"/>
    </row>
    <row r="837" spans="1:13" customFormat="1" x14ac:dyDescent="0.25">
      <c r="A837" s="72" t="s">
        <v>463</v>
      </c>
      <c r="B837" s="290" t="s">
        <v>346</v>
      </c>
      <c r="C837" s="290"/>
      <c r="D837" s="290"/>
      <c r="E837" s="290"/>
      <c r="F837" s="290"/>
      <c r="G837" s="290"/>
      <c r="H837" s="290"/>
      <c r="I837" s="290"/>
      <c r="J837" s="290"/>
      <c r="K837" s="290"/>
      <c r="L837" s="290"/>
    </row>
    <row r="838" spans="1:13" customFormat="1" ht="31.5" customHeight="1" x14ac:dyDescent="0.25">
      <c r="A838" s="54">
        <v>1</v>
      </c>
      <c r="B838" s="184" t="s">
        <v>347</v>
      </c>
      <c r="C838" s="184"/>
      <c r="D838" s="184"/>
      <c r="E838" s="184"/>
      <c r="F838" s="184"/>
      <c r="G838" s="184"/>
      <c r="H838" s="184"/>
      <c r="I838" s="184"/>
      <c r="J838" s="184"/>
      <c r="K838" s="184"/>
      <c r="L838" s="184"/>
      <c r="M838" s="57"/>
    </row>
    <row r="839" spans="1:13" customFormat="1" ht="31.5" customHeight="1" x14ac:dyDescent="0.25">
      <c r="A839" s="54">
        <v>2</v>
      </c>
      <c r="B839" s="269" t="s">
        <v>422</v>
      </c>
      <c r="C839" s="269"/>
      <c r="D839" s="269"/>
      <c r="E839" s="269"/>
      <c r="F839" s="269"/>
      <c r="G839" s="269"/>
      <c r="H839" s="269"/>
      <c r="I839" s="269"/>
      <c r="J839" s="269"/>
      <c r="K839" s="269"/>
      <c r="L839" s="269"/>
      <c r="M839" s="57"/>
    </row>
    <row r="840" spans="1:13" customFormat="1" ht="31.5" customHeight="1" x14ac:dyDescent="0.25">
      <c r="A840" s="54">
        <v>3</v>
      </c>
      <c r="B840" s="269" t="s">
        <v>423</v>
      </c>
      <c r="C840" s="269"/>
      <c r="D840" s="269"/>
      <c r="E840" s="269"/>
      <c r="F840" s="269"/>
      <c r="G840" s="269"/>
      <c r="H840" s="269"/>
      <c r="I840" s="269"/>
      <c r="J840" s="269"/>
      <c r="K840" s="269"/>
      <c r="L840" s="269"/>
      <c r="M840" s="57"/>
    </row>
    <row r="841" spans="1:13" customFormat="1" x14ac:dyDescent="0.25">
      <c r="A841" s="54">
        <v>4</v>
      </c>
      <c r="B841" s="184" t="s">
        <v>364</v>
      </c>
      <c r="C841" s="269"/>
      <c r="D841" s="269"/>
      <c r="E841" s="269"/>
      <c r="F841" s="269"/>
      <c r="G841" s="269"/>
      <c r="H841" s="269"/>
      <c r="I841" s="269"/>
      <c r="J841" s="269"/>
      <c r="K841" s="269"/>
      <c r="L841" s="269"/>
      <c r="M841" s="57"/>
    </row>
    <row r="842" spans="1:13" customFormat="1" x14ac:dyDescent="0.25">
      <c r="A842" s="54">
        <v>5</v>
      </c>
      <c r="B842" s="184" t="s">
        <v>365</v>
      </c>
      <c r="C842" s="269"/>
      <c r="D842" s="269"/>
      <c r="E842" s="269"/>
      <c r="F842" s="269"/>
      <c r="G842" s="269"/>
      <c r="H842" s="269"/>
      <c r="I842" s="269"/>
      <c r="J842" s="269"/>
      <c r="K842" s="269"/>
      <c r="L842" s="269"/>
      <c r="M842" s="57"/>
    </row>
    <row r="843" spans="1:13" customFormat="1" ht="15" customHeight="1" x14ac:dyDescent="0.25">
      <c r="A843" s="72" t="s">
        <v>463</v>
      </c>
      <c r="B843" s="290" t="s">
        <v>348</v>
      </c>
      <c r="C843" s="290"/>
      <c r="D843" s="290"/>
      <c r="E843" s="290"/>
      <c r="F843" s="290"/>
      <c r="G843" s="290"/>
      <c r="H843" s="290"/>
      <c r="I843" s="290"/>
      <c r="J843" s="290"/>
      <c r="K843" s="290"/>
      <c r="L843" s="290"/>
      <c r="M843" s="57"/>
    </row>
    <row r="844" spans="1:13" customFormat="1" ht="32.25" customHeight="1" x14ac:dyDescent="0.25">
      <c r="A844" s="54">
        <v>6</v>
      </c>
      <c r="B844" s="184" t="s">
        <v>349</v>
      </c>
      <c r="C844" s="184"/>
      <c r="D844" s="184"/>
      <c r="E844" s="184"/>
      <c r="F844" s="184"/>
      <c r="G844" s="184"/>
      <c r="H844" s="184"/>
      <c r="I844" s="184"/>
      <c r="J844" s="184"/>
      <c r="K844" s="184"/>
      <c r="L844" s="184"/>
      <c r="M844" s="48"/>
    </row>
    <row r="845" spans="1:13" customFormat="1" ht="32.25" customHeight="1" x14ac:dyDescent="0.25">
      <c r="A845" s="54">
        <v>7</v>
      </c>
      <c r="B845" s="184" t="s">
        <v>350</v>
      </c>
      <c r="C845" s="184"/>
      <c r="D845" s="184"/>
      <c r="E845" s="184"/>
      <c r="F845" s="184"/>
      <c r="G845" s="184"/>
      <c r="H845" s="184"/>
      <c r="I845" s="184"/>
      <c r="J845" s="184"/>
      <c r="K845" s="184"/>
      <c r="L845" s="184"/>
      <c r="M845" s="48"/>
    </row>
    <row r="846" spans="1:13" customFormat="1" ht="34.5" customHeight="1" x14ac:dyDescent="0.25">
      <c r="A846" s="54">
        <v>8</v>
      </c>
      <c r="B846" s="184" t="s">
        <v>361</v>
      </c>
      <c r="C846" s="184"/>
      <c r="D846" s="184"/>
      <c r="E846" s="184"/>
      <c r="F846" s="184"/>
      <c r="G846" s="184"/>
      <c r="H846" s="184"/>
      <c r="I846" s="184"/>
      <c r="J846" s="184"/>
      <c r="K846" s="184"/>
      <c r="L846" s="184"/>
      <c r="M846" s="48"/>
    </row>
    <row r="847" spans="1:13" customFormat="1" ht="63.75" customHeight="1" x14ac:dyDescent="0.25">
      <c r="A847" s="54">
        <v>9</v>
      </c>
      <c r="B847" s="184" t="s">
        <v>362</v>
      </c>
      <c r="C847" s="184"/>
      <c r="D847" s="184"/>
      <c r="E847" s="184"/>
      <c r="F847" s="184"/>
      <c r="G847" s="184"/>
      <c r="H847" s="184"/>
      <c r="I847" s="184"/>
      <c r="J847" s="184"/>
      <c r="K847" s="184"/>
      <c r="L847" s="184"/>
      <c r="M847" s="48"/>
    </row>
    <row r="848" spans="1:13" customFormat="1" ht="33" customHeight="1" x14ac:dyDescent="0.25">
      <c r="A848" s="54">
        <v>10</v>
      </c>
      <c r="B848" s="184" t="s">
        <v>371</v>
      </c>
      <c r="C848" s="184"/>
      <c r="D848" s="184"/>
      <c r="E848" s="184"/>
      <c r="F848" s="184"/>
      <c r="G848" s="184"/>
      <c r="H848" s="184"/>
      <c r="I848" s="184"/>
      <c r="J848" s="184"/>
      <c r="K848" s="184"/>
      <c r="L848" s="184"/>
      <c r="M848" s="48"/>
    </row>
    <row r="849" spans="1:13" customFormat="1" ht="47.25" customHeight="1" x14ac:dyDescent="0.25">
      <c r="A849" s="54">
        <v>11</v>
      </c>
      <c r="B849" s="184" t="s">
        <v>372</v>
      </c>
      <c r="C849" s="184"/>
      <c r="D849" s="184"/>
      <c r="E849" s="184"/>
      <c r="F849" s="184"/>
      <c r="G849" s="184"/>
      <c r="H849" s="184"/>
      <c r="I849" s="184"/>
      <c r="J849" s="184"/>
      <c r="K849" s="184"/>
      <c r="L849" s="184"/>
      <c r="M849" s="48"/>
    </row>
    <row r="850" spans="1:13" customFormat="1" ht="15" customHeight="1" x14ac:dyDescent="0.25">
      <c r="A850" s="72" t="s">
        <v>463</v>
      </c>
      <c r="B850" s="290" t="s">
        <v>351</v>
      </c>
      <c r="C850" s="290"/>
      <c r="D850" s="290"/>
      <c r="E850" s="290"/>
      <c r="F850" s="290"/>
      <c r="G850" s="290"/>
      <c r="H850" s="290"/>
      <c r="I850" s="290"/>
      <c r="J850" s="290"/>
      <c r="K850" s="290"/>
      <c r="L850" s="290"/>
      <c r="M850" s="57"/>
    </row>
    <row r="851" spans="1:13" customFormat="1" ht="51" customHeight="1" x14ac:dyDescent="0.25">
      <c r="A851" s="54">
        <v>12</v>
      </c>
      <c r="B851" s="184" t="s">
        <v>373</v>
      </c>
      <c r="C851" s="184"/>
      <c r="D851" s="184"/>
      <c r="E851" s="184"/>
      <c r="F851" s="184"/>
      <c r="G851" s="184"/>
      <c r="H851" s="184"/>
      <c r="I851" s="184"/>
      <c r="J851" s="184"/>
      <c r="K851" s="184"/>
      <c r="L851" s="184"/>
      <c r="M851" s="57"/>
    </row>
    <row r="852" spans="1:13" customFormat="1" ht="33" customHeight="1" x14ac:dyDescent="0.25">
      <c r="A852" s="54">
        <v>13</v>
      </c>
      <c r="B852" s="184" t="s">
        <v>374</v>
      </c>
      <c r="C852" s="184"/>
      <c r="D852" s="184"/>
      <c r="E852" s="184"/>
      <c r="F852" s="184"/>
      <c r="G852" s="184"/>
      <c r="H852" s="184"/>
      <c r="I852" s="184"/>
      <c r="J852" s="184"/>
      <c r="K852" s="184"/>
      <c r="L852" s="184"/>
      <c r="M852" s="57"/>
    </row>
    <row r="853" spans="1:13" customFormat="1" ht="33" customHeight="1" x14ac:dyDescent="0.25">
      <c r="A853" s="54">
        <v>14</v>
      </c>
      <c r="B853" s="184" t="s">
        <v>376</v>
      </c>
      <c r="C853" s="184"/>
      <c r="D853" s="184"/>
      <c r="E853" s="184"/>
      <c r="F853" s="184"/>
      <c r="G853" s="184"/>
      <c r="H853" s="184"/>
      <c r="I853" s="184"/>
      <c r="J853" s="184"/>
      <c r="K853" s="184"/>
      <c r="L853" s="184"/>
      <c r="M853" s="57"/>
    </row>
    <row r="854" spans="1:13" customFormat="1" ht="33" customHeight="1" x14ac:dyDescent="0.25">
      <c r="A854" s="54">
        <v>15</v>
      </c>
      <c r="B854" s="184" t="s">
        <v>375</v>
      </c>
      <c r="C854" s="184"/>
      <c r="D854" s="184"/>
      <c r="E854" s="184"/>
      <c r="F854" s="184"/>
      <c r="G854" s="184"/>
      <c r="H854" s="184"/>
      <c r="I854" s="184"/>
      <c r="J854" s="184"/>
      <c r="K854" s="184"/>
      <c r="L854" s="184"/>
      <c r="M854" s="57"/>
    </row>
    <row r="855" spans="1:13" customFormat="1" ht="63" customHeight="1" x14ac:dyDescent="0.25">
      <c r="A855" s="54">
        <v>16</v>
      </c>
      <c r="B855" s="184" t="s">
        <v>377</v>
      </c>
      <c r="C855" s="184"/>
      <c r="D855" s="184"/>
      <c r="E855" s="184"/>
      <c r="F855" s="184"/>
      <c r="G855" s="184"/>
      <c r="H855" s="184"/>
      <c r="I855" s="184"/>
      <c r="J855" s="184"/>
      <c r="K855" s="184"/>
      <c r="L855" s="184"/>
      <c r="M855" s="57"/>
    </row>
    <row r="856" spans="1:13" customFormat="1" ht="33" customHeight="1" x14ac:dyDescent="0.25">
      <c r="A856" s="54">
        <v>17</v>
      </c>
      <c r="B856" s="184" t="s">
        <v>363</v>
      </c>
      <c r="C856" s="184"/>
      <c r="D856" s="184"/>
      <c r="E856" s="184"/>
      <c r="F856" s="184"/>
      <c r="G856" s="184"/>
      <c r="H856" s="184"/>
      <c r="I856" s="184"/>
      <c r="J856" s="184"/>
      <c r="K856" s="184"/>
      <c r="L856" s="184"/>
      <c r="M856" s="57"/>
    </row>
    <row r="857" spans="1:13" customFormat="1" x14ac:dyDescent="0.25">
      <c r="A857" s="54">
        <v>18</v>
      </c>
      <c r="B857" s="184" t="s">
        <v>366</v>
      </c>
      <c r="C857" s="184"/>
      <c r="D857" s="184"/>
      <c r="E857" s="184"/>
      <c r="F857" s="184"/>
      <c r="G857" s="184"/>
      <c r="H857" s="184"/>
      <c r="I857" s="184"/>
      <c r="J857" s="184"/>
      <c r="K857" s="184"/>
      <c r="L857" s="184"/>
      <c r="M857" s="57"/>
    </row>
    <row r="858" spans="1:13" customFormat="1" ht="32.25" customHeight="1" x14ac:dyDescent="0.25">
      <c r="A858" s="54">
        <v>19</v>
      </c>
      <c r="B858" s="184" t="s">
        <v>352</v>
      </c>
      <c r="C858" s="184"/>
      <c r="D858" s="184"/>
      <c r="E858" s="184"/>
      <c r="F858" s="184"/>
      <c r="G858" s="184"/>
      <c r="H858" s="184"/>
      <c r="I858" s="184"/>
      <c r="J858" s="184"/>
      <c r="K858" s="184"/>
      <c r="L858" s="184"/>
      <c r="M858" s="57"/>
    </row>
    <row r="859" spans="1:13" customFormat="1" ht="15" customHeight="1" x14ac:dyDescent="0.25">
      <c r="A859" s="72" t="s">
        <v>463</v>
      </c>
      <c r="B859" s="290" t="s">
        <v>353</v>
      </c>
      <c r="C859" s="290"/>
      <c r="D859" s="290"/>
      <c r="E859" s="290"/>
      <c r="F859" s="290"/>
      <c r="G859" s="290"/>
      <c r="H859" s="290"/>
      <c r="I859" s="290"/>
      <c r="J859" s="290"/>
      <c r="K859" s="290"/>
      <c r="L859" s="290"/>
      <c r="M859" s="57"/>
    </row>
    <row r="860" spans="1:13" customFormat="1" ht="48" customHeight="1" x14ac:dyDescent="0.25">
      <c r="A860" s="54">
        <v>20</v>
      </c>
      <c r="B860" s="184" t="s">
        <v>367</v>
      </c>
      <c r="C860" s="269"/>
      <c r="D860" s="269"/>
      <c r="E860" s="269"/>
      <c r="F860" s="269"/>
      <c r="G860" s="269"/>
      <c r="H860" s="269"/>
      <c r="I860" s="269"/>
      <c r="J860" s="269"/>
      <c r="K860" s="269"/>
      <c r="L860" s="269"/>
      <c r="M860" s="57"/>
    </row>
    <row r="861" spans="1:13" customFormat="1" ht="15" customHeight="1" x14ac:dyDescent="0.25">
      <c r="A861" s="72" t="s">
        <v>463</v>
      </c>
      <c r="B861" s="289" t="s">
        <v>354</v>
      </c>
      <c r="C861" s="289"/>
      <c r="D861" s="289"/>
      <c r="E861" s="289"/>
      <c r="F861" s="289"/>
      <c r="G861" s="289"/>
      <c r="H861" s="289"/>
      <c r="I861" s="289"/>
      <c r="J861" s="289"/>
      <c r="K861" s="289"/>
      <c r="L861" s="289"/>
      <c r="M861" s="57"/>
    </row>
    <row r="862" spans="1:13" customFormat="1" ht="46.5" customHeight="1" x14ac:dyDescent="0.25">
      <c r="A862" s="54">
        <v>21</v>
      </c>
      <c r="B862" s="184" t="s">
        <v>368</v>
      </c>
      <c r="C862" s="184"/>
      <c r="D862" s="184"/>
      <c r="E862" s="184"/>
      <c r="F862" s="184"/>
      <c r="G862" s="184"/>
      <c r="H862" s="184"/>
      <c r="I862" s="184"/>
      <c r="J862" s="184"/>
      <c r="K862" s="184"/>
      <c r="L862" s="184"/>
      <c r="M862" s="57"/>
    </row>
    <row r="863" spans="1:13" customFormat="1" ht="49.5" customHeight="1" x14ac:dyDescent="0.25">
      <c r="A863" s="54">
        <v>22</v>
      </c>
      <c r="B863" s="184" t="s">
        <v>369</v>
      </c>
      <c r="C863" s="184"/>
      <c r="D863" s="184"/>
      <c r="E863" s="184"/>
      <c r="F863" s="184"/>
      <c r="G863" s="184"/>
      <c r="H863" s="184"/>
      <c r="I863" s="184"/>
      <c r="J863" s="184"/>
      <c r="K863" s="184"/>
      <c r="L863" s="184"/>
      <c r="M863" s="57"/>
    </row>
    <row r="864" spans="1:13" customFormat="1" ht="31.5" customHeight="1" x14ac:dyDescent="0.25">
      <c r="A864" s="54">
        <v>23</v>
      </c>
      <c r="B864" s="184" t="s">
        <v>370</v>
      </c>
      <c r="C864" s="184"/>
      <c r="D864" s="184"/>
      <c r="E864" s="184"/>
      <c r="F864" s="184"/>
      <c r="G864" s="184"/>
      <c r="H864" s="184"/>
      <c r="I864" s="184"/>
      <c r="J864" s="184"/>
      <c r="K864" s="184"/>
      <c r="L864" s="184"/>
      <c r="M864" s="57"/>
    </row>
    <row r="865" spans="1:13" customFormat="1" ht="65.25" customHeight="1" x14ac:dyDescent="0.25">
      <c r="A865" s="54">
        <v>24</v>
      </c>
      <c r="B865" s="184" t="s">
        <v>355</v>
      </c>
      <c r="C865" s="184"/>
      <c r="D865" s="184"/>
      <c r="E865" s="184"/>
      <c r="F865" s="184"/>
      <c r="G865" s="184"/>
      <c r="H865" s="184"/>
      <c r="I865" s="184"/>
      <c r="J865" s="184"/>
      <c r="K865" s="184"/>
      <c r="L865" s="184"/>
      <c r="M865" s="57"/>
    </row>
    <row r="866" spans="1:13" customFormat="1" ht="15" customHeight="1" x14ac:dyDescent="0.25">
      <c r="A866" s="72" t="s">
        <v>463</v>
      </c>
      <c r="B866" s="290" t="s">
        <v>356</v>
      </c>
      <c r="C866" s="290"/>
      <c r="D866" s="290"/>
      <c r="E866" s="290"/>
      <c r="F866" s="290"/>
      <c r="G866" s="290"/>
      <c r="H866" s="290"/>
      <c r="I866" s="290"/>
      <c r="J866" s="290"/>
      <c r="K866" s="290"/>
      <c r="L866" s="290"/>
      <c r="M866" s="57"/>
    </row>
    <row r="867" spans="1:13" customFormat="1" ht="64.5" customHeight="1" x14ac:dyDescent="0.25">
      <c r="A867" s="54">
        <v>25</v>
      </c>
      <c r="B867" s="184" t="s">
        <v>378</v>
      </c>
      <c r="C867" s="269"/>
      <c r="D867" s="269"/>
      <c r="E867" s="269"/>
      <c r="F867" s="269"/>
      <c r="G867" s="269"/>
      <c r="H867" s="269"/>
      <c r="I867" s="269"/>
      <c r="J867" s="269"/>
      <c r="K867" s="269"/>
      <c r="L867" s="269"/>
      <c r="M867" s="57"/>
    </row>
    <row r="868" spans="1:13" customFormat="1" ht="46.5" customHeight="1" x14ac:dyDescent="0.25">
      <c r="A868" s="54">
        <v>26</v>
      </c>
      <c r="B868" s="184" t="s">
        <v>379</v>
      </c>
      <c r="C868" s="269"/>
      <c r="D868" s="269"/>
      <c r="E868" s="269"/>
      <c r="F868" s="269"/>
      <c r="G868" s="269"/>
      <c r="H868" s="269"/>
      <c r="I868" s="269"/>
      <c r="J868" s="269"/>
      <c r="K868" s="269"/>
      <c r="L868" s="269"/>
      <c r="M868" s="57"/>
    </row>
    <row r="869" spans="1:13" customFormat="1" ht="15" customHeight="1" x14ac:dyDescent="0.25">
      <c r="A869" s="72" t="s">
        <v>463</v>
      </c>
      <c r="B869" s="290" t="s">
        <v>357</v>
      </c>
      <c r="C869" s="290"/>
      <c r="D869" s="290"/>
      <c r="E869" s="290"/>
      <c r="F869" s="290"/>
      <c r="G869" s="290"/>
      <c r="H869" s="290"/>
      <c r="I869" s="290"/>
      <c r="J869" s="290"/>
      <c r="K869" s="290"/>
      <c r="L869" s="290"/>
      <c r="M869" s="57"/>
    </row>
    <row r="870" spans="1:13" customFormat="1" ht="33.75" customHeight="1" x14ac:dyDescent="0.25">
      <c r="A870" s="54">
        <v>27</v>
      </c>
      <c r="B870" s="184" t="s">
        <v>380</v>
      </c>
      <c r="C870" s="269"/>
      <c r="D870" s="269"/>
      <c r="E870" s="269"/>
      <c r="F870" s="269"/>
      <c r="G870" s="269"/>
      <c r="H870" s="269"/>
      <c r="I870" s="269"/>
      <c r="J870" s="269"/>
      <c r="K870" s="269"/>
      <c r="L870" s="269"/>
      <c r="M870" s="57"/>
    </row>
    <row r="871" spans="1:13" customFormat="1" ht="32.25" customHeight="1" x14ac:dyDescent="0.25">
      <c r="A871" s="54">
        <v>28</v>
      </c>
      <c r="B871" s="269" t="s">
        <v>424</v>
      </c>
      <c r="C871" s="269"/>
      <c r="D871" s="269"/>
      <c r="E871" s="269"/>
      <c r="F871" s="269"/>
      <c r="G871" s="269"/>
      <c r="H871" s="269"/>
      <c r="I871" s="269"/>
      <c r="J871" s="269"/>
      <c r="K871" s="269"/>
      <c r="L871" s="269"/>
      <c r="M871" s="57"/>
    </row>
    <row r="872" spans="1:13" customFormat="1" ht="30.75" customHeight="1" x14ac:dyDescent="0.25">
      <c r="A872" s="54">
        <v>29</v>
      </c>
      <c r="B872" s="184" t="s">
        <v>381</v>
      </c>
      <c r="C872" s="269"/>
      <c r="D872" s="269"/>
      <c r="E872" s="269"/>
      <c r="F872" s="269"/>
      <c r="G872" s="269"/>
      <c r="H872" s="269"/>
      <c r="I872" s="269"/>
      <c r="J872" s="269"/>
      <c r="K872" s="269"/>
      <c r="L872" s="269"/>
      <c r="M872" s="57"/>
    </row>
    <row r="873" spans="1:13" customFormat="1" ht="32.25" customHeight="1" x14ac:dyDescent="0.25">
      <c r="A873" s="54">
        <v>30</v>
      </c>
      <c r="B873" s="184" t="s">
        <v>382</v>
      </c>
      <c r="C873" s="269"/>
      <c r="D873" s="269"/>
      <c r="E873" s="269"/>
      <c r="F873" s="269"/>
      <c r="G873" s="269"/>
      <c r="H873" s="269"/>
      <c r="I873" s="269"/>
      <c r="J873" s="269"/>
      <c r="K873" s="269"/>
      <c r="L873" s="269"/>
      <c r="M873" s="57"/>
    </row>
    <row r="874" spans="1:13" customFormat="1" x14ac:dyDescent="0.25">
      <c r="A874" s="72" t="s">
        <v>463</v>
      </c>
      <c r="B874" s="290" t="s">
        <v>281</v>
      </c>
      <c r="C874" s="290"/>
      <c r="D874" s="290"/>
      <c r="E874" s="290"/>
      <c r="F874" s="290"/>
      <c r="G874" s="290"/>
      <c r="H874" s="290"/>
      <c r="I874" s="290"/>
      <c r="J874" s="290"/>
      <c r="K874" s="290"/>
      <c r="L874" s="290"/>
      <c r="M874" s="57"/>
    </row>
    <row r="875" spans="1:13" customFormat="1" ht="33.75" customHeight="1" x14ac:dyDescent="0.25">
      <c r="A875" s="54">
        <v>31</v>
      </c>
      <c r="B875" s="184" t="s">
        <v>383</v>
      </c>
      <c r="C875" s="269"/>
      <c r="D875" s="269"/>
      <c r="E875" s="269"/>
      <c r="F875" s="269"/>
      <c r="G875" s="269"/>
      <c r="H875" s="269"/>
      <c r="I875" s="269"/>
      <c r="J875" s="269"/>
      <c r="K875" s="269"/>
      <c r="L875" s="269"/>
      <c r="M875" s="57"/>
    </row>
    <row r="876" spans="1:13" customFormat="1" x14ac:dyDescent="0.25">
      <c r="A876" s="54">
        <v>32</v>
      </c>
      <c r="B876" s="184" t="s">
        <v>384</v>
      </c>
      <c r="C876" s="269"/>
      <c r="D876" s="269"/>
      <c r="E876" s="269"/>
      <c r="F876" s="269"/>
      <c r="G876" s="269"/>
      <c r="H876" s="269"/>
      <c r="I876" s="269"/>
      <c r="J876" s="269"/>
      <c r="K876" s="269"/>
      <c r="L876" s="269"/>
      <c r="M876" s="57"/>
    </row>
    <row r="877" spans="1:13" customFormat="1" ht="59.25" customHeight="1" x14ac:dyDescent="0.25">
      <c r="A877" s="293"/>
      <c r="B877" s="294" t="s">
        <v>358</v>
      </c>
      <c r="C877" s="295"/>
      <c r="D877" s="295"/>
      <c r="E877" s="295"/>
      <c r="F877" s="296"/>
      <c r="G877" s="297"/>
      <c r="H877" s="298"/>
      <c r="I877" s="298"/>
      <c r="J877" s="298"/>
      <c r="K877" s="298"/>
      <c r="L877" s="299"/>
    </row>
    <row r="878" spans="1:13" customFormat="1" x14ac:dyDescent="0.25">
      <c r="A878" s="276"/>
      <c r="B878" s="300" t="s">
        <v>359</v>
      </c>
      <c r="C878" s="301"/>
      <c r="D878" s="301"/>
      <c r="E878" s="301"/>
      <c r="F878" s="302"/>
      <c r="G878" s="306" t="s">
        <v>360</v>
      </c>
      <c r="H878" s="307"/>
      <c r="I878" s="307"/>
      <c r="J878" s="307"/>
      <c r="K878" s="307"/>
      <c r="L878" s="308"/>
    </row>
    <row r="879" spans="1:13" customFormat="1" ht="85.5" customHeight="1" x14ac:dyDescent="0.25">
      <c r="A879" s="276"/>
      <c r="B879" s="303"/>
      <c r="C879" s="304"/>
      <c r="D879" s="304"/>
      <c r="E879" s="304"/>
      <c r="F879" s="305"/>
      <c r="G879" s="309" t="s">
        <v>443</v>
      </c>
      <c r="H879" s="310"/>
      <c r="I879" s="310"/>
      <c r="J879" s="310"/>
      <c r="K879" s="310"/>
      <c r="L879" s="311"/>
    </row>
    <row r="880" spans="1:13" s="49" customFormat="1" ht="31.5" customHeight="1" x14ac:dyDescent="0.25">
      <c r="A880" s="276"/>
      <c r="B880" s="291" t="s">
        <v>284</v>
      </c>
      <c r="C880" s="291"/>
      <c r="D880" s="291" t="s">
        <v>285</v>
      </c>
      <c r="E880" s="291"/>
      <c r="F880" s="291"/>
      <c r="G880" s="291" t="s">
        <v>231</v>
      </c>
      <c r="H880" s="291"/>
      <c r="I880" s="312" t="str">
        <f ca="1">TEXT(TODAY(),"DD/MM/YYYY")</f>
        <v>29/07/2025</v>
      </c>
      <c r="J880" s="312"/>
      <c r="K880" s="312"/>
      <c r="L880" s="312"/>
    </row>
    <row r="881" spans="1:12" ht="15" customHeight="1" x14ac:dyDescent="0.25">
      <c r="A881" s="12"/>
    </row>
    <row r="882" spans="1:12" x14ac:dyDescent="0.25">
      <c r="A882" s="12"/>
      <c r="B882" s="55"/>
      <c r="C882" s="55"/>
      <c r="D882" s="55"/>
      <c r="E882" s="55"/>
      <c r="F882" s="55"/>
      <c r="G882" s="55"/>
      <c r="H882" s="55"/>
      <c r="I882" s="55"/>
      <c r="J882" s="55"/>
      <c r="K882" s="55"/>
      <c r="L882" s="55"/>
    </row>
  </sheetData>
  <mergeCells count="902">
    <mergeCell ref="K318:L318"/>
    <mergeCell ref="B320:B329"/>
    <mergeCell ref="K320:L320"/>
    <mergeCell ref="K321:L321"/>
    <mergeCell ref="K322:L322"/>
    <mergeCell ref="K323:L323"/>
    <mergeCell ref="K324:L324"/>
    <mergeCell ref="K325:L325"/>
    <mergeCell ref="K326:L326"/>
    <mergeCell ref="K327:L327"/>
    <mergeCell ref="K328:L328"/>
    <mergeCell ref="K329:L329"/>
    <mergeCell ref="K319:L319"/>
    <mergeCell ref="B310:B319"/>
    <mergeCell ref="K310:L310"/>
    <mergeCell ref="K311:L311"/>
    <mergeCell ref="K312:L312"/>
    <mergeCell ref="K307:L307"/>
    <mergeCell ref="K308:L308"/>
    <mergeCell ref="K309:L309"/>
    <mergeCell ref="K300:L300"/>
    <mergeCell ref="K301:L301"/>
    <mergeCell ref="K302:L302"/>
    <mergeCell ref="K315:L315"/>
    <mergeCell ref="K316:L316"/>
    <mergeCell ref="K317:L317"/>
    <mergeCell ref="I760:K760"/>
    <mergeCell ref="C760:H760"/>
    <mergeCell ref="C602:D602"/>
    <mergeCell ref="C603:D603"/>
    <mergeCell ref="C604:D604"/>
    <mergeCell ref="K392:L392"/>
    <mergeCell ref="C422:F422"/>
    <mergeCell ref="B453:L453"/>
    <mergeCell ref="A609:H609"/>
    <mergeCell ref="K609:L609"/>
    <mergeCell ref="A608:H608"/>
    <mergeCell ref="C601:D601"/>
    <mergeCell ref="C411:F411"/>
    <mergeCell ref="C412:F412"/>
    <mergeCell ref="A408:B408"/>
    <mergeCell ref="A409:B409"/>
    <mergeCell ref="A417:B417"/>
    <mergeCell ref="C417:F417"/>
    <mergeCell ref="A439:L439"/>
    <mergeCell ref="F396:G396"/>
    <mergeCell ref="I396:J396"/>
    <mergeCell ref="K396:L396"/>
    <mergeCell ref="I400:J400"/>
    <mergeCell ref="I401:J401"/>
    <mergeCell ref="I392:J392"/>
    <mergeCell ref="I394:J394"/>
    <mergeCell ref="A390:L390"/>
    <mergeCell ref="A420:B420"/>
    <mergeCell ref="C420:F420"/>
    <mergeCell ref="A130:A131"/>
    <mergeCell ref="B130:F131"/>
    <mergeCell ref="B234:B251"/>
    <mergeCell ref="B290:B299"/>
    <mergeCell ref="B300:B309"/>
    <mergeCell ref="D290:J290"/>
    <mergeCell ref="D299:J299"/>
    <mergeCell ref="B272:B282"/>
    <mergeCell ref="A261:L261"/>
    <mergeCell ref="A262:L262"/>
    <mergeCell ref="K297:L297"/>
    <mergeCell ref="K298:L298"/>
    <mergeCell ref="K299:L299"/>
    <mergeCell ref="K291:L291"/>
    <mergeCell ref="K313:L313"/>
    <mergeCell ref="K314:L314"/>
    <mergeCell ref="B183:D183"/>
    <mergeCell ref="E183:L183"/>
    <mergeCell ref="I130:L130"/>
    <mergeCell ref="I131:L131"/>
    <mergeCell ref="A393:L393"/>
    <mergeCell ref="F401:G401"/>
    <mergeCell ref="E185:I185"/>
    <mergeCell ref="E186:I186"/>
    <mergeCell ref="D201:E201"/>
    <mergeCell ref="J214:L214"/>
    <mergeCell ref="A283:L283"/>
    <mergeCell ref="A418:B418"/>
    <mergeCell ref="C418:F418"/>
    <mergeCell ref="A419:B419"/>
    <mergeCell ref="C419:F419"/>
    <mergeCell ref="K401:L401"/>
    <mergeCell ref="A398:L398"/>
    <mergeCell ref="A400:B400"/>
    <mergeCell ref="F400:G400"/>
    <mergeCell ref="K400:L400"/>
    <mergeCell ref="K397:L397"/>
    <mergeCell ref="A403:F403"/>
    <mergeCell ref="G403:L403"/>
    <mergeCell ref="F394:G394"/>
    <mergeCell ref="K394:L394"/>
    <mergeCell ref="A416:B416"/>
    <mergeCell ref="K303:L303"/>
    <mergeCell ref="K304:L304"/>
    <mergeCell ref="K305:L305"/>
    <mergeCell ref="K306:L306"/>
    <mergeCell ref="A223:C223"/>
    <mergeCell ref="D223:F223"/>
    <mergeCell ref="B263:B271"/>
    <mergeCell ref="J284:J286"/>
    <mergeCell ref="I284:I285"/>
    <mergeCell ref="A427:B427"/>
    <mergeCell ref="C427:F427"/>
    <mergeCell ref="A428:B428"/>
    <mergeCell ref="B184:D184"/>
    <mergeCell ref="B185:D185"/>
    <mergeCell ref="B186:D187"/>
    <mergeCell ref="E187:L187"/>
    <mergeCell ref="D209:E209"/>
    <mergeCell ref="A216:L216"/>
    <mergeCell ref="J222:L222"/>
    <mergeCell ref="D200:L200"/>
    <mergeCell ref="D204:E204"/>
    <mergeCell ref="D205:E205"/>
    <mergeCell ref="D206:E206"/>
    <mergeCell ref="D207:E207"/>
    <mergeCell ref="K184:L184"/>
    <mergeCell ref="K185:L185"/>
    <mergeCell ref="K186:L186"/>
    <mergeCell ref="E184:I184"/>
    <mergeCell ref="B123:L123"/>
    <mergeCell ref="G118:L118"/>
    <mergeCell ref="B153:L153"/>
    <mergeCell ref="G149:L149"/>
    <mergeCell ref="G150:L150"/>
    <mergeCell ref="G151:L151"/>
    <mergeCell ref="B150:F150"/>
    <mergeCell ref="K134:L134"/>
    <mergeCell ref="G135:H135"/>
    <mergeCell ref="K135:L135"/>
    <mergeCell ref="B145:F145"/>
    <mergeCell ref="B146:F147"/>
    <mergeCell ref="B133:F138"/>
    <mergeCell ref="G134:H134"/>
    <mergeCell ref="K137:L137"/>
    <mergeCell ref="G138:H138"/>
    <mergeCell ref="K138:L138"/>
    <mergeCell ref="I134:J134"/>
    <mergeCell ref="I135:J135"/>
    <mergeCell ref="I137:J137"/>
    <mergeCell ref="I138:J138"/>
    <mergeCell ref="G136:L136"/>
    <mergeCell ref="B139:L139"/>
    <mergeCell ref="G133:L133"/>
    <mergeCell ref="G110:L110"/>
    <mergeCell ref="G103:L103"/>
    <mergeCell ref="G104:L104"/>
    <mergeCell ref="G113:L113"/>
    <mergeCell ref="B119:F119"/>
    <mergeCell ref="G119:L119"/>
    <mergeCell ref="B121:F121"/>
    <mergeCell ref="G121:L121"/>
    <mergeCell ref="B120:F120"/>
    <mergeCell ref="G120:L120"/>
    <mergeCell ref="B107:F107"/>
    <mergeCell ref="G107:L107"/>
    <mergeCell ref="B115:F115"/>
    <mergeCell ref="G115:L115"/>
    <mergeCell ref="G105:L105"/>
    <mergeCell ref="A98:L98"/>
    <mergeCell ref="A102:A105"/>
    <mergeCell ref="B102:F105"/>
    <mergeCell ref="A168:A174"/>
    <mergeCell ref="G116:L116"/>
    <mergeCell ref="B117:F117"/>
    <mergeCell ref="G117:L117"/>
    <mergeCell ref="B118:F118"/>
    <mergeCell ref="B452:L452"/>
    <mergeCell ref="A287:L287"/>
    <mergeCell ref="A288:L288"/>
    <mergeCell ref="A401:B401"/>
    <mergeCell ref="B114:F114"/>
    <mergeCell ref="G114:L114"/>
    <mergeCell ref="B116:F116"/>
    <mergeCell ref="A402:L402"/>
    <mergeCell ref="A414:F414"/>
    <mergeCell ref="G404:L404"/>
    <mergeCell ref="A405:F405"/>
    <mergeCell ref="G405:L405"/>
    <mergeCell ref="G169:L174"/>
    <mergeCell ref="B113:F113"/>
    <mergeCell ref="G137:H137"/>
    <mergeCell ref="J147:L147"/>
    <mergeCell ref="B95:F96"/>
    <mergeCell ref="B64:F64"/>
    <mergeCell ref="G64:L64"/>
    <mergeCell ref="B66:F66"/>
    <mergeCell ref="G66:L66"/>
    <mergeCell ref="B69:F69"/>
    <mergeCell ref="G72:L72"/>
    <mergeCell ref="B73:F73"/>
    <mergeCell ref="G73:L73"/>
    <mergeCell ref="B74:F74"/>
    <mergeCell ref="G74:L74"/>
    <mergeCell ref="J86:L86"/>
    <mergeCell ref="J87:L87"/>
    <mergeCell ref="J88:L88"/>
    <mergeCell ref="J89:L89"/>
    <mergeCell ref="B75:L75"/>
    <mergeCell ref="B81:L81"/>
    <mergeCell ref="K82:L82"/>
    <mergeCell ref="B77:F77"/>
    <mergeCell ref="G77:L77"/>
    <mergeCell ref="B78:F78"/>
    <mergeCell ref="G78:L78"/>
    <mergeCell ref="J96:L96"/>
    <mergeCell ref="G83:H83"/>
    <mergeCell ref="B160:F160"/>
    <mergeCell ref="B157:F157"/>
    <mergeCell ref="B155:F155"/>
    <mergeCell ref="B156:F156"/>
    <mergeCell ref="G215:I215"/>
    <mergeCell ref="A164:A167"/>
    <mergeCell ref="A186:A187"/>
    <mergeCell ref="B149:F149"/>
    <mergeCell ref="B152:L152"/>
    <mergeCell ref="B151:F151"/>
    <mergeCell ref="G155:L155"/>
    <mergeCell ref="G156:L156"/>
    <mergeCell ref="G162:L162"/>
    <mergeCell ref="B162:F162"/>
    <mergeCell ref="G160:L160"/>
    <mergeCell ref="G161:L161"/>
    <mergeCell ref="G157:L157"/>
    <mergeCell ref="G158:L158"/>
    <mergeCell ref="G159:L159"/>
    <mergeCell ref="B161:F161"/>
    <mergeCell ref="B168:L168"/>
    <mergeCell ref="B164:L164"/>
    <mergeCell ref="A175:A181"/>
    <mergeCell ref="B182:L182"/>
    <mergeCell ref="B169:F169"/>
    <mergeCell ref="B170:F170"/>
    <mergeCell ref="B171:F171"/>
    <mergeCell ref="B163:F163"/>
    <mergeCell ref="B226:F226"/>
    <mergeCell ref="D221:F221"/>
    <mergeCell ref="G221:I221"/>
    <mergeCell ref="J221:L221"/>
    <mergeCell ref="A222:C222"/>
    <mergeCell ref="D222:F222"/>
    <mergeCell ref="G222:I222"/>
    <mergeCell ref="J215:L215"/>
    <mergeCell ref="G213:I213"/>
    <mergeCell ref="D213:F213"/>
    <mergeCell ref="A213:C213"/>
    <mergeCell ref="G163:L163"/>
    <mergeCell ref="A212:L212"/>
    <mergeCell ref="J213:L213"/>
    <mergeCell ref="B196:F196"/>
    <mergeCell ref="J193:L193"/>
    <mergeCell ref="G176:L181"/>
    <mergeCell ref="B175:L175"/>
    <mergeCell ref="B195:F195"/>
    <mergeCell ref="A220:L220"/>
    <mergeCell ref="A122:L122"/>
    <mergeCell ref="A124:A127"/>
    <mergeCell ref="G125:L125"/>
    <mergeCell ref="A397:B397"/>
    <mergeCell ref="I395:J395"/>
    <mergeCell ref="I397:J397"/>
    <mergeCell ref="A394:B396"/>
    <mergeCell ref="J219:L219"/>
    <mergeCell ref="A232:L232"/>
    <mergeCell ref="A229:A231"/>
    <mergeCell ref="A227:L227"/>
    <mergeCell ref="A219:C219"/>
    <mergeCell ref="D219:F219"/>
    <mergeCell ref="G219:I219"/>
    <mergeCell ref="A221:C221"/>
    <mergeCell ref="A284:A286"/>
    <mergeCell ref="B284:B286"/>
    <mergeCell ref="F395:G395"/>
    <mergeCell ref="K395:L395"/>
    <mergeCell ref="A133:A138"/>
    <mergeCell ref="A146:A147"/>
    <mergeCell ref="B140:L140"/>
    <mergeCell ref="G146:I146"/>
    <mergeCell ref="B143:F143"/>
    <mergeCell ref="B90:F90"/>
    <mergeCell ref="K85:L85"/>
    <mergeCell ref="B91:F91"/>
    <mergeCell ref="G91:L91"/>
    <mergeCell ref="J90:L90"/>
    <mergeCell ref="E82:F82"/>
    <mergeCell ref="E83:F83"/>
    <mergeCell ref="A95:A96"/>
    <mergeCell ref="B124:F124"/>
    <mergeCell ref="G124:L124"/>
    <mergeCell ref="B112:F112"/>
    <mergeCell ref="G112:L112"/>
    <mergeCell ref="B101:F101"/>
    <mergeCell ref="G101:L101"/>
    <mergeCell ref="B111:F111"/>
    <mergeCell ref="G111:L111"/>
    <mergeCell ref="B108:F108"/>
    <mergeCell ref="G108:L108"/>
    <mergeCell ref="B109:F109"/>
    <mergeCell ref="G109:L109"/>
    <mergeCell ref="B110:F110"/>
    <mergeCell ref="G102:L102"/>
    <mergeCell ref="B106:F106"/>
    <mergeCell ref="G106:L106"/>
    <mergeCell ref="B72:F72"/>
    <mergeCell ref="E84:F84"/>
    <mergeCell ref="I85:J85"/>
    <mergeCell ref="B59:F59"/>
    <mergeCell ref="G59:L59"/>
    <mergeCell ref="A61:L61"/>
    <mergeCell ref="G84:H84"/>
    <mergeCell ref="B76:F76"/>
    <mergeCell ref="B97:F97"/>
    <mergeCell ref="G97:L97"/>
    <mergeCell ref="E85:F85"/>
    <mergeCell ref="A82:D82"/>
    <mergeCell ref="A83:D83"/>
    <mergeCell ref="A84:D84"/>
    <mergeCell ref="A85:D85"/>
    <mergeCell ref="G86:I86"/>
    <mergeCell ref="G87:I87"/>
    <mergeCell ref="G88:I88"/>
    <mergeCell ref="B92:F92"/>
    <mergeCell ref="G92:L92"/>
    <mergeCell ref="B86:F86"/>
    <mergeCell ref="B87:F87"/>
    <mergeCell ref="B88:F88"/>
    <mergeCell ref="B89:F89"/>
    <mergeCell ref="G90:I90"/>
    <mergeCell ref="G76:L76"/>
    <mergeCell ref="B49:D49"/>
    <mergeCell ref="B62:F62"/>
    <mergeCell ref="G62:L62"/>
    <mergeCell ref="G54:L54"/>
    <mergeCell ref="B57:F58"/>
    <mergeCell ref="B52:F52"/>
    <mergeCell ref="G52:L52"/>
    <mergeCell ref="B53:F53"/>
    <mergeCell ref="G53:L53"/>
    <mergeCell ref="A51:L51"/>
    <mergeCell ref="A53:A54"/>
    <mergeCell ref="B55:F55"/>
    <mergeCell ref="G55:L55"/>
    <mergeCell ref="G56:L56"/>
    <mergeCell ref="B60:F60"/>
    <mergeCell ref="G60:L60"/>
    <mergeCell ref="G57:L58"/>
    <mergeCell ref="A57:A58"/>
    <mergeCell ref="A75:A77"/>
    <mergeCell ref="G63:L63"/>
    <mergeCell ref="G69:L69"/>
    <mergeCell ref="A71:A74"/>
    <mergeCell ref="A93:A94"/>
    <mergeCell ref="B93:F94"/>
    <mergeCell ref="B79:F79"/>
    <mergeCell ref="G79:L79"/>
    <mergeCell ref="B99:F99"/>
    <mergeCell ref="G99:L99"/>
    <mergeCell ref="B100:F100"/>
    <mergeCell ref="G100:L100"/>
    <mergeCell ref="J93:L93"/>
    <mergeCell ref="G93:I93"/>
    <mergeCell ref="G94:I94"/>
    <mergeCell ref="G95:I95"/>
    <mergeCell ref="G96:I96"/>
    <mergeCell ref="J94:L94"/>
    <mergeCell ref="J95:L95"/>
    <mergeCell ref="K83:L83"/>
    <mergeCell ref="K84:L84"/>
    <mergeCell ref="G82:H82"/>
    <mergeCell ref="I82:J82"/>
    <mergeCell ref="I84:J84"/>
    <mergeCell ref="G85:H85"/>
    <mergeCell ref="A86:A90"/>
    <mergeCell ref="I83:J83"/>
    <mergeCell ref="G89:I89"/>
    <mergeCell ref="B63:F63"/>
    <mergeCell ref="F397:G397"/>
    <mergeCell ref="F392:G392"/>
    <mergeCell ref="B65:F65"/>
    <mergeCell ref="G65:L65"/>
    <mergeCell ref="B67:F67"/>
    <mergeCell ref="G67:L67"/>
    <mergeCell ref="B68:F68"/>
    <mergeCell ref="G68:L68"/>
    <mergeCell ref="B70:F70"/>
    <mergeCell ref="G70:L70"/>
    <mergeCell ref="B71:F71"/>
    <mergeCell ref="G71:L71"/>
    <mergeCell ref="B80:F80"/>
    <mergeCell ref="G80:L80"/>
    <mergeCell ref="B158:F158"/>
    <mergeCell ref="B159:F159"/>
    <mergeCell ref="G129:L129"/>
    <mergeCell ref="B132:F132"/>
    <mergeCell ref="G132:L132"/>
    <mergeCell ref="G126:L126"/>
    <mergeCell ref="B127:F127"/>
    <mergeCell ref="B148:F148"/>
    <mergeCell ref="G148:L148"/>
    <mergeCell ref="A2:L2"/>
    <mergeCell ref="A4:L4"/>
    <mergeCell ref="A6:L6"/>
    <mergeCell ref="A8:L8"/>
    <mergeCell ref="A39:L39"/>
    <mergeCell ref="A37:L37"/>
    <mergeCell ref="A30:L30"/>
    <mergeCell ref="B56:F56"/>
    <mergeCell ref="A43:L44"/>
    <mergeCell ref="A31:L31"/>
    <mergeCell ref="A33:L33"/>
    <mergeCell ref="A34:L34"/>
    <mergeCell ref="A35:L35"/>
    <mergeCell ref="G47:L47"/>
    <mergeCell ref="G49:L49"/>
    <mergeCell ref="A42:L42"/>
    <mergeCell ref="A32:L32"/>
    <mergeCell ref="A10:L10"/>
    <mergeCell ref="A9:L9"/>
    <mergeCell ref="K45:L45"/>
    <mergeCell ref="B47:D47"/>
    <mergeCell ref="B54:F54"/>
    <mergeCell ref="G143:L143"/>
    <mergeCell ref="G147:I147"/>
    <mergeCell ref="G144:L144"/>
    <mergeCell ref="G145:L145"/>
    <mergeCell ref="B141:F141"/>
    <mergeCell ref="G141:L141"/>
    <mergeCell ref="B142:F142"/>
    <mergeCell ref="G142:L142"/>
    <mergeCell ref="J146:L146"/>
    <mergeCell ref="B144:F144"/>
    <mergeCell ref="B129:F129"/>
    <mergeCell ref="B125:F125"/>
    <mergeCell ref="G127:L127"/>
    <mergeCell ref="B128:F128"/>
    <mergeCell ref="G128:L128"/>
    <mergeCell ref="B180:F180"/>
    <mergeCell ref="B181:F181"/>
    <mergeCell ref="B177:F177"/>
    <mergeCell ref="B178:F178"/>
    <mergeCell ref="B179:F179"/>
    <mergeCell ref="B174:F174"/>
    <mergeCell ref="B176:F176"/>
    <mergeCell ref="B172:F172"/>
    <mergeCell ref="B173:F173"/>
    <mergeCell ref="B165:F165"/>
    <mergeCell ref="B166:F166"/>
    <mergeCell ref="B167:F167"/>
    <mergeCell ref="G167:L167"/>
    <mergeCell ref="G165:L166"/>
    <mergeCell ref="B154:F154"/>
    <mergeCell ref="G154:L154"/>
    <mergeCell ref="G130:H130"/>
    <mergeCell ref="G131:H131"/>
    <mergeCell ref="B126:F126"/>
    <mergeCell ref="G414:L414"/>
    <mergeCell ref="G415:L424"/>
    <mergeCell ref="G432:L432"/>
    <mergeCell ref="A415:B415"/>
    <mergeCell ref="C415:F415"/>
    <mergeCell ref="A425:L425"/>
    <mergeCell ref="A413:L413"/>
    <mergeCell ref="A431:L431"/>
    <mergeCell ref="A407:F407"/>
    <mergeCell ref="G407:L407"/>
    <mergeCell ref="C430:F430"/>
    <mergeCell ref="C428:F428"/>
    <mergeCell ref="A429:B429"/>
    <mergeCell ref="C429:F429"/>
    <mergeCell ref="A430:B430"/>
    <mergeCell ref="G427:L430"/>
    <mergeCell ref="A426:F426"/>
    <mergeCell ref="G426:L426"/>
    <mergeCell ref="A432:F432"/>
    <mergeCell ref="C408:F408"/>
    <mergeCell ref="C409:F409"/>
    <mergeCell ref="G408:L412"/>
    <mergeCell ref="A410:B410"/>
    <mergeCell ref="C416:F416"/>
    <mergeCell ref="H753:L753"/>
    <mergeCell ref="A756:L756"/>
    <mergeCell ref="A763:L763"/>
    <mergeCell ref="A764:L764"/>
    <mergeCell ref="H747:L747"/>
    <mergeCell ref="K601:L601"/>
    <mergeCell ref="A507:B507"/>
    <mergeCell ref="C445:F445"/>
    <mergeCell ref="A406:L406"/>
    <mergeCell ref="K450:L450"/>
    <mergeCell ref="A448:L448"/>
    <mergeCell ref="A449:L449"/>
    <mergeCell ref="A446:F446"/>
    <mergeCell ref="G446:L446"/>
    <mergeCell ref="A433:B433"/>
    <mergeCell ref="C433:F433"/>
    <mergeCell ref="A434:B434"/>
    <mergeCell ref="C434:F434"/>
    <mergeCell ref="A435:B435"/>
    <mergeCell ref="C435:F435"/>
    <mergeCell ref="G433:L437"/>
    <mergeCell ref="K608:L608"/>
    <mergeCell ref="C410:F410"/>
    <mergeCell ref="C441:F441"/>
    <mergeCell ref="C607:D607"/>
    <mergeCell ref="K604:L604"/>
    <mergeCell ref="A605:B605"/>
    <mergeCell ref="K607:L607"/>
    <mergeCell ref="K602:L602"/>
    <mergeCell ref="I746:K746"/>
    <mergeCell ref="I752:K752"/>
    <mergeCell ref="A423:B423"/>
    <mergeCell ref="C600:D600"/>
    <mergeCell ref="A606:B606"/>
    <mergeCell ref="K606:L606"/>
    <mergeCell ref="A442:B442"/>
    <mergeCell ref="C442:F442"/>
    <mergeCell ref="C423:F423"/>
    <mergeCell ref="A424:B424"/>
    <mergeCell ref="C424:F424"/>
    <mergeCell ref="A451:L451"/>
    <mergeCell ref="A603:B603"/>
    <mergeCell ref="K603:L603"/>
    <mergeCell ref="A604:B604"/>
    <mergeCell ref="K600:L600"/>
    <mergeCell ref="A600:B600"/>
    <mergeCell ref="A601:B601"/>
    <mergeCell ref="A441:B441"/>
    <mergeCell ref="B822:L822"/>
    <mergeCell ref="B823:L823"/>
    <mergeCell ref="B833:L833"/>
    <mergeCell ref="B834:L834"/>
    <mergeCell ref="B824:L824"/>
    <mergeCell ref="B825:L825"/>
    <mergeCell ref="A828:L828"/>
    <mergeCell ref="B830:L830"/>
    <mergeCell ref="B831:L831"/>
    <mergeCell ref="B832:L832"/>
    <mergeCell ref="B829:L829"/>
    <mergeCell ref="A827:L827"/>
    <mergeCell ref="B862:L862"/>
    <mergeCell ref="B845:L845"/>
    <mergeCell ref="B846:L846"/>
    <mergeCell ref="B873:L873"/>
    <mergeCell ref="B874:L874"/>
    <mergeCell ref="B875:L875"/>
    <mergeCell ref="B876:L876"/>
    <mergeCell ref="A877:A880"/>
    <mergeCell ref="B877:F877"/>
    <mergeCell ref="G877:L877"/>
    <mergeCell ref="B878:F879"/>
    <mergeCell ref="G878:L878"/>
    <mergeCell ref="G879:L879"/>
    <mergeCell ref="B880:C880"/>
    <mergeCell ref="D880:F880"/>
    <mergeCell ref="G880:H880"/>
    <mergeCell ref="I880:L880"/>
    <mergeCell ref="B847:L847"/>
    <mergeCell ref="B848:L848"/>
    <mergeCell ref="B849:L849"/>
    <mergeCell ref="B850:L850"/>
    <mergeCell ref="B851:L851"/>
    <mergeCell ref="B852:L852"/>
    <mergeCell ref="B853:L853"/>
    <mergeCell ref="B854:L854"/>
    <mergeCell ref="B855:L855"/>
    <mergeCell ref="B856:L856"/>
    <mergeCell ref="B857:L857"/>
    <mergeCell ref="B858:L858"/>
    <mergeCell ref="B859:L859"/>
    <mergeCell ref="B860:L860"/>
    <mergeCell ref="B861:L861"/>
    <mergeCell ref="B798:F798"/>
    <mergeCell ref="G798:L798"/>
    <mergeCell ref="A836:L836"/>
    <mergeCell ref="B837:L837"/>
    <mergeCell ref="B838:L838"/>
    <mergeCell ref="B839:L839"/>
    <mergeCell ref="B840:L840"/>
    <mergeCell ref="B841:L841"/>
    <mergeCell ref="B842:L842"/>
    <mergeCell ref="B843:L843"/>
    <mergeCell ref="B844:L844"/>
    <mergeCell ref="A835:L835"/>
    <mergeCell ref="B810:L810"/>
    <mergeCell ref="B811:L811"/>
    <mergeCell ref="B812:L812"/>
    <mergeCell ref="B813:L813"/>
    <mergeCell ref="B872:L872"/>
    <mergeCell ref="B863:L863"/>
    <mergeCell ref="B864:L864"/>
    <mergeCell ref="B865:L865"/>
    <mergeCell ref="B866:L866"/>
    <mergeCell ref="B867:L867"/>
    <mergeCell ref="B868:L868"/>
    <mergeCell ref="B869:L869"/>
    <mergeCell ref="B870:L870"/>
    <mergeCell ref="B871:L871"/>
    <mergeCell ref="B793:F793"/>
    <mergeCell ref="G793:L793"/>
    <mergeCell ref="B778:L778"/>
    <mergeCell ref="B779:L779"/>
    <mergeCell ref="B780:L780"/>
    <mergeCell ref="B781:L781"/>
    <mergeCell ref="B782:L782"/>
    <mergeCell ref="B783:L783"/>
    <mergeCell ref="B454:L454"/>
    <mergeCell ref="B457:L457"/>
    <mergeCell ref="B455:L455"/>
    <mergeCell ref="B456:L456"/>
    <mergeCell ref="B460:L460"/>
    <mergeCell ref="B784:L784"/>
    <mergeCell ref="B785:L785"/>
    <mergeCell ref="B786:L786"/>
    <mergeCell ref="B788:L788"/>
    <mergeCell ref="B789:L789"/>
    <mergeCell ref="B790:L790"/>
    <mergeCell ref="B766:L766"/>
    <mergeCell ref="B767:L767"/>
    <mergeCell ref="B768:L768"/>
    <mergeCell ref="B769:L769"/>
    <mergeCell ref="B770:L770"/>
    <mergeCell ref="A750:L750"/>
    <mergeCell ref="A737:L737"/>
    <mergeCell ref="A450:I450"/>
    <mergeCell ref="B787:L787"/>
    <mergeCell ref="B775:L775"/>
    <mergeCell ref="B776:L776"/>
    <mergeCell ref="B777:L777"/>
    <mergeCell ref="B791:L791"/>
    <mergeCell ref="B792:F792"/>
    <mergeCell ref="G792:L792"/>
    <mergeCell ref="B771:L771"/>
    <mergeCell ref="B772:L772"/>
    <mergeCell ref="B773:L773"/>
    <mergeCell ref="B774:L774"/>
    <mergeCell ref="A765:L765"/>
    <mergeCell ref="A607:B607"/>
    <mergeCell ref="A602:B602"/>
    <mergeCell ref="K605:L605"/>
    <mergeCell ref="A741:B741"/>
    <mergeCell ref="A743:B743"/>
    <mergeCell ref="I759:K759"/>
    <mergeCell ref="C759:H759"/>
    <mergeCell ref="C605:D605"/>
    <mergeCell ref="C606:D606"/>
    <mergeCell ref="A799:A801"/>
    <mergeCell ref="B799:F801"/>
    <mergeCell ref="G799:I799"/>
    <mergeCell ref="G800:I800"/>
    <mergeCell ref="G801:I801"/>
    <mergeCell ref="B794:F794"/>
    <mergeCell ref="G794:L794"/>
    <mergeCell ref="A795:A797"/>
    <mergeCell ref="B795:F795"/>
    <mergeCell ref="G795:L795"/>
    <mergeCell ref="B796:F796"/>
    <mergeCell ref="G796:L796"/>
    <mergeCell ref="B797:F797"/>
    <mergeCell ref="J799:L799"/>
    <mergeCell ref="J800:L800"/>
    <mergeCell ref="J801:L801"/>
    <mergeCell ref="G797:L797"/>
    <mergeCell ref="A809:L809"/>
    <mergeCell ref="B826:L826"/>
    <mergeCell ref="B808:F808"/>
    <mergeCell ref="G808:L808"/>
    <mergeCell ref="B802:F802"/>
    <mergeCell ref="G802:L802"/>
    <mergeCell ref="B803:F803"/>
    <mergeCell ref="G803:L803"/>
    <mergeCell ref="B804:F804"/>
    <mergeCell ref="G804:L804"/>
    <mergeCell ref="B805:F805"/>
    <mergeCell ref="G805:L805"/>
    <mergeCell ref="B806:F806"/>
    <mergeCell ref="G806:L806"/>
    <mergeCell ref="B807:F807"/>
    <mergeCell ref="G807:L807"/>
    <mergeCell ref="B814:L814"/>
    <mergeCell ref="B815:L815"/>
    <mergeCell ref="B816:L816"/>
    <mergeCell ref="B817:L817"/>
    <mergeCell ref="B818:L818"/>
    <mergeCell ref="B819:L819"/>
    <mergeCell ref="B820:L820"/>
    <mergeCell ref="B821:L821"/>
    <mergeCell ref="A447:F447"/>
    <mergeCell ref="G447:L447"/>
    <mergeCell ref="A421:B421"/>
    <mergeCell ref="C421:F421"/>
    <mergeCell ref="B459:L459"/>
    <mergeCell ref="B458:L458"/>
    <mergeCell ref="A438:L438"/>
    <mergeCell ref="G442:L442"/>
    <mergeCell ref="G445:L445"/>
    <mergeCell ref="G443:L443"/>
    <mergeCell ref="G444:L444"/>
    <mergeCell ref="G440:L440"/>
    <mergeCell ref="G441:L441"/>
    <mergeCell ref="A443:B443"/>
    <mergeCell ref="C443:F443"/>
    <mergeCell ref="A444:B444"/>
    <mergeCell ref="C444:F444"/>
    <mergeCell ref="A445:B445"/>
    <mergeCell ref="A436:B436"/>
    <mergeCell ref="C436:F436"/>
    <mergeCell ref="A437:B437"/>
    <mergeCell ref="C437:F437"/>
    <mergeCell ref="A440:B440"/>
    <mergeCell ref="C440:F440"/>
    <mergeCell ref="A412:B412"/>
    <mergeCell ref="A422:B422"/>
    <mergeCell ref="M198:N198"/>
    <mergeCell ref="F202:G202"/>
    <mergeCell ref="H202:I211"/>
    <mergeCell ref="F203:G203"/>
    <mergeCell ref="F204:G204"/>
    <mergeCell ref="F205:G205"/>
    <mergeCell ref="D198:L198"/>
    <mergeCell ref="A198:C198"/>
    <mergeCell ref="F206:G206"/>
    <mergeCell ref="F207:G207"/>
    <mergeCell ref="F208:G208"/>
    <mergeCell ref="F209:G209"/>
    <mergeCell ref="F201:G201"/>
    <mergeCell ref="H201:I201"/>
    <mergeCell ref="D199:E199"/>
    <mergeCell ref="A199:B199"/>
    <mergeCell ref="G199:H199"/>
    <mergeCell ref="A203:C203"/>
    <mergeCell ref="A207:C207"/>
    <mergeCell ref="A208:C208"/>
    <mergeCell ref="A210:C210"/>
    <mergeCell ref="A404:F404"/>
    <mergeCell ref="D208:E208"/>
    <mergeCell ref="D202:E202"/>
    <mergeCell ref="D203:E203"/>
    <mergeCell ref="B194:F194"/>
    <mergeCell ref="G194:L194"/>
    <mergeCell ref="A201:C201"/>
    <mergeCell ref="G196:L196"/>
    <mergeCell ref="G195:L195"/>
    <mergeCell ref="A411:B411"/>
    <mergeCell ref="A399:B399"/>
    <mergeCell ref="F399:G399"/>
    <mergeCell ref="K399:L399"/>
    <mergeCell ref="I399:J399"/>
    <mergeCell ref="C284:C286"/>
    <mergeCell ref="A289:L289"/>
    <mergeCell ref="A391:L391"/>
    <mergeCell ref="A392:B392"/>
    <mergeCell ref="A228:L228"/>
    <mergeCell ref="B252:B260"/>
    <mergeCell ref="E284:E286"/>
    <mergeCell ref="K229:K231"/>
    <mergeCell ref="B229:B231"/>
    <mergeCell ref="C229:C231"/>
    <mergeCell ref="D229:D231"/>
    <mergeCell ref="A204:C204"/>
    <mergeCell ref="A205:C205"/>
    <mergeCell ref="A206:C206"/>
    <mergeCell ref="E193:H193"/>
    <mergeCell ref="B193:D193"/>
    <mergeCell ref="A197:L197"/>
    <mergeCell ref="A202:C202"/>
    <mergeCell ref="J199:K199"/>
    <mergeCell ref="A188:A189"/>
    <mergeCell ref="B188:D189"/>
    <mergeCell ref="E188:I188"/>
    <mergeCell ref="K188:L188"/>
    <mergeCell ref="E189:L189"/>
    <mergeCell ref="A190:A192"/>
    <mergeCell ref="B190:D192"/>
    <mergeCell ref="E190:I191"/>
    <mergeCell ref="K190:L190"/>
    <mergeCell ref="K191:L191"/>
    <mergeCell ref="A200:C200"/>
    <mergeCell ref="J201:L201"/>
    <mergeCell ref="E192:L192"/>
    <mergeCell ref="A218:C218"/>
    <mergeCell ref="A233:L233"/>
    <mergeCell ref="K290:L290"/>
    <mergeCell ref="D210:E210"/>
    <mergeCell ref="D211:E211"/>
    <mergeCell ref="F210:G210"/>
    <mergeCell ref="G223:I223"/>
    <mergeCell ref="J223:L223"/>
    <mergeCell ref="A209:C209"/>
    <mergeCell ref="A217:C217"/>
    <mergeCell ref="D217:F217"/>
    <mergeCell ref="G217:I217"/>
    <mergeCell ref="J217:L217"/>
    <mergeCell ref="J202:L211"/>
    <mergeCell ref="D218:F218"/>
    <mergeCell ref="G218:I218"/>
    <mergeCell ref="J218:L218"/>
    <mergeCell ref="A211:C211"/>
    <mergeCell ref="F211:G211"/>
    <mergeCell ref="A214:C214"/>
    <mergeCell ref="D214:F214"/>
    <mergeCell ref="G214:I214"/>
    <mergeCell ref="A215:C215"/>
    <mergeCell ref="D215:F215"/>
    <mergeCell ref="K292:L292"/>
    <mergeCell ref="K293:L293"/>
    <mergeCell ref="K294:L294"/>
    <mergeCell ref="K295:L295"/>
    <mergeCell ref="K296:L296"/>
    <mergeCell ref="A224:C224"/>
    <mergeCell ref="D224:F224"/>
    <mergeCell ref="G224:I224"/>
    <mergeCell ref="J224:L224"/>
    <mergeCell ref="H229:H231"/>
    <mergeCell ref="K284:L286"/>
    <mergeCell ref="J229:J231"/>
    <mergeCell ref="L229:L231"/>
    <mergeCell ref="I229:I230"/>
    <mergeCell ref="G226:L226"/>
    <mergeCell ref="E229:E231"/>
    <mergeCell ref="F229:F231"/>
    <mergeCell ref="G229:G231"/>
    <mergeCell ref="D284:D286"/>
    <mergeCell ref="F284:F286"/>
    <mergeCell ref="A225:C225"/>
    <mergeCell ref="D225:F225"/>
    <mergeCell ref="G225:I225"/>
    <mergeCell ref="J225:L225"/>
    <mergeCell ref="B330:B339"/>
    <mergeCell ref="K330:L330"/>
    <mergeCell ref="K331:L331"/>
    <mergeCell ref="K332:L332"/>
    <mergeCell ref="K333:L333"/>
    <mergeCell ref="K334:L334"/>
    <mergeCell ref="K335:L335"/>
    <mergeCell ref="K336:L336"/>
    <mergeCell ref="K337:L337"/>
    <mergeCell ref="K338:L338"/>
    <mergeCell ref="K339:L339"/>
    <mergeCell ref="B350:B359"/>
    <mergeCell ref="K350:L350"/>
    <mergeCell ref="K351:L351"/>
    <mergeCell ref="K352:L352"/>
    <mergeCell ref="K353:L353"/>
    <mergeCell ref="K354:L354"/>
    <mergeCell ref="K355:L355"/>
    <mergeCell ref="K356:L356"/>
    <mergeCell ref="K357:L357"/>
    <mergeCell ref="K358:L358"/>
    <mergeCell ref="K359:L359"/>
    <mergeCell ref="B360:B369"/>
    <mergeCell ref="K360:L360"/>
    <mergeCell ref="K361:L361"/>
    <mergeCell ref="K362:L362"/>
    <mergeCell ref="K363:L363"/>
    <mergeCell ref="K364:L364"/>
    <mergeCell ref="K365:L365"/>
    <mergeCell ref="K366:L366"/>
    <mergeCell ref="K367:L367"/>
    <mergeCell ref="K368:L368"/>
    <mergeCell ref="K369:L369"/>
    <mergeCell ref="B370:B379"/>
    <mergeCell ref="K370:L370"/>
    <mergeCell ref="K371:L371"/>
    <mergeCell ref="K372:L372"/>
    <mergeCell ref="K373:L373"/>
    <mergeCell ref="K374:L374"/>
    <mergeCell ref="K375:L375"/>
    <mergeCell ref="K376:L376"/>
    <mergeCell ref="K377:L377"/>
    <mergeCell ref="K378:L378"/>
    <mergeCell ref="K379:L379"/>
    <mergeCell ref="B340:B349"/>
    <mergeCell ref="K340:L340"/>
    <mergeCell ref="K341:L341"/>
    <mergeCell ref="K342:L342"/>
    <mergeCell ref="K343:L343"/>
    <mergeCell ref="K344:L344"/>
    <mergeCell ref="K345:L345"/>
    <mergeCell ref="K346:L346"/>
    <mergeCell ref="K347:L347"/>
    <mergeCell ref="K348:L348"/>
    <mergeCell ref="K349:L349"/>
    <mergeCell ref="D342:J342"/>
    <mergeCell ref="B380:B389"/>
    <mergeCell ref="K380:L380"/>
    <mergeCell ref="K381:L381"/>
    <mergeCell ref="K382:L382"/>
    <mergeCell ref="K383:L383"/>
    <mergeCell ref="K384:L384"/>
    <mergeCell ref="K385:L385"/>
    <mergeCell ref="K386:L386"/>
    <mergeCell ref="K387:L387"/>
    <mergeCell ref="K388:L388"/>
    <mergeCell ref="K389:L389"/>
    <mergeCell ref="D380:J380"/>
    <mergeCell ref="D382:J382"/>
    <mergeCell ref="D389:J389"/>
  </mergeCells>
  <dataValidations count="16">
    <dataValidation type="list" allowBlank="1" showInputMessage="1" showErrorMessage="1" sqref="G79:L79 G72:L74 G101:L101 G110:L110 G112:L112 G115:L115 G118:L118 G150:L151 G121:L121">
      <formula1>"Yes,No"</formula1>
    </dataValidation>
    <dataValidation type="list" allowBlank="1" showInputMessage="1" showErrorMessage="1" sqref="B62">
      <formula1>"CTS No,Survey No,Plot No,Gut No,FP No,"</formula1>
    </dataValidation>
    <dataValidation type="list" allowBlank="1" showInputMessage="1" showErrorMessage="1" sqref="G77:L77">
      <formula1>"Urban,Semi Urban,Rural"</formula1>
    </dataValidation>
    <dataValidation type="list" allowBlank="1" showInputMessage="1" showErrorMessage="1" sqref="G80:L80">
      <formula1>"Yes,NA"</formula1>
    </dataValidation>
    <dataValidation type="list" allowBlank="1" showInputMessage="1" showErrorMessage="1" sqref="G100:L100">
      <formula1>"Good,Average,Slow,Very Slow"</formula1>
    </dataValidation>
    <dataValidation type="list" allowBlank="1" showInputMessage="1" showErrorMessage="1" sqref="G106:L106">
      <formula1>"Mountains,Valley,Plain,Bodies of Water"</formula1>
    </dataValidation>
    <dataValidation type="list" allowBlank="1" showInputMessage="1" showErrorMessage="1" sqref="G107:L107">
      <formula1>"Regular,Irregular"</formula1>
    </dataValidation>
    <dataValidation type="list" allowBlank="1" showInputMessage="1" showErrorMessage="1" sqref="G111:L111">
      <formula1>"Corner plot,Intermittent plot"</formula1>
    </dataValidation>
    <dataValidation type="list" allowBlank="1" showInputMessage="1" showErrorMessage="1" sqref="G147:J147">
      <formula1>"Excellent,Good,Normal,Poor,N.A. Building Construction Work in process"</formula1>
    </dataValidation>
    <dataValidation type="list" allowBlank="1" showInputMessage="1" showErrorMessage="1" sqref="G142:L142">
      <formula1>"Load bearing,RCC,Steel Framed"</formula1>
    </dataValidation>
    <dataValidation type="list" allowBlank="1" showInputMessage="1" showErrorMessage="1" sqref="G167:L167">
      <formula1>"Traditional Technology,Mivan Technology,Precast Technology"</formula1>
    </dataValidation>
    <dataValidation type="list" allowBlank="1" showInputMessage="1" showErrorMessage="1" sqref="G68:L68">
      <formula1>$O$62:$S$62</formula1>
    </dataValidation>
    <dataValidation type="list" allowBlank="1" showInputMessage="1" showErrorMessage="1" sqref="G67:L67">
      <formula1>OFFSET($O$62,1,MATCH($G68,$O$62:$S$62,0)-1,15,1)</formula1>
    </dataValidation>
    <dataValidation type="list" allowBlank="1" showInputMessage="1" showErrorMessage="1" sqref="G78:L78">
      <formula1>OFFSET($O$78,1,MATCH($G68,$O$78:$S$78,0)-1,15,1)</formula1>
    </dataValidation>
    <dataValidation type="list" allowBlank="1" showInputMessage="1" showErrorMessage="1" sqref="G113:L113">
      <formula1>"Flexible Pavement,Rigid Pavement"</formula1>
    </dataValidation>
    <dataValidation type="list" allowBlank="1" showInputMessage="1" showErrorMessage="1" sqref="G154:L154">
      <formula1>"Proposed RCC Footing,Raft Foundation, Piling"</formula1>
    </dataValidation>
  </dataValidations>
  <hyperlinks>
    <hyperlink ref="G92" r:id="rId1"/>
  </hyperlinks>
  <printOptions horizontalCentered="1"/>
  <pageMargins left="0.19685039370078741" right="0.19685039370078741" top="0.78740157480314965" bottom="0.59055118110236227" header="0.19685039370078741" footer="0.19685039370078741"/>
  <pageSetup scale="96" fitToHeight="0" orientation="portrait" r:id="rId2"/>
  <headerFooter>
    <oddHeader>&amp;C&amp;"Times New Roman,Bold"&amp;20&amp;G</oddHeader>
    <oddFooter>&amp;L&amp;"Times New Roman,Bold"&amp;F&amp;R&amp;"Times New Roman,Bold"&amp;P</oddFooter>
  </headerFooter>
  <rowBreaks count="18" manualBreakCount="18">
    <brk id="41" max="16383" man="1"/>
    <brk id="60" max="16383" man="1"/>
    <brk id="97" max="16383" man="1"/>
    <brk id="121" max="16383" man="1"/>
    <brk id="151" max="16383" man="1"/>
    <brk id="196" max="16383" man="1"/>
    <brk id="282" max="11" man="1"/>
    <brk id="438" max="16383" man="1"/>
    <brk id="460" max="16383" man="1"/>
    <brk id="505" max="16383" man="1"/>
    <brk id="551" max="16383" man="1"/>
    <brk id="597" max="16383" man="1"/>
    <brk id="643" max="16383" man="1"/>
    <brk id="689" max="16383" man="1"/>
    <brk id="735" max="16383" man="1"/>
    <brk id="761" max="16383" man="1"/>
    <brk id="834" max="16383" man="1"/>
    <brk id="87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N20"/>
  <sheetViews>
    <sheetView workbookViewId="0">
      <selection activeCell="D18" sqref="D18"/>
    </sheetView>
  </sheetViews>
  <sheetFormatPr defaultRowHeight="15" x14ac:dyDescent="0.25"/>
  <cols>
    <col min="2" max="2" width="10.140625" customWidth="1"/>
  </cols>
  <sheetData>
    <row r="2" spans="1:14" x14ac:dyDescent="0.25">
      <c r="A2" t="s">
        <v>14</v>
      </c>
      <c r="B2" s="6" t="s">
        <v>39</v>
      </c>
      <c r="C2" s="6">
        <v>7</v>
      </c>
    </row>
    <row r="3" spans="1:14" x14ac:dyDescent="0.25">
      <c r="B3" t="s">
        <v>15</v>
      </c>
      <c r="C3" t="s">
        <v>16</v>
      </c>
    </row>
    <row r="4" spans="1:14" x14ac:dyDescent="0.25">
      <c r="A4" t="s">
        <v>17</v>
      </c>
      <c r="B4" s="1">
        <v>10</v>
      </c>
      <c r="C4" s="1">
        <v>0</v>
      </c>
    </row>
    <row r="5" spans="1:14" x14ac:dyDescent="0.25">
      <c r="A5" t="s">
        <v>18</v>
      </c>
      <c r="B5" t="s">
        <v>19</v>
      </c>
      <c r="C5" t="s">
        <v>20</v>
      </c>
      <c r="H5" s="1" t="s">
        <v>21</v>
      </c>
      <c r="I5" s="1" t="s">
        <v>22</v>
      </c>
      <c r="J5" s="1" t="s">
        <v>23</v>
      </c>
      <c r="K5" s="1" t="s">
        <v>24</v>
      </c>
      <c r="L5" s="1" t="s">
        <v>25</v>
      </c>
      <c r="M5" s="1" t="s">
        <v>26</v>
      </c>
      <c r="N5" s="1" t="s">
        <v>27</v>
      </c>
    </row>
    <row r="6" spans="1:14" x14ac:dyDescent="0.25">
      <c r="B6" s="1">
        <v>1</v>
      </c>
      <c r="C6" s="1">
        <v>0</v>
      </c>
      <c r="E6" s="7" t="s">
        <v>28</v>
      </c>
      <c r="H6" s="7">
        <f>C4</f>
        <v>0</v>
      </c>
      <c r="I6" s="7">
        <f>40/B6*C6</f>
        <v>0</v>
      </c>
      <c r="J6" s="7">
        <f>15/B8*C8</f>
        <v>0</v>
      </c>
      <c r="K6" s="7">
        <f>10/B10*C10</f>
        <v>0</v>
      </c>
      <c r="L6" s="7">
        <f>10/B12*C12</f>
        <v>0</v>
      </c>
      <c r="M6" s="7">
        <f>5/B14*C14</f>
        <v>0</v>
      </c>
      <c r="N6" s="7">
        <f>5/B16*C16</f>
        <v>0</v>
      </c>
    </row>
    <row r="7" spans="1:14" x14ac:dyDescent="0.25">
      <c r="A7" t="s">
        <v>29</v>
      </c>
      <c r="B7" t="s">
        <v>30</v>
      </c>
      <c r="C7" t="s">
        <v>31</v>
      </c>
      <c r="E7" s="1" t="s">
        <v>32</v>
      </c>
      <c r="F7" s="1"/>
      <c r="G7" s="1"/>
      <c r="H7" s="1">
        <f>H6+20</f>
        <v>20</v>
      </c>
      <c r="I7" s="1">
        <f>30/B6*C6</f>
        <v>0</v>
      </c>
      <c r="J7" s="1">
        <f>15/B8*C8</f>
        <v>0</v>
      </c>
      <c r="K7" s="1">
        <f>10/B10*C10</f>
        <v>0</v>
      </c>
      <c r="L7" s="1">
        <f>5/B12*C12</f>
        <v>0</v>
      </c>
      <c r="M7" s="1">
        <f>5/B14*C14</f>
        <v>0</v>
      </c>
      <c r="N7" s="1">
        <f>5/B16*C16</f>
        <v>0</v>
      </c>
    </row>
    <row r="8" spans="1:14" x14ac:dyDescent="0.25">
      <c r="B8" s="1">
        <f>C2</f>
        <v>7</v>
      </c>
      <c r="C8" s="1">
        <v>0</v>
      </c>
    </row>
    <row r="9" spans="1:14" x14ac:dyDescent="0.25">
      <c r="A9" t="s">
        <v>33</v>
      </c>
      <c r="B9" t="s">
        <v>30</v>
      </c>
      <c r="C9" t="s">
        <v>31</v>
      </c>
    </row>
    <row r="10" spans="1:14" x14ac:dyDescent="0.25">
      <c r="B10" s="1">
        <f>C2</f>
        <v>7</v>
      </c>
      <c r="C10" s="1">
        <v>0</v>
      </c>
    </row>
    <row r="11" spans="1:14" x14ac:dyDescent="0.25">
      <c r="A11" t="s">
        <v>25</v>
      </c>
      <c r="B11" t="s">
        <v>30</v>
      </c>
      <c r="C11" t="s">
        <v>31</v>
      </c>
    </row>
    <row r="12" spans="1:14" x14ac:dyDescent="0.25">
      <c r="B12" s="1">
        <f>C2</f>
        <v>7</v>
      </c>
      <c r="C12" s="1">
        <v>0</v>
      </c>
      <c r="H12" s="1"/>
      <c r="I12" s="1" t="s">
        <v>28</v>
      </c>
      <c r="J12" s="1" t="s">
        <v>34</v>
      </c>
      <c r="K12" t="s">
        <v>35</v>
      </c>
    </row>
    <row r="13" spans="1:14" ht="30" x14ac:dyDescent="0.25">
      <c r="A13" s="8" t="s">
        <v>26</v>
      </c>
      <c r="B13" t="s">
        <v>30</v>
      </c>
      <c r="C13" t="s">
        <v>31</v>
      </c>
      <c r="H13" s="1" t="s">
        <v>36</v>
      </c>
      <c r="I13" s="1">
        <f>H6</f>
        <v>0</v>
      </c>
      <c r="J13" s="1">
        <f>H7</f>
        <v>20</v>
      </c>
      <c r="K13" t="s">
        <v>35</v>
      </c>
    </row>
    <row r="14" spans="1:14" x14ac:dyDescent="0.25">
      <c r="B14" s="1">
        <f>C2</f>
        <v>7</v>
      </c>
      <c r="C14" s="1">
        <v>0</v>
      </c>
      <c r="H14" s="1" t="s">
        <v>37</v>
      </c>
      <c r="I14" s="1">
        <f>I6</f>
        <v>0</v>
      </c>
      <c r="J14" s="1">
        <f>I7</f>
        <v>0</v>
      </c>
    </row>
    <row r="15" spans="1:14" x14ac:dyDescent="0.25">
      <c r="A15" t="s">
        <v>27</v>
      </c>
      <c r="B15" t="s">
        <v>30</v>
      </c>
      <c r="H15" s="1" t="s">
        <v>23</v>
      </c>
      <c r="I15" s="1">
        <f>J6</f>
        <v>0</v>
      </c>
      <c r="J15" s="1">
        <f>J7</f>
        <v>0</v>
      </c>
    </row>
    <row r="16" spans="1:14" x14ac:dyDescent="0.25">
      <c r="B16" s="1">
        <f>C2</f>
        <v>7</v>
      </c>
      <c r="C16" s="1">
        <v>0</v>
      </c>
      <c r="H16" s="1" t="s">
        <v>24</v>
      </c>
      <c r="I16" s="1">
        <f>K6</f>
        <v>0</v>
      </c>
      <c r="J16" s="1">
        <f>K7</f>
        <v>0</v>
      </c>
    </row>
    <row r="17" spans="8:10" x14ac:dyDescent="0.25">
      <c r="H17" s="1" t="s">
        <v>25</v>
      </c>
      <c r="I17" s="1">
        <f>L6</f>
        <v>0</v>
      </c>
      <c r="J17" s="1">
        <f>L7</f>
        <v>0</v>
      </c>
    </row>
    <row r="18" spans="8:10" ht="30" x14ac:dyDescent="0.25">
      <c r="H18" s="9" t="s">
        <v>26</v>
      </c>
      <c r="I18" s="1">
        <f>M6</f>
        <v>0</v>
      </c>
      <c r="J18" s="1">
        <f>M7</f>
        <v>0</v>
      </c>
    </row>
    <row r="19" spans="8:10" x14ac:dyDescent="0.25">
      <c r="H19" s="1" t="s">
        <v>27</v>
      </c>
      <c r="I19" s="1">
        <f>N6</f>
        <v>0</v>
      </c>
      <c r="J19" s="1">
        <f>N7</f>
        <v>0</v>
      </c>
    </row>
    <row r="20" spans="8:10" x14ac:dyDescent="0.25">
      <c r="H20" s="1" t="s">
        <v>38</v>
      </c>
      <c r="I20" s="1">
        <f>I13+I14+I15+I16+I17+I18+I19</f>
        <v>0</v>
      </c>
      <c r="J20" s="1">
        <f>J13+J14+J15+J16+J17+J18+J19</f>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61"/>
  <sheetViews>
    <sheetView workbookViewId="0">
      <selection activeCell="J161" sqref="A1:J161"/>
    </sheetView>
  </sheetViews>
  <sheetFormatPr defaultColWidth="9.140625" defaultRowHeight="15" x14ac:dyDescent="0.25"/>
  <cols>
    <col min="1" max="1" width="9.140625" style="5"/>
    <col min="2" max="2" width="15.140625" style="5" customWidth="1"/>
    <col min="3" max="3" width="12.7109375" style="5" customWidth="1"/>
    <col min="4" max="7" width="15.140625" style="5" customWidth="1"/>
    <col min="8" max="8" width="13.140625" style="5" customWidth="1"/>
    <col min="9" max="16384" width="9.140625" style="5"/>
  </cols>
  <sheetData>
    <row r="1" spans="1:10" ht="39.75" customHeight="1" x14ac:dyDescent="0.25">
      <c r="A1" s="36" t="s">
        <v>67</v>
      </c>
      <c r="B1" s="24" t="s">
        <v>68</v>
      </c>
      <c r="C1" s="24" t="s">
        <v>95</v>
      </c>
      <c r="D1" s="24" t="s">
        <v>69</v>
      </c>
      <c r="E1" s="24" t="s">
        <v>70</v>
      </c>
      <c r="F1" s="24" t="s">
        <v>83</v>
      </c>
      <c r="G1" s="24" t="s">
        <v>91</v>
      </c>
      <c r="H1" s="24" t="s">
        <v>90</v>
      </c>
      <c r="I1" s="24" t="s">
        <v>110</v>
      </c>
      <c r="J1" s="24" t="s">
        <v>114</v>
      </c>
    </row>
    <row r="2" spans="1:10" x14ac:dyDescent="0.25">
      <c r="A2" s="242" t="s">
        <v>93</v>
      </c>
      <c r="B2" s="242"/>
      <c r="C2" s="242"/>
      <c r="D2" s="242"/>
      <c r="E2" s="242"/>
      <c r="F2" s="242"/>
      <c r="G2" s="242"/>
      <c r="H2" s="242"/>
      <c r="I2" s="242"/>
      <c r="J2" s="242"/>
    </row>
    <row r="3" spans="1:10" x14ac:dyDescent="0.25">
      <c r="A3" s="242" t="s">
        <v>81</v>
      </c>
      <c r="B3" s="242"/>
      <c r="C3" s="242"/>
      <c r="D3" s="242"/>
      <c r="E3" s="242"/>
      <c r="F3" s="242"/>
      <c r="G3" s="242"/>
      <c r="H3" s="242"/>
      <c r="I3" s="242"/>
      <c r="J3" s="242"/>
    </row>
    <row r="4" spans="1:10" x14ac:dyDescent="0.25">
      <c r="A4" s="13">
        <v>1</v>
      </c>
      <c r="B4" s="408" t="s">
        <v>82</v>
      </c>
      <c r="C4" s="35" t="s">
        <v>111</v>
      </c>
      <c r="D4" s="13">
        <v>101</v>
      </c>
      <c r="E4" s="13" t="s">
        <v>72</v>
      </c>
      <c r="F4" s="25">
        <f>(30.562+13.425)*10.764</f>
        <v>473.476068</v>
      </c>
      <c r="G4" s="26">
        <v>0</v>
      </c>
      <c r="H4" s="32">
        <v>735</v>
      </c>
      <c r="I4" s="13">
        <v>4800</v>
      </c>
      <c r="J4" s="13">
        <f>H4*I4</f>
        <v>3528000</v>
      </c>
    </row>
    <row r="5" spans="1:10" x14ac:dyDescent="0.25">
      <c r="A5" s="13">
        <v>2</v>
      </c>
      <c r="B5" s="409"/>
      <c r="C5" s="35" t="s">
        <v>111</v>
      </c>
      <c r="D5" s="13">
        <v>102</v>
      </c>
      <c r="E5" s="13" t="s">
        <v>72</v>
      </c>
      <c r="F5" s="25">
        <f>(32.727+6.63)*10.764</f>
        <v>423.63874799999996</v>
      </c>
      <c r="G5" s="25">
        <f>5.063*10.764</f>
        <v>54.498131999999991</v>
      </c>
      <c r="H5" s="32">
        <v>750</v>
      </c>
      <c r="I5" s="13">
        <v>4800</v>
      </c>
      <c r="J5" s="13">
        <f t="shared" ref="J5:J24" si="0">H5*I5</f>
        <v>3600000</v>
      </c>
    </row>
    <row r="6" spans="1:10" x14ac:dyDescent="0.25">
      <c r="A6" s="13">
        <v>3</v>
      </c>
      <c r="B6" s="410"/>
      <c r="C6" s="35" t="s">
        <v>111</v>
      </c>
      <c r="D6" s="13">
        <v>103</v>
      </c>
      <c r="E6" s="13" t="s">
        <v>72</v>
      </c>
      <c r="F6" s="25">
        <f>(32.727+6.435)*10.764</f>
        <v>421.53976799999998</v>
      </c>
      <c r="G6" s="25">
        <f>4.86*10.764</f>
        <v>52.313040000000001</v>
      </c>
      <c r="H6" s="32">
        <v>745</v>
      </c>
      <c r="I6" s="13">
        <v>4800</v>
      </c>
      <c r="J6" s="13">
        <f t="shared" si="0"/>
        <v>3576000</v>
      </c>
    </row>
    <row r="7" spans="1:10" x14ac:dyDescent="0.25">
      <c r="A7" s="13">
        <v>4</v>
      </c>
      <c r="B7" s="408" t="s">
        <v>84</v>
      </c>
      <c r="C7" s="35" t="s">
        <v>111</v>
      </c>
      <c r="D7" s="13">
        <f t="shared" ref="D7:D24" si="1">D4+100</f>
        <v>201</v>
      </c>
      <c r="E7" s="13" t="s">
        <v>72</v>
      </c>
      <c r="F7" s="25">
        <f t="shared" ref="F7:F9" si="2">(30.562+13.425)*10.764</f>
        <v>473.476068</v>
      </c>
      <c r="G7" s="26">
        <v>0</v>
      </c>
      <c r="H7" s="32">
        <v>735</v>
      </c>
      <c r="I7" s="13">
        <v>4800</v>
      </c>
      <c r="J7" s="13">
        <f t="shared" si="0"/>
        <v>3528000</v>
      </c>
    </row>
    <row r="8" spans="1:10" x14ac:dyDescent="0.25">
      <c r="A8" s="13">
        <v>5</v>
      </c>
      <c r="B8" s="409"/>
      <c r="C8" s="35" t="s">
        <v>111</v>
      </c>
      <c r="D8" s="13">
        <f t="shared" si="1"/>
        <v>202</v>
      </c>
      <c r="E8" s="13" t="s">
        <v>72</v>
      </c>
      <c r="F8" s="25">
        <f t="shared" si="2"/>
        <v>473.476068</v>
      </c>
      <c r="G8" s="26">
        <v>0</v>
      </c>
      <c r="H8" s="32">
        <v>670</v>
      </c>
      <c r="I8" s="13">
        <v>4800</v>
      </c>
      <c r="J8" s="13">
        <f t="shared" si="0"/>
        <v>3216000</v>
      </c>
    </row>
    <row r="9" spans="1:10" x14ac:dyDescent="0.25">
      <c r="A9" s="13">
        <v>6</v>
      </c>
      <c r="B9" s="410"/>
      <c r="C9" s="35" t="s">
        <v>111</v>
      </c>
      <c r="D9" s="13">
        <f t="shared" si="1"/>
        <v>203</v>
      </c>
      <c r="E9" s="13" t="s">
        <v>72</v>
      </c>
      <c r="F9" s="25">
        <f t="shared" si="2"/>
        <v>473.476068</v>
      </c>
      <c r="G9" s="26">
        <v>0</v>
      </c>
      <c r="H9" s="32">
        <v>665</v>
      </c>
      <c r="I9" s="13">
        <v>4800</v>
      </c>
      <c r="J9" s="13">
        <f t="shared" si="0"/>
        <v>3192000</v>
      </c>
    </row>
    <row r="10" spans="1:10" x14ac:dyDescent="0.25">
      <c r="A10" s="13">
        <v>7</v>
      </c>
      <c r="B10" s="408" t="s">
        <v>85</v>
      </c>
      <c r="C10" s="35" t="s">
        <v>111</v>
      </c>
      <c r="D10" s="13">
        <f t="shared" si="1"/>
        <v>301</v>
      </c>
      <c r="E10" s="13" t="s">
        <v>72</v>
      </c>
      <c r="F10" s="25">
        <f>(30.562+13.425)*10.764</f>
        <v>473.476068</v>
      </c>
      <c r="G10" s="26">
        <v>0</v>
      </c>
      <c r="H10" s="32">
        <v>735</v>
      </c>
      <c r="I10" s="13">
        <v>4800</v>
      </c>
      <c r="J10" s="13">
        <f t="shared" si="0"/>
        <v>3528000</v>
      </c>
    </row>
    <row r="11" spans="1:10" x14ac:dyDescent="0.25">
      <c r="A11" s="13">
        <v>8</v>
      </c>
      <c r="B11" s="409"/>
      <c r="C11" s="35" t="s">
        <v>111</v>
      </c>
      <c r="D11" s="13">
        <f t="shared" si="1"/>
        <v>302</v>
      </c>
      <c r="E11" s="13" t="s">
        <v>72</v>
      </c>
      <c r="F11" s="25">
        <f>(32.727+6.63)*10.764</f>
        <v>423.63874799999996</v>
      </c>
      <c r="G11" s="25">
        <f>5.063*10.764</f>
        <v>54.498131999999991</v>
      </c>
      <c r="H11" s="32">
        <v>750</v>
      </c>
      <c r="I11" s="13">
        <v>4800</v>
      </c>
      <c r="J11" s="13">
        <f t="shared" si="0"/>
        <v>3600000</v>
      </c>
    </row>
    <row r="12" spans="1:10" x14ac:dyDescent="0.25">
      <c r="A12" s="13">
        <v>9</v>
      </c>
      <c r="B12" s="410"/>
      <c r="C12" s="35" t="s">
        <v>111</v>
      </c>
      <c r="D12" s="13">
        <f t="shared" si="1"/>
        <v>303</v>
      </c>
      <c r="E12" s="13" t="s">
        <v>72</v>
      </c>
      <c r="F12" s="25">
        <f>(32.727+6.435)*10.764</f>
        <v>421.53976799999998</v>
      </c>
      <c r="G12" s="25">
        <f>4.86*10.764</f>
        <v>52.313040000000001</v>
      </c>
      <c r="H12" s="32">
        <v>745</v>
      </c>
      <c r="I12" s="13">
        <v>4800</v>
      </c>
      <c r="J12" s="13">
        <f t="shared" si="0"/>
        <v>3576000</v>
      </c>
    </row>
    <row r="13" spans="1:10" x14ac:dyDescent="0.25">
      <c r="A13" s="13">
        <v>10</v>
      </c>
      <c r="B13" s="408" t="s">
        <v>86</v>
      </c>
      <c r="C13" s="35" t="s">
        <v>111</v>
      </c>
      <c r="D13" s="13">
        <f t="shared" si="1"/>
        <v>401</v>
      </c>
      <c r="E13" s="13" t="s">
        <v>72</v>
      </c>
      <c r="F13" s="25">
        <f t="shared" ref="F13:F15" si="3">(30.562+13.425)*10.764</f>
        <v>473.476068</v>
      </c>
      <c r="G13" s="26">
        <v>0</v>
      </c>
      <c r="H13" s="32">
        <v>735</v>
      </c>
      <c r="I13" s="13">
        <v>4800</v>
      </c>
      <c r="J13" s="13">
        <f t="shared" si="0"/>
        <v>3528000</v>
      </c>
    </row>
    <row r="14" spans="1:10" x14ac:dyDescent="0.25">
      <c r="A14" s="13">
        <v>11</v>
      </c>
      <c r="B14" s="409"/>
      <c r="C14" s="35" t="s">
        <v>111</v>
      </c>
      <c r="D14" s="13">
        <f t="shared" si="1"/>
        <v>402</v>
      </c>
      <c r="E14" s="13" t="s">
        <v>72</v>
      </c>
      <c r="F14" s="25">
        <f t="shared" si="3"/>
        <v>473.476068</v>
      </c>
      <c r="G14" s="26">
        <v>0</v>
      </c>
      <c r="H14" s="32">
        <v>670</v>
      </c>
      <c r="I14" s="13">
        <v>4800</v>
      </c>
      <c r="J14" s="13">
        <f t="shared" si="0"/>
        <v>3216000</v>
      </c>
    </row>
    <row r="15" spans="1:10" x14ac:dyDescent="0.25">
      <c r="A15" s="13">
        <v>12</v>
      </c>
      <c r="B15" s="410"/>
      <c r="C15" s="35" t="s">
        <v>111</v>
      </c>
      <c r="D15" s="13">
        <f t="shared" si="1"/>
        <v>403</v>
      </c>
      <c r="E15" s="13" t="s">
        <v>72</v>
      </c>
      <c r="F15" s="25">
        <f t="shared" si="3"/>
        <v>473.476068</v>
      </c>
      <c r="G15" s="26">
        <v>0</v>
      </c>
      <c r="H15" s="32">
        <v>665</v>
      </c>
      <c r="I15" s="13">
        <v>4800</v>
      </c>
      <c r="J15" s="13">
        <f t="shared" si="0"/>
        <v>3192000</v>
      </c>
    </row>
    <row r="16" spans="1:10" x14ac:dyDescent="0.25">
      <c r="A16" s="13">
        <v>13</v>
      </c>
      <c r="B16" s="408" t="s">
        <v>87</v>
      </c>
      <c r="C16" s="35" t="s">
        <v>111</v>
      </c>
      <c r="D16" s="13">
        <f t="shared" si="1"/>
        <v>501</v>
      </c>
      <c r="E16" s="13" t="s">
        <v>72</v>
      </c>
      <c r="F16" s="25">
        <f>(30.562+13.425)*10.764</f>
        <v>473.476068</v>
      </c>
      <c r="G16" s="26">
        <v>0</v>
      </c>
      <c r="H16" s="32">
        <v>735</v>
      </c>
      <c r="I16" s="13">
        <v>4800</v>
      </c>
      <c r="J16" s="13">
        <f t="shared" si="0"/>
        <v>3528000</v>
      </c>
    </row>
    <row r="17" spans="1:10" x14ac:dyDescent="0.25">
      <c r="A17" s="13">
        <v>14</v>
      </c>
      <c r="B17" s="409"/>
      <c r="C17" s="35" t="s">
        <v>111</v>
      </c>
      <c r="D17" s="13">
        <f t="shared" si="1"/>
        <v>502</v>
      </c>
      <c r="E17" s="13" t="s">
        <v>72</v>
      </c>
      <c r="F17" s="25">
        <f>(32.727+6.63)*10.764</f>
        <v>423.63874799999996</v>
      </c>
      <c r="G17" s="25">
        <f>5.063*10.764</f>
        <v>54.498131999999991</v>
      </c>
      <c r="H17" s="32">
        <v>750</v>
      </c>
      <c r="I17" s="13">
        <v>4800</v>
      </c>
      <c r="J17" s="13">
        <f t="shared" si="0"/>
        <v>3600000</v>
      </c>
    </row>
    <row r="18" spans="1:10" x14ac:dyDescent="0.25">
      <c r="A18" s="13">
        <v>15</v>
      </c>
      <c r="B18" s="410"/>
      <c r="C18" s="35" t="s">
        <v>111</v>
      </c>
      <c r="D18" s="13">
        <f t="shared" si="1"/>
        <v>503</v>
      </c>
      <c r="E18" s="13" t="s">
        <v>72</v>
      </c>
      <c r="F18" s="25">
        <f>(32.727+6.435)*10.764</f>
        <v>421.53976799999998</v>
      </c>
      <c r="G18" s="25">
        <f>4.86*10.764</f>
        <v>52.313040000000001</v>
      </c>
      <c r="H18" s="32">
        <v>745</v>
      </c>
      <c r="I18" s="13">
        <v>4800</v>
      </c>
      <c r="J18" s="13">
        <f t="shared" si="0"/>
        <v>3576000</v>
      </c>
    </row>
    <row r="19" spans="1:10" x14ac:dyDescent="0.25">
      <c r="A19" s="13">
        <v>16</v>
      </c>
      <c r="B19" s="408" t="s">
        <v>88</v>
      </c>
      <c r="C19" s="35" t="s">
        <v>111</v>
      </c>
      <c r="D19" s="13">
        <f t="shared" si="1"/>
        <v>601</v>
      </c>
      <c r="E19" s="13" t="s">
        <v>72</v>
      </c>
      <c r="F19" s="25">
        <f t="shared" ref="F19:F21" si="4">(30.562+13.425)*10.764</f>
        <v>473.476068</v>
      </c>
      <c r="G19" s="26">
        <v>0</v>
      </c>
      <c r="H19" s="32">
        <v>735</v>
      </c>
      <c r="I19" s="13">
        <v>4800</v>
      </c>
      <c r="J19" s="13">
        <f t="shared" si="0"/>
        <v>3528000</v>
      </c>
    </row>
    <row r="20" spans="1:10" x14ac:dyDescent="0.25">
      <c r="A20" s="13">
        <v>17</v>
      </c>
      <c r="B20" s="409"/>
      <c r="C20" s="35" t="s">
        <v>111</v>
      </c>
      <c r="D20" s="13">
        <f t="shared" si="1"/>
        <v>602</v>
      </c>
      <c r="E20" s="13" t="s">
        <v>72</v>
      </c>
      <c r="F20" s="25">
        <f t="shared" si="4"/>
        <v>473.476068</v>
      </c>
      <c r="G20" s="26">
        <v>0</v>
      </c>
      <c r="H20" s="32">
        <v>670</v>
      </c>
      <c r="I20" s="13">
        <v>4800</v>
      </c>
      <c r="J20" s="13">
        <f t="shared" si="0"/>
        <v>3216000</v>
      </c>
    </row>
    <row r="21" spans="1:10" x14ac:dyDescent="0.25">
      <c r="A21" s="13">
        <v>18</v>
      </c>
      <c r="B21" s="410"/>
      <c r="C21" s="35" t="s">
        <v>111</v>
      </c>
      <c r="D21" s="13">
        <f t="shared" si="1"/>
        <v>603</v>
      </c>
      <c r="E21" s="13" t="s">
        <v>72</v>
      </c>
      <c r="F21" s="25">
        <f t="shared" si="4"/>
        <v>473.476068</v>
      </c>
      <c r="G21" s="26">
        <v>0</v>
      </c>
      <c r="H21" s="32">
        <v>665</v>
      </c>
      <c r="I21" s="13">
        <v>4800</v>
      </c>
      <c r="J21" s="13">
        <f t="shared" si="0"/>
        <v>3192000</v>
      </c>
    </row>
    <row r="22" spans="1:10" x14ac:dyDescent="0.25">
      <c r="A22" s="13">
        <v>19</v>
      </c>
      <c r="B22" s="408" t="s">
        <v>89</v>
      </c>
      <c r="C22" s="35" t="s">
        <v>111</v>
      </c>
      <c r="D22" s="13">
        <f t="shared" si="1"/>
        <v>701</v>
      </c>
      <c r="E22" s="13" t="s">
        <v>72</v>
      </c>
      <c r="F22" s="25">
        <f>(30.562+13.425)*10.764</f>
        <v>473.476068</v>
      </c>
      <c r="G22" s="26">
        <v>0</v>
      </c>
      <c r="H22" s="32">
        <v>735</v>
      </c>
      <c r="I22" s="13">
        <v>4800</v>
      </c>
      <c r="J22" s="13">
        <f t="shared" si="0"/>
        <v>3528000</v>
      </c>
    </row>
    <row r="23" spans="1:10" x14ac:dyDescent="0.25">
      <c r="A23" s="13">
        <v>20</v>
      </c>
      <c r="B23" s="409"/>
      <c r="C23" s="35" t="s">
        <v>111</v>
      </c>
      <c r="D23" s="13">
        <f t="shared" si="1"/>
        <v>702</v>
      </c>
      <c r="E23" s="13" t="s">
        <v>72</v>
      </c>
      <c r="F23" s="25">
        <f>(32.727+6.63)*10.764</f>
        <v>423.63874799999996</v>
      </c>
      <c r="G23" s="25">
        <f>5.063*10.764</f>
        <v>54.498131999999991</v>
      </c>
      <c r="H23" s="32">
        <v>750</v>
      </c>
      <c r="I23" s="13">
        <v>4800</v>
      </c>
      <c r="J23" s="13">
        <f t="shared" si="0"/>
        <v>3600000</v>
      </c>
    </row>
    <row r="24" spans="1:10" x14ac:dyDescent="0.25">
      <c r="A24" s="13">
        <v>21</v>
      </c>
      <c r="B24" s="410"/>
      <c r="C24" s="35" t="s">
        <v>111</v>
      </c>
      <c r="D24" s="13">
        <f t="shared" si="1"/>
        <v>703</v>
      </c>
      <c r="E24" s="13" t="s">
        <v>72</v>
      </c>
      <c r="F24" s="25">
        <f>(32.727+6.435)*10.764</f>
        <v>421.53976799999998</v>
      </c>
      <c r="G24" s="25">
        <f>4.86*10.764</f>
        <v>52.313040000000001</v>
      </c>
      <c r="H24" s="32">
        <v>745</v>
      </c>
      <c r="I24" s="13">
        <v>4800</v>
      </c>
      <c r="J24" s="13">
        <f t="shared" si="0"/>
        <v>3576000</v>
      </c>
    </row>
    <row r="25" spans="1:10" x14ac:dyDescent="0.25">
      <c r="A25" s="242" t="s">
        <v>92</v>
      </c>
      <c r="B25" s="242"/>
      <c r="C25" s="242"/>
      <c r="D25" s="242"/>
      <c r="E25" s="242"/>
      <c r="F25" s="242"/>
      <c r="G25" s="242"/>
      <c r="H25" s="242"/>
      <c r="I25" s="242"/>
      <c r="J25" s="242"/>
    </row>
    <row r="26" spans="1:10" x14ac:dyDescent="0.25">
      <c r="A26" s="242" t="s">
        <v>81</v>
      </c>
      <c r="B26" s="242"/>
      <c r="C26" s="242"/>
      <c r="D26" s="242"/>
      <c r="E26" s="242"/>
      <c r="F26" s="242"/>
      <c r="G26" s="242"/>
      <c r="H26" s="242"/>
      <c r="I26" s="242"/>
      <c r="J26" s="242"/>
    </row>
    <row r="27" spans="1:10" x14ac:dyDescent="0.25">
      <c r="A27" s="13">
        <v>1</v>
      </c>
      <c r="B27" s="408" t="s">
        <v>82</v>
      </c>
      <c r="C27" s="35" t="s">
        <v>112</v>
      </c>
      <c r="D27" s="13">
        <v>101</v>
      </c>
      <c r="E27" s="13" t="s">
        <v>72</v>
      </c>
      <c r="F27" s="25">
        <f>34.505*10.764</f>
        <v>371.41181999999998</v>
      </c>
      <c r="G27" s="25">
        <f>4.32*10.764</f>
        <v>46.500480000000003</v>
      </c>
      <c r="H27" s="32">
        <v>655</v>
      </c>
      <c r="I27" s="13">
        <v>4800</v>
      </c>
      <c r="J27" s="13">
        <f t="shared" ref="J27:J89" si="5">H27*I27</f>
        <v>3144000</v>
      </c>
    </row>
    <row r="28" spans="1:10" x14ac:dyDescent="0.25">
      <c r="A28" s="13">
        <v>2</v>
      </c>
      <c r="B28" s="409"/>
      <c r="C28" s="35" t="s">
        <v>112</v>
      </c>
      <c r="D28" s="13">
        <v>102</v>
      </c>
      <c r="E28" s="13" t="s">
        <v>94</v>
      </c>
      <c r="F28" s="25">
        <f>(39.567+11.158)*10.764</f>
        <v>546.00389999999993</v>
      </c>
      <c r="G28" s="25">
        <f>4.95*10.764</f>
        <v>53.281799999999997</v>
      </c>
      <c r="H28" s="32">
        <v>935</v>
      </c>
      <c r="I28" s="13">
        <v>4800</v>
      </c>
      <c r="J28" s="13">
        <f t="shared" si="5"/>
        <v>4488000</v>
      </c>
    </row>
    <row r="29" spans="1:10" x14ac:dyDescent="0.25">
      <c r="A29" s="13">
        <v>3</v>
      </c>
      <c r="B29" s="409"/>
      <c r="C29" s="35" t="s">
        <v>112</v>
      </c>
      <c r="D29" s="13">
        <v>103</v>
      </c>
      <c r="E29" s="13" t="s">
        <v>73</v>
      </c>
      <c r="F29" s="25">
        <f>(20.719+6.275)*10.764</f>
        <v>290.56341599999996</v>
      </c>
      <c r="G29" s="25">
        <v>0</v>
      </c>
      <c r="H29" s="32">
        <v>455</v>
      </c>
      <c r="I29" s="13">
        <v>4800</v>
      </c>
      <c r="J29" s="13">
        <f t="shared" si="5"/>
        <v>2184000</v>
      </c>
    </row>
    <row r="30" spans="1:10" x14ac:dyDescent="0.25">
      <c r="A30" s="13">
        <v>4</v>
      </c>
      <c r="B30" s="409"/>
      <c r="C30" s="35" t="s">
        <v>112</v>
      </c>
      <c r="D30" s="13">
        <v>104</v>
      </c>
      <c r="E30" s="13" t="s">
        <v>72</v>
      </c>
      <c r="F30" s="25">
        <f>(31.447+5.955)*10.764</f>
        <v>402.59512799999999</v>
      </c>
      <c r="G30" s="25">
        <f>5.55*10.764</f>
        <v>59.740199999999994</v>
      </c>
      <c r="H30" s="32">
        <v>715</v>
      </c>
      <c r="I30" s="13">
        <v>4800</v>
      </c>
      <c r="J30" s="13">
        <f t="shared" si="5"/>
        <v>3432000</v>
      </c>
    </row>
    <row r="31" spans="1:10" x14ac:dyDescent="0.25">
      <c r="A31" s="13">
        <v>5</v>
      </c>
      <c r="B31" s="409"/>
      <c r="C31" s="35" t="s">
        <v>112</v>
      </c>
      <c r="D31" s="13">
        <v>105</v>
      </c>
      <c r="E31" s="13" t="s">
        <v>72</v>
      </c>
      <c r="F31" s="25">
        <f>(32.062+6.825)*10.764</f>
        <v>418.57966799999997</v>
      </c>
      <c r="G31" s="25">
        <f>5.55*10.764</f>
        <v>59.740199999999994</v>
      </c>
      <c r="H31" s="32">
        <v>750</v>
      </c>
      <c r="I31" s="13">
        <v>4800</v>
      </c>
      <c r="J31" s="13">
        <f t="shared" si="5"/>
        <v>3600000</v>
      </c>
    </row>
    <row r="32" spans="1:10" x14ac:dyDescent="0.25">
      <c r="A32" s="13">
        <v>6</v>
      </c>
      <c r="B32" s="409"/>
      <c r="C32" s="35" t="s">
        <v>112</v>
      </c>
      <c r="D32" s="13">
        <v>106</v>
      </c>
      <c r="E32" s="13" t="s">
        <v>72</v>
      </c>
      <c r="F32" s="25">
        <f>(30.317+6.025)*10.764</f>
        <v>391.18528799999996</v>
      </c>
      <c r="G32" s="25">
        <f>4.301*10.764</f>
        <v>46.295963999999998</v>
      </c>
      <c r="H32" s="32">
        <v>675</v>
      </c>
      <c r="I32" s="13">
        <v>4800</v>
      </c>
      <c r="J32" s="13">
        <f t="shared" si="5"/>
        <v>3240000</v>
      </c>
    </row>
    <row r="33" spans="1:10" x14ac:dyDescent="0.25">
      <c r="A33" s="13">
        <v>7</v>
      </c>
      <c r="B33" s="409"/>
      <c r="C33" s="35" t="s">
        <v>112</v>
      </c>
      <c r="D33" s="13">
        <v>107</v>
      </c>
      <c r="E33" s="13" t="s">
        <v>72</v>
      </c>
      <c r="F33" s="25">
        <f>(29.392+5.25)*10.764</f>
        <v>372.88648799999993</v>
      </c>
      <c r="G33" s="25">
        <f>4.301*10.764</f>
        <v>46.295963999999998</v>
      </c>
      <c r="H33" s="32">
        <v>645</v>
      </c>
      <c r="I33" s="13">
        <v>4800</v>
      </c>
      <c r="J33" s="13">
        <f t="shared" si="5"/>
        <v>3096000</v>
      </c>
    </row>
    <row r="34" spans="1:10" x14ac:dyDescent="0.25">
      <c r="A34" s="13">
        <v>8</v>
      </c>
      <c r="B34" s="409"/>
      <c r="C34" s="35" t="s">
        <v>112</v>
      </c>
      <c r="D34" s="13">
        <v>108</v>
      </c>
      <c r="E34" s="13" t="s">
        <v>72</v>
      </c>
      <c r="F34" s="25">
        <f>(32.962+6.63)*10.764</f>
        <v>426.16828800000002</v>
      </c>
      <c r="G34" s="25">
        <f>4.185*10.764</f>
        <v>45.047339999999991</v>
      </c>
      <c r="H34" s="32">
        <v>740</v>
      </c>
      <c r="I34" s="13">
        <v>4800</v>
      </c>
      <c r="J34" s="13">
        <f t="shared" si="5"/>
        <v>3552000</v>
      </c>
    </row>
    <row r="35" spans="1:10" x14ac:dyDescent="0.25">
      <c r="A35" s="13">
        <v>9</v>
      </c>
      <c r="B35" s="410"/>
      <c r="C35" s="35" t="s">
        <v>112</v>
      </c>
      <c r="D35" s="13">
        <v>109</v>
      </c>
      <c r="E35" s="13" t="s">
        <v>72</v>
      </c>
      <c r="F35" s="25">
        <f>(35.312+3.624)*10.764</f>
        <v>419.10710399999999</v>
      </c>
      <c r="G35" s="25">
        <f>3.135*10.764</f>
        <v>33.745139999999992</v>
      </c>
      <c r="H35" s="32">
        <v>715</v>
      </c>
      <c r="I35" s="13">
        <v>4800</v>
      </c>
      <c r="J35" s="13">
        <f t="shared" si="5"/>
        <v>3432000</v>
      </c>
    </row>
    <row r="36" spans="1:10" x14ac:dyDescent="0.25">
      <c r="A36" s="13">
        <v>10</v>
      </c>
      <c r="B36" s="408" t="s">
        <v>84</v>
      </c>
      <c r="C36" s="35" t="s">
        <v>112</v>
      </c>
      <c r="D36" s="13">
        <f>D27+100</f>
        <v>201</v>
      </c>
      <c r="E36" s="13" t="s">
        <v>72</v>
      </c>
      <c r="F36" s="25">
        <f>34.505*10.764</f>
        <v>371.41181999999998</v>
      </c>
      <c r="G36" s="25">
        <v>0</v>
      </c>
      <c r="H36" s="32">
        <v>585</v>
      </c>
      <c r="I36" s="13">
        <v>4800</v>
      </c>
      <c r="J36" s="13">
        <f t="shared" si="5"/>
        <v>2808000</v>
      </c>
    </row>
    <row r="37" spans="1:10" x14ac:dyDescent="0.25">
      <c r="A37" s="13">
        <v>11</v>
      </c>
      <c r="B37" s="409"/>
      <c r="C37" s="35" t="s">
        <v>112</v>
      </c>
      <c r="D37" s="13">
        <f>D28+100</f>
        <v>202</v>
      </c>
      <c r="E37" s="13" t="s">
        <v>94</v>
      </c>
      <c r="F37" s="25">
        <f>(39.567+11.158)*10.764</f>
        <v>546.00389999999993</v>
      </c>
      <c r="G37" s="25">
        <v>0</v>
      </c>
      <c r="H37" s="32">
        <v>850</v>
      </c>
      <c r="I37" s="13">
        <v>4800</v>
      </c>
      <c r="J37" s="13">
        <f t="shared" si="5"/>
        <v>4080000</v>
      </c>
    </row>
    <row r="38" spans="1:10" x14ac:dyDescent="0.25">
      <c r="A38" s="13">
        <v>12</v>
      </c>
      <c r="B38" s="409"/>
      <c r="C38" s="35" t="s">
        <v>112</v>
      </c>
      <c r="D38" s="13">
        <f t="shared" ref="D38:D44" si="6">D29+100</f>
        <v>203</v>
      </c>
      <c r="E38" s="13" t="s">
        <v>73</v>
      </c>
      <c r="F38" s="25">
        <f>(20.719+6.275)*10.764</f>
        <v>290.56341599999996</v>
      </c>
      <c r="G38" s="25">
        <v>0</v>
      </c>
      <c r="H38" s="32">
        <v>455</v>
      </c>
      <c r="I38" s="13">
        <v>4800</v>
      </c>
      <c r="J38" s="13">
        <f t="shared" si="5"/>
        <v>2184000</v>
      </c>
    </row>
    <row r="39" spans="1:10" x14ac:dyDescent="0.25">
      <c r="A39" s="13">
        <v>13</v>
      </c>
      <c r="B39" s="409"/>
      <c r="C39" s="35" t="s">
        <v>112</v>
      </c>
      <c r="D39" s="13">
        <f t="shared" si="6"/>
        <v>204</v>
      </c>
      <c r="E39" s="13" t="s">
        <v>72</v>
      </c>
      <c r="F39" s="25">
        <f>(31.447+5.955)*10.764</f>
        <v>402.59512799999999</v>
      </c>
      <c r="G39" s="25">
        <v>0</v>
      </c>
      <c r="H39" s="32">
        <v>625</v>
      </c>
      <c r="I39" s="13">
        <v>4800</v>
      </c>
      <c r="J39" s="13">
        <f t="shared" si="5"/>
        <v>3000000</v>
      </c>
    </row>
    <row r="40" spans="1:10" x14ac:dyDescent="0.25">
      <c r="A40" s="13">
        <v>14</v>
      </c>
      <c r="B40" s="409"/>
      <c r="C40" s="35" t="s">
        <v>112</v>
      </c>
      <c r="D40" s="13">
        <f t="shared" si="6"/>
        <v>205</v>
      </c>
      <c r="E40" s="13" t="s">
        <v>72</v>
      </c>
      <c r="F40" s="25">
        <f>(32.062+6.825)*10.764</f>
        <v>418.57966799999997</v>
      </c>
      <c r="G40" s="25">
        <v>0</v>
      </c>
      <c r="H40" s="32">
        <v>660</v>
      </c>
      <c r="I40" s="13">
        <v>4800</v>
      </c>
      <c r="J40" s="13">
        <f t="shared" si="5"/>
        <v>3168000</v>
      </c>
    </row>
    <row r="41" spans="1:10" x14ac:dyDescent="0.25">
      <c r="A41" s="13">
        <v>15</v>
      </c>
      <c r="B41" s="409"/>
      <c r="C41" s="35" t="s">
        <v>112</v>
      </c>
      <c r="D41" s="13">
        <f t="shared" si="6"/>
        <v>206</v>
      </c>
      <c r="E41" s="13" t="s">
        <v>72</v>
      </c>
      <c r="F41" s="25">
        <f>(30.317+6.025)*10.764</f>
        <v>391.18528799999996</v>
      </c>
      <c r="G41" s="25">
        <v>0</v>
      </c>
      <c r="H41" s="32">
        <v>605</v>
      </c>
      <c r="I41" s="13">
        <v>4800</v>
      </c>
      <c r="J41" s="13">
        <f t="shared" si="5"/>
        <v>2904000</v>
      </c>
    </row>
    <row r="42" spans="1:10" x14ac:dyDescent="0.25">
      <c r="A42" s="13">
        <v>16</v>
      </c>
      <c r="B42" s="409"/>
      <c r="C42" s="35" t="s">
        <v>112</v>
      </c>
      <c r="D42" s="13">
        <f t="shared" si="6"/>
        <v>207</v>
      </c>
      <c r="E42" s="13" t="s">
        <v>72</v>
      </c>
      <c r="F42" s="25">
        <f>(29.392+5.25)*10.764</f>
        <v>372.88648799999993</v>
      </c>
      <c r="G42" s="25">
        <v>0</v>
      </c>
      <c r="H42" s="32">
        <v>570</v>
      </c>
      <c r="I42" s="13">
        <v>4800</v>
      </c>
      <c r="J42" s="13">
        <f t="shared" si="5"/>
        <v>2736000</v>
      </c>
    </row>
    <row r="43" spans="1:10" x14ac:dyDescent="0.25">
      <c r="A43" s="13">
        <v>17</v>
      </c>
      <c r="B43" s="409"/>
      <c r="C43" s="35" t="s">
        <v>112</v>
      </c>
      <c r="D43" s="13">
        <f t="shared" si="6"/>
        <v>208</v>
      </c>
      <c r="E43" s="13" t="s">
        <v>72</v>
      </c>
      <c r="F43" s="25">
        <f>(32.962+6.63)*10.764</f>
        <v>426.16828800000002</v>
      </c>
      <c r="G43" s="25">
        <v>0</v>
      </c>
      <c r="H43" s="32">
        <v>670</v>
      </c>
      <c r="I43" s="13">
        <v>4800</v>
      </c>
      <c r="J43" s="13">
        <f t="shared" si="5"/>
        <v>3216000</v>
      </c>
    </row>
    <row r="44" spans="1:10" x14ac:dyDescent="0.25">
      <c r="A44" s="13">
        <v>18</v>
      </c>
      <c r="B44" s="410"/>
      <c r="C44" s="35" t="s">
        <v>112</v>
      </c>
      <c r="D44" s="13">
        <f t="shared" si="6"/>
        <v>209</v>
      </c>
      <c r="E44" s="13" t="s">
        <v>72</v>
      </c>
      <c r="F44" s="25">
        <f>(35.312+3.624)*10.764</f>
        <v>419.10710399999999</v>
      </c>
      <c r="G44" s="25">
        <f>3.85*10.764</f>
        <v>41.441400000000002</v>
      </c>
      <c r="H44" s="32">
        <v>725</v>
      </c>
      <c r="I44" s="13">
        <v>4800</v>
      </c>
      <c r="J44" s="13">
        <f t="shared" si="5"/>
        <v>3480000</v>
      </c>
    </row>
    <row r="45" spans="1:10" x14ac:dyDescent="0.25">
      <c r="A45" s="13">
        <v>19</v>
      </c>
      <c r="B45" s="408" t="s">
        <v>85</v>
      </c>
      <c r="C45" s="35" t="s">
        <v>112</v>
      </c>
      <c r="D45" s="13">
        <f>D36+100</f>
        <v>301</v>
      </c>
      <c r="E45" s="13" t="s">
        <v>72</v>
      </c>
      <c r="F45" s="25">
        <f>34.505*10.764</f>
        <v>371.41181999999998</v>
      </c>
      <c r="G45" s="25">
        <f>4.32*10.764</f>
        <v>46.500480000000003</v>
      </c>
      <c r="H45" s="32">
        <v>655</v>
      </c>
      <c r="I45" s="13">
        <v>4800</v>
      </c>
      <c r="J45" s="13">
        <f t="shared" si="5"/>
        <v>3144000</v>
      </c>
    </row>
    <row r="46" spans="1:10" x14ac:dyDescent="0.25">
      <c r="A46" s="13">
        <v>20</v>
      </c>
      <c r="B46" s="409"/>
      <c r="C46" s="35" t="s">
        <v>112</v>
      </c>
      <c r="D46" s="13">
        <f>D37+100</f>
        <v>302</v>
      </c>
      <c r="E46" s="13" t="s">
        <v>94</v>
      </c>
      <c r="F46" s="25">
        <f>(39.567+11.158)*10.764</f>
        <v>546.00389999999993</v>
      </c>
      <c r="G46" s="25">
        <f>4.95*10.764</f>
        <v>53.281799999999997</v>
      </c>
      <c r="H46" s="32">
        <v>935</v>
      </c>
      <c r="I46" s="13">
        <v>4800</v>
      </c>
      <c r="J46" s="13">
        <f t="shared" si="5"/>
        <v>4488000</v>
      </c>
    </row>
    <row r="47" spans="1:10" x14ac:dyDescent="0.25">
      <c r="A47" s="13">
        <v>21</v>
      </c>
      <c r="B47" s="409"/>
      <c r="C47" s="35" t="s">
        <v>112</v>
      </c>
      <c r="D47" s="13">
        <f t="shared" ref="D47:D53" si="7">D38+100</f>
        <v>303</v>
      </c>
      <c r="E47" s="13" t="s">
        <v>73</v>
      </c>
      <c r="F47" s="25">
        <f>(20.719+6.275)*10.764</f>
        <v>290.56341599999996</v>
      </c>
      <c r="G47" s="25">
        <v>0</v>
      </c>
      <c r="H47" s="32">
        <v>455</v>
      </c>
      <c r="I47" s="13">
        <v>4800</v>
      </c>
      <c r="J47" s="13">
        <f t="shared" si="5"/>
        <v>2184000</v>
      </c>
    </row>
    <row r="48" spans="1:10" x14ac:dyDescent="0.25">
      <c r="A48" s="13">
        <v>22</v>
      </c>
      <c r="B48" s="409"/>
      <c r="C48" s="35" t="s">
        <v>112</v>
      </c>
      <c r="D48" s="13">
        <f t="shared" si="7"/>
        <v>304</v>
      </c>
      <c r="E48" s="13" t="s">
        <v>72</v>
      </c>
      <c r="F48" s="25">
        <f>(31.447+5.955)*10.764</f>
        <v>402.59512799999999</v>
      </c>
      <c r="G48" s="25">
        <f>5.55*10.764</f>
        <v>59.740199999999994</v>
      </c>
      <c r="H48" s="32">
        <v>715</v>
      </c>
      <c r="I48" s="13">
        <v>4800</v>
      </c>
      <c r="J48" s="13">
        <f t="shared" si="5"/>
        <v>3432000</v>
      </c>
    </row>
    <row r="49" spans="1:10" x14ac:dyDescent="0.25">
      <c r="A49" s="13">
        <v>23</v>
      </c>
      <c r="B49" s="409"/>
      <c r="C49" s="35" t="s">
        <v>112</v>
      </c>
      <c r="D49" s="13">
        <f t="shared" si="7"/>
        <v>305</v>
      </c>
      <c r="E49" s="13" t="s">
        <v>72</v>
      </c>
      <c r="F49" s="25">
        <f>(32.062+6.825)*10.764</f>
        <v>418.57966799999997</v>
      </c>
      <c r="G49" s="25">
        <f>5.55*10.764</f>
        <v>59.740199999999994</v>
      </c>
      <c r="H49" s="32">
        <v>750</v>
      </c>
      <c r="I49" s="13">
        <v>4800</v>
      </c>
      <c r="J49" s="13">
        <f t="shared" si="5"/>
        <v>3600000</v>
      </c>
    </row>
    <row r="50" spans="1:10" x14ac:dyDescent="0.25">
      <c r="A50" s="13">
        <v>24</v>
      </c>
      <c r="B50" s="409"/>
      <c r="C50" s="35" t="s">
        <v>112</v>
      </c>
      <c r="D50" s="13">
        <f t="shared" si="7"/>
        <v>306</v>
      </c>
      <c r="E50" s="13" t="s">
        <v>72</v>
      </c>
      <c r="F50" s="25">
        <f>(30.317+6.025)*10.764</f>
        <v>391.18528799999996</v>
      </c>
      <c r="G50" s="25">
        <f>4.301*10.764</f>
        <v>46.295963999999998</v>
      </c>
      <c r="H50" s="32">
        <v>675</v>
      </c>
      <c r="I50" s="13">
        <v>4800</v>
      </c>
      <c r="J50" s="13">
        <f t="shared" si="5"/>
        <v>3240000</v>
      </c>
    </row>
    <row r="51" spans="1:10" x14ac:dyDescent="0.25">
      <c r="A51" s="13">
        <v>25</v>
      </c>
      <c r="B51" s="409"/>
      <c r="C51" s="35" t="s">
        <v>112</v>
      </c>
      <c r="D51" s="13">
        <f t="shared" si="7"/>
        <v>307</v>
      </c>
      <c r="E51" s="13" t="s">
        <v>72</v>
      </c>
      <c r="F51" s="25">
        <f>(29.392+5.25)*10.764</f>
        <v>372.88648799999993</v>
      </c>
      <c r="G51" s="25">
        <f>4.301*10.764</f>
        <v>46.295963999999998</v>
      </c>
      <c r="H51" s="32">
        <v>645</v>
      </c>
      <c r="I51" s="13">
        <v>4800</v>
      </c>
      <c r="J51" s="13">
        <f t="shared" si="5"/>
        <v>3096000</v>
      </c>
    </row>
    <row r="52" spans="1:10" x14ac:dyDescent="0.25">
      <c r="A52" s="13">
        <v>26</v>
      </c>
      <c r="B52" s="409"/>
      <c r="C52" s="35" t="s">
        <v>112</v>
      </c>
      <c r="D52" s="13">
        <f t="shared" si="7"/>
        <v>308</v>
      </c>
      <c r="E52" s="13" t="s">
        <v>72</v>
      </c>
      <c r="F52" s="25">
        <f>(32.962+6.63)*10.764</f>
        <v>426.16828800000002</v>
      </c>
      <c r="G52" s="25">
        <f>4.185*10.764</f>
        <v>45.047339999999991</v>
      </c>
      <c r="H52" s="32">
        <v>740</v>
      </c>
      <c r="I52" s="13">
        <v>4800</v>
      </c>
      <c r="J52" s="13">
        <f t="shared" si="5"/>
        <v>3552000</v>
      </c>
    </row>
    <row r="53" spans="1:10" x14ac:dyDescent="0.25">
      <c r="A53" s="13">
        <v>27</v>
      </c>
      <c r="B53" s="410"/>
      <c r="C53" s="35" t="s">
        <v>112</v>
      </c>
      <c r="D53" s="13">
        <f t="shared" si="7"/>
        <v>309</v>
      </c>
      <c r="E53" s="13" t="s">
        <v>72</v>
      </c>
      <c r="F53" s="25">
        <f>(35.312+3.624)*10.764</f>
        <v>419.10710399999999</v>
      </c>
      <c r="G53" s="25">
        <f>3.135*10.764</f>
        <v>33.745139999999992</v>
      </c>
      <c r="H53" s="32">
        <v>715</v>
      </c>
      <c r="I53" s="13">
        <v>4800</v>
      </c>
      <c r="J53" s="13">
        <f t="shared" si="5"/>
        <v>3432000</v>
      </c>
    </row>
    <row r="54" spans="1:10" x14ac:dyDescent="0.25">
      <c r="A54" s="13">
        <v>28</v>
      </c>
      <c r="B54" s="408" t="s">
        <v>86</v>
      </c>
      <c r="C54" s="35" t="s">
        <v>112</v>
      </c>
      <c r="D54" s="13">
        <f>D45+100</f>
        <v>401</v>
      </c>
      <c r="E54" s="13" t="s">
        <v>72</v>
      </c>
      <c r="F54" s="25">
        <f>34.505*10.764</f>
        <v>371.41181999999998</v>
      </c>
      <c r="G54" s="25">
        <v>0</v>
      </c>
      <c r="H54" s="32">
        <v>585</v>
      </c>
      <c r="I54" s="13">
        <v>4800</v>
      </c>
      <c r="J54" s="13">
        <f t="shared" si="5"/>
        <v>2808000</v>
      </c>
    </row>
    <row r="55" spans="1:10" x14ac:dyDescent="0.25">
      <c r="A55" s="13">
        <v>29</v>
      </c>
      <c r="B55" s="409"/>
      <c r="C55" s="35" t="s">
        <v>112</v>
      </c>
      <c r="D55" s="13">
        <f>D46+100</f>
        <v>402</v>
      </c>
      <c r="E55" s="13" t="s">
        <v>94</v>
      </c>
      <c r="F55" s="25">
        <f>(39.567+11.158)*10.764</f>
        <v>546.00389999999993</v>
      </c>
      <c r="G55" s="25">
        <v>0</v>
      </c>
      <c r="H55" s="32">
        <v>850</v>
      </c>
      <c r="I55" s="13">
        <v>4800</v>
      </c>
      <c r="J55" s="13">
        <f t="shared" si="5"/>
        <v>4080000</v>
      </c>
    </row>
    <row r="56" spans="1:10" x14ac:dyDescent="0.25">
      <c r="A56" s="13">
        <v>30</v>
      </c>
      <c r="B56" s="409"/>
      <c r="C56" s="35" t="s">
        <v>112</v>
      </c>
      <c r="D56" s="13">
        <f t="shared" ref="D56:D62" si="8">D47+100</f>
        <v>403</v>
      </c>
      <c r="E56" s="13" t="s">
        <v>73</v>
      </c>
      <c r="F56" s="25">
        <f>(20.719+6.275)*10.764</f>
        <v>290.56341599999996</v>
      </c>
      <c r="G56" s="25">
        <v>0</v>
      </c>
      <c r="H56" s="32">
        <v>455</v>
      </c>
      <c r="I56" s="13">
        <v>4800</v>
      </c>
      <c r="J56" s="13">
        <f t="shared" si="5"/>
        <v>2184000</v>
      </c>
    </row>
    <row r="57" spans="1:10" x14ac:dyDescent="0.25">
      <c r="A57" s="13">
        <v>31</v>
      </c>
      <c r="B57" s="409"/>
      <c r="C57" s="35" t="s">
        <v>112</v>
      </c>
      <c r="D57" s="13">
        <f t="shared" si="8"/>
        <v>404</v>
      </c>
      <c r="E57" s="13" t="s">
        <v>72</v>
      </c>
      <c r="F57" s="25">
        <f>(31.447+5.955)*10.764</f>
        <v>402.59512799999999</v>
      </c>
      <c r="G57" s="25">
        <v>0</v>
      </c>
      <c r="H57" s="32">
        <v>625</v>
      </c>
      <c r="I57" s="13">
        <v>4800</v>
      </c>
      <c r="J57" s="13">
        <f t="shared" si="5"/>
        <v>3000000</v>
      </c>
    </row>
    <row r="58" spans="1:10" x14ac:dyDescent="0.25">
      <c r="A58" s="13">
        <v>32</v>
      </c>
      <c r="B58" s="409"/>
      <c r="C58" s="35" t="s">
        <v>112</v>
      </c>
      <c r="D58" s="13">
        <f t="shared" si="8"/>
        <v>405</v>
      </c>
      <c r="E58" s="13" t="s">
        <v>72</v>
      </c>
      <c r="F58" s="25">
        <f>(32.062+6.825)*10.764</f>
        <v>418.57966799999997</v>
      </c>
      <c r="G58" s="25">
        <v>0</v>
      </c>
      <c r="H58" s="32">
        <v>660</v>
      </c>
      <c r="I58" s="13">
        <v>4800</v>
      </c>
      <c r="J58" s="13">
        <f t="shared" si="5"/>
        <v>3168000</v>
      </c>
    </row>
    <row r="59" spans="1:10" x14ac:dyDescent="0.25">
      <c r="A59" s="13">
        <v>33</v>
      </c>
      <c r="B59" s="409"/>
      <c r="C59" s="35" t="s">
        <v>112</v>
      </c>
      <c r="D59" s="13">
        <f t="shared" si="8"/>
        <v>406</v>
      </c>
      <c r="E59" s="13" t="s">
        <v>72</v>
      </c>
      <c r="F59" s="25">
        <f>(30.317+6.025)*10.764</f>
        <v>391.18528799999996</v>
      </c>
      <c r="G59" s="25">
        <v>0</v>
      </c>
      <c r="H59" s="32">
        <v>605</v>
      </c>
      <c r="I59" s="13">
        <v>4800</v>
      </c>
      <c r="J59" s="13">
        <f t="shared" si="5"/>
        <v>2904000</v>
      </c>
    </row>
    <row r="60" spans="1:10" x14ac:dyDescent="0.25">
      <c r="A60" s="13">
        <v>34</v>
      </c>
      <c r="B60" s="409"/>
      <c r="C60" s="35" t="s">
        <v>112</v>
      </c>
      <c r="D60" s="13">
        <f t="shared" si="8"/>
        <v>407</v>
      </c>
      <c r="E60" s="13" t="s">
        <v>72</v>
      </c>
      <c r="F60" s="25">
        <f>(29.392+5.25)*10.764</f>
        <v>372.88648799999993</v>
      </c>
      <c r="G60" s="25">
        <v>0</v>
      </c>
      <c r="H60" s="32">
        <v>570</v>
      </c>
      <c r="I60" s="13">
        <v>4800</v>
      </c>
      <c r="J60" s="13">
        <f t="shared" si="5"/>
        <v>2736000</v>
      </c>
    </row>
    <row r="61" spans="1:10" x14ac:dyDescent="0.25">
      <c r="A61" s="13">
        <v>35</v>
      </c>
      <c r="B61" s="409"/>
      <c r="C61" s="35" t="s">
        <v>112</v>
      </c>
      <c r="D61" s="13">
        <f t="shared" si="8"/>
        <v>408</v>
      </c>
      <c r="E61" s="13" t="s">
        <v>72</v>
      </c>
      <c r="F61" s="25">
        <f>(32.962+6.63)*10.764</f>
        <v>426.16828800000002</v>
      </c>
      <c r="G61" s="25">
        <v>0</v>
      </c>
      <c r="H61" s="32">
        <v>670</v>
      </c>
      <c r="I61" s="13">
        <v>4800</v>
      </c>
      <c r="J61" s="13">
        <f t="shared" si="5"/>
        <v>3216000</v>
      </c>
    </row>
    <row r="62" spans="1:10" x14ac:dyDescent="0.25">
      <c r="A62" s="13">
        <v>36</v>
      </c>
      <c r="B62" s="410"/>
      <c r="C62" s="35" t="s">
        <v>112</v>
      </c>
      <c r="D62" s="13">
        <f t="shared" si="8"/>
        <v>409</v>
      </c>
      <c r="E62" s="13" t="s">
        <v>72</v>
      </c>
      <c r="F62" s="25">
        <f>(35.312+3.624)*10.764</f>
        <v>419.10710399999999</v>
      </c>
      <c r="G62" s="25">
        <f>3.85*10.764</f>
        <v>41.441400000000002</v>
      </c>
      <c r="H62" s="32">
        <v>725</v>
      </c>
      <c r="I62" s="13">
        <v>4800</v>
      </c>
      <c r="J62" s="13">
        <f t="shared" si="5"/>
        <v>3480000</v>
      </c>
    </row>
    <row r="63" spans="1:10" x14ac:dyDescent="0.25">
      <c r="A63" s="13">
        <v>37</v>
      </c>
      <c r="B63" s="408" t="s">
        <v>87</v>
      </c>
      <c r="C63" s="35" t="s">
        <v>112</v>
      </c>
      <c r="D63" s="13">
        <f>D54+100</f>
        <v>501</v>
      </c>
      <c r="E63" s="13" t="s">
        <v>72</v>
      </c>
      <c r="F63" s="25">
        <f>34.505*10.764</f>
        <v>371.41181999999998</v>
      </c>
      <c r="G63" s="25">
        <f>4.32*10.764</f>
        <v>46.500480000000003</v>
      </c>
      <c r="H63" s="32">
        <v>655</v>
      </c>
      <c r="I63" s="13">
        <v>4800</v>
      </c>
      <c r="J63" s="13">
        <f t="shared" si="5"/>
        <v>3144000</v>
      </c>
    </row>
    <row r="64" spans="1:10" x14ac:dyDescent="0.25">
      <c r="A64" s="13">
        <v>38</v>
      </c>
      <c r="B64" s="409"/>
      <c r="C64" s="35" t="s">
        <v>112</v>
      </c>
      <c r="D64" s="13">
        <f>D55+100</f>
        <v>502</v>
      </c>
      <c r="E64" s="13" t="s">
        <v>94</v>
      </c>
      <c r="F64" s="25">
        <f>(39.567+11.158)*10.764</f>
        <v>546.00389999999993</v>
      </c>
      <c r="G64" s="25">
        <f>4.95*10.764</f>
        <v>53.281799999999997</v>
      </c>
      <c r="H64" s="32">
        <v>935</v>
      </c>
      <c r="I64" s="13">
        <v>4800</v>
      </c>
      <c r="J64" s="13">
        <f t="shared" si="5"/>
        <v>4488000</v>
      </c>
    </row>
    <row r="65" spans="1:10" x14ac:dyDescent="0.25">
      <c r="A65" s="13">
        <v>39</v>
      </c>
      <c r="B65" s="409"/>
      <c r="C65" s="35" t="s">
        <v>112</v>
      </c>
      <c r="D65" s="13">
        <f t="shared" ref="D65:D71" si="9">D56+100</f>
        <v>503</v>
      </c>
      <c r="E65" s="13" t="s">
        <v>73</v>
      </c>
      <c r="F65" s="25">
        <f>(20.719+6.275)*10.764</f>
        <v>290.56341599999996</v>
      </c>
      <c r="G65" s="25">
        <v>0</v>
      </c>
      <c r="H65" s="32">
        <v>455</v>
      </c>
      <c r="I65" s="13">
        <v>4800</v>
      </c>
      <c r="J65" s="13">
        <f t="shared" si="5"/>
        <v>2184000</v>
      </c>
    </row>
    <row r="66" spans="1:10" x14ac:dyDescent="0.25">
      <c r="A66" s="13">
        <v>40</v>
      </c>
      <c r="B66" s="409"/>
      <c r="C66" s="35" t="s">
        <v>112</v>
      </c>
      <c r="D66" s="13">
        <f t="shared" si="9"/>
        <v>504</v>
      </c>
      <c r="E66" s="13" t="s">
        <v>72</v>
      </c>
      <c r="F66" s="25">
        <f>(31.447+5.955)*10.764</f>
        <v>402.59512799999999</v>
      </c>
      <c r="G66" s="25">
        <f>5.55*10.764</f>
        <v>59.740199999999994</v>
      </c>
      <c r="H66" s="32">
        <v>715</v>
      </c>
      <c r="I66" s="13">
        <v>4800</v>
      </c>
      <c r="J66" s="13">
        <f t="shared" si="5"/>
        <v>3432000</v>
      </c>
    </row>
    <row r="67" spans="1:10" x14ac:dyDescent="0.25">
      <c r="A67" s="13">
        <v>41</v>
      </c>
      <c r="B67" s="409"/>
      <c r="C67" s="35" t="s">
        <v>112</v>
      </c>
      <c r="D67" s="13">
        <f t="shared" si="9"/>
        <v>505</v>
      </c>
      <c r="E67" s="13" t="s">
        <v>72</v>
      </c>
      <c r="F67" s="25">
        <f>(32.062+6.825)*10.764</f>
        <v>418.57966799999997</v>
      </c>
      <c r="G67" s="25">
        <f>5.55*10.764</f>
        <v>59.740199999999994</v>
      </c>
      <c r="H67" s="32">
        <v>750</v>
      </c>
      <c r="I67" s="13">
        <v>4800</v>
      </c>
      <c r="J67" s="13">
        <f t="shared" si="5"/>
        <v>3600000</v>
      </c>
    </row>
    <row r="68" spans="1:10" x14ac:dyDescent="0.25">
      <c r="A68" s="13">
        <v>42</v>
      </c>
      <c r="B68" s="409"/>
      <c r="C68" s="35" t="s">
        <v>112</v>
      </c>
      <c r="D68" s="13">
        <f t="shared" si="9"/>
        <v>506</v>
      </c>
      <c r="E68" s="13" t="s">
        <v>72</v>
      </c>
      <c r="F68" s="25">
        <f>(30.317+6.025)*10.764</f>
        <v>391.18528799999996</v>
      </c>
      <c r="G68" s="25">
        <f>4.301*10.764</f>
        <v>46.295963999999998</v>
      </c>
      <c r="H68" s="32">
        <v>675</v>
      </c>
      <c r="I68" s="13">
        <v>4800</v>
      </c>
      <c r="J68" s="13">
        <f t="shared" si="5"/>
        <v>3240000</v>
      </c>
    </row>
    <row r="69" spans="1:10" x14ac:dyDescent="0.25">
      <c r="A69" s="13">
        <v>43</v>
      </c>
      <c r="B69" s="409"/>
      <c r="C69" s="35" t="s">
        <v>112</v>
      </c>
      <c r="D69" s="13">
        <f t="shared" si="9"/>
        <v>507</v>
      </c>
      <c r="E69" s="13" t="s">
        <v>72</v>
      </c>
      <c r="F69" s="25">
        <f>(29.392+5.25)*10.764</f>
        <v>372.88648799999993</v>
      </c>
      <c r="G69" s="25">
        <f>4.301*10.764</f>
        <v>46.295963999999998</v>
      </c>
      <c r="H69" s="32">
        <v>645</v>
      </c>
      <c r="I69" s="13">
        <v>4800</v>
      </c>
      <c r="J69" s="13">
        <f t="shared" si="5"/>
        <v>3096000</v>
      </c>
    </row>
    <row r="70" spans="1:10" x14ac:dyDescent="0.25">
      <c r="A70" s="13">
        <v>44</v>
      </c>
      <c r="B70" s="409"/>
      <c r="C70" s="35" t="s">
        <v>112</v>
      </c>
      <c r="D70" s="13">
        <f t="shared" si="9"/>
        <v>508</v>
      </c>
      <c r="E70" s="13" t="s">
        <v>72</v>
      </c>
      <c r="F70" s="25">
        <f>(32.962+6.63)*10.764</f>
        <v>426.16828800000002</v>
      </c>
      <c r="G70" s="25">
        <f>4.185*10.764</f>
        <v>45.047339999999991</v>
      </c>
      <c r="H70" s="32">
        <v>740</v>
      </c>
      <c r="I70" s="13">
        <v>4800</v>
      </c>
      <c r="J70" s="13">
        <f t="shared" si="5"/>
        <v>3552000</v>
      </c>
    </row>
    <row r="71" spans="1:10" x14ac:dyDescent="0.25">
      <c r="A71" s="13">
        <v>45</v>
      </c>
      <c r="B71" s="410"/>
      <c r="C71" s="35" t="s">
        <v>112</v>
      </c>
      <c r="D71" s="13">
        <f t="shared" si="9"/>
        <v>509</v>
      </c>
      <c r="E71" s="13" t="s">
        <v>72</v>
      </c>
      <c r="F71" s="25">
        <f>(35.312+3.624)*10.764</f>
        <v>419.10710399999999</v>
      </c>
      <c r="G71" s="25">
        <f>3.135*10.764</f>
        <v>33.745139999999992</v>
      </c>
      <c r="H71" s="32">
        <v>715</v>
      </c>
      <c r="I71" s="13">
        <v>4800</v>
      </c>
      <c r="J71" s="13">
        <f t="shared" si="5"/>
        <v>3432000</v>
      </c>
    </row>
    <row r="72" spans="1:10" x14ac:dyDescent="0.25">
      <c r="A72" s="13">
        <v>46</v>
      </c>
      <c r="B72" s="408" t="s">
        <v>88</v>
      </c>
      <c r="C72" s="35" t="s">
        <v>112</v>
      </c>
      <c r="D72" s="13">
        <f>D63+100</f>
        <v>601</v>
      </c>
      <c r="E72" s="13" t="s">
        <v>72</v>
      </c>
      <c r="F72" s="25">
        <f>34.505*10.764</f>
        <v>371.41181999999998</v>
      </c>
      <c r="G72" s="25">
        <v>0</v>
      </c>
      <c r="H72" s="32">
        <v>585</v>
      </c>
      <c r="I72" s="13">
        <v>4800</v>
      </c>
      <c r="J72" s="13">
        <f t="shared" si="5"/>
        <v>2808000</v>
      </c>
    </row>
    <row r="73" spans="1:10" x14ac:dyDescent="0.25">
      <c r="A73" s="13">
        <v>47</v>
      </c>
      <c r="B73" s="409"/>
      <c r="C73" s="35" t="s">
        <v>112</v>
      </c>
      <c r="D73" s="13">
        <f>D64+100</f>
        <v>602</v>
      </c>
      <c r="E73" s="13" t="s">
        <v>94</v>
      </c>
      <c r="F73" s="25">
        <f>(39.567+11.158)*10.764</f>
        <v>546.00389999999993</v>
      </c>
      <c r="G73" s="25">
        <v>0</v>
      </c>
      <c r="H73" s="32">
        <v>850</v>
      </c>
      <c r="I73" s="13">
        <v>4800</v>
      </c>
      <c r="J73" s="13">
        <f t="shared" si="5"/>
        <v>4080000</v>
      </c>
    </row>
    <row r="74" spans="1:10" x14ac:dyDescent="0.25">
      <c r="A74" s="13">
        <v>48</v>
      </c>
      <c r="B74" s="409"/>
      <c r="C74" s="35" t="s">
        <v>112</v>
      </c>
      <c r="D74" s="13">
        <f t="shared" ref="D74:D80" si="10">D65+100</f>
        <v>603</v>
      </c>
      <c r="E74" s="13" t="s">
        <v>73</v>
      </c>
      <c r="F74" s="25">
        <f>(20.719+6.275)*10.764</f>
        <v>290.56341599999996</v>
      </c>
      <c r="G74" s="25">
        <v>0</v>
      </c>
      <c r="H74" s="32">
        <v>455</v>
      </c>
      <c r="I74" s="13">
        <v>4800</v>
      </c>
      <c r="J74" s="13">
        <f t="shared" si="5"/>
        <v>2184000</v>
      </c>
    </row>
    <row r="75" spans="1:10" x14ac:dyDescent="0.25">
      <c r="A75" s="13">
        <v>49</v>
      </c>
      <c r="B75" s="409"/>
      <c r="C75" s="35" t="s">
        <v>112</v>
      </c>
      <c r="D75" s="13">
        <f t="shared" si="10"/>
        <v>604</v>
      </c>
      <c r="E75" s="13" t="s">
        <v>72</v>
      </c>
      <c r="F75" s="25">
        <f>(31.447+5.955)*10.764</f>
        <v>402.59512799999999</v>
      </c>
      <c r="G75" s="25">
        <v>0</v>
      </c>
      <c r="H75" s="32">
        <v>625</v>
      </c>
      <c r="I75" s="13">
        <v>4800</v>
      </c>
      <c r="J75" s="13">
        <f t="shared" si="5"/>
        <v>3000000</v>
      </c>
    </row>
    <row r="76" spans="1:10" x14ac:dyDescent="0.25">
      <c r="A76" s="13">
        <v>50</v>
      </c>
      <c r="B76" s="409"/>
      <c r="C76" s="35" t="s">
        <v>112</v>
      </c>
      <c r="D76" s="13">
        <f t="shared" si="10"/>
        <v>605</v>
      </c>
      <c r="E76" s="13" t="s">
        <v>72</v>
      </c>
      <c r="F76" s="25">
        <f>(32.062+6.825)*10.764</f>
        <v>418.57966799999997</v>
      </c>
      <c r="G76" s="25">
        <v>0</v>
      </c>
      <c r="H76" s="32">
        <v>660</v>
      </c>
      <c r="I76" s="13">
        <v>4800</v>
      </c>
      <c r="J76" s="13">
        <f t="shared" si="5"/>
        <v>3168000</v>
      </c>
    </row>
    <row r="77" spans="1:10" x14ac:dyDescent="0.25">
      <c r="A77" s="13">
        <v>51</v>
      </c>
      <c r="B77" s="409"/>
      <c r="C77" s="35" t="s">
        <v>112</v>
      </c>
      <c r="D77" s="13">
        <f t="shared" si="10"/>
        <v>606</v>
      </c>
      <c r="E77" s="13" t="s">
        <v>72</v>
      </c>
      <c r="F77" s="25">
        <f>(30.317+6.025)*10.764</f>
        <v>391.18528799999996</v>
      </c>
      <c r="G77" s="25">
        <v>0</v>
      </c>
      <c r="H77" s="32">
        <v>605</v>
      </c>
      <c r="I77" s="13">
        <v>4800</v>
      </c>
      <c r="J77" s="13">
        <f t="shared" si="5"/>
        <v>2904000</v>
      </c>
    </row>
    <row r="78" spans="1:10" x14ac:dyDescent="0.25">
      <c r="A78" s="13">
        <v>52</v>
      </c>
      <c r="B78" s="409"/>
      <c r="C78" s="35" t="s">
        <v>112</v>
      </c>
      <c r="D78" s="13">
        <f t="shared" si="10"/>
        <v>607</v>
      </c>
      <c r="E78" s="13" t="s">
        <v>72</v>
      </c>
      <c r="F78" s="25">
        <f>(29.392+5.25)*10.764</f>
        <v>372.88648799999993</v>
      </c>
      <c r="G78" s="25">
        <v>0</v>
      </c>
      <c r="H78" s="32">
        <v>570</v>
      </c>
      <c r="I78" s="13">
        <v>4800</v>
      </c>
      <c r="J78" s="13">
        <f t="shared" si="5"/>
        <v>2736000</v>
      </c>
    </row>
    <row r="79" spans="1:10" x14ac:dyDescent="0.25">
      <c r="A79" s="13">
        <v>53</v>
      </c>
      <c r="B79" s="409"/>
      <c r="C79" s="35" t="s">
        <v>112</v>
      </c>
      <c r="D79" s="13">
        <f t="shared" si="10"/>
        <v>608</v>
      </c>
      <c r="E79" s="13" t="s">
        <v>72</v>
      </c>
      <c r="F79" s="25">
        <f>(32.962+6.63)*10.764</f>
        <v>426.16828800000002</v>
      </c>
      <c r="G79" s="25">
        <v>0</v>
      </c>
      <c r="H79" s="32">
        <v>670</v>
      </c>
      <c r="I79" s="13">
        <v>4800</v>
      </c>
      <c r="J79" s="13">
        <f t="shared" si="5"/>
        <v>3216000</v>
      </c>
    </row>
    <row r="80" spans="1:10" x14ac:dyDescent="0.25">
      <c r="A80" s="13">
        <v>54</v>
      </c>
      <c r="B80" s="410"/>
      <c r="C80" s="35" t="s">
        <v>112</v>
      </c>
      <c r="D80" s="13">
        <f t="shared" si="10"/>
        <v>609</v>
      </c>
      <c r="E80" s="13" t="s">
        <v>72</v>
      </c>
      <c r="F80" s="25">
        <f>(35.312+3.624)*10.764</f>
        <v>419.10710399999999</v>
      </c>
      <c r="G80" s="25">
        <f>3.85*10.764</f>
        <v>41.441400000000002</v>
      </c>
      <c r="H80" s="32">
        <v>725</v>
      </c>
      <c r="I80" s="13">
        <v>4800</v>
      </c>
      <c r="J80" s="13">
        <f t="shared" si="5"/>
        <v>3480000</v>
      </c>
    </row>
    <row r="81" spans="1:10" x14ac:dyDescent="0.25">
      <c r="A81" s="13">
        <v>55</v>
      </c>
      <c r="B81" s="408" t="s">
        <v>89</v>
      </c>
      <c r="C81" s="35" t="s">
        <v>112</v>
      </c>
      <c r="D81" s="13">
        <f>D72+100</f>
        <v>701</v>
      </c>
      <c r="E81" s="13" t="s">
        <v>72</v>
      </c>
      <c r="F81" s="25">
        <f>34.505*10.764</f>
        <v>371.41181999999998</v>
      </c>
      <c r="G81" s="25">
        <f>4.32*10.764</f>
        <v>46.500480000000003</v>
      </c>
      <c r="H81" s="32">
        <v>655</v>
      </c>
      <c r="I81" s="13">
        <v>4800</v>
      </c>
      <c r="J81" s="13">
        <f t="shared" si="5"/>
        <v>3144000</v>
      </c>
    </row>
    <row r="82" spans="1:10" x14ac:dyDescent="0.25">
      <c r="A82" s="13">
        <v>56</v>
      </c>
      <c r="B82" s="409"/>
      <c r="C82" s="35" t="s">
        <v>112</v>
      </c>
      <c r="D82" s="13">
        <f>D73+100</f>
        <v>702</v>
      </c>
      <c r="E82" s="13" t="s">
        <v>94</v>
      </c>
      <c r="F82" s="25">
        <f>(39.567+11.158)*10.764</f>
        <v>546.00389999999993</v>
      </c>
      <c r="G82" s="25">
        <f>4.95*10.764</f>
        <v>53.281799999999997</v>
      </c>
      <c r="H82" s="32">
        <v>935</v>
      </c>
      <c r="I82" s="13">
        <v>4800</v>
      </c>
      <c r="J82" s="13">
        <f t="shared" si="5"/>
        <v>4488000</v>
      </c>
    </row>
    <row r="83" spans="1:10" x14ac:dyDescent="0.25">
      <c r="A83" s="13">
        <v>57</v>
      </c>
      <c r="B83" s="409"/>
      <c r="C83" s="35" t="s">
        <v>112</v>
      </c>
      <c r="D83" s="13">
        <f t="shared" ref="D83:D89" si="11">D74+100</f>
        <v>703</v>
      </c>
      <c r="E83" s="13" t="s">
        <v>73</v>
      </c>
      <c r="F83" s="25">
        <f>(20.719+6.275)*10.764</f>
        <v>290.56341599999996</v>
      </c>
      <c r="G83" s="25">
        <v>0</v>
      </c>
      <c r="H83" s="32">
        <v>455</v>
      </c>
      <c r="I83" s="13">
        <v>4800</v>
      </c>
      <c r="J83" s="13">
        <f t="shared" si="5"/>
        <v>2184000</v>
      </c>
    </row>
    <row r="84" spans="1:10" x14ac:dyDescent="0.25">
      <c r="A84" s="13">
        <v>58</v>
      </c>
      <c r="B84" s="409"/>
      <c r="C84" s="35" t="s">
        <v>112</v>
      </c>
      <c r="D84" s="13">
        <f t="shared" si="11"/>
        <v>704</v>
      </c>
      <c r="E84" s="13" t="s">
        <v>72</v>
      </c>
      <c r="F84" s="25">
        <f>(31.447+5.955)*10.764</f>
        <v>402.59512799999999</v>
      </c>
      <c r="G84" s="25">
        <f>5.55*10.764</f>
        <v>59.740199999999994</v>
      </c>
      <c r="H84" s="32">
        <v>715</v>
      </c>
      <c r="I84" s="13">
        <v>4800</v>
      </c>
      <c r="J84" s="13">
        <f t="shared" si="5"/>
        <v>3432000</v>
      </c>
    </row>
    <row r="85" spans="1:10" x14ac:dyDescent="0.25">
      <c r="A85" s="13">
        <v>59</v>
      </c>
      <c r="B85" s="409"/>
      <c r="C85" s="35" t="s">
        <v>112</v>
      </c>
      <c r="D85" s="13">
        <f t="shared" si="11"/>
        <v>705</v>
      </c>
      <c r="E85" s="13" t="s">
        <v>72</v>
      </c>
      <c r="F85" s="25">
        <f>(32.062+6.825)*10.764</f>
        <v>418.57966799999997</v>
      </c>
      <c r="G85" s="25">
        <f>5.55*10.764</f>
        <v>59.740199999999994</v>
      </c>
      <c r="H85" s="32">
        <v>750</v>
      </c>
      <c r="I85" s="13">
        <v>4800</v>
      </c>
      <c r="J85" s="13">
        <f t="shared" si="5"/>
        <v>3600000</v>
      </c>
    </row>
    <row r="86" spans="1:10" x14ac:dyDescent="0.25">
      <c r="A86" s="13">
        <v>60</v>
      </c>
      <c r="B86" s="409"/>
      <c r="C86" s="35" t="s">
        <v>112</v>
      </c>
      <c r="D86" s="13">
        <f t="shared" si="11"/>
        <v>706</v>
      </c>
      <c r="E86" s="13" t="s">
        <v>72</v>
      </c>
      <c r="F86" s="25">
        <f>(30.317+6.025)*10.764</f>
        <v>391.18528799999996</v>
      </c>
      <c r="G86" s="25">
        <f>4.301*10.764</f>
        <v>46.295963999999998</v>
      </c>
      <c r="H86" s="32">
        <v>675</v>
      </c>
      <c r="I86" s="13">
        <v>4800</v>
      </c>
      <c r="J86" s="13">
        <f t="shared" si="5"/>
        <v>3240000</v>
      </c>
    </row>
    <row r="87" spans="1:10" x14ac:dyDescent="0.25">
      <c r="A87" s="13">
        <v>61</v>
      </c>
      <c r="B87" s="409"/>
      <c r="C87" s="35" t="s">
        <v>112</v>
      </c>
      <c r="D87" s="13">
        <f t="shared" si="11"/>
        <v>707</v>
      </c>
      <c r="E87" s="13" t="s">
        <v>72</v>
      </c>
      <c r="F87" s="25">
        <f>(29.392+5.25)*10.764</f>
        <v>372.88648799999993</v>
      </c>
      <c r="G87" s="25">
        <f>4.301*10.764</f>
        <v>46.295963999999998</v>
      </c>
      <c r="H87" s="32">
        <v>645</v>
      </c>
      <c r="I87" s="13">
        <v>4800</v>
      </c>
      <c r="J87" s="13">
        <f t="shared" si="5"/>
        <v>3096000</v>
      </c>
    </row>
    <row r="88" spans="1:10" x14ac:dyDescent="0.25">
      <c r="A88" s="13">
        <v>62</v>
      </c>
      <c r="B88" s="409"/>
      <c r="C88" s="35" t="s">
        <v>112</v>
      </c>
      <c r="D88" s="13">
        <f t="shared" si="11"/>
        <v>708</v>
      </c>
      <c r="E88" s="13" t="s">
        <v>72</v>
      </c>
      <c r="F88" s="25">
        <f>(32.962+6.63)*10.764</f>
        <v>426.16828800000002</v>
      </c>
      <c r="G88" s="25">
        <f>4.185*10.764</f>
        <v>45.047339999999991</v>
      </c>
      <c r="H88" s="32">
        <v>740</v>
      </c>
      <c r="I88" s="13">
        <v>4800</v>
      </c>
      <c r="J88" s="13">
        <f t="shared" si="5"/>
        <v>3552000</v>
      </c>
    </row>
    <row r="89" spans="1:10" x14ac:dyDescent="0.25">
      <c r="A89" s="13">
        <v>63</v>
      </c>
      <c r="B89" s="410"/>
      <c r="C89" s="35" t="s">
        <v>112</v>
      </c>
      <c r="D89" s="13">
        <f t="shared" si="11"/>
        <v>709</v>
      </c>
      <c r="E89" s="13" t="s">
        <v>72</v>
      </c>
      <c r="F89" s="25">
        <f>(35.312+3.624)*10.764</f>
        <v>419.10710399999999</v>
      </c>
      <c r="G89" s="25">
        <f>3.135*10.764</f>
        <v>33.745139999999992</v>
      </c>
      <c r="H89" s="32">
        <v>715</v>
      </c>
      <c r="I89" s="13">
        <v>4800</v>
      </c>
      <c r="J89" s="13">
        <f t="shared" si="5"/>
        <v>3432000</v>
      </c>
    </row>
    <row r="90" spans="1:10" x14ac:dyDescent="0.25">
      <c r="A90" s="242" t="s">
        <v>96</v>
      </c>
      <c r="B90" s="242"/>
      <c r="C90" s="242"/>
      <c r="D90" s="242"/>
      <c r="E90" s="242"/>
      <c r="F90" s="242"/>
      <c r="G90" s="242"/>
      <c r="H90" s="242"/>
      <c r="I90" s="242"/>
      <c r="J90" s="242"/>
    </row>
    <row r="91" spans="1:10" x14ac:dyDescent="0.25">
      <c r="A91" s="242" t="s">
        <v>81</v>
      </c>
      <c r="B91" s="242"/>
      <c r="C91" s="242"/>
      <c r="D91" s="242"/>
      <c r="E91" s="242"/>
      <c r="F91" s="242"/>
      <c r="G91" s="242"/>
      <c r="H91" s="242"/>
      <c r="I91" s="242"/>
      <c r="J91" s="242"/>
    </row>
    <row r="92" spans="1:10" x14ac:dyDescent="0.25">
      <c r="A92" s="13">
        <v>1</v>
      </c>
      <c r="B92" s="408" t="s">
        <v>82</v>
      </c>
      <c r="C92" s="35" t="s">
        <v>113</v>
      </c>
      <c r="D92" s="13">
        <v>101</v>
      </c>
      <c r="E92" s="13" t="s">
        <v>94</v>
      </c>
      <c r="F92" s="25">
        <f>(41.081+11.114)*10.764</f>
        <v>561.82698000000005</v>
      </c>
      <c r="G92" s="25">
        <f>5.896*10.764</f>
        <v>63.464543999999997</v>
      </c>
      <c r="H92" s="32">
        <v>980</v>
      </c>
      <c r="I92" s="13">
        <v>4800</v>
      </c>
      <c r="J92" s="13">
        <f t="shared" ref="J92:J155" si="12">H92*I92</f>
        <v>4704000</v>
      </c>
    </row>
    <row r="93" spans="1:10" x14ac:dyDescent="0.25">
      <c r="A93" s="13">
        <v>2</v>
      </c>
      <c r="B93" s="409"/>
      <c r="C93" s="35" t="s">
        <v>113</v>
      </c>
      <c r="D93" s="13">
        <v>102</v>
      </c>
      <c r="E93" s="13" t="s">
        <v>73</v>
      </c>
      <c r="F93" s="25">
        <f>(18.012+6.59)*10.764</f>
        <v>264.81592799999999</v>
      </c>
      <c r="G93" s="25">
        <v>0</v>
      </c>
      <c r="H93" s="32">
        <v>405</v>
      </c>
      <c r="I93" s="13">
        <v>4800</v>
      </c>
      <c r="J93" s="13">
        <f t="shared" si="12"/>
        <v>1944000</v>
      </c>
    </row>
    <row r="94" spans="1:10" x14ac:dyDescent="0.25">
      <c r="A94" s="13">
        <v>3</v>
      </c>
      <c r="B94" s="409"/>
      <c r="C94" s="35" t="s">
        <v>113</v>
      </c>
      <c r="D94" s="13">
        <v>103</v>
      </c>
      <c r="E94" s="13" t="s">
        <v>72</v>
      </c>
      <c r="F94" s="25">
        <f>(29.805+7.205)*10.764</f>
        <v>398.37563999999998</v>
      </c>
      <c r="G94" s="25">
        <f>5.7*10.764</f>
        <v>61.354799999999997</v>
      </c>
      <c r="H94" s="32">
        <v>720</v>
      </c>
      <c r="I94" s="13">
        <v>4800</v>
      </c>
      <c r="J94" s="13">
        <f t="shared" si="12"/>
        <v>3456000</v>
      </c>
    </row>
    <row r="95" spans="1:10" x14ac:dyDescent="0.25">
      <c r="A95" s="13">
        <v>4</v>
      </c>
      <c r="B95" s="409"/>
      <c r="C95" s="35" t="s">
        <v>113</v>
      </c>
      <c r="D95" s="13">
        <v>104</v>
      </c>
      <c r="E95" s="13" t="s">
        <v>72</v>
      </c>
      <c r="F95" s="25">
        <f>(31.83)*10.764</f>
        <v>342.61811999999998</v>
      </c>
      <c r="G95" s="25">
        <f>6.383*10.764</f>
        <v>68.706611999999993</v>
      </c>
      <c r="H95" s="32">
        <v>650</v>
      </c>
      <c r="I95" s="13">
        <v>4800</v>
      </c>
      <c r="J95" s="13">
        <f t="shared" si="12"/>
        <v>3120000</v>
      </c>
    </row>
    <row r="96" spans="1:10" x14ac:dyDescent="0.25">
      <c r="A96" s="13">
        <v>5</v>
      </c>
      <c r="B96" s="409"/>
      <c r="C96" s="35" t="s">
        <v>113</v>
      </c>
      <c r="D96" s="13">
        <v>105</v>
      </c>
      <c r="E96" s="13" t="s">
        <v>72</v>
      </c>
      <c r="F96" s="25">
        <f>(32.089+6.728)*10.764</f>
        <v>417.826188</v>
      </c>
      <c r="G96" s="25">
        <f>6.383*10.764</f>
        <v>68.706611999999993</v>
      </c>
      <c r="H96" s="32">
        <v>765</v>
      </c>
      <c r="I96" s="13">
        <v>4800</v>
      </c>
      <c r="J96" s="13">
        <f t="shared" si="12"/>
        <v>3672000</v>
      </c>
    </row>
    <row r="97" spans="1:10" x14ac:dyDescent="0.25">
      <c r="A97" s="13">
        <v>6</v>
      </c>
      <c r="B97" s="409"/>
      <c r="C97" s="35" t="s">
        <v>113</v>
      </c>
      <c r="D97" s="13">
        <v>106</v>
      </c>
      <c r="E97" s="13" t="s">
        <v>72</v>
      </c>
      <c r="F97" s="25">
        <f>(31.884+6.728)*10.764</f>
        <v>415.61956800000002</v>
      </c>
      <c r="G97" s="25">
        <f>4.093*10.764</f>
        <v>44.057051999999999</v>
      </c>
      <c r="H97" s="32">
        <v>725</v>
      </c>
      <c r="I97" s="13">
        <v>4800</v>
      </c>
      <c r="J97" s="13">
        <f t="shared" si="12"/>
        <v>3480000</v>
      </c>
    </row>
    <row r="98" spans="1:10" x14ac:dyDescent="0.25">
      <c r="A98" s="13">
        <v>7</v>
      </c>
      <c r="B98" s="409"/>
      <c r="C98" s="35" t="s">
        <v>113</v>
      </c>
      <c r="D98" s="13">
        <v>107</v>
      </c>
      <c r="E98" s="13" t="s">
        <v>72</v>
      </c>
      <c r="F98" s="25">
        <f>(32.144+7.085)*10.764</f>
        <v>422.26095599999996</v>
      </c>
      <c r="G98" s="25">
        <f>4.093*10.764</f>
        <v>44.057051999999999</v>
      </c>
      <c r="H98" s="32">
        <v>735</v>
      </c>
      <c r="I98" s="13">
        <v>4800</v>
      </c>
      <c r="J98" s="13">
        <f t="shared" si="12"/>
        <v>3528000</v>
      </c>
    </row>
    <row r="99" spans="1:10" x14ac:dyDescent="0.25">
      <c r="A99" s="13">
        <v>8</v>
      </c>
      <c r="B99" s="409"/>
      <c r="C99" s="35" t="s">
        <v>113</v>
      </c>
      <c r="D99" s="13">
        <v>108</v>
      </c>
      <c r="E99" s="13" t="s">
        <v>72</v>
      </c>
      <c r="F99" s="25">
        <f>(31.468+6.89)*10.764</f>
        <v>412.88551199999995</v>
      </c>
      <c r="G99" s="25">
        <f>5.059*10.764</f>
        <v>54.455075999999998</v>
      </c>
      <c r="H99" s="32">
        <v>735</v>
      </c>
      <c r="I99" s="13">
        <v>4800</v>
      </c>
      <c r="J99" s="13">
        <f t="shared" si="12"/>
        <v>3528000</v>
      </c>
    </row>
    <row r="100" spans="1:10" x14ac:dyDescent="0.25">
      <c r="A100" s="13">
        <v>9</v>
      </c>
      <c r="B100" s="409"/>
      <c r="C100" s="35" t="s">
        <v>113</v>
      </c>
      <c r="D100" s="13">
        <v>109</v>
      </c>
      <c r="E100" s="13" t="s">
        <v>72</v>
      </c>
      <c r="F100" s="25">
        <f>(28.608+5.955)*10.764</f>
        <v>372.03613200000001</v>
      </c>
      <c r="G100" s="25">
        <f>3.983*10.764</f>
        <v>42.873011999999996</v>
      </c>
      <c r="H100" s="32">
        <v>645</v>
      </c>
      <c r="I100" s="13">
        <v>4800</v>
      </c>
      <c r="J100" s="13">
        <f t="shared" si="12"/>
        <v>3096000</v>
      </c>
    </row>
    <row r="101" spans="1:10" x14ac:dyDescent="0.25">
      <c r="A101" s="13">
        <v>10</v>
      </c>
      <c r="B101" s="410"/>
      <c r="C101" s="35" t="s">
        <v>113</v>
      </c>
      <c r="D101" s="13">
        <v>110</v>
      </c>
      <c r="E101" s="13" t="s">
        <v>72</v>
      </c>
      <c r="F101" s="25">
        <f>(28.608+2.9)*10.764</f>
        <v>339.15211199999999</v>
      </c>
      <c r="G101" s="25">
        <f>3.173*10.764</f>
        <v>34.154171999999996</v>
      </c>
      <c r="H101" s="32">
        <v>580</v>
      </c>
      <c r="I101" s="13">
        <v>4800</v>
      </c>
      <c r="J101" s="13">
        <f t="shared" si="12"/>
        <v>2784000</v>
      </c>
    </row>
    <row r="102" spans="1:10" x14ac:dyDescent="0.25">
      <c r="A102" s="13">
        <v>11</v>
      </c>
      <c r="B102" s="408" t="s">
        <v>84</v>
      </c>
      <c r="C102" s="35" t="s">
        <v>113</v>
      </c>
      <c r="D102" s="13">
        <f>D92+100</f>
        <v>201</v>
      </c>
      <c r="E102" s="13" t="s">
        <v>94</v>
      </c>
      <c r="F102" s="25">
        <f>(41.081+11.114)*10.764</f>
        <v>561.82698000000005</v>
      </c>
      <c r="G102" s="25">
        <v>0</v>
      </c>
      <c r="H102" s="32">
        <v>880</v>
      </c>
      <c r="I102" s="13">
        <v>4800</v>
      </c>
      <c r="J102" s="13">
        <f t="shared" si="12"/>
        <v>4224000</v>
      </c>
    </row>
    <row r="103" spans="1:10" x14ac:dyDescent="0.25">
      <c r="A103" s="13">
        <v>12</v>
      </c>
      <c r="B103" s="409"/>
      <c r="C103" s="35" t="s">
        <v>113</v>
      </c>
      <c r="D103" s="13">
        <f>D93+100</f>
        <v>202</v>
      </c>
      <c r="E103" s="13" t="s">
        <v>73</v>
      </c>
      <c r="F103" s="25">
        <f>(18.012+6.59)*10.764</f>
        <v>264.81592799999999</v>
      </c>
      <c r="G103" s="25">
        <v>0</v>
      </c>
      <c r="H103" s="32">
        <v>405</v>
      </c>
      <c r="I103" s="13">
        <v>4800</v>
      </c>
      <c r="J103" s="13">
        <f t="shared" si="12"/>
        <v>1944000</v>
      </c>
    </row>
    <row r="104" spans="1:10" x14ac:dyDescent="0.25">
      <c r="A104" s="13">
        <v>13</v>
      </c>
      <c r="B104" s="409"/>
      <c r="C104" s="35" t="s">
        <v>113</v>
      </c>
      <c r="D104" s="13">
        <f t="shared" ref="D104:D111" si="13">D94+100</f>
        <v>203</v>
      </c>
      <c r="E104" s="13" t="s">
        <v>72</v>
      </c>
      <c r="F104" s="25">
        <f>(29.805+7.205)*10.764</f>
        <v>398.37563999999998</v>
      </c>
      <c r="G104" s="25">
        <v>0</v>
      </c>
      <c r="H104" s="32">
        <v>625</v>
      </c>
      <c r="I104" s="13">
        <v>4800</v>
      </c>
      <c r="J104" s="13">
        <f t="shared" si="12"/>
        <v>3000000</v>
      </c>
    </row>
    <row r="105" spans="1:10" x14ac:dyDescent="0.25">
      <c r="A105" s="13">
        <v>14</v>
      </c>
      <c r="B105" s="409"/>
      <c r="C105" s="35" t="s">
        <v>113</v>
      </c>
      <c r="D105" s="13">
        <f t="shared" si="13"/>
        <v>204</v>
      </c>
      <c r="E105" s="13" t="s">
        <v>72</v>
      </c>
      <c r="F105" s="25">
        <f>(31.83)*10.764</f>
        <v>342.61811999999998</v>
      </c>
      <c r="G105" s="25">
        <v>0</v>
      </c>
      <c r="H105" s="32">
        <v>545</v>
      </c>
      <c r="I105" s="13">
        <v>4800</v>
      </c>
      <c r="J105" s="13">
        <f t="shared" si="12"/>
        <v>2616000</v>
      </c>
    </row>
    <row r="106" spans="1:10" x14ac:dyDescent="0.25">
      <c r="A106" s="13">
        <v>15</v>
      </c>
      <c r="B106" s="409"/>
      <c r="C106" s="35" t="s">
        <v>113</v>
      </c>
      <c r="D106" s="13">
        <f t="shared" si="13"/>
        <v>205</v>
      </c>
      <c r="E106" s="13" t="s">
        <v>72</v>
      </c>
      <c r="F106" s="25">
        <f>(32.089+6.728)*10.764</f>
        <v>417.826188</v>
      </c>
      <c r="G106" s="25">
        <v>0</v>
      </c>
      <c r="H106" s="32">
        <v>655</v>
      </c>
      <c r="I106" s="13">
        <v>4800</v>
      </c>
      <c r="J106" s="13">
        <f t="shared" si="12"/>
        <v>3144000</v>
      </c>
    </row>
    <row r="107" spans="1:10" x14ac:dyDescent="0.25">
      <c r="A107" s="13">
        <v>16</v>
      </c>
      <c r="B107" s="409"/>
      <c r="C107" s="35" t="s">
        <v>113</v>
      </c>
      <c r="D107" s="13">
        <f t="shared" si="13"/>
        <v>206</v>
      </c>
      <c r="E107" s="13" t="s">
        <v>72</v>
      </c>
      <c r="F107" s="25">
        <f>(31.884+6.728)*10.764</f>
        <v>415.61956800000002</v>
      </c>
      <c r="G107" s="25">
        <v>0</v>
      </c>
      <c r="H107" s="32">
        <v>655</v>
      </c>
      <c r="I107" s="13">
        <v>4800</v>
      </c>
      <c r="J107" s="13">
        <f t="shared" si="12"/>
        <v>3144000</v>
      </c>
    </row>
    <row r="108" spans="1:10" x14ac:dyDescent="0.25">
      <c r="A108" s="13">
        <v>17</v>
      </c>
      <c r="B108" s="409"/>
      <c r="C108" s="35" t="s">
        <v>113</v>
      </c>
      <c r="D108" s="13">
        <f t="shared" si="13"/>
        <v>207</v>
      </c>
      <c r="E108" s="13" t="s">
        <v>72</v>
      </c>
      <c r="F108" s="25">
        <f>(32.144+7.085)*10.764</f>
        <v>422.26095599999996</v>
      </c>
      <c r="G108" s="25">
        <v>0</v>
      </c>
      <c r="H108" s="32">
        <v>780</v>
      </c>
      <c r="I108" s="13">
        <v>4800</v>
      </c>
      <c r="J108" s="13">
        <f t="shared" si="12"/>
        <v>3744000</v>
      </c>
    </row>
    <row r="109" spans="1:10" x14ac:dyDescent="0.25">
      <c r="A109" s="13">
        <v>18</v>
      </c>
      <c r="B109" s="409"/>
      <c r="C109" s="35" t="s">
        <v>113</v>
      </c>
      <c r="D109" s="13">
        <f t="shared" si="13"/>
        <v>208</v>
      </c>
      <c r="E109" s="13" t="s">
        <v>72</v>
      </c>
      <c r="F109" s="25">
        <f>(31.468+6.89)*10.764</f>
        <v>412.88551199999995</v>
      </c>
      <c r="G109" s="25">
        <f>6.97*10.764</f>
        <v>75.025079999999988</v>
      </c>
      <c r="H109" s="32">
        <v>650</v>
      </c>
      <c r="I109" s="13">
        <v>4800</v>
      </c>
      <c r="J109" s="13">
        <f t="shared" si="12"/>
        <v>3120000</v>
      </c>
    </row>
    <row r="110" spans="1:10" x14ac:dyDescent="0.25">
      <c r="A110" s="13">
        <v>19</v>
      </c>
      <c r="B110" s="409"/>
      <c r="C110" s="35" t="s">
        <v>113</v>
      </c>
      <c r="D110" s="13">
        <f t="shared" si="13"/>
        <v>209</v>
      </c>
      <c r="E110" s="13" t="s">
        <v>72</v>
      </c>
      <c r="F110" s="25">
        <f>(28.608+5.955)*10.764</f>
        <v>372.03613200000001</v>
      </c>
      <c r="G110" s="25">
        <f>2.625*10.764</f>
        <v>28.255499999999998</v>
      </c>
      <c r="H110" s="32">
        <v>580</v>
      </c>
      <c r="I110" s="13">
        <v>4800</v>
      </c>
      <c r="J110" s="13">
        <f t="shared" si="12"/>
        <v>2784000</v>
      </c>
    </row>
    <row r="111" spans="1:10" x14ac:dyDescent="0.25">
      <c r="A111" s="13">
        <v>20</v>
      </c>
      <c r="B111" s="410"/>
      <c r="C111" s="35" t="s">
        <v>113</v>
      </c>
      <c r="D111" s="13">
        <f t="shared" si="13"/>
        <v>210</v>
      </c>
      <c r="E111" s="13" t="s">
        <v>72</v>
      </c>
      <c r="F111" s="25">
        <f>(28.608+2.9)*10.764</f>
        <v>339.15211199999999</v>
      </c>
      <c r="G111" s="25">
        <f>2.625*10.764</f>
        <v>28.255499999999998</v>
      </c>
      <c r="H111" s="32">
        <v>525</v>
      </c>
      <c r="I111" s="13">
        <v>4800</v>
      </c>
      <c r="J111" s="13">
        <f t="shared" si="12"/>
        <v>2520000</v>
      </c>
    </row>
    <row r="112" spans="1:10" x14ac:dyDescent="0.25">
      <c r="A112" s="13">
        <v>21</v>
      </c>
      <c r="B112" s="408" t="s">
        <v>85</v>
      </c>
      <c r="C112" s="35" t="s">
        <v>113</v>
      </c>
      <c r="D112" s="13">
        <f>D102+100</f>
        <v>301</v>
      </c>
      <c r="E112" s="13" t="s">
        <v>94</v>
      </c>
      <c r="F112" s="25">
        <f>(41.081+11.114)*10.764</f>
        <v>561.82698000000005</v>
      </c>
      <c r="G112" s="25">
        <f>5.896*10.764</f>
        <v>63.464543999999997</v>
      </c>
      <c r="H112" s="32">
        <v>980</v>
      </c>
      <c r="I112" s="13">
        <v>4800</v>
      </c>
      <c r="J112" s="13">
        <f t="shared" si="12"/>
        <v>4704000</v>
      </c>
    </row>
    <row r="113" spans="1:10" x14ac:dyDescent="0.25">
      <c r="A113" s="13">
        <v>22</v>
      </c>
      <c r="B113" s="409"/>
      <c r="C113" s="35" t="s">
        <v>113</v>
      </c>
      <c r="D113" s="13">
        <f>D103+100</f>
        <v>302</v>
      </c>
      <c r="E113" s="13" t="s">
        <v>73</v>
      </c>
      <c r="F113" s="25">
        <f>(18.012+6.59)*10.764</f>
        <v>264.81592799999999</v>
      </c>
      <c r="G113" s="25">
        <v>0</v>
      </c>
      <c r="H113" s="32">
        <v>405</v>
      </c>
      <c r="I113" s="13">
        <v>4800</v>
      </c>
      <c r="J113" s="13">
        <f t="shared" si="12"/>
        <v>1944000</v>
      </c>
    </row>
    <row r="114" spans="1:10" x14ac:dyDescent="0.25">
      <c r="A114" s="13">
        <v>23</v>
      </c>
      <c r="B114" s="409"/>
      <c r="C114" s="35" t="s">
        <v>113</v>
      </c>
      <c r="D114" s="13">
        <f t="shared" ref="D114:D121" si="14">D104+100</f>
        <v>303</v>
      </c>
      <c r="E114" s="13" t="s">
        <v>72</v>
      </c>
      <c r="F114" s="25">
        <f>(29.805+7.205)*10.764</f>
        <v>398.37563999999998</v>
      </c>
      <c r="G114" s="25">
        <f>5.7*10.764</f>
        <v>61.354799999999997</v>
      </c>
      <c r="H114" s="32">
        <v>720</v>
      </c>
      <c r="I114" s="13">
        <v>4800</v>
      </c>
      <c r="J114" s="13">
        <f t="shared" si="12"/>
        <v>3456000</v>
      </c>
    </row>
    <row r="115" spans="1:10" x14ac:dyDescent="0.25">
      <c r="A115" s="13">
        <v>24</v>
      </c>
      <c r="B115" s="409"/>
      <c r="C115" s="35" t="s">
        <v>113</v>
      </c>
      <c r="D115" s="13">
        <f t="shared" si="14"/>
        <v>304</v>
      </c>
      <c r="E115" s="13" t="s">
        <v>72</v>
      </c>
      <c r="F115" s="25">
        <f>(31.83)*10.764</f>
        <v>342.61811999999998</v>
      </c>
      <c r="G115" s="25">
        <f>6.383*10.764</f>
        <v>68.706611999999993</v>
      </c>
      <c r="H115" s="32">
        <v>650</v>
      </c>
      <c r="I115" s="13">
        <v>4800</v>
      </c>
      <c r="J115" s="13">
        <f t="shared" si="12"/>
        <v>3120000</v>
      </c>
    </row>
    <row r="116" spans="1:10" x14ac:dyDescent="0.25">
      <c r="A116" s="13">
        <v>25</v>
      </c>
      <c r="B116" s="409"/>
      <c r="C116" s="35" t="s">
        <v>113</v>
      </c>
      <c r="D116" s="13">
        <f t="shared" si="14"/>
        <v>305</v>
      </c>
      <c r="E116" s="13" t="s">
        <v>72</v>
      </c>
      <c r="F116" s="25">
        <f>(32.089+6.728)*10.764</f>
        <v>417.826188</v>
      </c>
      <c r="G116" s="25">
        <f>6.383*10.764</f>
        <v>68.706611999999993</v>
      </c>
      <c r="H116" s="32">
        <v>765</v>
      </c>
      <c r="I116" s="13">
        <v>4800</v>
      </c>
      <c r="J116" s="13">
        <f t="shared" si="12"/>
        <v>3672000</v>
      </c>
    </row>
    <row r="117" spans="1:10" x14ac:dyDescent="0.25">
      <c r="A117" s="13">
        <v>26</v>
      </c>
      <c r="B117" s="409"/>
      <c r="C117" s="35" t="s">
        <v>113</v>
      </c>
      <c r="D117" s="13">
        <f t="shared" si="14"/>
        <v>306</v>
      </c>
      <c r="E117" s="13" t="s">
        <v>72</v>
      </c>
      <c r="F117" s="25">
        <f>(31.884+6.728)*10.764</f>
        <v>415.61956800000002</v>
      </c>
      <c r="G117" s="25">
        <f>4.093*10.764</f>
        <v>44.057051999999999</v>
      </c>
      <c r="H117" s="32">
        <v>725</v>
      </c>
      <c r="I117" s="13">
        <v>4800</v>
      </c>
      <c r="J117" s="13">
        <f t="shared" si="12"/>
        <v>3480000</v>
      </c>
    </row>
    <row r="118" spans="1:10" x14ac:dyDescent="0.25">
      <c r="A118" s="13">
        <v>27</v>
      </c>
      <c r="B118" s="409"/>
      <c r="C118" s="35" t="s">
        <v>113</v>
      </c>
      <c r="D118" s="13">
        <f t="shared" si="14"/>
        <v>307</v>
      </c>
      <c r="E118" s="13" t="s">
        <v>72</v>
      </c>
      <c r="F118" s="25">
        <f>(32.144+7.085)*10.764</f>
        <v>422.26095599999996</v>
      </c>
      <c r="G118" s="25">
        <f>4.093*10.764</f>
        <v>44.057051999999999</v>
      </c>
      <c r="H118" s="32">
        <v>735</v>
      </c>
      <c r="I118" s="13">
        <v>4800</v>
      </c>
      <c r="J118" s="13">
        <f t="shared" si="12"/>
        <v>3528000</v>
      </c>
    </row>
    <row r="119" spans="1:10" x14ac:dyDescent="0.25">
      <c r="A119" s="13">
        <v>28</v>
      </c>
      <c r="B119" s="409"/>
      <c r="C119" s="35" t="s">
        <v>113</v>
      </c>
      <c r="D119" s="13">
        <f t="shared" si="14"/>
        <v>308</v>
      </c>
      <c r="E119" s="13" t="s">
        <v>72</v>
      </c>
      <c r="F119" s="25">
        <f>(31.468+6.89)*10.764</f>
        <v>412.88551199999995</v>
      </c>
      <c r="G119" s="25">
        <f>5.059*10.764</f>
        <v>54.455075999999998</v>
      </c>
      <c r="H119" s="32">
        <v>735</v>
      </c>
      <c r="I119" s="13">
        <v>4800</v>
      </c>
      <c r="J119" s="13">
        <f t="shared" si="12"/>
        <v>3528000</v>
      </c>
    </row>
    <row r="120" spans="1:10" x14ac:dyDescent="0.25">
      <c r="A120" s="13">
        <v>29</v>
      </c>
      <c r="B120" s="409"/>
      <c r="C120" s="35" t="s">
        <v>113</v>
      </c>
      <c r="D120" s="13">
        <f t="shared" si="14"/>
        <v>309</v>
      </c>
      <c r="E120" s="13" t="s">
        <v>72</v>
      </c>
      <c r="F120" s="25">
        <f>(28.608+5.955)*10.764</f>
        <v>372.03613200000001</v>
      </c>
      <c r="G120" s="25">
        <f>3.983*10.764</f>
        <v>42.873011999999996</v>
      </c>
      <c r="H120" s="32">
        <v>645</v>
      </c>
      <c r="I120" s="13">
        <v>4800</v>
      </c>
      <c r="J120" s="13">
        <f t="shared" si="12"/>
        <v>3096000</v>
      </c>
    </row>
    <row r="121" spans="1:10" x14ac:dyDescent="0.25">
      <c r="A121" s="13">
        <v>30</v>
      </c>
      <c r="B121" s="410"/>
      <c r="C121" s="35" t="s">
        <v>113</v>
      </c>
      <c r="D121" s="13">
        <f t="shared" si="14"/>
        <v>310</v>
      </c>
      <c r="E121" s="13" t="s">
        <v>72</v>
      </c>
      <c r="F121" s="25">
        <f>(28.608+2.9)*10.764</f>
        <v>339.15211199999999</v>
      </c>
      <c r="G121" s="25">
        <f>3.173*10.764</f>
        <v>34.154171999999996</v>
      </c>
      <c r="H121" s="32">
        <v>580</v>
      </c>
      <c r="I121" s="13">
        <v>4800</v>
      </c>
      <c r="J121" s="13">
        <f t="shared" si="12"/>
        <v>2784000</v>
      </c>
    </row>
    <row r="122" spans="1:10" x14ac:dyDescent="0.25">
      <c r="A122" s="13">
        <v>31</v>
      </c>
      <c r="B122" s="408" t="s">
        <v>86</v>
      </c>
      <c r="C122" s="35" t="s">
        <v>113</v>
      </c>
      <c r="D122" s="13">
        <f>D112+100</f>
        <v>401</v>
      </c>
      <c r="E122" s="13" t="s">
        <v>94</v>
      </c>
      <c r="F122" s="25">
        <f>(41.081+11.114)*10.764</f>
        <v>561.82698000000005</v>
      </c>
      <c r="G122" s="25">
        <v>0</v>
      </c>
      <c r="H122" s="32">
        <v>880</v>
      </c>
      <c r="I122" s="13">
        <v>4800</v>
      </c>
      <c r="J122" s="13">
        <f t="shared" si="12"/>
        <v>4224000</v>
      </c>
    </row>
    <row r="123" spans="1:10" x14ac:dyDescent="0.25">
      <c r="A123" s="13">
        <v>32</v>
      </c>
      <c r="B123" s="409"/>
      <c r="C123" s="35" t="s">
        <v>113</v>
      </c>
      <c r="D123" s="13">
        <f>D113+100</f>
        <v>402</v>
      </c>
      <c r="E123" s="13" t="s">
        <v>73</v>
      </c>
      <c r="F123" s="25">
        <f>(18.012+6.59)*10.764</f>
        <v>264.81592799999999</v>
      </c>
      <c r="G123" s="25">
        <v>0</v>
      </c>
      <c r="H123" s="32">
        <v>405</v>
      </c>
      <c r="I123" s="13">
        <v>4800</v>
      </c>
      <c r="J123" s="13">
        <f t="shared" si="12"/>
        <v>1944000</v>
      </c>
    </row>
    <row r="124" spans="1:10" x14ac:dyDescent="0.25">
      <c r="A124" s="13">
        <v>33</v>
      </c>
      <c r="B124" s="409"/>
      <c r="C124" s="35" t="s">
        <v>113</v>
      </c>
      <c r="D124" s="13">
        <f t="shared" ref="D124:D131" si="15">D114+100</f>
        <v>403</v>
      </c>
      <c r="E124" s="13" t="s">
        <v>72</v>
      </c>
      <c r="F124" s="25">
        <f>(29.805+7.205)*10.764</f>
        <v>398.37563999999998</v>
      </c>
      <c r="G124" s="25">
        <v>0</v>
      </c>
      <c r="H124" s="32">
        <v>625</v>
      </c>
      <c r="I124" s="13">
        <v>4800</v>
      </c>
      <c r="J124" s="13">
        <f t="shared" si="12"/>
        <v>3000000</v>
      </c>
    </row>
    <row r="125" spans="1:10" x14ac:dyDescent="0.25">
      <c r="A125" s="13">
        <v>34</v>
      </c>
      <c r="B125" s="409"/>
      <c r="C125" s="35" t="s">
        <v>113</v>
      </c>
      <c r="D125" s="13">
        <f t="shared" si="15"/>
        <v>404</v>
      </c>
      <c r="E125" s="13" t="s">
        <v>72</v>
      </c>
      <c r="F125" s="25">
        <f>(31.83)*10.764</f>
        <v>342.61811999999998</v>
      </c>
      <c r="G125" s="25">
        <v>0</v>
      </c>
      <c r="H125" s="32">
        <v>545</v>
      </c>
      <c r="I125" s="13">
        <v>4800</v>
      </c>
      <c r="J125" s="13">
        <f t="shared" si="12"/>
        <v>2616000</v>
      </c>
    </row>
    <row r="126" spans="1:10" x14ac:dyDescent="0.25">
      <c r="A126" s="13">
        <v>35</v>
      </c>
      <c r="B126" s="409"/>
      <c r="C126" s="35" t="s">
        <v>113</v>
      </c>
      <c r="D126" s="13">
        <f t="shared" si="15"/>
        <v>405</v>
      </c>
      <c r="E126" s="13" t="s">
        <v>72</v>
      </c>
      <c r="F126" s="25">
        <f>(32.089+6.728)*10.764</f>
        <v>417.826188</v>
      </c>
      <c r="G126" s="25">
        <v>0</v>
      </c>
      <c r="H126" s="32">
        <v>655</v>
      </c>
      <c r="I126" s="13">
        <v>4800</v>
      </c>
      <c r="J126" s="13">
        <f t="shared" si="12"/>
        <v>3144000</v>
      </c>
    </row>
    <row r="127" spans="1:10" x14ac:dyDescent="0.25">
      <c r="A127" s="13">
        <v>36</v>
      </c>
      <c r="B127" s="409"/>
      <c r="C127" s="35" t="s">
        <v>113</v>
      </c>
      <c r="D127" s="13">
        <f t="shared" si="15"/>
        <v>406</v>
      </c>
      <c r="E127" s="13" t="s">
        <v>72</v>
      </c>
      <c r="F127" s="25">
        <f>(31.884+6.728)*10.764</f>
        <v>415.61956800000002</v>
      </c>
      <c r="G127" s="25">
        <v>0</v>
      </c>
      <c r="H127" s="32">
        <v>655</v>
      </c>
      <c r="I127" s="13">
        <v>4800</v>
      </c>
      <c r="J127" s="13">
        <f t="shared" si="12"/>
        <v>3144000</v>
      </c>
    </row>
    <row r="128" spans="1:10" x14ac:dyDescent="0.25">
      <c r="A128" s="13">
        <v>37</v>
      </c>
      <c r="B128" s="409"/>
      <c r="C128" s="35" t="s">
        <v>113</v>
      </c>
      <c r="D128" s="13">
        <f t="shared" si="15"/>
        <v>407</v>
      </c>
      <c r="E128" s="13" t="s">
        <v>72</v>
      </c>
      <c r="F128" s="25">
        <f>(32.144+7.085)*10.764</f>
        <v>422.26095599999996</v>
      </c>
      <c r="G128" s="25">
        <v>0</v>
      </c>
      <c r="H128" s="32">
        <v>780</v>
      </c>
      <c r="I128" s="13">
        <v>4800</v>
      </c>
      <c r="J128" s="13">
        <f t="shared" si="12"/>
        <v>3744000</v>
      </c>
    </row>
    <row r="129" spans="1:10" x14ac:dyDescent="0.25">
      <c r="A129" s="13">
        <v>38</v>
      </c>
      <c r="B129" s="409"/>
      <c r="C129" s="35" t="s">
        <v>113</v>
      </c>
      <c r="D129" s="13">
        <f t="shared" si="15"/>
        <v>408</v>
      </c>
      <c r="E129" s="13" t="s">
        <v>72</v>
      </c>
      <c r="F129" s="25">
        <f>(31.468+6.89)*10.764</f>
        <v>412.88551199999995</v>
      </c>
      <c r="G129" s="25">
        <f>6.97*10.764</f>
        <v>75.025079999999988</v>
      </c>
      <c r="H129" s="32">
        <v>650</v>
      </c>
      <c r="I129" s="13">
        <v>4800</v>
      </c>
      <c r="J129" s="13">
        <f t="shared" si="12"/>
        <v>3120000</v>
      </c>
    </row>
    <row r="130" spans="1:10" x14ac:dyDescent="0.25">
      <c r="A130" s="13">
        <v>39</v>
      </c>
      <c r="B130" s="409"/>
      <c r="C130" s="35" t="s">
        <v>113</v>
      </c>
      <c r="D130" s="13">
        <f t="shared" si="15"/>
        <v>409</v>
      </c>
      <c r="E130" s="13" t="s">
        <v>72</v>
      </c>
      <c r="F130" s="25">
        <f>(28.608+5.955)*10.764</f>
        <v>372.03613200000001</v>
      </c>
      <c r="G130" s="25">
        <f>2.625*10.764</f>
        <v>28.255499999999998</v>
      </c>
      <c r="H130" s="32">
        <v>580</v>
      </c>
      <c r="I130" s="13">
        <v>4800</v>
      </c>
      <c r="J130" s="13">
        <f t="shared" si="12"/>
        <v>2784000</v>
      </c>
    </row>
    <row r="131" spans="1:10" x14ac:dyDescent="0.25">
      <c r="A131" s="13">
        <v>40</v>
      </c>
      <c r="B131" s="410"/>
      <c r="C131" s="35" t="s">
        <v>113</v>
      </c>
      <c r="D131" s="13">
        <f t="shared" si="15"/>
        <v>410</v>
      </c>
      <c r="E131" s="13" t="s">
        <v>72</v>
      </c>
      <c r="F131" s="25">
        <f>(28.608+2.9)*10.764</f>
        <v>339.15211199999999</v>
      </c>
      <c r="G131" s="25">
        <f>2.625*10.764</f>
        <v>28.255499999999998</v>
      </c>
      <c r="H131" s="32">
        <v>525</v>
      </c>
      <c r="I131" s="13">
        <v>4800</v>
      </c>
      <c r="J131" s="13">
        <f t="shared" si="12"/>
        <v>2520000</v>
      </c>
    </row>
    <row r="132" spans="1:10" x14ac:dyDescent="0.25">
      <c r="A132" s="13">
        <v>41</v>
      </c>
      <c r="B132" s="408" t="s">
        <v>87</v>
      </c>
      <c r="C132" s="35" t="s">
        <v>113</v>
      </c>
      <c r="D132" s="13">
        <f>D122+100</f>
        <v>501</v>
      </c>
      <c r="E132" s="13" t="s">
        <v>94</v>
      </c>
      <c r="F132" s="25">
        <f>(41.081+11.114)*10.764</f>
        <v>561.82698000000005</v>
      </c>
      <c r="G132" s="25">
        <f>5.896*10.764</f>
        <v>63.464543999999997</v>
      </c>
      <c r="H132" s="32">
        <v>980</v>
      </c>
      <c r="I132" s="13">
        <v>4800</v>
      </c>
      <c r="J132" s="13">
        <f t="shared" si="12"/>
        <v>4704000</v>
      </c>
    </row>
    <row r="133" spans="1:10" x14ac:dyDescent="0.25">
      <c r="A133" s="13">
        <v>42</v>
      </c>
      <c r="B133" s="409"/>
      <c r="C133" s="35" t="s">
        <v>113</v>
      </c>
      <c r="D133" s="13">
        <f>D123+100</f>
        <v>502</v>
      </c>
      <c r="E133" s="13" t="s">
        <v>73</v>
      </c>
      <c r="F133" s="25">
        <f>(18.012+6.59)*10.764</f>
        <v>264.81592799999999</v>
      </c>
      <c r="G133" s="25">
        <v>0</v>
      </c>
      <c r="H133" s="32">
        <v>405</v>
      </c>
      <c r="I133" s="13">
        <v>4800</v>
      </c>
      <c r="J133" s="13">
        <f t="shared" si="12"/>
        <v>1944000</v>
      </c>
    </row>
    <row r="134" spans="1:10" x14ac:dyDescent="0.25">
      <c r="A134" s="13">
        <v>43</v>
      </c>
      <c r="B134" s="409"/>
      <c r="C134" s="35" t="s">
        <v>113</v>
      </c>
      <c r="D134" s="13">
        <f t="shared" ref="D134:D141" si="16">D124+100</f>
        <v>503</v>
      </c>
      <c r="E134" s="13" t="s">
        <v>72</v>
      </c>
      <c r="F134" s="25">
        <f>(29.805+7.205)*10.764</f>
        <v>398.37563999999998</v>
      </c>
      <c r="G134" s="25">
        <f>5.7*10.764</f>
        <v>61.354799999999997</v>
      </c>
      <c r="H134" s="32">
        <v>720</v>
      </c>
      <c r="I134" s="13">
        <v>4800</v>
      </c>
      <c r="J134" s="13">
        <f t="shared" si="12"/>
        <v>3456000</v>
      </c>
    </row>
    <row r="135" spans="1:10" x14ac:dyDescent="0.25">
      <c r="A135" s="13">
        <v>44</v>
      </c>
      <c r="B135" s="409"/>
      <c r="C135" s="35" t="s">
        <v>113</v>
      </c>
      <c r="D135" s="13">
        <f t="shared" si="16"/>
        <v>504</v>
      </c>
      <c r="E135" s="13" t="s">
        <v>72</v>
      </c>
      <c r="F135" s="25">
        <f>(31.83)*10.764</f>
        <v>342.61811999999998</v>
      </c>
      <c r="G135" s="25">
        <f>6.383*10.764</f>
        <v>68.706611999999993</v>
      </c>
      <c r="H135" s="32">
        <v>650</v>
      </c>
      <c r="I135" s="13">
        <v>4800</v>
      </c>
      <c r="J135" s="13">
        <f t="shared" si="12"/>
        <v>3120000</v>
      </c>
    </row>
    <row r="136" spans="1:10" x14ac:dyDescent="0.25">
      <c r="A136" s="13">
        <v>45</v>
      </c>
      <c r="B136" s="409"/>
      <c r="C136" s="35" t="s">
        <v>113</v>
      </c>
      <c r="D136" s="13">
        <f t="shared" si="16"/>
        <v>505</v>
      </c>
      <c r="E136" s="13" t="s">
        <v>72</v>
      </c>
      <c r="F136" s="25">
        <f>(32.089+6.728)*10.764</f>
        <v>417.826188</v>
      </c>
      <c r="G136" s="25">
        <f>6.383*10.764</f>
        <v>68.706611999999993</v>
      </c>
      <c r="H136" s="32">
        <v>765</v>
      </c>
      <c r="I136" s="13">
        <v>4800</v>
      </c>
      <c r="J136" s="13">
        <f t="shared" si="12"/>
        <v>3672000</v>
      </c>
    </row>
    <row r="137" spans="1:10" x14ac:dyDescent="0.25">
      <c r="A137" s="13">
        <v>46</v>
      </c>
      <c r="B137" s="409"/>
      <c r="C137" s="35" t="s">
        <v>113</v>
      </c>
      <c r="D137" s="13">
        <f t="shared" si="16"/>
        <v>506</v>
      </c>
      <c r="E137" s="13" t="s">
        <v>72</v>
      </c>
      <c r="F137" s="25">
        <f>(31.884+6.728)*10.764</f>
        <v>415.61956800000002</v>
      </c>
      <c r="G137" s="25">
        <f>4.093*10.764</f>
        <v>44.057051999999999</v>
      </c>
      <c r="H137" s="32">
        <v>725</v>
      </c>
      <c r="I137" s="13">
        <v>4800</v>
      </c>
      <c r="J137" s="13">
        <f t="shared" si="12"/>
        <v>3480000</v>
      </c>
    </row>
    <row r="138" spans="1:10" x14ac:dyDescent="0.25">
      <c r="A138" s="13">
        <v>47</v>
      </c>
      <c r="B138" s="409"/>
      <c r="C138" s="35" t="s">
        <v>113</v>
      </c>
      <c r="D138" s="13">
        <f t="shared" si="16"/>
        <v>507</v>
      </c>
      <c r="E138" s="13" t="s">
        <v>72</v>
      </c>
      <c r="F138" s="25">
        <f>(32.144+7.085)*10.764</f>
        <v>422.26095599999996</v>
      </c>
      <c r="G138" s="25">
        <f>4.093*10.764</f>
        <v>44.057051999999999</v>
      </c>
      <c r="H138" s="32">
        <v>735</v>
      </c>
      <c r="I138" s="13">
        <v>4800</v>
      </c>
      <c r="J138" s="13">
        <f t="shared" si="12"/>
        <v>3528000</v>
      </c>
    </row>
    <row r="139" spans="1:10" x14ac:dyDescent="0.25">
      <c r="A139" s="13">
        <v>48</v>
      </c>
      <c r="B139" s="409"/>
      <c r="C139" s="35" t="s">
        <v>113</v>
      </c>
      <c r="D139" s="13">
        <f t="shared" si="16"/>
        <v>508</v>
      </c>
      <c r="E139" s="13" t="s">
        <v>72</v>
      </c>
      <c r="F139" s="25">
        <f>(31.468+6.89)*10.764</f>
        <v>412.88551199999995</v>
      </c>
      <c r="G139" s="25">
        <f>5.059*10.764</f>
        <v>54.455075999999998</v>
      </c>
      <c r="H139" s="32">
        <v>735</v>
      </c>
      <c r="I139" s="13">
        <v>4800</v>
      </c>
      <c r="J139" s="13">
        <f t="shared" si="12"/>
        <v>3528000</v>
      </c>
    </row>
    <row r="140" spans="1:10" x14ac:dyDescent="0.25">
      <c r="A140" s="13">
        <v>49</v>
      </c>
      <c r="B140" s="409"/>
      <c r="C140" s="35" t="s">
        <v>113</v>
      </c>
      <c r="D140" s="13">
        <f t="shared" si="16"/>
        <v>509</v>
      </c>
      <c r="E140" s="13" t="s">
        <v>72</v>
      </c>
      <c r="F140" s="25">
        <f>(28.608+5.955)*10.764</f>
        <v>372.03613200000001</v>
      </c>
      <c r="G140" s="25">
        <f>3.983*10.764</f>
        <v>42.873011999999996</v>
      </c>
      <c r="H140" s="32">
        <v>645</v>
      </c>
      <c r="I140" s="13">
        <v>4800</v>
      </c>
      <c r="J140" s="13">
        <f t="shared" si="12"/>
        <v>3096000</v>
      </c>
    </row>
    <row r="141" spans="1:10" x14ac:dyDescent="0.25">
      <c r="A141" s="13">
        <v>50</v>
      </c>
      <c r="B141" s="410"/>
      <c r="C141" s="35" t="s">
        <v>113</v>
      </c>
      <c r="D141" s="13">
        <f t="shared" si="16"/>
        <v>510</v>
      </c>
      <c r="E141" s="13" t="s">
        <v>72</v>
      </c>
      <c r="F141" s="25">
        <f>(28.608+2.9)*10.764</f>
        <v>339.15211199999999</v>
      </c>
      <c r="G141" s="25">
        <f>3.173*10.764</f>
        <v>34.154171999999996</v>
      </c>
      <c r="H141" s="32">
        <v>580</v>
      </c>
      <c r="I141" s="13">
        <v>4800</v>
      </c>
      <c r="J141" s="13">
        <f t="shared" si="12"/>
        <v>2784000</v>
      </c>
    </row>
    <row r="142" spans="1:10" x14ac:dyDescent="0.25">
      <c r="A142" s="13">
        <v>51</v>
      </c>
      <c r="B142" s="408" t="s">
        <v>88</v>
      </c>
      <c r="C142" s="35" t="s">
        <v>113</v>
      </c>
      <c r="D142" s="13">
        <f>D132+100</f>
        <v>601</v>
      </c>
      <c r="E142" s="13" t="s">
        <v>94</v>
      </c>
      <c r="F142" s="25">
        <f>(41.081+11.114)*10.764</f>
        <v>561.82698000000005</v>
      </c>
      <c r="G142" s="25">
        <v>0</v>
      </c>
      <c r="H142" s="32">
        <v>880</v>
      </c>
      <c r="I142" s="13">
        <v>4800</v>
      </c>
      <c r="J142" s="13">
        <f t="shared" si="12"/>
        <v>4224000</v>
      </c>
    </row>
    <row r="143" spans="1:10" x14ac:dyDescent="0.25">
      <c r="A143" s="13">
        <v>52</v>
      </c>
      <c r="B143" s="409"/>
      <c r="C143" s="35" t="s">
        <v>113</v>
      </c>
      <c r="D143" s="13">
        <f>D133+100</f>
        <v>602</v>
      </c>
      <c r="E143" s="13" t="s">
        <v>73</v>
      </c>
      <c r="F143" s="25">
        <f>(18.012+6.59)*10.764</f>
        <v>264.81592799999999</v>
      </c>
      <c r="G143" s="25">
        <v>0</v>
      </c>
      <c r="H143" s="32">
        <v>405</v>
      </c>
      <c r="I143" s="13">
        <v>4800</v>
      </c>
      <c r="J143" s="13">
        <f t="shared" si="12"/>
        <v>1944000</v>
      </c>
    </row>
    <row r="144" spans="1:10" x14ac:dyDescent="0.25">
      <c r="A144" s="13">
        <v>53</v>
      </c>
      <c r="B144" s="409"/>
      <c r="C144" s="35" t="s">
        <v>113</v>
      </c>
      <c r="D144" s="13">
        <f t="shared" ref="D144:D151" si="17">D134+100</f>
        <v>603</v>
      </c>
      <c r="E144" s="13" t="s">
        <v>72</v>
      </c>
      <c r="F144" s="25">
        <f>(29.805+7.205)*10.764</f>
        <v>398.37563999999998</v>
      </c>
      <c r="G144" s="25">
        <v>0</v>
      </c>
      <c r="H144" s="32">
        <v>625</v>
      </c>
      <c r="I144" s="13">
        <v>4800</v>
      </c>
      <c r="J144" s="13">
        <f t="shared" si="12"/>
        <v>3000000</v>
      </c>
    </row>
    <row r="145" spans="1:10" x14ac:dyDescent="0.25">
      <c r="A145" s="13">
        <v>54</v>
      </c>
      <c r="B145" s="409"/>
      <c r="C145" s="35" t="s">
        <v>113</v>
      </c>
      <c r="D145" s="13">
        <f t="shared" si="17"/>
        <v>604</v>
      </c>
      <c r="E145" s="13" t="s">
        <v>72</v>
      </c>
      <c r="F145" s="25">
        <f>(31.83)*10.764</f>
        <v>342.61811999999998</v>
      </c>
      <c r="G145" s="25">
        <v>0</v>
      </c>
      <c r="H145" s="32">
        <v>545</v>
      </c>
      <c r="I145" s="13">
        <v>4800</v>
      </c>
      <c r="J145" s="13">
        <f t="shared" si="12"/>
        <v>2616000</v>
      </c>
    </row>
    <row r="146" spans="1:10" x14ac:dyDescent="0.25">
      <c r="A146" s="13">
        <v>55</v>
      </c>
      <c r="B146" s="409"/>
      <c r="C146" s="35" t="s">
        <v>113</v>
      </c>
      <c r="D146" s="13">
        <f t="shared" si="17"/>
        <v>605</v>
      </c>
      <c r="E146" s="13" t="s">
        <v>72</v>
      </c>
      <c r="F146" s="25">
        <f>(32.089+6.728)*10.764</f>
        <v>417.826188</v>
      </c>
      <c r="G146" s="25">
        <v>0</v>
      </c>
      <c r="H146" s="32">
        <v>655</v>
      </c>
      <c r="I146" s="13">
        <v>4800</v>
      </c>
      <c r="J146" s="13">
        <f t="shared" si="12"/>
        <v>3144000</v>
      </c>
    </row>
    <row r="147" spans="1:10" x14ac:dyDescent="0.25">
      <c r="A147" s="13">
        <v>56</v>
      </c>
      <c r="B147" s="409"/>
      <c r="C147" s="35" t="s">
        <v>113</v>
      </c>
      <c r="D147" s="13">
        <f t="shared" si="17"/>
        <v>606</v>
      </c>
      <c r="E147" s="13" t="s">
        <v>72</v>
      </c>
      <c r="F147" s="25">
        <f>(31.884+6.728)*10.764</f>
        <v>415.61956800000002</v>
      </c>
      <c r="G147" s="25">
        <v>0</v>
      </c>
      <c r="H147" s="32">
        <v>655</v>
      </c>
      <c r="I147" s="13">
        <v>4800</v>
      </c>
      <c r="J147" s="13">
        <f t="shared" si="12"/>
        <v>3144000</v>
      </c>
    </row>
    <row r="148" spans="1:10" x14ac:dyDescent="0.25">
      <c r="A148" s="13">
        <v>57</v>
      </c>
      <c r="B148" s="409"/>
      <c r="C148" s="35" t="s">
        <v>113</v>
      </c>
      <c r="D148" s="13">
        <f t="shared" si="17"/>
        <v>607</v>
      </c>
      <c r="E148" s="13" t="s">
        <v>72</v>
      </c>
      <c r="F148" s="25">
        <f>(32.144+7.085)*10.764</f>
        <v>422.26095599999996</v>
      </c>
      <c r="G148" s="25">
        <v>0</v>
      </c>
      <c r="H148" s="32">
        <v>780</v>
      </c>
      <c r="I148" s="13">
        <v>4800</v>
      </c>
      <c r="J148" s="13">
        <f t="shared" si="12"/>
        <v>3744000</v>
      </c>
    </row>
    <row r="149" spans="1:10" x14ac:dyDescent="0.25">
      <c r="A149" s="13">
        <v>58</v>
      </c>
      <c r="B149" s="409"/>
      <c r="C149" s="35" t="s">
        <v>113</v>
      </c>
      <c r="D149" s="13">
        <f t="shared" si="17"/>
        <v>608</v>
      </c>
      <c r="E149" s="13" t="s">
        <v>72</v>
      </c>
      <c r="F149" s="25">
        <f>(31.468+6.89)*10.764</f>
        <v>412.88551199999995</v>
      </c>
      <c r="G149" s="25">
        <f>6.97*10.764</f>
        <v>75.025079999999988</v>
      </c>
      <c r="H149" s="32">
        <v>650</v>
      </c>
      <c r="I149" s="13">
        <v>4800</v>
      </c>
      <c r="J149" s="13">
        <f t="shared" si="12"/>
        <v>3120000</v>
      </c>
    </row>
    <row r="150" spans="1:10" x14ac:dyDescent="0.25">
      <c r="A150" s="13">
        <v>59</v>
      </c>
      <c r="B150" s="409"/>
      <c r="C150" s="35" t="s">
        <v>113</v>
      </c>
      <c r="D150" s="13">
        <f t="shared" si="17"/>
        <v>609</v>
      </c>
      <c r="E150" s="13" t="s">
        <v>72</v>
      </c>
      <c r="F150" s="25">
        <f>(28.608+5.955)*10.764</f>
        <v>372.03613200000001</v>
      </c>
      <c r="G150" s="25">
        <f>2.625*10.764</f>
        <v>28.255499999999998</v>
      </c>
      <c r="H150" s="32">
        <v>580</v>
      </c>
      <c r="I150" s="13">
        <v>4800</v>
      </c>
      <c r="J150" s="13">
        <f t="shared" si="12"/>
        <v>2784000</v>
      </c>
    </row>
    <row r="151" spans="1:10" x14ac:dyDescent="0.25">
      <c r="A151" s="13">
        <v>60</v>
      </c>
      <c r="B151" s="410"/>
      <c r="C151" s="35" t="s">
        <v>113</v>
      </c>
      <c r="D151" s="13">
        <f t="shared" si="17"/>
        <v>610</v>
      </c>
      <c r="E151" s="13" t="s">
        <v>72</v>
      </c>
      <c r="F151" s="25">
        <f>(28.608+2.9)*10.764</f>
        <v>339.15211199999999</v>
      </c>
      <c r="G151" s="25">
        <f>2.625*10.764</f>
        <v>28.255499999999998</v>
      </c>
      <c r="H151" s="32">
        <v>525</v>
      </c>
      <c r="I151" s="13">
        <v>4800</v>
      </c>
      <c r="J151" s="13">
        <f t="shared" si="12"/>
        <v>2520000</v>
      </c>
    </row>
    <row r="152" spans="1:10" x14ac:dyDescent="0.25">
      <c r="A152" s="13">
        <v>61</v>
      </c>
      <c r="B152" s="221" t="s">
        <v>89</v>
      </c>
      <c r="C152" s="35" t="s">
        <v>113</v>
      </c>
      <c r="D152" s="13">
        <f>D142+100</f>
        <v>701</v>
      </c>
      <c r="E152" s="13" t="s">
        <v>94</v>
      </c>
      <c r="F152" s="25">
        <f>(41.081+11.114)*10.764</f>
        <v>561.82698000000005</v>
      </c>
      <c r="G152" s="25">
        <f>5.896*10.764</f>
        <v>63.464543999999997</v>
      </c>
      <c r="H152" s="32">
        <v>980</v>
      </c>
      <c r="I152" s="13">
        <v>4800</v>
      </c>
      <c r="J152" s="13">
        <f t="shared" si="12"/>
        <v>4704000</v>
      </c>
    </row>
    <row r="153" spans="1:10" x14ac:dyDescent="0.25">
      <c r="A153" s="13">
        <v>62</v>
      </c>
      <c r="B153" s="221"/>
      <c r="C153" s="35" t="s">
        <v>113</v>
      </c>
      <c r="D153" s="13">
        <f>D143+100</f>
        <v>702</v>
      </c>
      <c r="E153" s="13" t="s">
        <v>73</v>
      </c>
      <c r="F153" s="25">
        <f>(18.012+6.59)*10.764</f>
        <v>264.81592799999999</v>
      </c>
      <c r="G153" s="25">
        <v>0</v>
      </c>
      <c r="H153" s="32">
        <v>405</v>
      </c>
      <c r="I153" s="13">
        <v>4800</v>
      </c>
      <c r="J153" s="13">
        <f t="shared" si="12"/>
        <v>1944000</v>
      </c>
    </row>
    <row r="154" spans="1:10" x14ac:dyDescent="0.25">
      <c r="A154" s="13">
        <v>63</v>
      </c>
      <c r="B154" s="221"/>
      <c r="C154" s="35" t="s">
        <v>113</v>
      </c>
      <c r="D154" s="13">
        <f t="shared" ref="D154:D161" si="18">D144+100</f>
        <v>703</v>
      </c>
      <c r="E154" s="13" t="s">
        <v>72</v>
      </c>
      <c r="F154" s="25">
        <f>(29.805+7.205)*10.764</f>
        <v>398.37563999999998</v>
      </c>
      <c r="G154" s="25">
        <f>5.7*10.764</f>
        <v>61.354799999999997</v>
      </c>
      <c r="H154" s="32">
        <v>720</v>
      </c>
      <c r="I154" s="13">
        <v>4800</v>
      </c>
      <c r="J154" s="13">
        <f t="shared" si="12"/>
        <v>3456000</v>
      </c>
    </row>
    <row r="155" spans="1:10" x14ac:dyDescent="0.25">
      <c r="A155" s="13">
        <v>64</v>
      </c>
      <c r="B155" s="221"/>
      <c r="C155" s="35" t="s">
        <v>113</v>
      </c>
      <c r="D155" s="13">
        <f t="shared" si="18"/>
        <v>704</v>
      </c>
      <c r="E155" s="13" t="s">
        <v>72</v>
      </c>
      <c r="F155" s="25">
        <f>(31.83)*10.764</f>
        <v>342.61811999999998</v>
      </c>
      <c r="G155" s="25">
        <f>6.383*10.764</f>
        <v>68.706611999999993</v>
      </c>
      <c r="H155" s="32">
        <v>650</v>
      </c>
      <c r="I155" s="13">
        <v>4800</v>
      </c>
      <c r="J155" s="13">
        <f t="shared" si="12"/>
        <v>3120000</v>
      </c>
    </row>
    <row r="156" spans="1:10" x14ac:dyDescent="0.25">
      <c r="A156" s="13">
        <v>65</v>
      </c>
      <c r="B156" s="221"/>
      <c r="C156" s="35" t="s">
        <v>113</v>
      </c>
      <c r="D156" s="13">
        <f t="shared" si="18"/>
        <v>705</v>
      </c>
      <c r="E156" s="13" t="s">
        <v>72</v>
      </c>
      <c r="F156" s="25">
        <f>(32.089+6.728)*10.764</f>
        <v>417.826188</v>
      </c>
      <c r="G156" s="25">
        <f>6.383*10.764</f>
        <v>68.706611999999993</v>
      </c>
      <c r="H156" s="32">
        <v>765</v>
      </c>
      <c r="I156" s="13">
        <v>4800</v>
      </c>
      <c r="J156" s="13">
        <f t="shared" ref="J156:J161" si="19">H156*I156</f>
        <v>3672000</v>
      </c>
    </row>
    <row r="157" spans="1:10" x14ac:dyDescent="0.25">
      <c r="A157" s="13">
        <v>66</v>
      </c>
      <c r="B157" s="221"/>
      <c r="C157" s="35" t="s">
        <v>113</v>
      </c>
      <c r="D157" s="13">
        <f t="shared" si="18"/>
        <v>706</v>
      </c>
      <c r="E157" s="13" t="s">
        <v>72</v>
      </c>
      <c r="F157" s="25">
        <f>(31.884+6.728)*10.764</f>
        <v>415.61956800000002</v>
      </c>
      <c r="G157" s="25">
        <f>4.093*10.764</f>
        <v>44.057051999999999</v>
      </c>
      <c r="H157" s="32">
        <v>725</v>
      </c>
      <c r="I157" s="13">
        <v>4800</v>
      </c>
      <c r="J157" s="13">
        <f t="shared" si="19"/>
        <v>3480000</v>
      </c>
    </row>
    <row r="158" spans="1:10" x14ac:dyDescent="0.25">
      <c r="A158" s="13">
        <v>67</v>
      </c>
      <c r="B158" s="221"/>
      <c r="C158" s="35" t="s">
        <v>113</v>
      </c>
      <c r="D158" s="13">
        <f t="shared" si="18"/>
        <v>707</v>
      </c>
      <c r="E158" s="13" t="s">
        <v>72</v>
      </c>
      <c r="F158" s="25">
        <f>(32.144+7.085)*10.764</f>
        <v>422.26095599999996</v>
      </c>
      <c r="G158" s="25">
        <f>4.093*10.764</f>
        <v>44.057051999999999</v>
      </c>
      <c r="H158" s="32">
        <v>735</v>
      </c>
      <c r="I158" s="13">
        <v>4800</v>
      </c>
      <c r="J158" s="13">
        <f t="shared" si="19"/>
        <v>3528000</v>
      </c>
    </row>
    <row r="159" spans="1:10" x14ac:dyDescent="0.25">
      <c r="A159" s="13">
        <v>68</v>
      </c>
      <c r="B159" s="221"/>
      <c r="C159" s="35" t="s">
        <v>113</v>
      </c>
      <c r="D159" s="13">
        <f t="shared" si="18"/>
        <v>708</v>
      </c>
      <c r="E159" s="13" t="s">
        <v>72</v>
      </c>
      <c r="F159" s="25">
        <f>(31.468+6.89)*10.764</f>
        <v>412.88551199999995</v>
      </c>
      <c r="G159" s="25">
        <f>5.059*10.764</f>
        <v>54.455075999999998</v>
      </c>
      <c r="H159" s="32">
        <v>735</v>
      </c>
      <c r="I159" s="13">
        <v>4800</v>
      </c>
      <c r="J159" s="13">
        <f t="shared" si="19"/>
        <v>3528000</v>
      </c>
    </row>
    <row r="160" spans="1:10" x14ac:dyDescent="0.25">
      <c r="A160" s="13">
        <v>69</v>
      </c>
      <c r="B160" s="221"/>
      <c r="C160" s="35" t="s">
        <v>113</v>
      </c>
      <c r="D160" s="13">
        <f t="shared" si="18"/>
        <v>709</v>
      </c>
      <c r="E160" s="13" t="s">
        <v>72</v>
      </c>
      <c r="F160" s="25">
        <f>(28.608+5.955)*10.764</f>
        <v>372.03613200000001</v>
      </c>
      <c r="G160" s="25">
        <f>3.983*10.764</f>
        <v>42.873011999999996</v>
      </c>
      <c r="H160" s="32">
        <v>645</v>
      </c>
      <c r="I160" s="13">
        <v>4800</v>
      </c>
      <c r="J160" s="13">
        <f t="shared" si="19"/>
        <v>3096000</v>
      </c>
    </row>
    <row r="161" spans="1:10" x14ac:dyDescent="0.25">
      <c r="A161" s="13">
        <v>70</v>
      </c>
      <c r="B161" s="221"/>
      <c r="C161" s="35" t="s">
        <v>113</v>
      </c>
      <c r="D161" s="13">
        <f t="shared" si="18"/>
        <v>710</v>
      </c>
      <c r="E161" s="13" t="s">
        <v>72</v>
      </c>
      <c r="F161" s="25">
        <f>(28.608+2.9)*10.764</f>
        <v>339.15211199999999</v>
      </c>
      <c r="G161" s="25">
        <f>3.173*10.764</f>
        <v>34.154171999999996</v>
      </c>
      <c r="H161" s="32">
        <v>580</v>
      </c>
      <c r="I161" s="13">
        <v>4800</v>
      </c>
      <c r="J161" s="13">
        <f t="shared" si="19"/>
        <v>2784000</v>
      </c>
    </row>
  </sheetData>
  <mergeCells count="27">
    <mergeCell ref="A2:J2"/>
    <mergeCell ref="A3:J3"/>
    <mergeCell ref="B81:B89"/>
    <mergeCell ref="B10:B12"/>
    <mergeCell ref="B13:B15"/>
    <mergeCell ref="B36:B44"/>
    <mergeCell ref="B45:B53"/>
    <mergeCell ref="B54:B62"/>
    <mergeCell ref="B63:B71"/>
    <mergeCell ref="B72:B80"/>
    <mergeCell ref="B16:B18"/>
    <mergeCell ref="B19:B21"/>
    <mergeCell ref="B22:B24"/>
    <mergeCell ref="B27:B35"/>
    <mergeCell ref="A25:J25"/>
    <mergeCell ref="A26:J26"/>
    <mergeCell ref="B132:B141"/>
    <mergeCell ref="B142:B151"/>
    <mergeCell ref="B152:B161"/>
    <mergeCell ref="B92:B101"/>
    <mergeCell ref="B4:B6"/>
    <mergeCell ref="B7:B9"/>
    <mergeCell ref="A90:J90"/>
    <mergeCell ref="A91:J91"/>
    <mergeCell ref="B102:B111"/>
    <mergeCell ref="B112:B121"/>
    <mergeCell ref="B122:B1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6"/>
  <sheetViews>
    <sheetView topLeftCell="A112" zoomScale="85" zoomScaleNormal="85" workbookViewId="0">
      <selection activeCell="B3" sqref="B3:K13"/>
    </sheetView>
  </sheetViews>
  <sheetFormatPr defaultColWidth="8.7109375" defaultRowHeight="15" x14ac:dyDescent="0.25"/>
  <cols>
    <col min="1" max="1" width="8.7109375" style="17"/>
    <col min="2" max="3" width="22.140625" style="17" customWidth="1"/>
    <col min="4" max="5" width="12.5703125" style="17" customWidth="1"/>
    <col min="6" max="6" width="11.42578125" style="17" customWidth="1"/>
    <col min="7" max="8" width="8.7109375" style="17"/>
    <col min="9" max="9" width="12.7109375" style="17" customWidth="1"/>
    <col min="10" max="10" width="13.5703125" style="17" customWidth="1"/>
    <col min="11" max="16384" width="8.7109375" style="17"/>
  </cols>
  <sheetData>
    <row r="1" spans="1:11" ht="15" customHeight="1" x14ac:dyDescent="0.25"/>
    <row r="2" spans="1:11" ht="15" customHeight="1" x14ac:dyDescent="0.25">
      <c r="A2"/>
      <c r="B2"/>
      <c r="C2"/>
      <c r="D2"/>
      <c r="E2"/>
      <c r="F2"/>
      <c r="G2"/>
      <c r="H2"/>
      <c r="I2"/>
      <c r="J2"/>
    </row>
    <row r="3" spans="1:11" ht="15.75" customHeight="1" x14ac:dyDescent="0.25">
      <c r="A3"/>
      <c r="B3" s="507" t="s">
        <v>59</v>
      </c>
      <c r="C3" s="508"/>
      <c r="D3" s="508"/>
      <c r="E3" s="508"/>
      <c r="F3" s="508"/>
      <c r="G3" s="508"/>
      <c r="H3" s="508"/>
      <c r="I3" s="508"/>
      <c r="J3" s="508"/>
      <c r="K3" s="509"/>
    </row>
    <row r="4" spans="1:11" ht="45" x14ac:dyDescent="0.25">
      <c r="A4"/>
      <c r="B4" s="505" t="s">
        <v>60</v>
      </c>
      <c r="C4" s="505"/>
      <c r="D4" s="505" t="s">
        <v>79</v>
      </c>
      <c r="E4" s="505"/>
      <c r="F4" s="34" t="s">
        <v>71</v>
      </c>
      <c r="G4" s="34" t="s">
        <v>61</v>
      </c>
      <c r="H4" s="34" t="s">
        <v>98</v>
      </c>
      <c r="I4" s="34" t="s">
        <v>108</v>
      </c>
      <c r="J4" s="505" t="s">
        <v>62</v>
      </c>
      <c r="K4" s="505"/>
    </row>
    <row r="5" spans="1:11" ht="15" customHeight="1" x14ac:dyDescent="0.25">
      <c r="A5"/>
      <c r="B5" s="505" t="s">
        <v>99</v>
      </c>
      <c r="C5" s="505"/>
      <c r="D5" s="505" t="s">
        <v>80</v>
      </c>
      <c r="E5" s="505"/>
      <c r="F5" s="23" t="s">
        <v>100</v>
      </c>
      <c r="G5" s="23">
        <v>476</v>
      </c>
      <c r="H5" s="23">
        <f>G5*1.5</f>
        <v>714</v>
      </c>
      <c r="I5" s="30">
        <f>J5/H5</f>
        <v>4000</v>
      </c>
      <c r="J5" s="505">
        <v>2856000</v>
      </c>
      <c r="K5" s="505"/>
    </row>
    <row r="6" spans="1:11" x14ac:dyDescent="0.25">
      <c r="A6"/>
      <c r="B6" s="505" t="s">
        <v>102</v>
      </c>
      <c r="C6" s="505"/>
      <c r="D6" s="505" t="s">
        <v>80</v>
      </c>
      <c r="E6" s="505"/>
      <c r="F6" s="23" t="s">
        <v>101</v>
      </c>
      <c r="G6" s="23">
        <v>228</v>
      </c>
      <c r="H6" s="23">
        <v>455</v>
      </c>
      <c r="I6" s="30">
        <f>J6/H6</f>
        <v>3006.5934065934066</v>
      </c>
      <c r="J6" s="505">
        <v>1368000</v>
      </c>
      <c r="K6" s="505"/>
    </row>
    <row r="7" spans="1:11" ht="15" customHeight="1" x14ac:dyDescent="0.25">
      <c r="A7"/>
      <c r="B7" s="505" t="s">
        <v>74</v>
      </c>
      <c r="C7" s="505"/>
      <c r="D7" s="505" t="s">
        <v>103</v>
      </c>
      <c r="E7" s="505"/>
      <c r="F7" s="23" t="s">
        <v>100</v>
      </c>
      <c r="G7" s="23">
        <v>475</v>
      </c>
      <c r="H7" s="23">
        <v>705</v>
      </c>
      <c r="I7" s="30">
        <f t="shared" ref="I7:I11" si="0">J7/H7</f>
        <v>5106.3829787234044</v>
      </c>
      <c r="J7" s="505">
        <v>3600000</v>
      </c>
      <c r="K7" s="505"/>
    </row>
    <row r="8" spans="1:11" ht="30" customHeight="1" x14ac:dyDescent="0.25">
      <c r="A8"/>
      <c r="B8" s="505" t="s">
        <v>74</v>
      </c>
      <c r="C8" s="505"/>
      <c r="D8" s="505" t="s">
        <v>105</v>
      </c>
      <c r="E8" s="505"/>
      <c r="F8" s="23" t="s">
        <v>104</v>
      </c>
      <c r="G8" s="30">
        <f>H8/1.45</f>
        <v>689.65517241379314</v>
      </c>
      <c r="H8" s="23">
        <v>1000</v>
      </c>
      <c r="I8" s="30">
        <f t="shared" si="0"/>
        <v>4900</v>
      </c>
      <c r="J8" s="505">
        <v>4900000</v>
      </c>
      <c r="K8" s="505"/>
    </row>
    <row r="9" spans="1:11" ht="15" customHeight="1" x14ac:dyDescent="0.25">
      <c r="A9"/>
      <c r="B9" s="505" t="s">
        <v>74</v>
      </c>
      <c r="C9" s="505"/>
      <c r="D9" s="505" t="s">
        <v>106</v>
      </c>
      <c r="E9" s="505"/>
      <c r="F9" s="23" t="s">
        <v>100</v>
      </c>
      <c r="G9" s="23">
        <v>400</v>
      </c>
      <c r="H9" s="23">
        <v>665</v>
      </c>
      <c r="I9" s="30">
        <f t="shared" si="0"/>
        <v>5413.5338345864666</v>
      </c>
      <c r="J9" s="505">
        <v>3600000</v>
      </c>
      <c r="K9" s="505"/>
    </row>
    <row r="10" spans="1:11" ht="15" customHeight="1" x14ac:dyDescent="0.25">
      <c r="A10"/>
      <c r="B10" s="505" t="s">
        <v>74</v>
      </c>
      <c r="C10" s="505"/>
      <c r="D10" s="505" t="s">
        <v>106</v>
      </c>
      <c r="E10" s="505"/>
      <c r="F10" s="23" t="s">
        <v>104</v>
      </c>
      <c r="G10" s="23">
        <v>485</v>
      </c>
      <c r="H10" s="23">
        <v>745</v>
      </c>
      <c r="I10" s="30">
        <f t="shared" si="0"/>
        <v>5369.1275167785234</v>
      </c>
      <c r="J10" s="505">
        <v>4000000</v>
      </c>
      <c r="K10" s="505"/>
    </row>
    <row r="11" spans="1:11" ht="15" customHeight="1" x14ac:dyDescent="0.25">
      <c r="A11"/>
      <c r="B11" s="505" t="s">
        <v>74</v>
      </c>
      <c r="C11" s="505"/>
      <c r="D11" s="505" t="s">
        <v>107</v>
      </c>
      <c r="E11" s="505"/>
      <c r="F11" s="23" t="s">
        <v>100</v>
      </c>
      <c r="G11" s="30">
        <f>H11/1.45</f>
        <v>438.62068965517244</v>
      </c>
      <c r="H11" s="23">
        <v>636</v>
      </c>
      <c r="I11" s="30">
        <f t="shared" si="0"/>
        <v>3911.949685534591</v>
      </c>
      <c r="J11" s="505">
        <v>2488000</v>
      </c>
      <c r="K11" s="505"/>
    </row>
    <row r="12" spans="1:11" ht="15" customHeight="1" x14ac:dyDescent="0.25">
      <c r="A12"/>
      <c r="B12" s="505" t="s">
        <v>63</v>
      </c>
      <c r="C12" s="505"/>
      <c r="D12" s="505"/>
      <c r="E12" s="505"/>
      <c r="F12" s="23"/>
      <c r="G12" s="23"/>
      <c r="H12" s="23"/>
      <c r="I12" s="31">
        <f>AVERAGE(I5:I11)</f>
        <v>4529.6553460309133</v>
      </c>
      <c r="J12" s="505"/>
      <c r="K12" s="505"/>
    </row>
    <row r="13" spans="1:11" ht="15" customHeight="1" x14ac:dyDescent="0.25">
      <c r="B13" s="506" t="s">
        <v>64</v>
      </c>
      <c r="C13" s="506"/>
      <c r="D13" s="506"/>
      <c r="E13" s="506"/>
      <c r="F13" s="506"/>
      <c r="G13" s="506"/>
      <c r="H13" s="506"/>
      <c r="I13" s="33">
        <v>4800</v>
      </c>
      <c r="J13" s="505"/>
      <c r="K13" s="505"/>
    </row>
    <row r="14" spans="1:11" ht="15" customHeight="1" x14ac:dyDescent="0.25"/>
    <row r="15" spans="1:11" ht="15" customHeight="1" x14ac:dyDescent="0.25"/>
    <row r="16" spans="1:11" ht="15" customHeight="1" x14ac:dyDescent="0.25"/>
  </sheetData>
  <mergeCells count="30">
    <mergeCell ref="J13:K13"/>
    <mergeCell ref="B13:H13"/>
    <mergeCell ref="B3:K3"/>
    <mergeCell ref="B12:C12"/>
    <mergeCell ref="D12:E12"/>
    <mergeCell ref="J5:K5"/>
    <mergeCell ref="J6:K6"/>
    <mergeCell ref="J7:K7"/>
    <mergeCell ref="J8:K8"/>
    <mergeCell ref="J9:K9"/>
    <mergeCell ref="J10:K10"/>
    <mergeCell ref="J11:K11"/>
    <mergeCell ref="J12:K12"/>
    <mergeCell ref="B9:C9"/>
    <mergeCell ref="D9:E9"/>
    <mergeCell ref="B10:C10"/>
    <mergeCell ref="D10:E10"/>
    <mergeCell ref="B11:C11"/>
    <mergeCell ref="D11:E11"/>
    <mergeCell ref="B6:C6"/>
    <mergeCell ref="D6:E6"/>
    <mergeCell ref="B7:C7"/>
    <mergeCell ref="D7:E7"/>
    <mergeCell ref="B8:C8"/>
    <mergeCell ref="D8:E8"/>
    <mergeCell ref="D4:E4"/>
    <mergeCell ref="J4:K4"/>
    <mergeCell ref="B4:C4"/>
    <mergeCell ref="B5:C5"/>
    <mergeCell ref="D5:E5"/>
  </mergeCells>
  <phoneticPr fontId="0" type="noConversion"/>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4:J4"/>
  <sheetViews>
    <sheetView zoomScale="85" zoomScaleNormal="85" workbookViewId="0">
      <selection activeCell="C7" sqref="C7"/>
    </sheetView>
  </sheetViews>
  <sheetFormatPr defaultRowHeight="15" x14ac:dyDescent="0.25"/>
  <cols>
    <col min="1" max="1" width="15.85546875" style="49" customWidth="1"/>
    <col min="2" max="2" width="14.28515625" style="48" customWidth="1"/>
    <col min="3" max="3" width="11.85546875" style="48" customWidth="1"/>
    <col min="4" max="5" width="11.7109375" style="48" customWidth="1"/>
    <col min="6" max="10" width="9.140625" style="48"/>
  </cols>
  <sheetData>
    <row r="4" spans="1:1" x14ac:dyDescent="0.25">
      <c r="A4" s="5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H19"/>
  <sheetViews>
    <sheetView zoomScale="70" zoomScaleNormal="70" workbookViewId="0">
      <selection activeCell="A2" sqref="A2:XFD2"/>
    </sheetView>
  </sheetViews>
  <sheetFormatPr defaultRowHeight="15" x14ac:dyDescent="0.25"/>
  <cols>
    <col min="1" max="1" width="41.85546875" customWidth="1"/>
    <col min="2" max="2" width="18.140625" bestFit="1" customWidth="1"/>
  </cols>
  <sheetData>
    <row r="2" spans="1:8" x14ac:dyDescent="0.25">
      <c r="B2" s="58"/>
    </row>
    <row r="3" spans="1:8" x14ac:dyDescent="0.25">
      <c r="B3" s="58"/>
    </row>
    <row r="4" spans="1:8" ht="15.75" thickBot="1" x14ac:dyDescent="0.3">
      <c r="B4" s="58"/>
    </row>
    <row r="5" spans="1:8" s="78" customFormat="1" ht="12.75" x14ac:dyDescent="0.2">
      <c r="A5" s="510" t="s">
        <v>476</v>
      </c>
      <c r="B5" s="511"/>
      <c r="C5" s="74" t="s">
        <v>198</v>
      </c>
      <c r="D5" s="74" t="s">
        <v>477</v>
      </c>
      <c r="E5" s="74" t="s">
        <v>478</v>
      </c>
      <c r="F5" s="75" t="s">
        <v>479</v>
      </c>
      <c r="G5" s="76" t="str">
        <f ca="1">(IF(E9&gt;99%,"All work completed. Please provide OC.",IF(E9&gt;89.8%,"Plinth, RCC, Brick, Plaster, Flooring, Painting work Completed. Finishing work is in process.",IF(E9&lt;94%,(IF(C9=0,"Work not yet Started.",IF(D9=25%,"Piling work in process",IF(D9=50%,"Excavation work in process",IF(D9=100%,"Excavation work Completed. ","0")))&amp;(IF(C10=0%,"",IF(C10=H11,"Footing work is process",IF(C10=H12,"Footing work Completed",IF(C10=H13,"1st Basement Completed",IF(C10=H14,"1st &amp; 2nd Basement Completed",IF(C10=H15,"1st to 3rd Basement Completed",IF(C10=H16,"1st to 4th Basement Completed",IF(C10=H17,"Plinth work is process",IF(C10=H18,"Plinth work completed","0")))))))))))&amp;(IF(C11=(D6+E6+F6),", RCC Slab",IF(C11&gt;0,", RCC upto "&amp;C11&amp;" Slab",""))&amp;(IF(C12=F6,", Brickwork",IF(C12&gt;0,", Brickwork upto "&amp;C12&amp;" Floor",""))&amp;(IF(C13=F6,", Internal Plaster",IF(C13&gt;0,", Internal Plaster upto "&amp;C13&amp;" Floor",""))&amp;(IF(C14=F6,", External Plaster",IF(C14&gt;0,", External Plaster upto "&amp;C14&amp;" Floor",""))&amp;(IF(C15=F6,", Flooring",IF(C15&gt;0,", Flooring upto "&amp;C15&amp;" Floor",""))&amp;(IF(C16=F6,", Painting",IF(C16&gt;0,", Painting upto "&amp;C16&amp;" Floor",""))&amp;(IF(C17&gt;0,", Finishing upto "&amp;C17&amp;" Floor","")&amp;(IF(C11&gt;0.5," Completed",""))))))))))))))</f>
        <v>Work not yet Started.</v>
      </c>
      <c r="H5" s="77"/>
    </row>
    <row r="6" spans="1:8" s="78" customFormat="1" ht="12.75" x14ac:dyDescent="0.2">
      <c r="A6" s="512"/>
      <c r="B6" s="513"/>
      <c r="C6" s="79">
        <v>0</v>
      </c>
      <c r="D6" s="79">
        <v>1</v>
      </c>
      <c r="E6" s="79">
        <v>0</v>
      </c>
      <c r="F6" s="80">
        <f ca="1">--TRIM(RIGHT(SUBSTITUTE(LEFT(A5,_xlfn.AGGREGATE(16,6,FIND({0,1,2,3,4,5,6,7,8,9},A5,ROW(INDIRECT("1:"&amp;LEN(A5)))),1))," ",REPT(" ",LEN(A5))),LEN(A5)))</f>
        <v>15</v>
      </c>
      <c r="G6" s="81"/>
      <c r="H6" s="82"/>
    </row>
    <row r="7" spans="1:8" s="78" customFormat="1" ht="26.25" customHeight="1" x14ac:dyDescent="0.2">
      <c r="A7" s="83" t="s">
        <v>480</v>
      </c>
      <c r="B7" s="514" t="str">
        <f ca="1">G5</f>
        <v>Work not yet Started.</v>
      </c>
      <c r="C7" s="515"/>
      <c r="D7" s="515"/>
      <c r="E7" s="515"/>
      <c r="F7" s="516"/>
      <c r="G7" s="81" t="s">
        <v>481</v>
      </c>
      <c r="H7" s="82"/>
    </row>
    <row r="8" spans="1:8" s="78" customFormat="1" ht="25.5" x14ac:dyDescent="0.2">
      <c r="A8" s="84" t="s">
        <v>482</v>
      </c>
      <c r="B8" s="85" t="s">
        <v>483</v>
      </c>
      <c r="C8" s="86" t="s">
        <v>484</v>
      </c>
      <c r="D8" s="86" t="s">
        <v>485</v>
      </c>
      <c r="E8" s="517" t="s">
        <v>486</v>
      </c>
      <c r="F8" s="518"/>
      <c r="G8" s="87" t="s">
        <v>487</v>
      </c>
      <c r="H8" s="88">
        <f ca="1">F6*25%</f>
        <v>3.75</v>
      </c>
    </row>
    <row r="9" spans="1:8" s="78" customFormat="1" ht="15" customHeight="1" x14ac:dyDescent="0.2">
      <c r="A9" s="84" t="s">
        <v>488</v>
      </c>
      <c r="B9" s="89">
        <v>0</v>
      </c>
      <c r="C9" s="90">
        <v>0</v>
      </c>
      <c r="D9" s="91">
        <f ca="1">((100/F6)*C9)/100</f>
        <v>0</v>
      </c>
      <c r="E9" s="519">
        <f ca="1">(((C10/F6*10)+(40/(D6+E6+F6)*C11)+(15/(F6)*C12)+(5/(F6)*C13)+(5/F6*C14)+(10/F6*C15)+(5/F6*C16)+(5/F6*C17)+(5/F6*C18))/100)</f>
        <v>0</v>
      </c>
      <c r="F9" s="520"/>
      <c r="G9" s="87" t="s">
        <v>489</v>
      </c>
      <c r="H9" s="92">
        <f ca="1">F6*50%</f>
        <v>7.5</v>
      </c>
    </row>
    <row r="10" spans="1:8" s="78" customFormat="1" ht="15" customHeight="1" x14ac:dyDescent="0.2">
      <c r="A10" s="84" t="s">
        <v>36</v>
      </c>
      <c r="B10" s="89">
        <v>0.1</v>
      </c>
      <c r="C10" s="93">
        <v>0</v>
      </c>
      <c r="D10" s="91">
        <f ca="1">((100/F6)*C10)/100</f>
        <v>0</v>
      </c>
      <c r="E10" s="521"/>
      <c r="F10" s="522"/>
      <c r="G10" s="87" t="s">
        <v>490</v>
      </c>
      <c r="H10" s="92">
        <f ca="1">F6</f>
        <v>15</v>
      </c>
    </row>
    <row r="11" spans="1:8" s="78" customFormat="1" ht="15" customHeight="1" x14ac:dyDescent="0.2">
      <c r="A11" s="84" t="s">
        <v>491</v>
      </c>
      <c r="B11" s="89">
        <v>0.4</v>
      </c>
      <c r="C11" s="93">
        <v>0</v>
      </c>
      <c r="D11" s="91">
        <f ca="1">((100/(D6+E6+F6))*C11)/100</f>
        <v>0</v>
      </c>
      <c r="E11" s="521"/>
      <c r="F11" s="522"/>
      <c r="G11" s="87" t="s">
        <v>492</v>
      </c>
      <c r="H11" s="94">
        <f ca="1">(IF(C6&gt;1,(F6/(C6+2)),F6/4))</f>
        <v>3.75</v>
      </c>
    </row>
    <row r="12" spans="1:8" s="78" customFormat="1" ht="15" customHeight="1" x14ac:dyDescent="0.2">
      <c r="A12" s="84" t="s">
        <v>493</v>
      </c>
      <c r="B12" s="89">
        <v>0.15</v>
      </c>
      <c r="C12" s="90">
        <v>0</v>
      </c>
      <c r="D12" s="91">
        <f ca="1">((100/F6)*C12)/100</f>
        <v>0</v>
      </c>
      <c r="E12" s="521"/>
      <c r="F12" s="522"/>
      <c r="G12" s="87" t="s">
        <v>494</v>
      </c>
      <c r="H12" s="94">
        <f ca="1">(IF(C6&gt;1,(F6/(C6+2)+H11),F6/4+H11))</f>
        <v>7.5</v>
      </c>
    </row>
    <row r="13" spans="1:8" s="78" customFormat="1" ht="15" customHeight="1" x14ac:dyDescent="0.2">
      <c r="A13" s="84" t="s">
        <v>495</v>
      </c>
      <c r="B13" s="89">
        <v>0.05</v>
      </c>
      <c r="C13" s="90">
        <v>0</v>
      </c>
      <c r="D13" s="91">
        <f ca="1">((100/F6)*C13)/100</f>
        <v>0</v>
      </c>
      <c r="E13" s="521"/>
      <c r="F13" s="522"/>
      <c r="G13" s="87" t="s">
        <v>496</v>
      </c>
      <c r="H13" s="94">
        <f>(IF(C6&gt;1,(F6/(C6+2)+H12),0))</f>
        <v>0</v>
      </c>
    </row>
    <row r="14" spans="1:8" s="78" customFormat="1" ht="15" customHeight="1" x14ac:dyDescent="0.2">
      <c r="A14" s="84" t="s">
        <v>497</v>
      </c>
      <c r="B14" s="89">
        <v>0.05</v>
      </c>
      <c r="C14" s="90">
        <v>0</v>
      </c>
      <c r="D14" s="91">
        <f ca="1">((100/(F6))*C14)/100</f>
        <v>0</v>
      </c>
      <c r="E14" s="521"/>
      <c r="F14" s="522"/>
      <c r="G14" s="87" t="s">
        <v>498</v>
      </c>
      <c r="H14" s="94">
        <f>(IF(C6&gt;2,(F6/(C6+2)+H13),0))</f>
        <v>0</v>
      </c>
    </row>
    <row r="15" spans="1:8" s="78" customFormat="1" ht="15" customHeight="1" x14ac:dyDescent="0.2">
      <c r="A15" s="84" t="s">
        <v>499</v>
      </c>
      <c r="B15" s="89">
        <v>0.1</v>
      </c>
      <c r="C15" s="90">
        <v>0</v>
      </c>
      <c r="D15" s="91">
        <f ca="1">((100/F6)*C15)/100</f>
        <v>0</v>
      </c>
      <c r="E15" s="521"/>
      <c r="F15" s="522"/>
      <c r="G15" s="87" t="s">
        <v>500</v>
      </c>
      <c r="H15" s="95">
        <f>(IF(C6&gt;3,(F6/(C6+2)+H14),0))</f>
        <v>0</v>
      </c>
    </row>
    <row r="16" spans="1:8" s="78" customFormat="1" ht="15" customHeight="1" x14ac:dyDescent="0.2">
      <c r="A16" s="84" t="s">
        <v>501</v>
      </c>
      <c r="B16" s="89">
        <v>0.05</v>
      </c>
      <c r="C16" s="90">
        <v>0</v>
      </c>
      <c r="D16" s="91">
        <f ca="1">((100/F6)*C16)/100</f>
        <v>0</v>
      </c>
      <c r="E16" s="521"/>
      <c r="F16" s="522"/>
      <c r="G16" s="87" t="s">
        <v>502</v>
      </c>
      <c r="H16" s="94">
        <f>(IF(C6&gt;4,(F6/(C6+2)+H15),0))</f>
        <v>0</v>
      </c>
    </row>
    <row r="17" spans="1:8" s="78" customFormat="1" ht="15" customHeight="1" x14ac:dyDescent="0.2">
      <c r="A17" s="84" t="s">
        <v>503</v>
      </c>
      <c r="B17" s="89">
        <v>0.05</v>
      </c>
      <c r="C17" s="90">
        <v>0</v>
      </c>
      <c r="D17" s="91">
        <f ca="1">((100/(F6))*C17)/100</f>
        <v>0</v>
      </c>
      <c r="E17" s="521"/>
      <c r="F17" s="522"/>
      <c r="G17" s="87" t="s">
        <v>504</v>
      </c>
      <c r="H17" s="94">
        <f ca="1">(IF(C6=1,(F6/(C6+3)+H12),IF(C6=0,(F6/4+H12),IF(C6&gt;1,0))))</f>
        <v>11.25</v>
      </c>
    </row>
    <row r="18" spans="1:8" s="78" customFormat="1" ht="15.75" customHeight="1" thickBot="1" x14ac:dyDescent="0.25">
      <c r="A18" s="96" t="s">
        <v>505</v>
      </c>
      <c r="B18" s="97">
        <v>0.05</v>
      </c>
      <c r="C18" s="98">
        <v>0</v>
      </c>
      <c r="D18" s="99">
        <f ca="1">((100/(F6))*C18)/100</f>
        <v>0</v>
      </c>
      <c r="E18" s="523"/>
      <c r="F18" s="524"/>
      <c r="G18" s="100" t="s">
        <v>506</v>
      </c>
      <c r="H18" s="101">
        <f ca="1">(IF(C6&gt;1.5,(F6/(C6+2)+H12+MAX(0,H13-H12)+MAX(0,H14-H13)+MAX(0,H15-H14)+MAX(0,H16-H15)+MAX(0,H17-H16)),IF(C6=1,(F6/(C6+3)+H17),IF(C6=0,F6/4+H17))))</f>
        <v>15</v>
      </c>
    </row>
    <row r="19" spans="1:8" x14ac:dyDescent="0.25">
      <c r="B19" s="59"/>
    </row>
  </sheetData>
  <mergeCells count="4">
    <mergeCell ref="A5:B6"/>
    <mergeCell ref="B7:F7"/>
    <mergeCell ref="E8:F8"/>
    <mergeCell ref="E9:F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Const. %</vt:lpstr>
      <vt:lpstr>unsold</vt:lpstr>
      <vt:lpstr>valuation</vt:lpstr>
      <vt:lpstr>Sheet1</vt:lpstr>
      <vt:lpstr>Sheet2</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PC-51</cp:lastModifiedBy>
  <cp:lastPrinted>2025-07-29T09:37:46Z</cp:lastPrinted>
  <dcterms:created xsi:type="dcterms:W3CDTF">2013-11-23T05:32:33Z</dcterms:created>
  <dcterms:modified xsi:type="dcterms:W3CDTF">2025-07-29T10:17:57Z</dcterms:modified>
</cp:coreProperties>
</file>