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8-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3" i="1" l="1"/>
  <c r="G169" i="1" l="1"/>
  <c r="F114" i="1" l="1"/>
  <c r="E212" i="1" l="1"/>
  <c r="D212" i="1"/>
  <c r="F212" i="1" s="1"/>
  <c r="H212" i="1" s="1"/>
  <c r="E211" i="1"/>
  <c r="D211" i="1"/>
  <c r="E210" i="1"/>
  <c r="D210" i="1"/>
  <c r="F210" i="1" s="1"/>
  <c r="H210" i="1" s="1"/>
  <c r="E209" i="1"/>
  <c r="D209" i="1"/>
  <c r="E208" i="1"/>
  <c r="D208" i="1"/>
  <c r="E207" i="1"/>
  <c r="D207" i="1"/>
  <c r="E205" i="1"/>
  <c r="D205" i="1"/>
  <c r="E204" i="1"/>
  <c r="D204" i="1"/>
  <c r="E203" i="1"/>
  <c r="D203" i="1"/>
  <c r="E202" i="1"/>
  <c r="D202" i="1"/>
  <c r="E200" i="1"/>
  <c r="D200" i="1"/>
  <c r="E198" i="1"/>
  <c r="D198" i="1"/>
  <c r="E197" i="1"/>
  <c r="D197" i="1"/>
  <c r="E196" i="1"/>
  <c r="D196" i="1"/>
  <c r="F196" i="1" s="1"/>
  <c r="H196" i="1" s="1"/>
  <c r="E195" i="1"/>
  <c r="D195" i="1"/>
  <c r="E194" i="1"/>
  <c r="D194" i="1"/>
  <c r="E193" i="1"/>
  <c r="D193" i="1"/>
  <c r="E191" i="1"/>
  <c r="D191" i="1"/>
  <c r="E190" i="1"/>
  <c r="D190" i="1"/>
  <c r="E189" i="1"/>
  <c r="D189" i="1"/>
  <c r="E188" i="1"/>
  <c r="D188" i="1"/>
  <c r="E187" i="1"/>
  <c r="D187" i="1"/>
  <c r="E186" i="1"/>
  <c r="D186" i="1"/>
  <c r="E184" i="1"/>
  <c r="D184" i="1"/>
  <c r="E183" i="1"/>
  <c r="D183" i="1"/>
  <c r="E182" i="1"/>
  <c r="D182" i="1"/>
  <c r="E181" i="1"/>
  <c r="D181" i="1"/>
  <c r="E179" i="1"/>
  <c r="D179" i="1"/>
  <c r="E177" i="1"/>
  <c r="D177" i="1"/>
  <c r="E176" i="1"/>
  <c r="D176" i="1"/>
  <c r="E175" i="1"/>
  <c r="D175" i="1"/>
  <c r="E174" i="1"/>
  <c r="D174" i="1"/>
  <c r="E173" i="1"/>
  <c r="D173" i="1"/>
  <c r="E172" i="1"/>
  <c r="D172" i="1"/>
  <c r="G167" i="1"/>
  <c r="G166" i="1"/>
  <c r="G165" i="1"/>
  <c r="E170" i="1"/>
  <c r="D170" i="1"/>
  <c r="E169" i="1"/>
  <c r="D169" i="1"/>
  <c r="E168" i="1"/>
  <c r="D168" i="1"/>
  <c r="D167" i="1"/>
  <c r="F167" i="1" s="1"/>
  <c r="D166" i="1"/>
  <c r="F166" i="1" s="1"/>
  <c r="E165" i="1"/>
  <c r="D165" i="1"/>
  <c r="E162" i="1"/>
  <c r="D162" i="1"/>
  <c r="E160" i="1"/>
  <c r="D160" i="1"/>
  <c r="E159" i="1"/>
  <c r="D159" i="1"/>
  <c r="E158" i="1"/>
  <c r="D158" i="1"/>
  <c r="E156" i="1"/>
  <c r="D156" i="1"/>
  <c r="E155" i="1"/>
  <c r="D155" i="1"/>
  <c r="E154" i="1"/>
  <c r="D154" i="1"/>
  <c r="E153" i="1"/>
  <c r="D153" i="1"/>
  <c r="E152" i="1"/>
  <c r="D152" i="1"/>
  <c r="G147" i="1"/>
  <c r="E150" i="1"/>
  <c r="D150" i="1"/>
  <c r="E149" i="1"/>
  <c r="D149" i="1"/>
  <c r="E148" i="1"/>
  <c r="D148" i="1"/>
  <c r="E147" i="1"/>
  <c r="D147" i="1"/>
  <c r="E146" i="1"/>
  <c r="D146" i="1"/>
  <c r="D138" i="1"/>
  <c r="F138" i="1" s="1"/>
  <c r="H138" i="1" s="1"/>
  <c r="D137" i="1"/>
  <c r="F137" i="1" s="1"/>
  <c r="H137" i="1" s="1"/>
  <c r="D136" i="1"/>
  <c r="F136" i="1" s="1"/>
  <c r="H136" i="1" s="1"/>
  <c r="D135" i="1"/>
  <c r="D134" i="1"/>
  <c r="D133" i="1"/>
  <c r="D132" i="1"/>
  <c r="I138" i="1"/>
  <c r="I137" i="1"/>
  <c r="I136" i="1"/>
  <c r="I135" i="1"/>
  <c r="I134" i="1"/>
  <c r="I132" i="1"/>
  <c r="A212" i="1"/>
  <c r="A208" i="1"/>
  <c r="A209" i="1" s="1"/>
  <c r="A210" i="1" s="1"/>
  <c r="A205" i="1"/>
  <c r="A201" i="1"/>
  <c r="A202" i="1" s="1"/>
  <c r="A203" i="1" s="1"/>
  <c r="A198" i="1"/>
  <c r="A194" i="1"/>
  <c r="A195" i="1" s="1"/>
  <c r="A196" i="1" s="1"/>
  <c r="A191" i="1"/>
  <c r="A187" i="1"/>
  <c r="A188" i="1" s="1"/>
  <c r="A189" i="1" s="1"/>
  <c r="A184" i="1"/>
  <c r="A180" i="1"/>
  <c r="A181" i="1" s="1"/>
  <c r="A182" i="1" s="1"/>
  <c r="A159" i="1"/>
  <c r="A160" i="1" s="1"/>
  <c r="A177" i="1"/>
  <c r="A173" i="1"/>
  <c r="A174" i="1" s="1"/>
  <c r="A175" i="1" s="1"/>
  <c r="A153" i="1"/>
  <c r="A154" i="1" s="1"/>
  <c r="A155" i="1" s="1"/>
  <c r="I146" i="1"/>
  <c r="A170" i="1"/>
  <c r="A166" i="1"/>
  <c r="A167" i="1" s="1"/>
  <c r="A168" i="1" s="1"/>
  <c r="D62" i="1"/>
  <c r="D68" i="1"/>
  <c r="E43" i="1"/>
  <c r="C16" i="1"/>
  <c r="F203" i="1" l="1"/>
  <c r="H203" i="1" s="1"/>
  <c r="F205" i="1"/>
  <c r="H205" i="1" s="1"/>
  <c r="F208" i="1"/>
  <c r="H208" i="1" s="1"/>
  <c r="F198" i="1"/>
  <c r="H198" i="1" s="1"/>
  <c r="F181" i="1"/>
  <c r="H181" i="1" s="1"/>
  <c r="F193" i="1"/>
  <c r="H193" i="1" s="1"/>
  <c r="F207" i="1"/>
  <c r="H207" i="1" s="1"/>
  <c r="F200" i="1"/>
  <c r="H200" i="1" s="1"/>
  <c r="F158" i="1"/>
  <c r="H158" i="1" s="1"/>
  <c r="F209" i="1"/>
  <c r="H209" i="1" s="1"/>
  <c r="F160" i="1"/>
  <c r="H160" i="1" s="1"/>
  <c r="F188" i="1"/>
  <c r="H188" i="1" s="1"/>
  <c r="F184" i="1"/>
  <c r="H184" i="1" s="1"/>
  <c r="F187" i="1"/>
  <c r="H187" i="1" s="1"/>
  <c r="F195" i="1"/>
  <c r="H195" i="1" s="1"/>
  <c r="F211" i="1"/>
  <c r="H211" i="1" s="1"/>
  <c r="F202" i="1"/>
  <c r="H202" i="1" s="1"/>
  <c r="F204" i="1"/>
  <c r="H204" i="1" s="1"/>
  <c r="F190" i="1"/>
  <c r="H190" i="1" s="1"/>
  <c r="F194" i="1"/>
  <c r="H194" i="1" s="1"/>
  <c r="F189" i="1"/>
  <c r="H189" i="1" s="1"/>
  <c r="F191" i="1"/>
  <c r="H191" i="1" s="1"/>
  <c r="F197" i="1"/>
  <c r="H197" i="1" s="1"/>
  <c r="F183" i="1"/>
  <c r="H183" i="1" s="1"/>
  <c r="F186" i="1"/>
  <c r="H186" i="1" s="1"/>
  <c r="F174" i="1"/>
  <c r="H174" i="1" s="1"/>
  <c r="F162" i="1"/>
  <c r="H162" i="1" s="1"/>
  <c r="F179" i="1"/>
  <c r="H179" i="1" s="1"/>
  <c r="F182" i="1"/>
  <c r="H182" i="1" s="1"/>
  <c r="F150" i="1"/>
  <c r="H150" i="1" s="1"/>
  <c r="F159" i="1"/>
  <c r="H159" i="1" s="1"/>
  <c r="F176" i="1"/>
  <c r="H176" i="1" s="1"/>
  <c r="F165" i="1"/>
  <c r="F168" i="1"/>
  <c r="H168" i="1" s="1"/>
  <c r="F153" i="1"/>
  <c r="F172" i="1"/>
  <c r="H172" i="1" s="1"/>
  <c r="F152" i="1"/>
  <c r="F154" i="1"/>
  <c r="F175" i="1"/>
  <c r="H175" i="1" s="1"/>
  <c r="F177" i="1"/>
  <c r="H177" i="1" s="1"/>
  <c r="F173" i="1"/>
  <c r="H173" i="1" s="1"/>
  <c r="F169" i="1"/>
  <c r="H169" i="1" s="1"/>
  <c r="F156" i="1"/>
  <c r="F170" i="1"/>
  <c r="H170" i="1" s="1"/>
  <c r="F155" i="1"/>
  <c r="H167" i="1"/>
  <c r="H166" i="1"/>
  <c r="F148" i="1"/>
  <c r="H148" i="1" s="1"/>
  <c r="H165" i="1" l="1"/>
  <c r="G122" i="1" s="1"/>
  <c r="C122" i="1"/>
  <c r="E122" i="1"/>
  <c r="I43"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E44" i="7" l="1"/>
  <c r="D42" i="7"/>
  <c r="D44" i="7" s="1"/>
  <c r="E31" i="1"/>
  <c r="B215" i="1" l="1"/>
  <c r="F133" i="1" l="1"/>
  <c r="H133" i="1" s="1"/>
  <c r="F134" i="1"/>
  <c r="H134" i="1" s="1"/>
  <c r="F135" i="1"/>
  <c r="H135" i="1" s="1"/>
  <c r="F132" i="1"/>
  <c r="H132" i="1" l="1"/>
  <c r="G117" i="1" s="1"/>
  <c r="G118" i="1" s="1"/>
  <c r="E117" i="1"/>
  <c r="E118" i="1" s="1"/>
  <c r="C117" i="1"/>
  <c r="C118" i="1" s="1"/>
  <c r="S33" i="1"/>
  <c r="F11" i="5" l="1"/>
  <c r="G11" i="5" s="1"/>
  <c r="F10" i="5"/>
  <c r="G10" i="5" s="1"/>
  <c r="F9" i="5"/>
  <c r="G9" i="5" s="1"/>
  <c r="F8" i="5"/>
  <c r="G8" i="5" s="1"/>
  <c r="F7" i="5"/>
  <c r="G7" i="5" s="1"/>
  <c r="F6" i="5"/>
  <c r="G6" i="5" s="1"/>
  <c r="F5" i="5"/>
  <c r="G5" i="5" s="1"/>
  <c r="G12" i="5" s="1"/>
  <c r="D240" i="1"/>
  <c r="B216" i="1"/>
  <c r="H156" i="1"/>
  <c r="H155" i="1"/>
  <c r="H154" i="1"/>
  <c r="H153" i="1"/>
  <c r="H152" i="1"/>
  <c r="F149" i="1"/>
  <c r="H149" i="1" s="1"/>
  <c r="F147" i="1"/>
  <c r="H147" i="1" s="1"/>
  <c r="A147" i="1"/>
  <c r="A148" i="1" s="1"/>
  <c r="A149" i="1" s="1"/>
  <c r="F146" i="1"/>
  <c r="C88" i="1"/>
  <c r="C74" i="1"/>
  <c r="E44" i="1"/>
  <c r="E45" i="1" s="1"/>
  <c r="E28" i="1"/>
  <c r="E26" i="1"/>
  <c r="I15" i="1"/>
  <c r="Z13" i="1"/>
  <c r="E8" i="1"/>
  <c r="E3" i="1"/>
  <c r="H75" i="1"/>
  <c r="H89" i="1"/>
  <c r="H146" i="1" l="1"/>
  <c r="G121" i="1" s="1"/>
  <c r="G123" i="1" s="1"/>
  <c r="G124" i="1" s="1"/>
  <c r="E121" i="1"/>
  <c r="E123" i="1" s="1"/>
  <c r="E124" i="1" s="1"/>
  <c r="C121" i="1"/>
  <c r="C123" i="1" s="1"/>
  <c r="C124" i="1" s="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C92" i="1" l="1"/>
  <c r="D92" i="1" s="1"/>
  <c r="D78" i="1"/>
  <c r="J99" i="1"/>
  <c r="J96" i="1"/>
  <c r="J98" i="1"/>
  <c r="J97" i="1"/>
  <c r="J94" i="1"/>
  <c r="J95" i="1" s="1"/>
  <c r="J84" i="1"/>
  <c r="J82" i="1"/>
  <c r="J83" i="1"/>
  <c r="J81" i="1"/>
  <c r="J86" i="1" s="1"/>
  <c r="J87" i="1" s="1"/>
  <c r="C79" i="1" s="1"/>
  <c r="J85" i="1"/>
  <c r="J75" i="1" l="1"/>
  <c r="J100" i="1"/>
  <c r="E78" i="1"/>
  <c r="D79" i="1"/>
  <c r="I75" i="1" s="1"/>
  <c r="G78" i="1"/>
  <c r="D72" i="1" s="1"/>
  <c r="J101" i="1" l="1"/>
  <c r="C93" i="1" s="1"/>
  <c r="F73" i="1"/>
  <c r="D73" i="1"/>
  <c r="I76" i="1"/>
  <c r="I74" i="1" s="1"/>
  <c r="C76" i="1" s="1"/>
  <c r="D93" i="1" l="1"/>
  <c r="I89" i="1" s="1"/>
  <c r="I90" i="1" s="1"/>
  <c r="E92" i="1"/>
  <c r="G92" i="1"/>
  <c r="J89"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<sst xmlns="http://schemas.openxmlformats.org/spreadsheetml/2006/main" count="713" uniqueCount="404">
  <si>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</si>
  <si>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</si>
  <si>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</si>
  <si>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</si>
  <si>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</si>
  <si>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</si>
  <si>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</si>
  <si>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</si>
  <si>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</si>
  <si>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</si>
  <si>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</si>
  <si>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</si>
  <si>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</si>
  <si>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</si>
  <si>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</si>
  <si>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</si>
  <si>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</si>
  <si>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</si>
  <si>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</si>
  <si>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</si>
  <si>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</si>
  <si>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</si>
  <si>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</si>
  <si>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</si>
  <si>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</si>
  <si>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</si>
  <si>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</si>
  <si>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</si>
  <si>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</si>
  <si>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</si>
  <si>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</si>
  <si>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</si>
  <si>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</si>
  <si>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</si>
  <si>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</si>
  <si>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</si>
  <si>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</si>
  <si>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</si>
  <si>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</si>
  <si>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</si>
  <si>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</si>
  <si>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</si>
  <si>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</si>
  <si>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</si>
  <si>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</si>
  <si>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</si>
  <si>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</si>
  <si>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</si>
  <si>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</si>
  <si>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</si>
  <si>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</si>
  <si>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</si>
  <si>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</si>
  <si>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</si>
  <si>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</si>
  <si>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</si>
  <si>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</si>
  <si>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</si>
  <si>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</si>
  <si>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</si>
  <si>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</si>
  <si>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</si>
  <si>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</si>
  <si>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</si>
  <si>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</si>
  <si>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</si>
  <si>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</si>
  <si>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</si>
  <si>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</si>
  <si>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</si>
  <si>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</si>
  <si>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</si>
  <si>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</si>
  <si>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</si>
  <si>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</si>
  <si>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</si>
  <si>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</si>
  <si>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</si>
  <si>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</si>
  <si>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</si>
  <si>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</si>
  <si>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</si>
  <si>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</si>
  <si>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</si>
  <si>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</si>
  <si>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</si>
  <si>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</si>
  <si>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</si>
  <si>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</si>
  <si>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</si>
  <si>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</si>
  <si>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</si>
  <si>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</si>
  <si>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</si>
  <si>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</si>
  <si>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</si>
  <si>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</si>
  <si>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</si>
  <si>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</si>
  <si>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</si>
  <si>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</si>
  <si>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</si>
  <si>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</si>
  <si>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</si>
  <si>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</si>
  <si>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</si>
  <si>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</si>
  <si>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</si>
  <si>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</si>
  <si>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</si>
  <si>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</si>
  <si>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</si>
  <si>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</si>
  <si>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</si>
  <si>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</si>
  <si>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</si>
  <si>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</si>
  <si>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</si>
  <si>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</si>
  <si>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</si>
  <si>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</si>
  <si>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</si>
  <si>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</si>
  <si>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</si>
  <si>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</si>
  <si>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</si>
  <si>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</si>
  <si>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</si>
  <si>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</si>
  <si>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</si>
  <si>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</si>
  <si>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</si>
  <si>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</si>
  <si>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</si>
  <si>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</si>
  <si>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</si>
  <si>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</si>
  <si>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</si>
  <si>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</si>
  <si>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</si>
  <si>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</si>
  <si>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</si>
  <si>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</si>
  <si>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</si>
  <si>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</si>
  <si>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</si>
  <si>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</si>
  <si>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</si>
  <si>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</si>
  <si>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</si>
  <si>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</si>
  <si>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</si>
  <si>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</si>
  <si>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</si>
  <si>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</si>
  <si>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</si>
  <si>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</si>
  <si>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</si>
  <si>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</si>
  <si>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</si>
  <si>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</si>
  <si>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</si>
  <si>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</si>
  <si>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</si>
  <si>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</si>
  <si>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</si>
  <si>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</si>
  <si>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</si>
  <si>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</si>
  <si>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</si>
  <si>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</si>
  <si>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</si>
  <si>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</si>
  <si>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</si>
  <si>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</si>
  <si>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</si>
  <si>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</si>
  <si>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</si>
  <si>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</si>
  <si>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</si>
  <si>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</si>
  <si>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</si>
  <si>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</si>
  <si>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</si>
  <si>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</si>
  <si>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</si>
  <si>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</si>
  <si>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</si>
  <si>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</si>
  <si>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</si>
  <si>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</si>
  <si>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</si>
  <si>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</si>
  <si>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</si>
  <si>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</si>
  <si>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</si>
  <si>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</si>
  <si>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</si>
  <si>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</si>
  <si>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</si>
  <si>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</si>
  <si>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</si>
  <si>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</si>
  <si>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</si>
  <si>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</si>
  <si>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</si>
  <si>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</si>
  <si>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</si>
  <si>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</si>
  <si>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</si>
  <si>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</si>
  <si>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</si>
  <si>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</si>
  <si>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</si>
  <si>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</si>
  <si>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</si>
  <si>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</si>
  <si>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</si>
  <si>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</si>
  <si>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</si>
  <si>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</si>
  <si>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</si>
  <si>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</si>
  <si>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</si>
  <si>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</si>
  <si>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</si>
  <si>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</si>
  <si>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</si>
  <si>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</si>
  <si>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</si>
  <si>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</si>
  <si>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</si>
  <si>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</si>
  <si>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</si>
  <si>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</si>
  <si>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</si>
  <si>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</si>
  <si>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</si>
  <si>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</si>
  <si>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</si>
  <si>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</si>
  <si>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</si>
  <si>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</si>
  <si>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</si>
  <si>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</si>
  <si>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</si>
  <si>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</si>
  <si>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</si>
  <si>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</si>
  <si>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</si>
  <si>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</si>
  <si>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</si>
  <si>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</si>
  <si>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</si>
  <si>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</si>
  <si>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</si>
  <si>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</si>
  <si>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</si>
  <si>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</si>
  <si>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</si>
  <si>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</si>
  <si>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</si>
  <si>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</si>
  <si>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</si>
  <si>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</si>
  <si>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</si>
  <si>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</si>
  <si>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</si>
  <si>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</si>
  <si>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</si>
  <si>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</si>
  <si>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</si>
  <si>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</si>
  <si>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</si>
  <si>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</si>
  <si>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</si>
  <si>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</si>
  <si>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</si>
  <si>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</si>
  <si>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</si>
  <si>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</si>
  <si>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</si>
  <si>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</si>
  <si>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</si>
  <si>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</si>
  <si>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</si>
  <si>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</si>
  <si>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</si>
  <si>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</si>
  <si>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</si>
  <si>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</si>
  <si>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</si>
  <si>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</si>
  <si>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</si>
  <si>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</si>
  <si>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</si>
  <si>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</si>
  <si>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</si>
  <si>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</si>
  <si>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</si>
  <si>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</si>
  <si>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</si>
  <si>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</si>
  <si>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</si>
  <si>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</si>
  <si>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</si>
  <si>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</si>
  <si>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</si>
  <si>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</si>
  <si>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</si>
  <si>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</si>
  <si>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</si>
  <si>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</si>
  <si>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</si>
  <si>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</si>
  <si>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</si>
  <si>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</si>
  <si>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</si>
  <si>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</si>
  <si>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</si>
  <si>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</si>
  <si>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</si>
  <si>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</si>
  <si>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</si>
  <si>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</si>
  <si>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</si>
  <si>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</si>
  <si>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P99000055061</t>
  </si>
  <si>
    <t>Elite Developers</t>
  </si>
  <si>
    <t>Elite Tower</t>
  </si>
  <si>
    <t>Survey No</t>
  </si>
  <si>
    <t>Morya Nagar</t>
  </si>
  <si>
    <t>Internal Road</t>
  </si>
  <si>
    <t>2.7 KM from Nala Sopara Railway Station</t>
  </si>
  <si>
    <t>Avenue 210</t>
  </si>
  <si>
    <t>Open Plot</t>
  </si>
  <si>
    <t>Channel</t>
  </si>
  <si>
    <t>02 Wings</t>
  </si>
  <si>
    <t>As per RERA - 31/12/2027</t>
  </si>
  <si>
    <t>VVCMC/TP/RDP/VP-0111/67/2023-24</t>
  </si>
  <si>
    <r>
      <t xml:space="preserve">Proposed Amenities :                                                                                                                                                                                                                         </t>
    </r>
    <r>
      <rPr>
        <b/>
        <sz val="12"/>
        <rFont val="Times New Roman"/>
        <family val="1"/>
      </rPr>
      <t xml:space="preserve">                                               </t>
    </r>
  </si>
  <si>
    <t>As per layout plan, building No.4 consists of 6 wings, i.e. Wing A to F. But only Wing D &amp; E is registered on Rera.</t>
  </si>
  <si>
    <t>Two Years Maintenance Charges</t>
  </si>
  <si>
    <t>VVCMC/TP/AMEND/VP/0111/67/2023-24</t>
  </si>
  <si>
    <t>Nilemore</t>
  </si>
  <si>
    <t>Building No.4
 (Wing D &amp; E)</t>
  </si>
  <si>
    <t>19.434050,72.810069</t>
  </si>
  <si>
    <t>https://maps.app.goo.gl/N1ZvoQJ7hiCcaepu9</t>
  </si>
  <si>
    <t>Nalasopara West</t>
  </si>
  <si>
    <t>Navnath Bhatkar</t>
  </si>
  <si>
    <t>Phase II - Sector II : Building No.4 (Wing D) = Gr/Stilt + 1st to 16th Floor                  
Phase II - Sector II : Building No.4 (Wing E) = Gr/Stilt + 1st to 23rd Floor</t>
  </si>
  <si>
    <t>VVCMC/FIRE/HQ/442/2024-25</t>
  </si>
  <si>
    <t>Building No.4 (Wing D) = Gr/St + 1st to 16th Floor (Total Height = 49.80 mtrs.)
Building No.4 (Wing E) = Gr/St + 1st to 23rd Floor (Total Height = 69.75 Mtrs.)</t>
  </si>
  <si>
    <t>SIA/MH/INFRA2/422574/2023</t>
  </si>
  <si>
    <t>Approved Builtup Area of Building No.4 (Wing D &amp; E) (Sq.Mt)</t>
  </si>
  <si>
    <t>Building No.4 (Wing D) = Gr/St + 1st to 16th Floor</t>
  </si>
  <si>
    <t>Building No.4 (Wing D) = Gr/St + 1st to 16th Floor
Building No.4 (Wing E) = Gr/St + 1st to 23rd Floor</t>
  </si>
  <si>
    <t>Building No.4 (Wing E) = Gr/St + 1st to 23rd Floor</t>
  </si>
  <si>
    <t>180, 181/2, 185/1 to 12, 186, 187B, 188/pt, 190 to 194, 195B/11, 12pt, 196, 197, 199, 201pt, 202pt, 203, 204/1, 2, 3 &amp; 4, 205/1, 2, 3, 4, 5, 6 &amp; 7, 206/pt, 207/pt, 208/1, 2, 3, 4 to 8, 209pt, 210/1pt, 2, 211/2, 3, 6 &amp; 7, 212/3, 213/1, 214/3, 215pt, 216/1, 2 &amp; 4, 219/2, 220/pt, 221/1 &amp; 2, 222/3, 223/1 &amp; 2, 224/1, 250/pt, 251/8, 254, 255/1 to 4, 257/1, 259/1, 260/pt, 261 &amp; 263</t>
  </si>
  <si>
    <t>Power Backup For Elevators &amp; Common Areas, Open Gym, Terrace Garden, Yoga Deck, Sitting Area, High Speed Elevators, Kids Play Area, Parking Space, Fire Fighting System, Storage Water Tank, Roof Top Amenities etc.</t>
  </si>
  <si>
    <t>Building No.4 (Wing D)</t>
  </si>
  <si>
    <t>Building No.4 (Wing E)</t>
  </si>
  <si>
    <t>Ground Floor Commercial, Society Office &amp; Parking</t>
  </si>
  <si>
    <t>Shop</t>
  </si>
  <si>
    <r>
      <t xml:space="preserve">Shop No.
</t>
    </r>
    <r>
      <rPr>
        <b/>
        <sz val="11"/>
        <rFont val="Times New Roman"/>
        <family val="1"/>
      </rPr>
      <t>(Approved Plan)</t>
    </r>
  </si>
  <si>
    <t>Ground Floor Driver Room, Meter Room &amp; Parking</t>
  </si>
  <si>
    <t>1st Floor For Residential</t>
  </si>
  <si>
    <t>2BHK</t>
  </si>
  <si>
    <t>1BHK</t>
  </si>
  <si>
    <r>
      <t xml:space="preserve">Flat No.
</t>
    </r>
    <r>
      <rPr>
        <b/>
        <sz val="11"/>
        <rFont val="Times New Roman"/>
        <family val="1"/>
      </rPr>
      <t>(Approved Plan)</t>
    </r>
  </si>
  <si>
    <t>AP Area</t>
  </si>
  <si>
    <t>2nd to 7th, 9th to 12th, 14th to 16th Floor</t>
  </si>
  <si>
    <t>8th &amp; 13th Floor For Part Refuge Area</t>
  </si>
  <si>
    <t>-</t>
  </si>
  <si>
    <t xml:space="preserve"> Refuge Area</t>
  </si>
  <si>
    <t>3BHK</t>
  </si>
  <si>
    <t>17th Floor</t>
  </si>
  <si>
    <t>18th Floor</t>
  </si>
  <si>
    <t>20th to 23rd Floor</t>
  </si>
  <si>
    <t>Flats - 213, Shops - 7</t>
  </si>
  <si>
    <t>19th Floor For Part Refuge Area</t>
  </si>
  <si>
    <t>Approved Plans, CC, Cost Sheet, Sale Plan, Fire Noc</t>
  </si>
  <si>
    <t>Phase II (Sector 2)</t>
  </si>
  <si>
    <t>Bldg No.4 (Wing C)</t>
  </si>
  <si>
    <t>Bldg No.4 (Wing F)/
30.0 M.Wide DP Road</t>
  </si>
  <si>
    <t>Survey No. 180, 181/2, 185/1 to 12, 186, 187B, 188/pt, 190 to 194, 195B/11, 12pt, 196, 197, 199, 201pt, 202pt, 203, 204/1, 2, 3 &amp; 4, 205/1, 2, 3, 4, 5, 6 &amp; 7, 206/pt, 207/pt, 208/1, 2, 3, 4 to 8, 209pt, 210/1pt, 2, 211/2, 3, 6 &amp; 7, 212/3, 213/1, 214/3, 215pt, 216/1, 2 &amp; 4, 219/2, 220/pt, 221/1 &amp; 2, 222/3, 223/1 &amp; 2, 224/1, 250/pt, 251/8, 254, 255/1 to 4, 257/1, 259/1, 260/pt, 261 &amp; 263
Phase II (Sector 2) Building No.4 (Wing D &amp; E) = Gr/Stilt + 1st to 16th Floor 
Net Plot Area = 222110.61 Sq. M
Proposed Builtup Area = 1057602.38 Sq. M</t>
  </si>
  <si>
    <t>1.5BHK</t>
  </si>
  <si>
    <t>E1</t>
  </si>
  <si>
    <t>E2</t>
  </si>
  <si>
    <t>E3</t>
  </si>
  <si>
    <t>E4</t>
  </si>
  <si>
    <t>E5</t>
  </si>
  <si>
    <t>E6</t>
  </si>
  <si>
    <t>E7</t>
  </si>
  <si>
    <t>Mr. Sunil Dubey 7738896733</t>
  </si>
  <si>
    <t>Fire NOC referred from previous PNB report</t>
  </si>
  <si>
    <t xml:space="preserve">We have updated </t>
  </si>
  <si>
    <t>We have updated Wing D &amp; E on 25/12/2024.</t>
  </si>
  <si>
    <t>We considered Gross carpet area = Net carpet + Enclose balcony + AP Area.</t>
  </si>
  <si>
    <t>As discussed with Trupti mam, Wing E Slow speed remark is to be removed.</t>
  </si>
  <si>
    <t>Mr. Suresh : 7738896733</t>
  </si>
  <si>
    <t>Wing D = Construction work is in process at the time of Visit (Slow Speed).
Wing E = Construction work is in process at the time of Visit.</t>
  </si>
  <si>
    <t>Pooja Kawale</t>
  </si>
  <si>
    <t>Recommended Rates / Other charges of the Property have been revised on 18/03/2025.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</si>
</sst>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2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9"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8" xfId="1" applyFont="1" applyBorder="1"/>
    <xf numFmtId="0" fontId="16"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24" xfId="0" applyFont="1" applyFill="1" applyBorder="1"/>
    <xf numFmtId="0" fontId="23" fillId="0" borderId="25"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Fill="1" applyBorder="1" applyAlignment="1" applyProtection="1">
      <alignment horizontal="center" vertical="center" wrapText="1"/>
      <protection locked="0"/>
    </xf>
    <xf numFmtId="0" fontId="0" fillId="0" borderId="23" xfId="0" applyFill="1" applyBorder="1"/>
    <xf numFmtId="0" fontId="0" fillId="0" borderId="6"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168" fontId="6" fillId="0" borderId="0" xfId="1" applyNumberFormat="1" applyFont="1"/>
    <xf numFmtId="9" fontId="10" fillId="0" borderId="1" xfId="8" applyFont="1" applyFill="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0" fontId="13" fillId="0" borderId="0" xfId="0"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4"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0"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5" fillId="0" borderId="0" xfId="1" applyFont="1"/>
    <xf numFmtId="0" fontId="6"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22" fillId="2" borderId="13" xfId="0" applyFont="1" applyFill="1" applyBorder="1"/>
    <xf numFmtId="0" fontId="23" fillId="0" borderId="7" xfId="0" applyFont="1" applyBorder="1"/>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1" fontId="15" fillId="0" borderId="6" xfId="0" applyNumberFormat="1" applyFont="1" applyBorder="1" applyAlignment="1" applyProtection="1">
      <alignment vertical="top" wrapText="1"/>
      <protection locked="0"/>
    </xf>
    <xf numFmtId="1" fontId="15" fillId="0" borderId="19" xfId="0" applyNumberFormat="1" applyFont="1" applyBorder="1" applyAlignment="1" applyProtection="1">
      <alignment vertical="top" wrapText="1"/>
      <protection locked="0"/>
    </xf>
    <xf numFmtId="1" fontId="15" fillId="0" borderId="7"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vertical="top" wrapText="1"/>
      <protection locked="0"/>
    </xf>
    <xf numFmtId="1" fontId="5" fillId="0" borderId="6"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0" fontId="11" fillId="0" borderId="6"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7" xfId="1" applyFont="1" applyBorder="1" applyAlignment="1" applyProtection="1">
      <alignment horizontal="left" vertical="top"/>
      <protection locked="0"/>
    </xf>
    <xf numFmtId="9" fontId="10" fillId="0" borderId="1" xfId="8" applyFont="1" applyFill="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1" fontId="11" fillId="0" borderId="3" xfId="1" applyNumberFormat="1" applyFont="1" applyBorder="1" applyAlignment="1" applyProtection="1">
      <alignment horizontal="center" vertical="top" wrapText="1"/>
      <protection locked="0"/>
    </xf>
    <xf numFmtId="1" fontId="11" fillId="0" borderId="14" xfId="1" applyNumberFormat="1" applyFont="1" applyBorder="1" applyAlignment="1" applyProtection="1">
      <alignment horizontal="center" vertical="top" wrapText="1"/>
      <protection locked="0"/>
    </xf>
    <xf numFmtId="0" fontId="7" fillId="0" borderId="14"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0" fontId="5" fillId="0" borderId="6"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0" fillId="0" borderId="6"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4" fillId="0" borderId="1" xfId="10" applyFill="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27" xfId="0"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0" fontId="10" fillId="0" borderId="1" xfId="1" applyFont="1" applyBorder="1" applyAlignment="1" applyProtection="1">
      <alignment vertical="top" wrapText="1"/>
      <protection locked="0"/>
    </xf>
    <xf numFmtId="0" fontId="11" fillId="0" borderId="1" xfId="1" applyFont="1" applyBorder="1" applyAlignment="1" applyProtection="1">
      <alignment horizontal="left" vertical="top"/>
      <protection locked="0"/>
    </xf>
    <xf numFmtId="0" fontId="11" fillId="0" borderId="20"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1" fontId="11"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5"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0" fillId="0" borderId="6" xfId="1" applyFont="1" applyBorder="1" applyAlignment="1" applyProtection="1">
      <alignment horizontal="center" vertical="top"/>
      <protection locked="0"/>
    </xf>
    <xf numFmtId="0" fontId="10" fillId="0" borderId="19" xfId="1" applyFont="1" applyBorder="1" applyAlignment="1" applyProtection="1">
      <alignment horizontal="center" vertical="top"/>
      <protection locked="0"/>
    </xf>
    <xf numFmtId="0" fontId="10" fillId="0" borderId="7" xfId="1" applyFont="1" applyBorder="1" applyAlignment="1" applyProtection="1">
      <alignment horizontal="center" vertical="top"/>
      <protection locked="0"/>
    </xf>
    <xf numFmtId="2" fontId="10"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14" fontId="5" fillId="0" borderId="6" xfId="1" applyNumberFormat="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1" xfId="1" applyFont="1" applyBorder="1" applyAlignment="1" applyProtection="1">
      <alignment horizontal="center" vertical="center"/>
      <protection locked="0"/>
    </xf>
    <xf numFmtId="0" fontId="10" fillId="0" borderId="6" xfId="1" applyFont="1" applyBorder="1" applyAlignment="1" applyProtection="1">
      <alignment horizontal="center" vertical="center" wrapText="1"/>
      <protection locked="0"/>
    </xf>
    <xf numFmtId="0" fontId="10" fillId="0" borderId="19" xfId="1" applyFont="1" applyBorder="1" applyAlignment="1" applyProtection="1">
      <alignment horizontal="center" vertical="center"/>
      <protection locked="0"/>
    </xf>
    <xf numFmtId="0" fontId="10" fillId="0" borderId="7" xfId="1" applyFont="1" applyBorder="1" applyAlignment="1" applyProtection="1">
      <alignment horizontal="center" vertical="center"/>
      <protection locked="0"/>
    </xf>
    <xf numFmtId="0" fontId="11" fillId="0" borderId="6"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0" fillId="0" borderId="6" xfId="1" applyFont="1" applyBorder="1" applyAlignment="1" applyProtection="1">
      <alignment horizontal="center" vertical="center"/>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6" fillId="0" borderId="1" xfId="1" applyFont="1" applyBorder="1" applyAlignment="1" applyProtection="1">
      <alignment horizontal="left" vertical="top"/>
      <protection locked="0"/>
    </xf>
    <xf numFmtId="0" fontId="10" fillId="0" borderId="7" xfId="1" applyFont="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28" fillId="0" borderId="1" xfId="1" applyFont="1" applyBorder="1" applyAlignment="1" applyProtection="1">
      <alignment horizontal="center" vertical="center" wrapText="1"/>
      <protection locked="0"/>
    </xf>
    <xf numFmtId="0" fontId="11" fillId="0" borderId="1" xfId="1" applyFont="1" applyBorder="1" applyAlignment="1" applyProtection="1">
      <alignment horizontal="center" vertical="center"/>
      <protection locked="0"/>
    </xf>
    <xf numFmtId="14"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vertical="top"/>
      <protection locked="0"/>
    </xf>
    <xf numFmtId="1" fontId="7" fillId="0" borderId="6"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1" fontId="5" fillId="0" borderId="19"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1" fontId="11" fillId="0" borderId="15" xfId="1" applyNumberFormat="1" applyFont="1" applyBorder="1" applyAlignment="1" applyProtection="1">
      <alignment horizontal="center" vertical="top" wrapText="1"/>
      <protection locked="0"/>
    </xf>
    <xf numFmtId="1" fontId="11" fillId="0" borderId="17" xfId="1" applyNumberFormat="1" applyFont="1" applyBorder="1" applyAlignment="1" applyProtection="1">
      <alignment horizontal="center" vertical="top" wrapText="1"/>
      <protection locked="0"/>
    </xf>
    <xf numFmtId="1" fontId="7" fillId="0" borderId="6"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1" fontId="7" fillId="0" borderId="26" xfId="0" applyNumberFormat="1" applyFont="1" applyBorder="1" applyAlignment="1" applyProtection="1">
      <alignment horizontal="center" vertical="center" wrapText="1"/>
      <protection locked="0"/>
    </xf>
    <xf numFmtId="1" fontId="7" fillId="0" borderId="27" xfId="0" applyNumberFormat="1" applyFont="1" applyBorder="1" applyAlignment="1" applyProtection="1">
      <alignment horizontal="center" vertical="center" wrapText="1"/>
      <protection locked="0"/>
    </xf>
    <xf numFmtId="1" fontId="9" fillId="0" borderId="27" xfId="0" applyNumberFormat="1" applyFont="1" applyBorder="1" applyAlignment="1" applyProtection="1">
      <alignment horizontal="center" vertical="center"/>
      <protection locked="0"/>
    </xf>
    <xf numFmtId="1" fontId="9" fillId="0" borderId="27" xfId="0" applyNumberFormat="1" applyFont="1" applyBorder="1" applyAlignment="1" applyProtection="1">
      <alignment horizontal="center" vertical="top" wrapText="1"/>
      <protection locked="0"/>
    </xf>
    <xf numFmtId="0" fontId="7" fillId="0" borderId="6"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4" fontId="10" fillId="0" borderId="1" xfId="1" applyNumberFormat="1" applyFont="1" applyBorder="1" applyAlignment="1" applyProtection="1">
      <alignment horizontal="left" vertical="top" wrapText="1"/>
      <protection locked="0"/>
    </xf>
    <xf numFmtId="0" fontId="6" fillId="0" borderId="23" xfId="1" applyFont="1" applyBorder="1" applyAlignment="1">
      <alignment horizontal="center"/>
    </xf>
    <xf numFmtId="0" fontId="6" fillId="0" borderId="0" xfId="1" applyFont="1" applyAlignment="1">
      <alignment horizontal="center"/>
    </xf>
    <xf numFmtId="0" fontId="11" fillId="0" borderId="1" xfId="1" applyFont="1" applyBorder="1" applyAlignment="1" applyProtection="1">
      <alignment horizontal="center" vertical="top"/>
      <protection locked="0"/>
    </xf>
    <xf numFmtId="0" fontId="7" fillId="0" borderId="6"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2406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1.jpeg"/><Relationship Id="rId18" Type="http://schemas.openxmlformats.org/officeDocument/2006/relationships/image" Target="../media/image16.png"/><Relationship Id="rId26" Type="http://schemas.openxmlformats.org/officeDocument/2006/relationships/image" Target="../media/image24.jpeg"/><Relationship Id="rId3" Type="http://schemas.microsoft.com/office/2007/relationships/hdphoto" Target="../media/hdphoto1.wdp"/><Relationship Id="rId21" Type="http://schemas.openxmlformats.org/officeDocument/2006/relationships/image" Target="../media/image19.png"/><Relationship Id="rId7" Type="http://schemas.openxmlformats.org/officeDocument/2006/relationships/image" Target="../media/image5.png"/><Relationship Id="rId12" Type="http://schemas.openxmlformats.org/officeDocument/2006/relationships/image" Target="../media/image10.jpeg"/><Relationship Id="rId17" Type="http://schemas.openxmlformats.org/officeDocument/2006/relationships/image" Target="../media/image15.png"/><Relationship Id="rId25" Type="http://schemas.openxmlformats.org/officeDocument/2006/relationships/image" Target="../media/image23.jpeg"/><Relationship Id="rId33" Type="http://schemas.openxmlformats.org/officeDocument/2006/relationships/image" Target="../media/image31.pn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8.png"/><Relationship Id="rId29" Type="http://schemas.openxmlformats.org/officeDocument/2006/relationships/image" Target="../media/image27.png"/><Relationship Id="rId1" Type="http://schemas.openxmlformats.org/officeDocument/2006/relationships/image" Target="../media/image1.png"/><Relationship Id="rId6" Type="http://schemas.microsoft.com/office/2007/relationships/hdphoto" Target="../media/hdphoto2.wdp"/><Relationship Id="rId11" Type="http://schemas.openxmlformats.org/officeDocument/2006/relationships/image" Target="../media/image9.jpeg"/><Relationship Id="rId24" Type="http://schemas.openxmlformats.org/officeDocument/2006/relationships/image" Target="../media/image22.jpeg"/><Relationship Id="rId32" Type="http://schemas.openxmlformats.org/officeDocument/2006/relationships/image" Target="../media/image30.png"/><Relationship Id="rId5" Type="http://schemas.openxmlformats.org/officeDocument/2006/relationships/image" Target="../media/image4.png"/><Relationship Id="rId15" Type="http://schemas.openxmlformats.org/officeDocument/2006/relationships/image" Target="../media/image13.jpeg"/><Relationship Id="rId23" Type="http://schemas.openxmlformats.org/officeDocument/2006/relationships/image" Target="../media/image21.jpeg"/><Relationship Id="rId28" Type="http://schemas.openxmlformats.org/officeDocument/2006/relationships/image" Target="../media/image26.png"/><Relationship Id="rId10" Type="http://schemas.openxmlformats.org/officeDocument/2006/relationships/image" Target="../media/image8.jpeg"/><Relationship Id="rId19" Type="http://schemas.openxmlformats.org/officeDocument/2006/relationships/image" Target="../media/image17.png"/><Relationship Id="rId31" Type="http://schemas.openxmlformats.org/officeDocument/2006/relationships/image" Target="../media/image29.png"/><Relationship Id="rId4" Type="http://schemas.openxmlformats.org/officeDocument/2006/relationships/image" Target="../media/image3.png"/><Relationship Id="rId9" Type="http://schemas.openxmlformats.org/officeDocument/2006/relationships/image" Target="../media/image7.jpeg"/><Relationship Id="rId14" Type="http://schemas.openxmlformats.org/officeDocument/2006/relationships/image" Target="../media/image12.jpeg"/><Relationship Id="rId22" Type="http://schemas.openxmlformats.org/officeDocument/2006/relationships/image" Target="../media/image20.jpeg"/><Relationship Id="rId27" Type="http://schemas.openxmlformats.org/officeDocument/2006/relationships/image" Target="../media/image25.png"/><Relationship Id="rId30" Type="http://schemas.openxmlformats.org/officeDocument/2006/relationships/image" Target="../media/image28.png"/><Relationship Id="rId8"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33062</xdr:colOff>
      <xdr:row>326</xdr:row>
      <xdr:rowOff>118436</xdr:rowOff>
    </xdr:from>
    <xdr:to>
      <xdr:col>6</xdr:col>
      <xdr:colOff>499689</xdr:colOff>
      <xdr:row>343</xdr:row>
      <xdr:rowOff>46384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95062" y="71994086"/>
          <a:ext cx="4552852" cy="3328372"/>
        </a:xfrm>
        <a:prstGeom prst="rect">
          <a:avLst/>
        </a:prstGeom>
        <a:ln>
          <a:solidFill>
            <a:schemeClr val="tx1"/>
          </a:solidFill>
        </a:ln>
      </xdr:spPr>
    </xdr:pic>
    <xdr:clientData/>
  </xdr:twoCellAnchor>
  <xdr:twoCellAnchor>
    <xdr:from>
      <xdr:col>3</xdr:col>
      <xdr:colOff>222858</xdr:colOff>
      <xdr:row>357</xdr:row>
      <xdr:rowOff>12352</xdr:rowOff>
    </xdr:from>
    <xdr:to>
      <xdr:col>4</xdr:col>
      <xdr:colOff>400049</xdr:colOff>
      <xdr:row>362</xdr:row>
      <xdr:rowOff>31749</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750158" y="70694202"/>
          <a:ext cx="1136041" cy="1003647"/>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38</xdr:col>
      <xdr:colOff>227202</xdr:colOff>
      <xdr:row>291</xdr:row>
      <xdr:rowOff>3801</xdr:rowOff>
    </xdr:from>
    <xdr:to>
      <xdr:col>46</xdr:col>
      <xdr:colOff>434230</xdr:colOff>
      <xdr:row>314</xdr:row>
      <xdr:rowOff>124665</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28275152" y="63040251"/>
          <a:ext cx="5337828" cy="4648414"/>
          <a:chOff x="276225" y="39757349"/>
          <a:chExt cx="5717436" cy="5876925"/>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colorTemperature colorTemp="4700"/>
                    </a14:imgEffect>
                    <a14:imgEffect>
                      <a14:brightnessContrast bright="20000" contrast="-20000"/>
                    </a14:imgEffect>
                  </a14:imgLayer>
                </a14:imgProps>
              </a:ext>
              <a:ext uri="{28A0092B-C50C-407E-A947-70E740481C1C}">
                <a14:useLocalDpi xmlns:a14="http://schemas.microsoft.com/office/drawing/2010/main"/>
              </a:ext>
            </a:extLst>
          </a:blip>
          <a:srcRect/>
          <a:stretch/>
        </xdr:blipFill>
        <xdr:spPr>
          <a:xfrm>
            <a:off x="276225" y="39757349"/>
            <a:ext cx="5717436" cy="5876925"/>
          </a:xfrm>
          <a:prstGeom prst="rect">
            <a:avLst/>
          </a:prstGeom>
          <a:ln>
            <a:solidFill>
              <a:schemeClr val="tx1"/>
            </a:solidFill>
          </a:ln>
        </xdr:spPr>
      </xdr:pic>
      <xdr:sp macro="" textlink="">
        <xdr:nvSpPr>
          <xdr:cNvPr id="29" name="L-Shape 28">
            <a:extLst>
              <a:ext uri="{FF2B5EF4-FFF2-40B4-BE49-F238E27FC236}">
                <a16:creationId xmlns:a16="http://schemas.microsoft.com/office/drawing/2014/main" id="{00000000-0008-0000-0000-00001D000000}"/>
              </a:ext>
            </a:extLst>
          </xdr:cNvPr>
          <xdr:cNvSpPr/>
        </xdr:nvSpPr>
        <xdr:spPr>
          <a:xfrm rot="20951885">
            <a:off x="2550460" y="42568809"/>
            <a:ext cx="779034" cy="1068356"/>
          </a:xfrm>
          <a:prstGeom prst="corner">
            <a:avLst>
              <a:gd name="adj1" fmla="val 80651"/>
              <a:gd name="adj2" fmla="val 66071"/>
            </a:avLst>
          </a:prstGeom>
          <a:noFill/>
          <a:ln w="38100">
            <a:solidFill>
              <a:srgbClr val="2406D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1" name="Freeform 30">
            <a:extLst>
              <a:ext uri="{FF2B5EF4-FFF2-40B4-BE49-F238E27FC236}">
                <a16:creationId xmlns:a16="http://schemas.microsoft.com/office/drawing/2014/main" id="{00000000-0008-0000-0000-00001F000000}"/>
              </a:ext>
            </a:extLst>
          </xdr:cNvPr>
          <xdr:cNvSpPr/>
        </xdr:nvSpPr>
        <xdr:spPr>
          <a:xfrm>
            <a:off x="3333750" y="42319575"/>
            <a:ext cx="1209675" cy="1276350"/>
          </a:xfrm>
          <a:custGeom>
            <a:avLst/>
            <a:gdLst>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14350 w 1209675"/>
              <a:gd name="connsiteY6" fmla="*/ 1066800 h 1276350"/>
              <a:gd name="connsiteX7" fmla="*/ 19050 w 1209675"/>
              <a:gd name="connsiteY7" fmla="*/ 1152525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14350 w 1209675"/>
              <a:gd name="connsiteY6" fmla="*/ 1066800 h 1276350"/>
              <a:gd name="connsiteX7" fmla="*/ 66675 w 1209675"/>
              <a:gd name="connsiteY7" fmla="*/ 1200150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14350 w 1209675"/>
              <a:gd name="connsiteY6" fmla="*/ 1066800 h 1276350"/>
              <a:gd name="connsiteX7" fmla="*/ 104775 w 1209675"/>
              <a:gd name="connsiteY7" fmla="*/ 1133475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14350 w 1209675"/>
              <a:gd name="connsiteY6" fmla="*/ 1066800 h 1276350"/>
              <a:gd name="connsiteX7" fmla="*/ 114300 w 1209675"/>
              <a:gd name="connsiteY7" fmla="*/ 1190625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33400 w 1209675"/>
              <a:gd name="connsiteY6" fmla="*/ 1104900 h 1276350"/>
              <a:gd name="connsiteX7" fmla="*/ 114300 w 1209675"/>
              <a:gd name="connsiteY7" fmla="*/ 1190625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476250 w 1209675"/>
              <a:gd name="connsiteY6" fmla="*/ 1104900 h 1276350"/>
              <a:gd name="connsiteX7" fmla="*/ 114300 w 1209675"/>
              <a:gd name="connsiteY7" fmla="*/ 1190625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14350 w 1209675"/>
              <a:gd name="connsiteY6" fmla="*/ 1133475 h 1276350"/>
              <a:gd name="connsiteX7" fmla="*/ 114300 w 1209675"/>
              <a:gd name="connsiteY7" fmla="*/ 1190625 h 1276350"/>
              <a:gd name="connsiteX8" fmla="*/ 0 w 1209675"/>
              <a:gd name="connsiteY8" fmla="*/ 628650 h 1276350"/>
              <a:gd name="connsiteX0" fmla="*/ 0 w 1209675"/>
              <a:gd name="connsiteY0" fmla="*/ 628650 h 1276350"/>
              <a:gd name="connsiteX1" fmla="*/ 447675 w 1209675"/>
              <a:gd name="connsiteY1" fmla="*/ 523875 h 1276350"/>
              <a:gd name="connsiteX2" fmla="*/ 371475 w 1209675"/>
              <a:gd name="connsiteY2" fmla="*/ 133350 h 1276350"/>
              <a:gd name="connsiteX3" fmla="*/ 990600 w 1209675"/>
              <a:gd name="connsiteY3" fmla="*/ 0 h 1276350"/>
              <a:gd name="connsiteX4" fmla="*/ 1209675 w 1209675"/>
              <a:gd name="connsiteY4" fmla="*/ 1162050 h 1276350"/>
              <a:gd name="connsiteX5" fmla="*/ 552450 w 1209675"/>
              <a:gd name="connsiteY5" fmla="*/ 1276350 h 1276350"/>
              <a:gd name="connsiteX6" fmla="*/ 514350 w 1209675"/>
              <a:gd name="connsiteY6" fmla="*/ 1133475 h 1276350"/>
              <a:gd name="connsiteX7" fmla="*/ 123825 w 1209675"/>
              <a:gd name="connsiteY7" fmla="*/ 1228725 h 1276350"/>
              <a:gd name="connsiteX8" fmla="*/ 0 w 1209675"/>
              <a:gd name="connsiteY8" fmla="*/ 628650 h 1276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09675" h="1276350">
                <a:moveTo>
                  <a:pt x="0" y="628650"/>
                </a:moveTo>
                <a:lnTo>
                  <a:pt x="447675" y="523875"/>
                </a:lnTo>
                <a:lnTo>
                  <a:pt x="371475" y="133350"/>
                </a:lnTo>
                <a:lnTo>
                  <a:pt x="990600" y="0"/>
                </a:lnTo>
                <a:lnTo>
                  <a:pt x="1209675" y="1162050"/>
                </a:lnTo>
                <a:lnTo>
                  <a:pt x="552450" y="1276350"/>
                </a:lnTo>
                <a:lnTo>
                  <a:pt x="514350" y="1133475"/>
                </a:lnTo>
                <a:lnTo>
                  <a:pt x="123825" y="1228725"/>
                </a:lnTo>
                <a:lnTo>
                  <a:pt x="0" y="628650"/>
                </a:lnTo>
                <a:close/>
              </a:path>
            </a:pathLst>
          </a:custGeom>
          <a:noFill/>
          <a:ln w="38100">
            <a:solidFill>
              <a:srgbClr val="2406D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2" name="TextBox 12">
            <a:extLst>
              <a:ext uri="{FF2B5EF4-FFF2-40B4-BE49-F238E27FC236}">
                <a16:creationId xmlns:a16="http://schemas.microsoft.com/office/drawing/2014/main" id="{00000000-0008-0000-0000-000020000000}"/>
              </a:ext>
            </a:extLst>
          </xdr:cNvPr>
          <xdr:cNvSpPr txBox="1"/>
        </xdr:nvSpPr>
        <xdr:spPr>
          <a:xfrm rot="20884773">
            <a:off x="3391789" y="41922182"/>
            <a:ext cx="1338473" cy="252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2406D8"/>
                </a:solidFill>
                <a:latin typeface="Times New Roman" panose="02020603050405020304" pitchFamily="18" charset="0"/>
                <a:cs typeface="Times New Roman" panose="02020603050405020304" pitchFamily="18" charset="0"/>
              </a:rPr>
              <a:t>Building No.4 (Wing</a:t>
            </a:r>
            <a:r>
              <a:rPr lang="en-IN" sz="1200" b="1" baseline="0">
                <a:solidFill>
                  <a:srgbClr val="2406D8"/>
                </a:solidFill>
                <a:latin typeface="Times New Roman" panose="02020603050405020304" pitchFamily="18" charset="0"/>
                <a:cs typeface="Times New Roman" panose="02020603050405020304" pitchFamily="18" charset="0"/>
              </a:rPr>
              <a:t> D)</a:t>
            </a:r>
            <a:endParaRPr lang="en-IN" sz="1200" b="1">
              <a:solidFill>
                <a:srgbClr val="2406D8"/>
              </a:solidFill>
              <a:latin typeface="Times New Roman" panose="02020603050405020304" pitchFamily="18" charset="0"/>
              <a:cs typeface="Times New Roman" panose="02020603050405020304" pitchFamily="18" charset="0"/>
            </a:endParaRPr>
          </a:p>
        </xdr:txBody>
      </xdr:sp>
      <xdr:sp macro="" textlink="">
        <xdr:nvSpPr>
          <xdr:cNvPr id="33" name="TextBox 12">
            <a:extLst>
              <a:ext uri="{FF2B5EF4-FFF2-40B4-BE49-F238E27FC236}">
                <a16:creationId xmlns:a16="http://schemas.microsoft.com/office/drawing/2014/main" id="{00000000-0008-0000-0000-000021000000}"/>
              </a:ext>
            </a:extLst>
          </xdr:cNvPr>
          <xdr:cNvSpPr txBox="1"/>
        </xdr:nvSpPr>
        <xdr:spPr>
          <a:xfrm rot="21011385">
            <a:off x="2204612" y="43737774"/>
            <a:ext cx="1276261" cy="283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2406D8"/>
                </a:solidFill>
                <a:latin typeface="Times New Roman" panose="02020603050405020304" pitchFamily="18" charset="0"/>
                <a:cs typeface="Times New Roman" panose="02020603050405020304" pitchFamily="18" charset="0"/>
              </a:rPr>
              <a:t>Building No.4 (Wing</a:t>
            </a:r>
            <a:r>
              <a:rPr lang="en-IN" sz="1200" b="1" baseline="0">
                <a:solidFill>
                  <a:srgbClr val="2406D8"/>
                </a:solidFill>
                <a:latin typeface="Times New Roman" panose="02020603050405020304" pitchFamily="18" charset="0"/>
                <a:cs typeface="Times New Roman" panose="02020603050405020304" pitchFamily="18" charset="0"/>
              </a:rPr>
              <a:t> E)</a:t>
            </a:r>
            <a:endParaRPr lang="en-IN" sz="1200" b="1">
              <a:solidFill>
                <a:srgbClr val="2406D8"/>
              </a:solidFill>
              <a:latin typeface="Times New Roman" panose="02020603050405020304" pitchFamily="18" charset="0"/>
              <a:cs typeface="Times New Roman" panose="02020603050405020304" pitchFamily="18" charset="0"/>
            </a:endParaRPr>
          </a:p>
        </xdr:txBody>
      </xdr:sp>
      <xdr:sp macro="" textlink="">
        <xdr:nvSpPr>
          <xdr:cNvPr id="34" name="TextBox 12">
            <a:extLst>
              <a:ext uri="{FF2B5EF4-FFF2-40B4-BE49-F238E27FC236}">
                <a16:creationId xmlns:a16="http://schemas.microsoft.com/office/drawing/2014/main" id="{00000000-0008-0000-0000-000022000000}"/>
              </a:ext>
            </a:extLst>
          </xdr:cNvPr>
          <xdr:cNvSpPr txBox="1"/>
        </xdr:nvSpPr>
        <xdr:spPr>
          <a:xfrm>
            <a:off x="2574858" y="40899963"/>
            <a:ext cx="1903592" cy="472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2406D8"/>
                </a:solidFill>
                <a:latin typeface="Times New Roman" panose="02020603050405020304" pitchFamily="18" charset="0"/>
                <a:cs typeface="Times New Roman" panose="02020603050405020304" pitchFamily="18" charset="0"/>
              </a:rPr>
              <a:t>Phase II (Sector II)</a:t>
            </a:r>
          </a:p>
        </xdr:txBody>
      </xdr:sp>
    </xdr:grpSp>
    <xdr:clientData/>
  </xdr:twoCellAnchor>
  <xdr:twoCellAnchor>
    <xdr:from>
      <xdr:col>0</xdr:col>
      <xdr:colOff>573043</xdr:colOff>
      <xdr:row>343</xdr:row>
      <xdr:rowOff>164205</xdr:rowOff>
    </xdr:from>
    <xdr:to>
      <xdr:col>7</xdr:col>
      <xdr:colOff>180974</xdr:colOff>
      <xdr:row>366</xdr:row>
      <xdr:rowOff>38099</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573043" y="73436855"/>
          <a:ext cx="5462631" cy="4401444"/>
          <a:chOff x="611144" y="75917359"/>
          <a:chExt cx="4993544" cy="4283012"/>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a:stretch>
            <a:fillRect/>
          </a:stretch>
        </xdr:blipFill>
        <xdr:spPr>
          <a:xfrm>
            <a:off x="611144" y="75917359"/>
            <a:ext cx="4993544" cy="4283012"/>
          </a:xfrm>
          <a:prstGeom prst="rect">
            <a:avLst/>
          </a:prstGeom>
          <a:ln>
            <a:solidFill>
              <a:schemeClr val="tx1"/>
            </a:solidFill>
          </a:ln>
        </xdr:spPr>
      </xdr:pic>
      <xdr:sp macro="" textlink="">
        <xdr:nvSpPr>
          <xdr:cNvPr id="36" name="Rectangle 35">
            <a:extLst>
              <a:ext uri="{FF2B5EF4-FFF2-40B4-BE49-F238E27FC236}">
                <a16:creationId xmlns:a16="http://schemas.microsoft.com/office/drawing/2014/main" id="{00000000-0008-0000-0000-000024000000}"/>
              </a:ext>
            </a:extLst>
          </xdr:cNvPr>
          <xdr:cNvSpPr/>
        </xdr:nvSpPr>
        <xdr:spPr>
          <a:xfrm>
            <a:off x="2517914" y="78237522"/>
            <a:ext cx="1167847" cy="77028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191076</xdr:colOff>
      <xdr:row>283</xdr:row>
      <xdr:rowOff>142830</xdr:rowOff>
    </xdr:from>
    <xdr:to>
      <xdr:col>6</xdr:col>
      <xdr:colOff>220705</xdr:colOff>
      <xdr:row>324</xdr:row>
      <xdr:rowOff>87886</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991176" y="61604480"/>
          <a:ext cx="4315879" cy="8015906"/>
          <a:chOff x="978901" y="64148640"/>
          <a:chExt cx="4119776" cy="8214998"/>
        </a:xfrm>
      </xdr:grpSpPr>
      <xdr:grpSp>
        <xdr:nvGrpSpPr>
          <xdr:cNvPr id="16" name="Group 15">
            <a:extLst>
              <a:ext uri="{FF2B5EF4-FFF2-40B4-BE49-F238E27FC236}">
                <a16:creationId xmlns:a16="http://schemas.microsoft.com/office/drawing/2014/main" id="{00000000-0008-0000-0000-000010000000}"/>
              </a:ext>
            </a:extLst>
          </xdr:cNvPr>
          <xdr:cNvGrpSpPr/>
        </xdr:nvGrpSpPr>
        <xdr:grpSpPr>
          <a:xfrm>
            <a:off x="978901" y="64148640"/>
            <a:ext cx="4119776" cy="8214998"/>
            <a:chOff x="978901" y="64148640"/>
            <a:chExt cx="4119776" cy="8214998"/>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20000" contrast="-20000"/>
                      </a14:imgEffect>
                    </a14:imgLayer>
                  </a14:imgProps>
                </a:ext>
              </a:extLst>
            </a:blip>
            <a:stretch>
              <a:fillRect/>
            </a:stretch>
          </xdr:blipFill>
          <xdr:spPr>
            <a:xfrm rot="5400000">
              <a:off x="-1068710" y="66196251"/>
              <a:ext cx="8214998" cy="4119776"/>
            </a:xfrm>
            <a:prstGeom prst="rect">
              <a:avLst/>
            </a:prstGeom>
            <a:ln>
              <a:solidFill>
                <a:sysClr val="windowText" lastClr="000000"/>
              </a:solidFill>
            </a:ln>
          </xdr:spPr>
        </xdr:pic>
        <xdr:sp macro="" textlink="">
          <xdr:nvSpPr>
            <xdr:cNvPr id="28" name="L-Shape 27">
              <a:extLst>
                <a:ext uri="{FF2B5EF4-FFF2-40B4-BE49-F238E27FC236}">
                  <a16:creationId xmlns:a16="http://schemas.microsoft.com/office/drawing/2014/main" id="{00000000-0008-0000-0000-00001C000000}"/>
                </a:ext>
              </a:extLst>
            </xdr:cNvPr>
            <xdr:cNvSpPr/>
          </xdr:nvSpPr>
          <xdr:spPr>
            <a:xfrm rot="5400000">
              <a:off x="2384400" y="65094382"/>
              <a:ext cx="489359" cy="487431"/>
            </a:xfrm>
            <a:prstGeom prst="corner">
              <a:avLst>
                <a:gd name="adj1" fmla="val 64351"/>
                <a:gd name="adj2" fmla="val 56291"/>
              </a:avLst>
            </a:prstGeom>
            <a:noFill/>
            <a:ln w="38100">
              <a:solidFill>
                <a:srgbClr val="2406D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TextBox 12">
              <a:extLst>
                <a:ext uri="{FF2B5EF4-FFF2-40B4-BE49-F238E27FC236}">
                  <a16:creationId xmlns:a16="http://schemas.microsoft.com/office/drawing/2014/main" id="{00000000-0008-0000-0000-000026000000}"/>
                </a:ext>
              </a:extLst>
            </xdr:cNvPr>
            <xdr:cNvSpPr txBox="1"/>
          </xdr:nvSpPr>
          <xdr:spPr>
            <a:xfrm>
              <a:off x="2009639" y="66151476"/>
              <a:ext cx="1211856" cy="20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2406D8"/>
                  </a:solidFill>
                  <a:latin typeface="Times New Roman" panose="02020603050405020304" pitchFamily="18" charset="0"/>
                  <a:cs typeface="Times New Roman" panose="02020603050405020304" pitchFamily="18" charset="0"/>
                </a:rPr>
                <a:t>Building No.4 (Wing</a:t>
              </a:r>
              <a:r>
                <a:rPr lang="en-IN" sz="1200" b="1" baseline="0">
                  <a:solidFill>
                    <a:srgbClr val="2406D8"/>
                  </a:solidFill>
                  <a:latin typeface="Times New Roman" panose="02020603050405020304" pitchFamily="18" charset="0"/>
                  <a:cs typeface="Times New Roman" panose="02020603050405020304" pitchFamily="18" charset="0"/>
                </a:rPr>
                <a:t> D)</a:t>
              </a:r>
              <a:endParaRPr lang="en-IN" sz="1200" b="1">
                <a:solidFill>
                  <a:srgbClr val="2406D8"/>
                </a:solidFill>
                <a:latin typeface="Times New Roman" panose="02020603050405020304" pitchFamily="18" charset="0"/>
                <a:cs typeface="Times New Roman" panose="02020603050405020304" pitchFamily="18" charset="0"/>
              </a:endParaRPr>
            </a:p>
          </xdr:txBody>
        </xdr:sp>
        <xdr:sp macro="" textlink="">
          <xdr:nvSpPr>
            <xdr:cNvPr id="39" name="TextBox 12">
              <a:extLst>
                <a:ext uri="{FF2B5EF4-FFF2-40B4-BE49-F238E27FC236}">
                  <a16:creationId xmlns:a16="http://schemas.microsoft.com/office/drawing/2014/main" id="{00000000-0008-0000-0000-000027000000}"/>
                </a:ext>
              </a:extLst>
            </xdr:cNvPr>
            <xdr:cNvSpPr txBox="1"/>
          </xdr:nvSpPr>
          <xdr:spPr>
            <a:xfrm>
              <a:off x="1881726" y="64762696"/>
              <a:ext cx="1151522" cy="233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2406D8"/>
                  </a:solidFill>
                  <a:latin typeface="Times New Roman" panose="02020603050405020304" pitchFamily="18" charset="0"/>
                  <a:cs typeface="Times New Roman" panose="02020603050405020304" pitchFamily="18" charset="0"/>
                </a:rPr>
                <a:t>Building No.4 (Wing</a:t>
              </a:r>
              <a:r>
                <a:rPr lang="en-IN" sz="1200" b="1" baseline="0">
                  <a:solidFill>
                    <a:srgbClr val="2406D8"/>
                  </a:solidFill>
                  <a:latin typeface="Times New Roman" panose="02020603050405020304" pitchFamily="18" charset="0"/>
                  <a:cs typeface="Times New Roman" panose="02020603050405020304" pitchFamily="18" charset="0"/>
                </a:rPr>
                <a:t> E)</a:t>
              </a:r>
              <a:endParaRPr lang="en-IN" sz="1200" b="1">
                <a:solidFill>
                  <a:srgbClr val="2406D8"/>
                </a:solidFill>
                <a:latin typeface="Times New Roman" panose="02020603050405020304" pitchFamily="18" charset="0"/>
                <a:cs typeface="Times New Roman" panose="02020603050405020304" pitchFamily="18" charset="0"/>
              </a:endParaRPr>
            </a:p>
          </xdr:txBody>
        </xdr:sp>
        <xdr:sp macro="" textlink="">
          <xdr:nvSpPr>
            <xdr:cNvPr id="7" name="Freeform 6">
              <a:extLst>
                <a:ext uri="{FF2B5EF4-FFF2-40B4-BE49-F238E27FC236}">
                  <a16:creationId xmlns:a16="http://schemas.microsoft.com/office/drawing/2014/main" id="{00000000-0008-0000-0000-000007000000}"/>
                </a:ext>
              </a:extLst>
            </xdr:cNvPr>
            <xdr:cNvSpPr/>
          </xdr:nvSpPr>
          <xdr:spPr>
            <a:xfrm>
              <a:off x="2347383" y="65599190"/>
              <a:ext cx="543916" cy="476680"/>
            </a:xfrm>
            <a:custGeom>
              <a:avLst/>
              <a:gdLst>
                <a:gd name="connsiteX0" fmla="*/ 73269 w 542192"/>
                <a:gd name="connsiteY0" fmla="*/ 0 h 468923"/>
                <a:gd name="connsiteX1" fmla="*/ 388327 w 542192"/>
                <a:gd name="connsiteY1" fmla="*/ 7327 h 468923"/>
                <a:gd name="connsiteX2" fmla="*/ 402980 w 542192"/>
                <a:gd name="connsiteY2" fmla="*/ 183173 h 468923"/>
                <a:gd name="connsiteX3" fmla="*/ 534865 w 542192"/>
                <a:gd name="connsiteY3" fmla="*/ 190500 h 468923"/>
                <a:gd name="connsiteX4" fmla="*/ 542192 w 542192"/>
                <a:gd name="connsiteY4" fmla="*/ 468923 h 468923"/>
                <a:gd name="connsiteX5" fmla="*/ 0 w 542192"/>
                <a:gd name="connsiteY5" fmla="*/ 461596 h 468923"/>
                <a:gd name="connsiteX6" fmla="*/ 14654 w 542192"/>
                <a:gd name="connsiteY6" fmla="*/ 43961 h 468923"/>
                <a:gd name="connsiteX7" fmla="*/ 73269 w 542192"/>
                <a:gd name="connsiteY7" fmla="*/ 0 h 468923"/>
                <a:gd name="connsiteX0" fmla="*/ 73269 w 542192"/>
                <a:gd name="connsiteY0" fmla="*/ 0 h 468923"/>
                <a:gd name="connsiteX1" fmla="*/ 388327 w 542192"/>
                <a:gd name="connsiteY1" fmla="*/ 7327 h 468923"/>
                <a:gd name="connsiteX2" fmla="*/ 402980 w 542192"/>
                <a:gd name="connsiteY2" fmla="*/ 183173 h 468923"/>
                <a:gd name="connsiteX3" fmla="*/ 534865 w 542192"/>
                <a:gd name="connsiteY3" fmla="*/ 190500 h 468923"/>
                <a:gd name="connsiteX4" fmla="*/ 542192 w 542192"/>
                <a:gd name="connsiteY4" fmla="*/ 468923 h 468923"/>
                <a:gd name="connsiteX5" fmla="*/ 0 w 542192"/>
                <a:gd name="connsiteY5" fmla="*/ 461596 h 468923"/>
                <a:gd name="connsiteX6" fmla="*/ 14654 w 542192"/>
                <a:gd name="connsiteY6" fmla="*/ 14224 h 468923"/>
                <a:gd name="connsiteX7" fmla="*/ 73269 w 542192"/>
                <a:gd name="connsiteY7" fmla="*/ 0 h 468923"/>
                <a:gd name="connsiteX0" fmla="*/ 73269 w 542192"/>
                <a:gd name="connsiteY0" fmla="*/ 0 h 468923"/>
                <a:gd name="connsiteX1" fmla="*/ 423596 w 542192"/>
                <a:gd name="connsiteY1" fmla="*/ 7327 h 468923"/>
                <a:gd name="connsiteX2" fmla="*/ 402980 w 542192"/>
                <a:gd name="connsiteY2" fmla="*/ 183173 h 468923"/>
                <a:gd name="connsiteX3" fmla="*/ 534865 w 542192"/>
                <a:gd name="connsiteY3" fmla="*/ 190500 h 468923"/>
                <a:gd name="connsiteX4" fmla="*/ 542192 w 542192"/>
                <a:gd name="connsiteY4" fmla="*/ 468923 h 468923"/>
                <a:gd name="connsiteX5" fmla="*/ 0 w 542192"/>
                <a:gd name="connsiteY5" fmla="*/ 461596 h 468923"/>
                <a:gd name="connsiteX6" fmla="*/ 14654 w 542192"/>
                <a:gd name="connsiteY6" fmla="*/ 14224 h 468923"/>
                <a:gd name="connsiteX7" fmla="*/ 73269 w 542192"/>
                <a:gd name="connsiteY7" fmla="*/ 0 h 468923"/>
                <a:gd name="connsiteX0" fmla="*/ 73269 w 542192"/>
                <a:gd name="connsiteY0" fmla="*/ 0 h 468923"/>
                <a:gd name="connsiteX1" fmla="*/ 403443 w 542192"/>
                <a:gd name="connsiteY1" fmla="*/ 12283 h 468923"/>
                <a:gd name="connsiteX2" fmla="*/ 402980 w 542192"/>
                <a:gd name="connsiteY2" fmla="*/ 183173 h 468923"/>
                <a:gd name="connsiteX3" fmla="*/ 534865 w 542192"/>
                <a:gd name="connsiteY3" fmla="*/ 190500 h 468923"/>
                <a:gd name="connsiteX4" fmla="*/ 542192 w 542192"/>
                <a:gd name="connsiteY4" fmla="*/ 468923 h 468923"/>
                <a:gd name="connsiteX5" fmla="*/ 0 w 542192"/>
                <a:gd name="connsiteY5" fmla="*/ 461596 h 468923"/>
                <a:gd name="connsiteX6" fmla="*/ 14654 w 542192"/>
                <a:gd name="connsiteY6" fmla="*/ 14224 h 468923"/>
                <a:gd name="connsiteX7" fmla="*/ 73269 w 542192"/>
                <a:gd name="connsiteY7" fmla="*/ 0 h 4689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42192" h="468923">
                  <a:moveTo>
                    <a:pt x="73269" y="0"/>
                  </a:moveTo>
                  <a:lnTo>
                    <a:pt x="403443" y="12283"/>
                  </a:lnTo>
                  <a:cubicBezTo>
                    <a:pt x="403289" y="69246"/>
                    <a:pt x="403134" y="126210"/>
                    <a:pt x="402980" y="183173"/>
                  </a:cubicBezTo>
                  <a:lnTo>
                    <a:pt x="534865" y="190500"/>
                  </a:lnTo>
                  <a:lnTo>
                    <a:pt x="542192" y="468923"/>
                  </a:lnTo>
                  <a:lnTo>
                    <a:pt x="0" y="461596"/>
                  </a:lnTo>
                  <a:lnTo>
                    <a:pt x="14654" y="14224"/>
                  </a:lnTo>
                  <a:lnTo>
                    <a:pt x="73269" y="0"/>
                  </a:lnTo>
                  <a:close/>
                </a:path>
              </a:pathLst>
            </a:custGeom>
            <a:noFill/>
            <a:ln w="38100">
              <a:solidFill>
                <a:srgbClr val="2406D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6" name="TextBox 12">
              <a:extLst>
                <a:ext uri="{FF2B5EF4-FFF2-40B4-BE49-F238E27FC236}">
                  <a16:creationId xmlns:a16="http://schemas.microsoft.com/office/drawing/2014/main" id="{00000000-0008-0000-0000-00002E000000}"/>
                </a:ext>
              </a:extLst>
            </xdr:cNvPr>
            <xdr:cNvSpPr txBox="1"/>
          </xdr:nvSpPr>
          <xdr:spPr>
            <a:xfrm>
              <a:off x="3589689" y="64824808"/>
              <a:ext cx="1105393" cy="383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2406D8"/>
                  </a:solidFill>
                  <a:latin typeface="Times New Roman" panose="02020603050405020304" pitchFamily="18" charset="0"/>
                  <a:cs typeface="Times New Roman" panose="02020603050405020304" pitchFamily="18" charset="0"/>
                </a:rPr>
                <a:t>Phase II (Sector II)</a:t>
              </a:r>
            </a:p>
          </xdr:txBody>
        </xdr:sp>
      </xdr:grpSp>
      <xdr:grpSp>
        <xdr:nvGrpSpPr>
          <xdr:cNvPr id="47" name="Group 46">
            <a:extLst>
              <a:ext uri="{FF2B5EF4-FFF2-40B4-BE49-F238E27FC236}">
                <a16:creationId xmlns:a16="http://schemas.microsoft.com/office/drawing/2014/main" id="{00000000-0008-0000-0000-00002F000000}"/>
              </a:ext>
            </a:extLst>
          </xdr:cNvPr>
          <xdr:cNvGrpSpPr/>
        </xdr:nvGrpSpPr>
        <xdr:grpSpPr>
          <a:xfrm rot="5400000">
            <a:off x="1714500" y="71740059"/>
            <a:ext cx="413185" cy="768274"/>
            <a:chOff x="5753099" y="9584861"/>
            <a:chExt cx="618999" cy="768274"/>
          </a:xfrm>
        </xdr:grpSpPr>
        <xdr:sp macro="" textlink="">
          <xdr:nvSpPr>
            <xdr:cNvPr id="48" name="TextBox 7">
              <a:extLst>
                <a:ext uri="{FF2B5EF4-FFF2-40B4-BE49-F238E27FC236}">
                  <a16:creationId xmlns:a16="http://schemas.microsoft.com/office/drawing/2014/main" id="{00000000-0008-0000-0000-000030000000}"/>
                </a:ext>
              </a:extLst>
            </xdr:cNvPr>
            <xdr:cNvSpPr txBox="1"/>
          </xdr:nvSpPr>
          <xdr:spPr>
            <a:xfrm>
              <a:off x="5753099" y="9584861"/>
              <a:ext cx="618999" cy="53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800" b="1">
                  <a:latin typeface="Times New Roman" panose="02020603050405020304" pitchFamily="18" charset="0"/>
                  <a:cs typeface="Times New Roman" panose="02020603050405020304" pitchFamily="18" charset="0"/>
                </a:rPr>
                <a:t>N</a:t>
              </a:r>
            </a:p>
          </xdr:txBody>
        </xdr:sp>
        <xdr:sp macro="" textlink="">
          <xdr:nvSpPr>
            <xdr:cNvPr id="49" name="Right Arrow 48">
              <a:extLst>
                <a:ext uri="{FF2B5EF4-FFF2-40B4-BE49-F238E27FC236}">
                  <a16:creationId xmlns:a16="http://schemas.microsoft.com/office/drawing/2014/main" id="{00000000-0008-0000-0000-000031000000}"/>
                </a:ext>
              </a:extLst>
            </xdr:cNvPr>
            <xdr:cNvSpPr/>
          </xdr:nvSpPr>
          <xdr:spPr>
            <a:xfrm rot="16200000">
              <a:off x="5906692" y="9963177"/>
              <a:ext cx="330033" cy="44988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95250</xdr:colOff>
      <xdr:row>12</xdr:row>
      <xdr:rowOff>9525</xdr:rowOff>
    </xdr:from>
    <xdr:to>
      <xdr:col>17</xdr:col>
      <xdr:colOff>258228</xdr:colOff>
      <xdr:row>16</xdr:row>
      <xdr:rowOff>360822</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7"/>
        <a:stretch>
          <a:fillRect/>
        </a:stretch>
      </xdr:blipFill>
      <xdr:spPr>
        <a:xfrm>
          <a:off x="6410325" y="3076575"/>
          <a:ext cx="7544853" cy="2619741"/>
        </a:xfrm>
        <a:prstGeom prst="rect">
          <a:avLst/>
        </a:prstGeom>
        <a:ln>
          <a:solidFill>
            <a:schemeClr val="tx1"/>
          </a:solidFill>
        </a:ln>
      </xdr:spPr>
    </xdr:pic>
    <xdr:clientData/>
  </xdr:twoCellAnchor>
  <xdr:twoCellAnchor editAs="oneCell">
    <xdr:from>
      <xdr:col>9</xdr:col>
      <xdr:colOff>276225</xdr:colOff>
      <xdr:row>63</xdr:row>
      <xdr:rowOff>295275</xdr:rowOff>
    </xdr:from>
    <xdr:to>
      <xdr:col>12</xdr:col>
      <xdr:colOff>486138</xdr:colOff>
      <xdr:row>67</xdr:row>
      <xdr:rowOff>123945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
        <a:stretch>
          <a:fillRect/>
        </a:stretch>
      </xdr:blipFill>
      <xdr:spPr>
        <a:xfrm>
          <a:off x="7753350" y="18592800"/>
          <a:ext cx="2600688" cy="866896"/>
        </a:xfrm>
        <a:prstGeom prst="rect">
          <a:avLst/>
        </a:prstGeom>
      </xdr:spPr>
    </xdr:pic>
    <xdr:clientData/>
  </xdr:twoCellAnchor>
  <xdr:twoCellAnchor editAs="oneCell">
    <xdr:from>
      <xdr:col>13</xdr:col>
      <xdr:colOff>30945</xdr:colOff>
      <xdr:row>271</xdr:row>
      <xdr:rowOff>66980</xdr:rowOff>
    </xdr:from>
    <xdr:to>
      <xdr:col>15</xdr:col>
      <xdr:colOff>2188</xdr:colOff>
      <xdr:row>282</xdr:row>
      <xdr:rowOff>34737</xdr:rowOff>
    </xdr:to>
    <xdr:pic>
      <xdr:nvPicPr>
        <xdr:cNvPr id="27" name="Picture 26" descr="https://vsjcllp.vsjadon.com/upload/insp-202462-1525.jpg">
          <a:extLst>
            <a:ext uri="{FF2B5EF4-FFF2-40B4-BE49-F238E27FC236}">
              <a16:creationId xmlns:a16="http://schemas.microsoft.com/office/drawing/2014/main" id="{00000000-0008-0000-0000-00001B000000}"/>
            </a:ext>
          </a:extLst>
        </xdr:cNvPr>
        <xdr:cNvPicPr>
          <a:picLocks noChangeAspect="1" noChangeArrowheads="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10689420" y="59283905"/>
          <a:ext cx="1619068" cy="21680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570940</xdr:colOff>
      <xdr:row>259</xdr:row>
      <xdr:rowOff>172679</xdr:rowOff>
    </xdr:from>
    <xdr:to>
      <xdr:col>11</xdr:col>
      <xdr:colOff>818959</xdr:colOff>
      <xdr:row>270</xdr:row>
      <xdr:rowOff>143147</xdr:rowOff>
    </xdr:to>
    <xdr:pic>
      <xdr:nvPicPr>
        <xdr:cNvPr id="30" name="Picture 29" descr="https://vsjcllp.vsjadon.com/upload/insp-202462-851.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6886015" y="56989304"/>
          <a:ext cx="2876919" cy="21707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7444</xdr:colOff>
      <xdr:row>259</xdr:row>
      <xdr:rowOff>165585</xdr:rowOff>
    </xdr:from>
    <xdr:to>
      <xdr:col>15</xdr:col>
      <xdr:colOff>445963</xdr:colOff>
      <xdr:row>270</xdr:row>
      <xdr:rowOff>138976</xdr:rowOff>
    </xdr:to>
    <xdr:pic>
      <xdr:nvPicPr>
        <xdr:cNvPr id="40" name="Picture 39" descr="https://vsjcllp.vsjadon.com/upload/insp-202462-851.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875344" y="56982210"/>
          <a:ext cx="2876919" cy="21736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870033</xdr:colOff>
      <xdr:row>241</xdr:row>
      <xdr:rowOff>189940</xdr:rowOff>
    </xdr:from>
    <xdr:to>
      <xdr:col>11</xdr:col>
      <xdr:colOff>823809</xdr:colOff>
      <xdr:row>259</xdr:row>
      <xdr:rowOff>59589</xdr:rowOff>
    </xdr:to>
    <xdr:pic>
      <xdr:nvPicPr>
        <xdr:cNvPr id="41" name="Picture 40" descr="https://vsjcllp.vsjadon.com/upload/insp-202462-862.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7185108" y="53406115"/>
          <a:ext cx="2582676" cy="34700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12294</xdr:colOff>
      <xdr:row>241</xdr:row>
      <xdr:rowOff>178734</xdr:rowOff>
    </xdr:from>
    <xdr:to>
      <xdr:col>15</xdr:col>
      <xdr:colOff>158126</xdr:colOff>
      <xdr:row>259</xdr:row>
      <xdr:rowOff>48383</xdr:rowOff>
    </xdr:to>
    <xdr:pic>
      <xdr:nvPicPr>
        <xdr:cNvPr id="42" name="Picture 41" descr="https://vsjcllp.vsjadon.com/upload/insp-202462-860.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9880194" y="53394909"/>
          <a:ext cx="2584232" cy="34700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4039</xdr:colOff>
      <xdr:row>271</xdr:row>
      <xdr:rowOff>64695</xdr:rowOff>
    </xdr:from>
    <xdr:to>
      <xdr:col>12</xdr:col>
      <xdr:colOff>698013</xdr:colOff>
      <xdr:row>282</xdr:row>
      <xdr:rowOff>38086</xdr:rowOff>
    </xdr:to>
    <xdr:pic>
      <xdr:nvPicPr>
        <xdr:cNvPr id="43" name="Picture 42" descr="https://vsjcllp.vsjadon.com/upload/insp-202462-874.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8948014" y="59281620"/>
          <a:ext cx="1617899" cy="21736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722416</xdr:colOff>
      <xdr:row>256</xdr:row>
      <xdr:rowOff>135375</xdr:rowOff>
    </xdr:from>
    <xdr:to>
      <xdr:col>10</xdr:col>
      <xdr:colOff>661953</xdr:colOff>
      <xdr:row>258</xdr:row>
      <xdr:rowOff>5871</xdr:rowOff>
    </xdr:to>
    <xdr:sp macro="" textlink="">
      <xdr:nvSpPr>
        <xdr:cNvPr id="44" name="TextBox 35">
          <a:extLst>
            <a:ext uri="{FF2B5EF4-FFF2-40B4-BE49-F238E27FC236}">
              <a16:creationId xmlns:a16="http://schemas.microsoft.com/office/drawing/2014/main" id="{00000000-0008-0000-0000-00002C000000}"/>
            </a:ext>
          </a:extLst>
        </xdr:cNvPr>
        <xdr:cNvSpPr txBox="1"/>
      </xdr:nvSpPr>
      <xdr:spPr>
        <a:xfrm>
          <a:off x="8199541" y="56351925"/>
          <a:ext cx="701537" cy="270546"/>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9</xdr:col>
      <xdr:colOff>614742</xdr:colOff>
      <xdr:row>268</xdr:row>
      <xdr:rowOff>43023</xdr:rowOff>
    </xdr:from>
    <xdr:to>
      <xdr:col>10</xdr:col>
      <xdr:colOff>554279</xdr:colOff>
      <xdr:row>269</xdr:row>
      <xdr:rowOff>114787</xdr:rowOff>
    </xdr:to>
    <xdr:sp macro="" textlink="">
      <xdr:nvSpPr>
        <xdr:cNvPr id="45" name="TextBox 35">
          <a:extLst>
            <a:ext uri="{FF2B5EF4-FFF2-40B4-BE49-F238E27FC236}">
              <a16:creationId xmlns:a16="http://schemas.microsoft.com/office/drawing/2014/main" id="{00000000-0008-0000-0000-00002D000000}"/>
            </a:ext>
          </a:extLst>
        </xdr:cNvPr>
        <xdr:cNvSpPr txBox="1"/>
      </xdr:nvSpPr>
      <xdr:spPr>
        <a:xfrm>
          <a:off x="8091867" y="58659873"/>
          <a:ext cx="701537" cy="271789"/>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E</a:t>
          </a:r>
          <a:endParaRPr lang="en-IN" sz="1200" b="1">
            <a:latin typeface="Times New Roman" panose="02020603050405020304" pitchFamily="18" charset="0"/>
            <a:cs typeface="Times New Roman" panose="02020603050405020304" pitchFamily="18" charset="0"/>
          </a:endParaRPr>
        </a:p>
      </xdr:txBody>
    </xdr:sp>
    <xdr:clientData/>
  </xdr:twoCellAnchor>
  <xdr:twoCellAnchor editAs="oneCell">
    <xdr:from>
      <xdr:col>8</xdr:col>
      <xdr:colOff>895108</xdr:colOff>
      <xdr:row>271</xdr:row>
      <xdr:rowOff>64144</xdr:rowOff>
    </xdr:from>
    <xdr:to>
      <xdr:col>10</xdr:col>
      <xdr:colOff>589371</xdr:colOff>
      <xdr:row>282</xdr:row>
      <xdr:rowOff>23868</xdr:rowOff>
    </xdr:to>
    <xdr:pic>
      <xdr:nvPicPr>
        <xdr:cNvPr id="50" name="Picture 49" descr="https://vsjcllp.vsjadon.com/upload/insp-202462-931.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7210183" y="59281069"/>
          <a:ext cx="1618313" cy="21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50</xdr:row>
      <xdr:rowOff>333375</xdr:rowOff>
    </xdr:from>
    <xdr:to>
      <xdr:col>14</xdr:col>
      <xdr:colOff>332700</xdr:colOff>
      <xdr:row>52</xdr:row>
      <xdr:rowOff>172206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6"/>
        <a:stretch>
          <a:fillRect/>
        </a:stretch>
      </xdr:blipFill>
      <xdr:spPr>
        <a:xfrm>
          <a:off x="6429375" y="14077950"/>
          <a:ext cx="5400000" cy="429380"/>
        </a:xfrm>
        <a:prstGeom prst="rect">
          <a:avLst/>
        </a:prstGeom>
        <a:ln>
          <a:solidFill>
            <a:schemeClr val="tx1"/>
          </a:solidFill>
        </a:ln>
      </xdr:spPr>
    </xdr:pic>
    <xdr:clientData/>
  </xdr:twoCellAnchor>
  <xdr:twoCellAnchor editAs="oneCell">
    <xdr:from>
      <xdr:col>8</xdr:col>
      <xdr:colOff>104775</xdr:colOff>
      <xdr:row>52</xdr:row>
      <xdr:rowOff>219076</xdr:rowOff>
    </xdr:from>
    <xdr:to>
      <xdr:col>14</xdr:col>
      <xdr:colOff>323175</xdr:colOff>
      <xdr:row>54</xdr:row>
      <xdr:rowOff>128312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7"/>
        <a:stretch>
          <a:fillRect/>
        </a:stretch>
      </xdr:blipFill>
      <xdr:spPr>
        <a:xfrm>
          <a:off x="6419850" y="14554201"/>
          <a:ext cx="5400000" cy="518837"/>
        </a:xfrm>
        <a:prstGeom prst="rect">
          <a:avLst/>
        </a:prstGeom>
        <a:ln>
          <a:solidFill>
            <a:schemeClr val="tx1"/>
          </a:solidFill>
        </a:ln>
      </xdr:spPr>
    </xdr:pic>
    <xdr:clientData/>
  </xdr:twoCellAnchor>
  <xdr:twoCellAnchor editAs="oneCell">
    <xdr:from>
      <xdr:col>8</xdr:col>
      <xdr:colOff>114300</xdr:colOff>
      <xdr:row>42</xdr:row>
      <xdr:rowOff>9525</xdr:rowOff>
    </xdr:from>
    <xdr:to>
      <xdr:col>10</xdr:col>
      <xdr:colOff>530250</xdr:colOff>
      <xdr:row>50</xdr:row>
      <xdr:rowOff>299737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8"/>
        <a:stretch>
          <a:fillRect/>
        </a:stretch>
      </xdr:blipFill>
      <xdr:spPr>
        <a:xfrm>
          <a:off x="6429375" y="11734800"/>
          <a:ext cx="2340000" cy="2309512"/>
        </a:xfrm>
        <a:prstGeom prst="rect">
          <a:avLst/>
        </a:prstGeom>
        <a:ln>
          <a:solidFill>
            <a:schemeClr val="tx1"/>
          </a:solidFill>
        </a:ln>
      </xdr:spPr>
    </xdr:pic>
    <xdr:clientData/>
  </xdr:twoCellAnchor>
  <xdr:twoCellAnchor editAs="oneCell">
    <xdr:from>
      <xdr:col>8</xdr:col>
      <xdr:colOff>85725</xdr:colOff>
      <xdr:row>55</xdr:row>
      <xdr:rowOff>9525</xdr:rowOff>
    </xdr:from>
    <xdr:to>
      <xdr:col>12</xdr:col>
      <xdr:colOff>370995</xdr:colOff>
      <xdr:row>56</xdr:row>
      <xdr:rowOff>199975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9"/>
        <a:stretch>
          <a:fillRect/>
        </a:stretch>
      </xdr:blipFill>
      <xdr:spPr>
        <a:xfrm>
          <a:off x="6400800" y="15401925"/>
          <a:ext cx="3838095" cy="390476"/>
        </a:xfrm>
        <a:prstGeom prst="rect">
          <a:avLst/>
        </a:prstGeom>
        <a:ln>
          <a:solidFill>
            <a:schemeClr val="tx1"/>
          </a:solidFill>
        </a:ln>
      </xdr:spPr>
    </xdr:pic>
    <xdr:clientData/>
  </xdr:twoCellAnchor>
  <xdr:twoCellAnchor editAs="oneCell">
    <xdr:from>
      <xdr:col>8</xdr:col>
      <xdr:colOff>85725</xdr:colOff>
      <xdr:row>56</xdr:row>
      <xdr:rowOff>247650</xdr:rowOff>
    </xdr:from>
    <xdr:to>
      <xdr:col>14</xdr:col>
      <xdr:colOff>304125</xdr:colOff>
      <xdr:row>60</xdr:row>
      <xdr:rowOff>26159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0"/>
        <a:stretch>
          <a:fillRect/>
        </a:stretch>
      </xdr:blipFill>
      <xdr:spPr>
        <a:xfrm>
          <a:off x="6400800" y="15840075"/>
          <a:ext cx="5400000" cy="1635883"/>
        </a:xfrm>
        <a:prstGeom prst="rect">
          <a:avLst/>
        </a:prstGeom>
        <a:ln>
          <a:solidFill>
            <a:schemeClr val="tx1"/>
          </a:solidFill>
        </a:ln>
      </xdr:spPr>
    </xdr:pic>
    <xdr:clientData/>
  </xdr:twoCellAnchor>
  <xdr:twoCellAnchor>
    <xdr:from>
      <xdr:col>8</xdr:col>
      <xdr:colOff>619125</xdr:colOff>
      <xdr:row>19</xdr:row>
      <xdr:rowOff>152400</xdr:rowOff>
    </xdr:from>
    <xdr:to>
      <xdr:col>13</xdr:col>
      <xdr:colOff>771243</xdr:colOff>
      <xdr:row>35</xdr:row>
      <xdr:rowOff>212550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42175" y="6889750"/>
          <a:ext cx="4698718" cy="3432000"/>
          <a:chOff x="6928037" y="6931959"/>
          <a:chExt cx="4500000" cy="348915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1"/>
          <a:stretch>
            <a:fillRect/>
          </a:stretch>
        </xdr:blipFill>
        <xdr:spPr>
          <a:xfrm>
            <a:off x="6928037" y="6931959"/>
            <a:ext cx="4500000" cy="3489150"/>
          </a:xfrm>
          <a:prstGeom prst="rect">
            <a:avLst/>
          </a:prstGeom>
          <a:ln>
            <a:solidFill>
              <a:schemeClr val="tx1"/>
            </a:solidFill>
          </a:ln>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9457765" y="9984441"/>
            <a:ext cx="12818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As per RERA Letter</a:t>
            </a:r>
          </a:p>
        </xdr:txBody>
      </xdr:sp>
    </xdr:grpSp>
    <xdr:clientData/>
  </xdr:twoCellAnchor>
  <xdr:oneCellAnchor>
    <xdr:from>
      <xdr:col>3</xdr:col>
      <xdr:colOff>661147</xdr:colOff>
      <xdr:row>290</xdr:row>
      <xdr:rowOff>22412</xdr:rowOff>
    </xdr:from>
    <xdr:ext cx="267061" cy="311496"/>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070412" y="63279618"/>
          <a:ext cx="2670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F</a:t>
          </a:r>
        </a:p>
      </xdr:txBody>
    </xdr:sp>
    <xdr:clientData/>
  </xdr:oneCellAnchor>
  <xdr:oneCellAnchor>
    <xdr:from>
      <xdr:col>3</xdr:col>
      <xdr:colOff>342900</xdr:colOff>
      <xdr:row>295</xdr:row>
      <xdr:rowOff>85164</xdr:rowOff>
    </xdr:from>
    <xdr:ext cx="279692" cy="311496"/>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2752165" y="64350899"/>
          <a:ext cx="27969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C</a:t>
          </a:r>
        </a:p>
      </xdr:txBody>
    </xdr:sp>
    <xdr:clientData/>
  </xdr:oneCellAnchor>
  <xdr:oneCellAnchor>
    <xdr:from>
      <xdr:col>3</xdr:col>
      <xdr:colOff>247106</xdr:colOff>
      <xdr:row>297</xdr:row>
      <xdr:rowOff>165242</xdr:rowOff>
    </xdr:from>
    <xdr:ext cx="285335" cy="311496"/>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2656371" y="64834389"/>
          <a:ext cx="28533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B</a:t>
          </a:r>
        </a:p>
      </xdr:txBody>
    </xdr:sp>
    <xdr:clientData/>
  </xdr:oneCellAnchor>
  <xdr:oneCellAnchor>
    <xdr:from>
      <xdr:col>3</xdr:col>
      <xdr:colOff>661723</xdr:colOff>
      <xdr:row>298</xdr:row>
      <xdr:rowOff>30772</xdr:rowOff>
    </xdr:from>
    <xdr:ext cx="293478" cy="311496"/>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3070988" y="64901625"/>
          <a:ext cx="29347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A</a:t>
          </a:r>
        </a:p>
      </xdr:txBody>
    </xdr:sp>
    <xdr:clientData/>
  </xdr:oneCellAnchor>
  <xdr:oneCellAnchor>
    <xdr:from>
      <xdr:col>4</xdr:col>
      <xdr:colOff>33618</xdr:colOff>
      <xdr:row>359</xdr:row>
      <xdr:rowOff>134469</xdr:rowOff>
    </xdr:from>
    <xdr:ext cx="297838" cy="311496"/>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361765" y="77309381"/>
          <a:ext cx="29783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FF00"/>
              </a:solidFill>
            </a:rPr>
            <a:t>D</a:t>
          </a:r>
        </a:p>
      </xdr:txBody>
    </xdr:sp>
    <xdr:clientData/>
  </xdr:oneCellAnchor>
  <xdr:oneCellAnchor>
    <xdr:from>
      <xdr:col>3</xdr:col>
      <xdr:colOff>268941</xdr:colOff>
      <xdr:row>359</xdr:row>
      <xdr:rowOff>134469</xdr:rowOff>
    </xdr:from>
    <xdr:ext cx="272254" cy="311496"/>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2678206" y="77309381"/>
          <a:ext cx="27225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FF00"/>
              </a:solidFill>
            </a:rPr>
            <a:t>E</a:t>
          </a:r>
        </a:p>
      </xdr:txBody>
    </xdr:sp>
    <xdr:clientData/>
  </xdr:oneCellAnchor>
  <xdr:oneCellAnchor>
    <xdr:from>
      <xdr:col>0</xdr:col>
      <xdr:colOff>582706</xdr:colOff>
      <xdr:row>344</xdr:row>
      <xdr:rowOff>11206</xdr:rowOff>
    </xdr:from>
    <xdr:ext cx="2324675" cy="342786"/>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582706" y="74160530"/>
          <a:ext cx="2324675" cy="342786"/>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Elite</a:t>
          </a:r>
          <a:r>
            <a:rPr lang="en-IN" sz="1600" b="1" baseline="0"/>
            <a:t> Tower  (Wing D &amp; E)</a:t>
          </a:r>
          <a:endParaRPr lang="en-IN" sz="1600" b="1"/>
        </a:p>
      </xdr:txBody>
    </xdr:sp>
    <xdr:clientData/>
  </xdr:oneCellAnchor>
  <xdr:twoCellAnchor>
    <xdr:from>
      <xdr:col>2</xdr:col>
      <xdr:colOff>187426</xdr:colOff>
      <xdr:row>345</xdr:row>
      <xdr:rowOff>152287</xdr:rowOff>
    </xdr:from>
    <xdr:to>
      <xdr:col>3</xdr:col>
      <xdr:colOff>773206</xdr:colOff>
      <xdr:row>355</xdr:row>
      <xdr:rowOff>168088</xdr:rowOff>
    </xdr:to>
    <xdr:cxnSp macro="">
      <xdr:nvCxnSpPr>
        <xdr:cNvPr id="22" name="Straight Arrow Connector 21">
          <a:extLst>
            <a:ext uri="{FF2B5EF4-FFF2-40B4-BE49-F238E27FC236}">
              <a16:creationId xmlns:a16="http://schemas.microsoft.com/office/drawing/2014/main" id="{00000000-0008-0000-0000-000016000000}"/>
            </a:ext>
          </a:extLst>
        </xdr:cNvPr>
        <xdr:cNvCxnSpPr>
          <a:stCxn id="20" idx="2"/>
        </xdr:cNvCxnSpPr>
      </xdr:nvCxnSpPr>
      <xdr:spPr>
        <a:xfrm>
          <a:off x="1745044" y="74503316"/>
          <a:ext cx="1437427" cy="203286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739775</xdr:colOff>
      <xdr:row>237</xdr:row>
      <xdr:rowOff>98425</xdr:rowOff>
    </xdr:from>
    <xdr:to>
      <xdr:col>15</xdr:col>
      <xdr:colOff>525897</xdr:colOff>
      <xdr:row>270</xdr:row>
      <xdr:rowOff>41362</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a:off x="7362825" y="52701825"/>
          <a:ext cx="6059922" cy="6242137"/>
          <a:chOff x="273050" y="52895500"/>
          <a:chExt cx="6050397" cy="6242137"/>
        </a:xfrm>
      </xdr:grpSpPr>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132785" y="56977637"/>
            <a:ext cx="1618313" cy="2160000"/>
          </a:xfrm>
          <a:prstGeom prst="rect">
            <a:avLst/>
          </a:prstGeom>
          <a:ln>
            <a:solidFill>
              <a:schemeClr val="tx1"/>
            </a:solidFill>
          </a:ln>
        </xdr:spPr>
      </xdr:pic>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73050" y="52895500"/>
            <a:ext cx="2966907" cy="3960000"/>
          </a:xfrm>
          <a:prstGeom prst="rect">
            <a:avLst/>
          </a:prstGeom>
          <a:ln>
            <a:solidFill>
              <a:schemeClr val="tx1"/>
            </a:solidFill>
          </a:ln>
        </xdr:spPr>
      </xdr:pic>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356540" y="52895500"/>
            <a:ext cx="2966907" cy="3960000"/>
          </a:xfrm>
          <a:prstGeom prst="rect">
            <a:avLst/>
          </a:prstGeom>
          <a:ln>
            <a:solidFill>
              <a:schemeClr val="tx1"/>
            </a:solidFill>
          </a:ln>
        </xdr:spPr>
      </xdr:pic>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2403334" y="56977637"/>
            <a:ext cx="1618313" cy="2160000"/>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73883" y="56977637"/>
            <a:ext cx="1618313" cy="2160000"/>
          </a:xfrm>
          <a:prstGeom prst="rect">
            <a:avLst/>
          </a:prstGeom>
          <a:ln>
            <a:solidFill>
              <a:schemeClr val="tx1"/>
            </a:solidFill>
          </a:ln>
        </xdr:spPr>
      </xdr:pic>
    </xdr:grpSp>
    <xdr:clientData/>
  </xdr:twoCellAnchor>
  <xdr:twoCellAnchor>
    <xdr:from>
      <xdr:col>0</xdr:col>
      <xdr:colOff>127000</xdr:colOff>
      <xdr:row>240</xdr:row>
      <xdr:rowOff>82550</xdr:rowOff>
    </xdr:from>
    <xdr:to>
      <xdr:col>7</xdr:col>
      <xdr:colOff>646849</xdr:colOff>
      <xdr:row>281</xdr:row>
      <xdr:rowOff>143650</xdr:rowOff>
    </xdr:to>
    <xdr:grpSp>
      <xdr:nvGrpSpPr>
        <xdr:cNvPr id="23" name="Group 22"/>
        <xdr:cNvGrpSpPr/>
      </xdr:nvGrpSpPr>
      <xdr:grpSpPr>
        <a:xfrm>
          <a:off x="127000" y="53079650"/>
          <a:ext cx="6374549" cy="8131950"/>
          <a:chOff x="127000" y="52882800"/>
          <a:chExt cx="6374549" cy="8131950"/>
        </a:xfrm>
      </xdr:grpSpPr>
      <xdr:pic>
        <xdr:nvPicPr>
          <xdr:cNvPr id="75" name="Picture 74"/>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404347" y="59214750"/>
            <a:ext cx="1348594" cy="180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127000" y="56948775"/>
            <a:ext cx="2877333" cy="2160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134628" y="56948775"/>
            <a:ext cx="1618313" cy="2160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4883236" y="56948775"/>
            <a:ext cx="1618313" cy="216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291087" y="52882800"/>
            <a:ext cx="2966907" cy="3960000"/>
          </a:xfrm>
          <a:prstGeom prst="rect">
            <a:avLst/>
          </a:prstGeom>
          <a:ln>
            <a:solidFill>
              <a:schemeClr val="tx1"/>
            </a:solidFill>
          </a:ln>
        </xdr:spPr>
      </xdr:pic>
      <xdr:pic>
        <xdr:nvPicPr>
          <xdr:cNvPr id="97" name="Picture 9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3387257" y="52882800"/>
            <a:ext cx="2966907" cy="3960000"/>
          </a:xfrm>
          <a:prstGeom prst="rect">
            <a:avLst/>
          </a:prstGeom>
          <a:ln>
            <a:solidFill>
              <a:schemeClr val="tx1"/>
            </a:solidFill>
          </a:ln>
        </xdr:spPr>
      </xdr:pic>
      <xdr:pic>
        <xdr:nvPicPr>
          <xdr:cNvPr id="98" name="Picture 97"/>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1925458" y="59214750"/>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1ZvoQJ7hiCcaep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6"/>
  <sheetViews>
    <sheetView tabSelected="1" view="pageBreakPreview" topLeftCell="A219" zoomScaleNormal="100" zoomScaleSheetLayoutView="100" zoomScalePageLayoutView="85" workbookViewId="0">
      <selection activeCell="J227" sqref="J227"/>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5" t="s">
        <v>159</v>
      </c>
      <c r="B1" s="185"/>
      <c r="C1" s="185"/>
      <c r="D1" s="185"/>
      <c r="E1" s="185"/>
      <c r="F1" s="185"/>
      <c r="G1" s="185"/>
      <c r="H1" s="185"/>
    </row>
    <row r="2" spans="1:26" ht="16.5" customHeight="1" x14ac:dyDescent="0.35">
      <c r="A2" s="186" t="s">
        <v>0</v>
      </c>
      <c r="B2" s="186"/>
      <c r="C2" s="186"/>
      <c r="D2" s="186"/>
      <c r="E2" s="186"/>
      <c r="F2" s="186"/>
      <c r="G2" s="186"/>
      <c r="H2" s="186"/>
    </row>
    <row r="3" spans="1:26" x14ac:dyDescent="0.35">
      <c r="A3" s="127" t="s">
        <v>1</v>
      </c>
      <c r="B3" s="127"/>
      <c r="C3" s="127"/>
      <c r="D3" s="127"/>
      <c r="E3" s="127" t="str">
        <f ca="1">TEXT(TODAY(),"DD/MM/YYYY")</f>
        <v>20/07/2025</v>
      </c>
      <c r="F3" s="127"/>
      <c r="G3" s="127"/>
      <c r="H3" s="127"/>
      <c r="K3" s="50" t="s">
        <v>231</v>
      </c>
      <c r="L3" s="48" t="s">
        <v>229</v>
      </c>
      <c r="M3" s="48" t="s">
        <v>234</v>
      </c>
      <c r="N3" s="48" t="s">
        <v>232</v>
      </c>
      <c r="O3" s="48" t="s">
        <v>233</v>
      </c>
      <c r="P3" s="48" t="s">
        <v>235</v>
      </c>
    </row>
    <row r="4" spans="1:26" ht="15" customHeight="1" x14ac:dyDescent="0.35">
      <c r="A4" s="127" t="s">
        <v>228</v>
      </c>
      <c r="B4" s="127"/>
      <c r="C4" s="127"/>
      <c r="D4" s="127"/>
      <c r="E4" s="127" t="s">
        <v>229</v>
      </c>
      <c r="F4" s="127"/>
      <c r="G4" s="127"/>
      <c r="H4" s="127"/>
      <c r="K4" s="47" t="s">
        <v>230</v>
      </c>
      <c r="L4" s="48" t="s">
        <v>165</v>
      </c>
      <c r="M4" s="48" t="s">
        <v>239</v>
      </c>
      <c r="N4" s="48" t="s">
        <v>241</v>
      </c>
      <c r="O4" s="48" t="s">
        <v>243</v>
      </c>
      <c r="P4" s="48"/>
    </row>
    <row r="5" spans="1:26" ht="15" customHeight="1" x14ac:dyDescent="0.35">
      <c r="A5" s="127" t="s">
        <v>2</v>
      </c>
      <c r="B5" s="127"/>
      <c r="C5" s="127"/>
      <c r="D5" s="127"/>
      <c r="E5" s="127" t="s">
        <v>165</v>
      </c>
      <c r="F5" s="127"/>
      <c r="G5" s="127"/>
      <c r="H5" s="127"/>
      <c r="K5" s="47"/>
      <c r="L5" s="48" t="s">
        <v>236</v>
      </c>
      <c r="M5" s="48" t="s">
        <v>240</v>
      </c>
      <c r="N5" s="48" t="s">
        <v>242</v>
      </c>
      <c r="O5" s="48" t="s">
        <v>244</v>
      </c>
      <c r="P5" s="48"/>
    </row>
    <row r="6" spans="1:26" x14ac:dyDescent="0.35">
      <c r="A6" s="127" t="s">
        <v>3</v>
      </c>
      <c r="B6" s="127"/>
      <c r="C6" s="127"/>
      <c r="D6" s="127"/>
      <c r="E6" s="187">
        <v>45857</v>
      </c>
      <c r="F6" s="181"/>
      <c r="G6" s="181"/>
      <c r="H6" s="181"/>
      <c r="K6" s="47"/>
      <c r="L6" s="48" t="s">
        <v>237</v>
      </c>
      <c r="M6" s="48"/>
      <c r="N6" s="48"/>
      <c r="O6" s="48" t="s">
        <v>245</v>
      </c>
      <c r="P6" s="48"/>
    </row>
    <row r="7" spans="1:26" ht="16.5" customHeight="1" x14ac:dyDescent="0.35">
      <c r="A7" s="127" t="s">
        <v>4</v>
      </c>
      <c r="B7" s="127"/>
      <c r="C7" s="127"/>
      <c r="D7" s="127"/>
      <c r="E7" s="127" t="s">
        <v>328</v>
      </c>
      <c r="F7" s="127"/>
      <c r="G7" s="127"/>
      <c r="H7" s="127"/>
      <c r="K7" s="47"/>
      <c r="L7" s="48" t="s">
        <v>238</v>
      </c>
      <c r="M7" s="48"/>
      <c r="N7" s="48"/>
      <c r="O7" s="48" t="s">
        <v>245</v>
      </c>
      <c r="P7" s="48"/>
    </row>
    <row r="8" spans="1:26" ht="15" customHeight="1" x14ac:dyDescent="0.35">
      <c r="A8" s="127" t="s">
        <v>5</v>
      </c>
      <c r="B8" s="127"/>
      <c r="C8" s="127"/>
      <c r="D8" s="127"/>
      <c r="E8" s="127" t="str">
        <f>E7</f>
        <v>Elite Developers</v>
      </c>
      <c r="F8" s="127"/>
      <c r="G8" s="127"/>
      <c r="H8" s="127"/>
      <c r="K8" s="47"/>
      <c r="L8" s="48"/>
      <c r="M8" s="48"/>
      <c r="N8" s="48"/>
      <c r="O8" s="48" t="s">
        <v>246</v>
      </c>
      <c r="P8" s="48"/>
    </row>
    <row r="9" spans="1:26" x14ac:dyDescent="0.35">
      <c r="A9" s="127" t="s">
        <v>6</v>
      </c>
      <c r="B9" s="127"/>
      <c r="C9" s="127"/>
      <c r="D9" s="127"/>
      <c r="E9" s="139" t="s">
        <v>329</v>
      </c>
      <c r="F9" s="139"/>
      <c r="G9" s="139"/>
      <c r="H9" s="139"/>
      <c r="K9" s="47"/>
      <c r="L9" s="48"/>
      <c r="M9" s="48"/>
      <c r="N9" s="48"/>
      <c r="O9" s="48" t="s">
        <v>247</v>
      </c>
      <c r="P9" s="48"/>
    </row>
    <row r="10" spans="1:26" x14ac:dyDescent="0.35">
      <c r="A10" s="127" t="s">
        <v>162</v>
      </c>
      <c r="B10" s="127"/>
      <c r="C10" s="127"/>
      <c r="D10" s="127"/>
      <c r="E10" s="181" t="s">
        <v>394</v>
      </c>
      <c r="F10" s="181"/>
      <c r="G10" s="181"/>
      <c r="H10" s="181"/>
      <c r="K10" s="47"/>
      <c r="L10" s="48"/>
      <c r="M10" s="48"/>
      <c r="N10" s="48"/>
      <c r="O10" s="48"/>
      <c r="P10" s="48"/>
    </row>
    <row r="11" spans="1:26" x14ac:dyDescent="0.35">
      <c r="A11" s="127" t="s">
        <v>163</v>
      </c>
      <c r="B11" s="127"/>
      <c r="C11" s="127"/>
      <c r="D11" s="127"/>
      <c r="E11" s="181" t="s">
        <v>400</v>
      </c>
      <c r="F11" s="181"/>
      <c r="G11" s="181"/>
      <c r="H11" s="181"/>
    </row>
    <row r="12" spans="1:26" ht="36" customHeight="1" x14ac:dyDescent="0.35">
      <c r="A12" s="127" t="s">
        <v>7</v>
      </c>
      <c r="B12" s="127"/>
      <c r="C12" s="127"/>
      <c r="D12" s="127"/>
      <c r="E12" s="172" t="s">
        <v>382</v>
      </c>
      <c r="F12" s="182"/>
      <c r="G12" s="183" t="s">
        <v>345</v>
      </c>
      <c r="H12" s="184"/>
    </row>
    <row r="13" spans="1:26" x14ac:dyDescent="0.35">
      <c r="A13" s="127" t="s">
        <v>166</v>
      </c>
      <c r="B13" s="127"/>
      <c r="C13" s="127"/>
      <c r="D13" s="127"/>
      <c r="E13" s="127" t="s">
        <v>28</v>
      </c>
      <c r="F13" s="127"/>
      <c r="G13" s="127"/>
      <c r="H13" s="127"/>
      <c r="S13" s="48" t="s">
        <v>174</v>
      </c>
      <c r="T13" s="48" t="s">
        <v>184</v>
      </c>
      <c r="U13" s="48" t="s">
        <v>167</v>
      </c>
      <c r="V13" s="48" t="s">
        <v>189</v>
      </c>
      <c r="W13" s="48" t="s">
        <v>207</v>
      </c>
      <c r="X13"/>
      <c r="Y13" t="s">
        <v>189</v>
      </c>
      <c r="Z13" t="e">
        <f ca="1">OFFSET($S$13,1,MATCH($G20,$S$13:$W$13,0)-1,15,1)</f>
        <v>#VALUE!</v>
      </c>
    </row>
    <row r="14" spans="1:26" ht="33.75" customHeight="1" x14ac:dyDescent="0.35">
      <c r="A14" s="127" t="s">
        <v>274</v>
      </c>
      <c r="B14" s="127"/>
      <c r="C14" s="127"/>
      <c r="D14" s="127"/>
      <c r="E14" s="129" t="s">
        <v>381</v>
      </c>
      <c r="F14" s="129"/>
      <c r="G14" s="129"/>
      <c r="H14" s="129"/>
      <c r="S14" s="48" t="s">
        <v>175</v>
      </c>
      <c r="T14" s="48" t="s">
        <v>182</v>
      </c>
      <c r="U14" s="48" t="s">
        <v>204</v>
      </c>
      <c r="V14" s="48" t="s">
        <v>190</v>
      </c>
      <c r="W14" s="48" t="s">
        <v>208</v>
      </c>
      <c r="X14"/>
      <c r="Y14"/>
      <c r="Z14"/>
    </row>
    <row r="15" spans="1:26" x14ac:dyDescent="0.35">
      <c r="A15" s="127" t="s">
        <v>8</v>
      </c>
      <c r="B15" s="127"/>
      <c r="C15" s="127"/>
      <c r="D15" s="127"/>
      <c r="E15" s="129" t="s">
        <v>327</v>
      </c>
      <c r="F15" s="127"/>
      <c r="G15" s="127"/>
      <c r="H15" s="127"/>
      <c r="I15" s="211" t="e">
        <f ca="1">OFFSET($D$5,1,MATCH($J13,$D$5:$H$5,0)-1,15,1)</f>
        <v>#N/A</v>
      </c>
      <c r="J15" s="212"/>
      <c r="K15" s="212"/>
      <c r="L15" s="212"/>
      <c r="M15" s="212"/>
      <c r="N15" s="212"/>
      <c r="O15" s="212"/>
      <c r="P15" s="212"/>
      <c r="S15" s="48" t="s">
        <v>176</v>
      </c>
      <c r="T15" s="48" t="s">
        <v>183</v>
      </c>
      <c r="U15" s="48" t="s">
        <v>205</v>
      </c>
      <c r="V15" s="48" t="s">
        <v>191</v>
      </c>
      <c r="W15" s="48" t="s">
        <v>221</v>
      </c>
      <c r="X15"/>
      <c r="Y15"/>
      <c r="Z15"/>
    </row>
    <row r="16" spans="1:26" ht="114" customHeight="1" x14ac:dyDescent="0.35">
      <c r="A16" s="129" t="s">
        <v>9</v>
      </c>
      <c r="B16" s="129"/>
      <c r="C16" s="129" t="str">
        <f>CONCATENATE((IF(OR(E9="",E9="NA"),"",E9)),", ",(IF(OR(A17="",A17="NA"),"",A17)),".",(IF(OR(C17="",C17="NA"),"",C17)),", near ",(IF(OR(C22="",C22="NA"),"",C22)),", ",(IF(OR(C19="",C19="NA"),"",C19)),", ",(IF(OR(C18="",C18="NA"),"",C18)),", ",(IF(OR(G19="",G19="NA"),"",G19)),", ",(IF(OR(C20="",C20="NA"),"",C20)),", ",(IF(OR(C21="",C21="NA"),"",C21)),", ",(IF(OR(G20="",G20="NA"),"",G20))," - ",(IF(OR(G21="",G21="NA"),"",G21)),".")</f>
        <v>Elite Tower, Survey No.180, 181/2, 185/1 to 12, 186, 187B, 188/pt, 190 to 194, 195B/11, 12pt, 196, 197, 199, 201pt, 202pt, 203, 204/1, 2, 3 &amp; 4, 205/1, 2, 3, 4, 5, 6 &amp; 7, 206/pt, 207/pt, 208/1, 2, 3, 4 to 8, 209pt, 210/1pt, 2, 211/2, 3, 6 &amp; 7, 212/3, 213/1, 214/3, 215pt, 216/1, 2 &amp; 4, 219/2, 220/pt, 221/1 &amp; 2, 222/3, 223/1 &amp; 2, 224/1, 250/pt, 251/8, 254, 255/1 to 4, 257/1, 259/1, 260/pt, 261 &amp; 263, near Avenue 210, Internal Road, Morya Nagar, Nilemore, Nalasopara West, Vasai, Palghar - 401203.</v>
      </c>
      <c r="D16" s="129"/>
      <c r="E16" s="129"/>
      <c r="F16" s="129"/>
      <c r="G16" s="129"/>
      <c r="H16" s="129"/>
      <c r="S16" s="48" t="s">
        <v>177</v>
      </c>
      <c r="T16" s="48" t="s">
        <v>185</v>
      </c>
      <c r="U16" s="48" t="s">
        <v>206</v>
      </c>
      <c r="V16" s="48" t="s">
        <v>192</v>
      </c>
      <c r="W16" s="48" t="s">
        <v>209</v>
      </c>
      <c r="X16"/>
      <c r="Y16"/>
      <c r="Z16"/>
    </row>
    <row r="17" spans="1:26" ht="83.15" customHeight="1" x14ac:dyDescent="0.35">
      <c r="A17" s="129" t="s">
        <v>330</v>
      </c>
      <c r="B17" s="129"/>
      <c r="C17" s="129" t="s">
        <v>358</v>
      </c>
      <c r="D17" s="129"/>
      <c r="E17" s="129"/>
      <c r="F17" s="129"/>
      <c r="G17" s="129"/>
      <c r="H17" s="129"/>
      <c r="S17" s="48" t="s">
        <v>178</v>
      </c>
      <c r="T17" s="48" t="s">
        <v>186</v>
      </c>
      <c r="U17" s="48" t="s">
        <v>167</v>
      </c>
      <c r="V17" s="48" t="s">
        <v>193</v>
      </c>
      <c r="W17" s="48" t="s">
        <v>210</v>
      </c>
      <c r="X17"/>
      <c r="Y17"/>
      <c r="Z17"/>
    </row>
    <row r="18" spans="1:26" ht="15.75" customHeight="1" x14ac:dyDescent="0.35">
      <c r="A18" s="129" t="s">
        <v>157</v>
      </c>
      <c r="B18" s="129"/>
      <c r="C18" s="129" t="s">
        <v>331</v>
      </c>
      <c r="D18" s="129"/>
      <c r="E18" s="129"/>
      <c r="F18" s="129"/>
      <c r="G18" s="129"/>
      <c r="H18" s="129"/>
      <c r="S18" s="48" t="s">
        <v>179</v>
      </c>
      <c r="T18" s="48" t="s">
        <v>184</v>
      </c>
      <c r="U18" s="48"/>
      <c r="V18" s="48" t="s">
        <v>194</v>
      </c>
      <c r="W18" s="48" t="s">
        <v>211</v>
      </c>
      <c r="X18"/>
      <c r="Y18"/>
      <c r="Z18"/>
    </row>
    <row r="19" spans="1:26" ht="15.75" customHeight="1" x14ac:dyDescent="0.35">
      <c r="A19" s="129" t="s">
        <v>10</v>
      </c>
      <c r="B19" s="129"/>
      <c r="C19" s="127" t="s">
        <v>332</v>
      </c>
      <c r="D19" s="127"/>
      <c r="E19" s="129" t="s">
        <v>70</v>
      </c>
      <c r="F19" s="129"/>
      <c r="G19" s="129" t="s">
        <v>344</v>
      </c>
      <c r="H19" s="129"/>
      <c r="S19" s="48" t="s">
        <v>180</v>
      </c>
      <c r="T19" s="48" t="s">
        <v>187</v>
      </c>
      <c r="U19" s="48"/>
      <c r="V19" s="48" t="s">
        <v>195</v>
      </c>
      <c r="W19" s="48" t="s">
        <v>212</v>
      </c>
      <c r="X19"/>
      <c r="Y19"/>
      <c r="Z19"/>
    </row>
    <row r="20" spans="1:26" x14ac:dyDescent="0.35">
      <c r="A20" s="127" t="s">
        <v>12</v>
      </c>
      <c r="B20" s="127"/>
      <c r="C20" s="129" t="s">
        <v>348</v>
      </c>
      <c r="D20" s="129"/>
      <c r="E20" s="129" t="s">
        <v>11</v>
      </c>
      <c r="F20" s="129"/>
      <c r="G20" s="180" t="s">
        <v>184</v>
      </c>
      <c r="H20" s="180"/>
      <c r="S20" s="48" t="s">
        <v>181</v>
      </c>
      <c r="T20" s="48" t="s">
        <v>188</v>
      </c>
      <c r="U20" s="48"/>
      <c r="V20" s="48" t="s">
        <v>196</v>
      </c>
      <c r="W20" s="48" t="s">
        <v>213</v>
      </c>
      <c r="X20"/>
      <c r="Y20"/>
      <c r="Z20"/>
    </row>
    <row r="21" spans="1:26" x14ac:dyDescent="0.35">
      <c r="A21" s="127" t="s">
        <v>71</v>
      </c>
      <c r="B21" s="127"/>
      <c r="C21" s="129" t="s">
        <v>185</v>
      </c>
      <c r="D21" s="129"/>
      <c r="E21" s="129" t="s">
        <v>13</v>
      </c>
      <c r="F21" s="129"/>
      <c r="G21" s="129">
        <v>401203</v>
      </c>
      <c r="H21" s="129"/>
      <c r="S21" s="48"/>
      <c r="T21" s="48"/>
      <c r="U21" s="48"/>
      <c r="V21" s="48" t="s">
        <v>197</v>
      </c>
      <c r="W21" s="48" t="s">
        <v>214</v>
      </c>
      <c r="X21"/>
      <c r="Y21"/>
      <c r="Z21"/>
    </row>
    <row r="22" spans="1:26" ht="32.25" customHeight="1" x14ac:dyDescent="0.35">
      <c r="A22" s="127" t="s">
        <v>116</v>
      </c>
      <c r="B22" s="127"/>
      <c r="C22" s="129" t="s">
        <v>334</v>
      </c>
      <c r="D22" s="129"/>
      <c r="E22" s="129" t="s">
        <v>14</v>
      </c>
      <c r="F22" s="129"/>
      <c r="G22" s="129" t="s">
        <v>333</v>
      </c>
      <c r="H22" s="129"/>
      <c r="S22" s="48"/>
      <c r="T22" s="48"/>
      <c r="U22" s="48"/>
      <c r="V22" s="48" t="s">
        <v>198</v>
      </c>
      <c r="W22" s="48" t="s">
        <v>215</v>
      </c>
      <c r="X22"/>
      <c r="Y22"/>
      <c r="Z22"/>
    </row>
    <row r="23" spans="1:26" ht="15" customHeight="1" x14ac:dyDescent="0.35">
      <c r="A23" s="125" t="s">
        <v>73</v>
      </c>
      <c r="B23" s="125"/>
      <c r="C23" s="125"/>
      <c r="D23" s="125"/>
      <c r="E23" s="127" t="s">
        <v>15</v>
      </c>
      <c r="F23" s="127"/>
      <c r="G23" s="127"/>
      <c r="H23" s="127"/>
      <c r="S23" s="48"/>
      <c r="T23" s="48"/>
      <c r="U23" s="48"/>
      <c r="V23" s="48" t="s">
        <v>199</v>
      </c>
      <c r="W23" s="48" t="s">
        <v>216</v>
      </c>
      <c r="X23"/>
      <c r="Y23"/>
      <c r="Z23"/>
    </row>
    <row r="24" spans="1:26" ht="18.75" customHeight="1" x14ac:dyDescent="0.35">
      <c r="A24" s="125"/>
      <c r="B24" s="125"/>
      <c r="C24" s="125"/>
      <c r="D24" s="125"/>
      <c r="E24" s="127"/>
      <c r="F24" s="127"/>
      <c r="G24" s="127"/>
      <c r="H24" s="127"/>
      <c r="S24" s="48"/>
      <c r="T24" s="48"/>
      <c r="U24" s="48"/>
      <c r="V24" s="48" t="s">
        <v>200</v>
      </c>
      <c r="W24" s="48" t="s">
        <v>217</v>
      </c>
      <c r="X24"/>
      <c r="Y24"/>
      <c r="Z24"/>
    </row>
    <row r="25" spans="1:26" ht="15" customHeight="1" x14ac:dyDescent="0.35">
      <c r="A25" s="125" t="s">
        <v>16</v>
      </c>
      <c r="B25" s="125"/>
      <c r="C25" s="125"/>
      <c r="D25" s="125"/>
      <c r="E25" s="129" t="s">
        <v>17</v>
      </c>
      <c r="F25" s="129"/>
      <c r="G25" s="129"/>
      <c r="H25" s="129"/>
      <c r="S25" s="48"/>
      <c r="T25" s="48"/>
      <c r="U25" s="48"/>
      <c r="V25" s="48" t="s">
        <v>201</v>
      </c>
      <c r="W25" s="48" t="s">
        <v>218</v>
      </c>
      <c r="X25"/>
      <c r="Y25"/>
      <c r="Z25"/>
    </row>
    <row r="26" spans="1:26" ht="15" customHeight="1" x14ac:dyDescent="0.35">
      <c r="A26" s="94" t="s">
        <v>18</v>
      </c>
      <c r="B26" s="94"/>
      <c r="C26" s="94"/>
      <c r="D26" s="94"/>
      <c r="E26" s="129" t="str">
        <f>IF(AND(G20="Mumbai"),"Upper Class","Middle Class")</f>
        <v>Middle Class</v>
      </c>
      <c r="F26" s="129"/>
      <c r="G26" s="129"/>
      <c r="H26" s="129"/>
      <c r="S26" s="48"/>
      <c r="T26" s="48"/>
      <c r="U26" s="48"/>
      <c r="V26" s="48" t="s">
        <v>202</v>
      </c>
      <c r="W26" s="48" t="s">
        <v>219</v>
      </c>
      <c r="X26"/>
      <c r="Y26"/>
      <c r="Z26"/>
    </row>
    <row r="27" spans="1:26" x14ac:dyDescent="0.35">
      <c r="A27" s="94" t="s">
        <v>19</v>
      </c>
      <c r="B27" s="94"/>
      <c r="C27" s="94"/>
      <c r="D27" s="94"/>
      <c r="E27" s="129" t="s">
        <v>20</v>
      </c>
      <c r="F27" s="129"/>
      <c r="G27" s="129"/>
      <c r="H27" s="129"/>
      <c r="S27" s="48"/>
      <c r="T27" s="48"/>
      <c r="U27" s="48"/>
      <c r="V27" s="48" t="s">
        <v>203</v>
      </c>
      <c r="W27" s="48" t="s">
        <v>220</v>
      </c>
      <c r="X27"/>
      <c r="Y27"/>
      <c r="Z27"/>
    </row>
    <row r="28" spans="1:26" ht="15.75" customHeight="1" x14ac:dyDescent="0.35">
      <c r="A28" s="94" t="s">
        <v>21</v>
      </c>
      <c r="B28" s="94"/>
      <c r="C28" s="94"/>
      <c r="D28" s="94"/>
      <c r="E28" s="129" t="str">
        <f>IF(AND(G20="Mumbai"),"Developed","Developing")</f>
        <v>Developing</v>
      </c>
      <c r="F28" s="129"/>
      <c r="G28" s="129"/>
      <c r="H28" s="129"/>
    </row>
    <row r="29" spans="1:26" x14ac:dyDescent="0.35">
      <c r="A29" s="94" t="s">
        <v>22</v>
      </c>
      <c r="B29" s="94"/>
      <c r="C29" s="94"/>
      <c r="D29" s="94"/>
      <c r="E29" s="129" t="s">
        <v>23</v>
      </c>
      <c r="F29" s="129"/>
      <c r="G29" s="129"/>
      <c r="H29" s="129"/>
    </row>
    <row r="30" spans="1:26" ht="15.75" customHeight="1" x14ac:dyDescent="0.35">
      <c r="A30" s="94" t="s">
        <v>78</v>
      </c>
      <c r="B30" s="94"/>
      <c r="C30" s="94"/>
      <c r="D30" s="94"/>
      <c r="E30" s="129" t="s">
        <v>79</v>
      </c>
      <c r="F30" s="129"/>
      <c r="G30" s="129"/>
      <c r="H30" s="129"/>
    </row>
    <row r="31" spans="1:26" ht="15" customHeight="1" x14ac:dyDescent="0.35">
      <c r="A31" s="94" t="s">
        <v>30</v>
      </c>
      <c r="B31" s="94"/>
      <c r="C31" s="94"/>
      <c r="D31" s="94"/>
      <c r="E31" s="12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9"/>
      <c r="G31" s="129"/>
      <c r="H31" s="129"/>
    </row>
    <row r="32" spans="1:26" ht="15.75" customHeight="1" x14ac:dyDescent="0.35">
      <c r="A32" s="94" t="s">
        <v>89</v>
      </c>
      <c r="B32" s="94"/>
      <c r="C32" s="94"/>
      <c r="D32" s="94"/>
      <c r="E32" s="129" t="s">
        <v>31</v>
      </c>
      <c r="F32" s="129"/>
      <c r="G32" s="129"/>
      <c r="H32" s="129"/>
    </row>
    <row r="33" spans="1:19" s="19" customFormat="1" x14ac:dyDescent="0.35">
      <c r="A33" s="179" t="s">
        <v>90</v>
      </c>
      <c r="B33" s="179"/>
      <c r="C33" s="175" t="s">
        <v>168</v>
      </c>
      <c r="D33" s="176"/>
      <c r="E33" s="177"/>
      <c r="F33" s="175" t="s">
        <v>29</v>
      </c>
      <c r="G33" s="176"/>
      <c r="H33" s="177"/>
      <c r="S33" s="19" t="e">
        <f ca="1">OFFSET($S$13,1,MATCH($G20,$S$13:$W$13,0)-1,15,1)</f>
        <v>#VALUE!</v>
      </c>
    </row>
    <row r="34" spans="1:19" s="19" customFormat="1" x14ac:dyDescent="0.35">
      <c r="A34" s="154" t="s">
        <v>24</v>
      </c>
      <c r="B34" s="154" t="s">
        <v>28</v>
      </c>
      <c r="C34" s="155" t="s">
        <v>383</v>
      </c>
      <c r="D34" s="156"/>
      <c r="E34" s="157"/>
      <c r="F34" s="155" t="s">
        <v>335</v>
      </c>
      <c r="G34" s="156"/>
      <c r="H34" s="157"/>
    </row>
    <row r="35" spans="1:19" x14ac:dyDescent="0.35">
      <c r="A35" s="154" t="s">
        <v>25</v>
      </c>
      <c r="B35" s="154" t="s">
        <v>28</v>
      </c>
      <c r="C35" s="155" t="s">
        <v>332</v>
      </c>
      <c r="D35" s="156"/>
      <c r="E35" s="157"/>
      <c r="F35" s="155" t="s">
        <v>332</v>
      </c>
      <c r="G35" s="156"/>
      <c r="H35" s="157"/>
    </row>
    <row r="36" spans="1:19" s="19" customFormat="1" ht="29.25" customHeight="1" x14ac:dyDescent="0.35">
      <c r="A36" s="171" t="s">
        <v>27</v>
      </c>
      <c r="B36" s="171" t="s">
        <v>28</v>
      </c>
      <c r="C36" s="172" t="s">
        <v>384</v>
      </c>
      <c r="D36" s="173"/>
      <c r="E36" s="174"/>
      <c r="F36" s="178" t="s">
        <v>334</v>
      </c>
      <c r="G36" s="173"/>
      <c r="H36" s="174"/>
    </row>
    <row r="37" spans="1:19" x14ac:dyDescent="0.35">
      <c r="A37" s="154" t="s">
        <v>26</v>
      </c>
      <c r="B37" s="154" t="s">
        <v>28</v>
      </c>
      <c r="C37" s="155" t="s">
        <v>336</v>
      </c>
      <c r="D37" s="156"/>
      <c r="E37" s="157"/>
      <c r="F37" s="155" t="s">
        <v>335</v>
      </c>
      <c r="G37" s="156"/>
      <c r="H37" s="157"/>
    </row>
    <row r="38" spans="1:19" x14ac:dyDescent="0.35">
      <c r="A38" s="94" t="s">
        <v>275</v>
      </c>
      <c r="B38" s="94"/>
      <c r="C38" s="94"/>
      <c r="D38" s="94"/>
      <c r="E38" s="94"/>
      <c r="F38" s="94"/>
      <c r="G38" s="94"/>
      <c r="H38" s="94"/>
    </row>
    <row r="39" spans="1:19" ht="15.75" customHeight="1" x14ac:dyDescent="0.35">
      <c r="A39" s="94" t="s">
        <v>160</v>
      </c>
      <c r="B39" s="94"/>
      <c r="C39" s="139" t="s">
        <v>346</v>
      </c>
      <c r="D39" s="139"/>
      <c r="E39" s="139"/>
      <c r="F39" s="139"/>
      <c r="G39" s="139"/>
      <c r="H39" s="139"/>
    </row>
    <row r="40" spans="1:19" x14ac:dyDescent="0.35">
      <c r="A40" s="94" t="s">
        <v>156</v>
      </c>
      <c r="B40" s="94"/>
      <c r="C40" s="133" t="s">
        <v>347</v>
      </c>
      <c r="D40" s="129"/>
      <c r="E40" s="129"/>
      <c r="F40" s="129"/>
      <c r="G40" s="129"/>
      <c r="H40" s="129"/>
    </row>
    <row r="41" spans="1:19" x14ac:dyDescent="0.35">
      <c r="A41" s="146" t="s">
        <v>32</v>
      </c>
      <c r="B41" s="146"/>
      <c r="C41" s="146"/>
      <c r="D41" s="146"/>
      <c r="E41" s="146"/>
      <c r="F41" s="146"/>
      <c r="G41" s="146"/>
      <c r="H41" s="146"/>
    </row>
    <row r="42" spans="1:19" x14ac:dyDescent="0.35">
      <c r="A42" s="94" t="s">
        <v>33</v>
      </c>
      <c r="B42" s="94"/>
      <c r="C42" s="94"/>
      <c r="D42" s="94"/>
      <c r="E42" s="158">
        <v>222110.61</v>
      </c>
      <c r="F42" s="158"/>
      <c r="G42" s="158"/>
      <c r="H42" s="158"/>
    </row>
    <row r="43" spans="1:19" x14ac:dyDescent="0.35">
      <c r="A43" s="94" t="s">
        <v>34</v>
      </c>
      <c r="B43" s="94"/>
      <c r="C43" s="94"/>
      <c r="D43" s="94"/>
      <c r="E43" s="160">
        <f>244321.67/E42</f>
        <v>1.0999999954977389</v>
      </c>
      <c r="F43" s="160"/>
      <c r="G43" s="160"/>
      <c r="H43" s="160"/>
      <c r="I43" s="69">
        <f>244321.67/E42</f>
        <v>1.0999999954977389</v>
      </c>
    </row>
    <row r="44" spans="1:19" x14ac:dyDescent="0.35">
      <c r="A44" s="94" t="s">
        <v>35</v>
      </c>
      <c r="B44" s="94"/>
      <c r="C44" s="94"/>
      <c r="D44" s="94"/>
      <c r="E44" s="160">
        <f>E46/E42-E43</f>
        <v>1.9847345428478183</v>
      </c>
      <c r="F44" s="160"/>
      <c r="G44" s="160"/>
      <c r="H44" s="160"/>
    </row>
    <row r="45" spans="1:19" x14ac:dyDescent="0.35">
      <c r="A45" s="94" t="s">
        <v>36</v>
      </c>
      <c r="B45" s="94"/>
      <c r="C45" s="94"/>
      <c r="D45" s="94"/>
      <c r="E45" s="160">
        <f>E43+E44</f>
        <v>3.0847345383455571</v>
      </c>
      <c r="F45" s="160"/>
      <c r="G45" s="160"/>
      <c r="H45" s="160"/>
    </row>
    <row r="46" spans="1:19" x14ac:dyDescent="0.35">
      <c r="A46" s="94" t="s">
        <v>88</v>
      </c>
      <c r="B46" s="94"/>
      <c r="C46" s="94"/>
      <c r="D46" s="94"/>
      <c r="E46" s="161">
        <v>685152.27</v>
      </c>
      <c r="F46" s="161"/>
      <c r="G46" s="161"/>
      <c r="H46" s="161"/>
      <c r="I46" s="18">
        <v>678112.75</v>
      </c>
    </row>
    <row r="47" spans="1:19" x14ac:dyDescent="0.35">
      <c r="A47" s="127" t="s">
        <v>37</v>
      </c>
      <c r="B47" s="127"/>
      <c r="C47" s="127"/>
      <c r="D47" s="127"/>
      <c r="E47" s="127" t="s">
        <v>337</v>
      </c>
      <c r="F47" s="127"/>
      <c r="G47" s="127"/>
      <c r="H47" s="127"/>
    </row>
    <row r="48" spans="1:19" x14ac:dyDescent="0.35">
      <c r="A48" s="146" t="s">
        <v>38</v>
      </c>
      <c r="B48" s="146"/>
      <c r="C48" s="146"/>
      <c r="D48" s="146"/>
      <c r="E48" s="146"/>
      <c r="F48" s="146"/>
      <c r="G48" s="146"/>
      <c r="H48" s="146"/>
    </row>
    <row r="49" spans="1:24" ht="33.75" customHeight="1" x14ac:dyDescent="0.35">
      <c r="A49" s="152" t="s">
        <v>145</v>
      </c>
      <c r="B49" s="153"/>
      <c r="C49" s="114" t="s">
        <v>270</v>
      </c>
      <c r="D49" s="115"/>
      <c r="E49" s="115"/>
      <c r="F49" s="115"/>
      <c r="G49" s="115"/>
      <c r="H49" s="116"/>
      <c r="R49" t="s">
        <v>248</v>
      </c>
      <c r="S49" t="s">
        <v>167</v>
      </c>
      <c r="T49" t="s">
        <v>174</v>
      </c>
      <c r="U49" t="s">
        <v>189</v>
      </c>
      <c r="V49" t="s">
        <v>184</v>
      </c>
    </row>
    <row r="50" spans="1:24" ht="31" customHeight="1" x14ac:dyDescent="0.35">
      <c r="A50" s="152" t="s">
        <v>39</v>
      </c>
      <c r="B50" s="153"/>
      <c r="C50" s="152" t="s">
        <v>343</v>
      </c>
      <c r="D50" s="168"/>
      <c r="E50" s="153"/>
      <c r="F50" s="17" t="s">
        <v>40</v>
      </c>
      <c r="G50" s="162">
        <v>45128</v>
      </c>
      <c r="H50" s="163"/>
      <c r="R50"/>
      <c r="S50" t="s">
        <v>249</v>
      </c>
      <c r="T50" t="s">
        <v>254</v>
      </c>
      <c r="U50" t="s">
        <v>265</v>
      </c>
      <c r="V50" t="s">
        <v>270</v>
      </c>
    </row>
    <row r="51" spans="1:24" ht="31" customHeight="1" x14ac:dyDescent="0.35">
      <c r="A51" s="152" t="s">
        <v>41</v>
      </c>
      <c r="B51" s="153"/>
      <c r="C51" s="152" t="s">
        <v>343</v>
      </c>
      <c r="D51" s="168"/>
      <c r="E51" s="153"/>
      <c r="F51" s="17" t="s">
        <v>40</v>
      </c>
      <c r="G51" s="162">
        <v>45128</v>
      </c>
      <c r="H51" s="163"/>
      <c r="R51"/>
      <c r="S51" t="s">
        <v>250</v>
      </c>
      <c r="T51" t="s">
        <v>255</v>
      </c>
      <c r="U51" t="s">
        <v>263</v>
      </c>
      <c r="V51" t="s">
        <v>271</v>
      </c>
    </row>
    <row r="52" spans="1:24" s="20" customFormat="1" x14ac:dyDescent="0.35">
      <c r="A52" s="164" t="s">
        <v>149</v>
      </c>
      <c r="B52" s="165"/>
      <c r="C52" s="152" t="s">
        <v>339</v>
      </c>
      <c r="D52" s="168"/>
      <c r="E52" s="153"/>
      <c r="F52" s="17" t="s">
        <v>40</v>
      </c>
      <c r="G52" s="162">
        <v>45128</v>
      </c>
      <c r="H52" s="163"/>
      <c r="R52"/>
      <c r="S52" t="s">
        <v>251</v>
      </c>
      <c r="T52" t="s">
        <v>256</v>
      </c>
      <c r="U52" t="s">
        <v>253</v>
      </c>
      <c r="V52" t="s">
        <v>272</v>
      </c>
    </row>
    <row r="53" spans="1:24" s="20" customFormat="1" ht="32.25" customHeight="1" x14ac:dyDescent="0.35">
      <c r="A53" s="166"/>
      <c r="B53" s="167"/>
      <c r="C53" s="152" t="s">
        <v>350</v>
      </c>
      <c r="D53" s="168"/>
      <c r="E53" s="168"/>
      <c r="F53" s="168"/>
      <c r="G53" s="168"/>
      <c r="H53" s="153"/>
      <c r="R53"/>
      <c r="S53" t="s">
        <v>252</v>
      </c>
      <c r="T53" t="s">
        <v>259</v>
      </c>
      <c r="U53" t="s">
        <v>266</v>
      </c>
    </row>
    <row r="54" spans="1:24" s="20" customFormat="1" x14ac:dyDescent="0.35">
      <c r="A54" s="209" t="s">
        <v>276</v>
      </c>
      <c r="B54" s="209"/>
      <c r="C54" s="129" t="s">
        <v>351</v>
      </c>
      <c r="D54" s="129"/>
      <c r="E54" s="129"/>
      <c r="F54" s="89" t="s">
        <v>40</v>
      </c>
      <c r="G54" s="210">
        <v>45456</v>
      </c>
      <c r="H54" s="210"/>
      <c r="R54"/>
      <c r="S54" t="s">
        <v>251</v>
      </c>
      <c r="T54" t="s">
        <v>256</v>
      </c>
      <c r="U54" t="s">
        <v>253</v>
      </c>
      <c r="V54" t="s">
        <v>272</v>
      </c>
    </row>
    <row r="55" spans="1:24" s="20" customFormat="1" ht="35.5" customHeight="1" x14ac:dyDescent="0.35">
      <c r="A55" s="209"/>
      <c r="B55" s="209"/>
      <c r="C55" s="138" t="s">
        <v>352</v>
      </c>
      <c r="D55" s="138"/>
      <c r="E55" s="138"/>
      <c r="F55" s="138"/>
      <c r="G55" s="138"/>
      <c r="H55" s="138"/>
      <c r="I55" s="80" t="s">
        <v>395</v>
      </c>
      <c r="R55"/>
      <c r="S55" t="s">
        <v>253</v>
      </c>
      <c r="T55" t="s">
        <v>257</v>
      </c>
      <c r="U55" t="s">
        <v>267</v>
      </c>
      <c r="V55" s="18"/>
      <c r="W55" s="18"/>
      <c r="X55" s="18"/>
    </row>
    <row r="56" spans="1:24" s="20" customFormat="1" x14ac:dyDescent="0.35">
      <c r="A56" s="129" t="s">
        <v>277</v>
      </c>
      <c r="B56" s="129"/>
      <c r="C56" s="129" t="s">
        <v>353</v>
      </c>
      <c r="D56" s="129"/>
      <c r="E56" s="129"/>
      <c r="F56" s="89" t="s">
        <v>40</v>
      </c>
      <c r="G56" s="210">
        <v>45128</v>
      </c>
      <c r="H56" s="210"/>
      <c r="R56"/>
      <c r="S56" s="18"/>
      <c r="T56" t="s">
        <v>258</v>
      </c>
      <c r="U56" t="s">
        <v>268</v>
      </c>
      <c r="V56" s="18"/>
      <c r="W56" s="18"/>
      <c r="X56" s="18"/>
    </row>
    <row r="57" spans="1:24" s="20" customFormat="1" ht="130.5" customHeight="1" x14ac:dyDescent="0.35">
      <c r="A57" s="129"/>
      <c r="B57" s="129"/>
      <c r="C57" s="129" t="s">
        <v>385</v>
      </c>
      <c r="D57" s="129"/>
      <c r="E57" s="129"/>
      <c r="F57" s="129"/>
      <c r="G57" s="129"/>
      <c r="H57" s="129"/>
      <c r="R57"/>
      <c r="S57" s="18"/>
      <c r="T57" t="s">
        <v>260</v>
      </c>
      <c r="U57" t="s">
        <v>269</v>
      </c>
      <c r="V57" s="18"/>
      <c r="W57" s="18"/>
      <c r="X57" s="18"/>
    </row>
    <row r="58" spans="1:24" s="20" customFormat="1" hidden="1" x14ac:dyDescent="0.35">
      <c r="A58" s="219" t="s">
        <v>278</v>
      </c>
      <c r="B58" s="220"/>
      <c r="C58" s="152"/>
      <c r="D58" s="168"/>
      <c r="E58" s="153"/>
      <c r="F58" s="17" t="s">
        <v>40</v>
      </c>
      <c r="G58" s="152"/>
      <c r="H58" s="153"/>
      <c r="R58"/>
      <c r="S58" s="18"/>
      <c r="T58" t="s">
        <v>261</v>
      </c>
      <c r="U58" s="18" t="s">
        <v>292</v>
      </c>
      <c r="V58" s="18"/>
      <c r="W58" s="18"/>
      <c r="X58" s="18"/>
    </row>
    <row r="59" spans="1:24" s="20" customFormat="1" ht="12.75" hidden="1" customHeight="1" x14ac:dyDescent="0.35">
      <c r="A59" s="221"/>
      <c r="B59" s="222"/>
      <c r="C59" s="125"/>
      <c r="D59" s="125"/>
      <c r="E59" s="125"/>
      <c r="F59" s="17" t="s">
        <v>115</v>
      </c>
      <c r="G59" s="125"/>
      <c r="H59" s="125"/>
      <c r="R59"/>
      <c r="S59" s="18"/>
      <c r="T59" t="s">
        <v>262</v>
      </c>
      <c r="U59" s="18"/>
      <c r="V59" s="18"/>
      <c r="W59" s="18"/>
      <c r="X59" s="18"/>
    </row>
    <row r="60" spans="1:24" x14ac:dyDescent="0.35">
      <c r="A60" s="214" t="s">
        <v>42</v>
      </c>
      <c r="B60" s="215"/>
      <c r="C60" s="214" t="s">
        <v>101</v>
      </c>
      <c r="D60" s="216"/>
      <c r="E60" s="215"/>
      <c r="F60" s="40" t="s">
        <v>40</v>
      </c>
      <c r="G60" s="207" t="s">
        <v>28</v>
      </c>
      <c r="H60" s="208"/>
      <c r="R60"/>
      <c r="T60" t="s">
        <v>264</v>
      </c>
    </row>
    <row r="61" spans="1:24" x14ac:dyDescent="0.35">
      <c r="A61" s="190" t="s">
        <v>44</v>
      </c>
      <c r="B61" s="190"/>
      <c r="C61" s="190"/>
      <c r="D61" s="190"/>
      <c r="E61" s="190"/>
      <c r="F61" s="190"/>
      <c r="G61" s="190"/>
      <c r="H61" s="190"/>
      <c r="T61" t="s">
        <v>273</v>
      </c>
    </row>
    <row r="62" spans="1:24" ht="35.25" customHeight="1" x14ac:dyDescent="0.35">
      <c r="A62" s="125" t="s">
        <v>354</v>
      </c>
      <c r="B62" s="125"/>
      <c r="C62" s="125"/>
      <c r="D62" s="94">
        <f>4346.68+6937.52</f>
        <v>11284.2</v>
      </c>
      <c r="E62" s="94"/>
      <c r="F62" s="94"/>
      <c r="G62" s="94"/>
      <c r="H62" s="94"/>
      <c r="R62"/>
    </row>
    <row r="63" spans="1:24" x14ac:dyDescent="0.35">
      <c r="A63" s="129" t="s">
        <v>45</v>
      </c>
      <c r="B63" s="127"/>
      <c r="C63" s="127"/>
      <c r="D63" s="127" t="s">
        <v>379</v>
      </c>
      <c r="E63" s="127"/>
      <c r="F63" s="127"/>
      <c r="G63" s="127"/>
      <c r="H63" s="127"/>
      <c r="I63" s="21"/>
      <c r="R63"/>
    </row>
    <row r="64" spans="1:24" ht="34.5" customHeight="1" x14ac:dyDescent="0.35">
      <c r="A64" s="149" t="s">
        <v>46</v>
      </c>
      <c r="B64" s="150"/>
      <c r="C64" s="151"/>
      <c r="D64" s="147" t="s">
        <v>356</v>
      </c>
      <c r="E64" s="148"/>
      <c r="F64" s="148"/>
      <c r="G64" s="148"/>
      <c r="H64" s="148"/>
      <c r="R64"/>
    </row>
    <row r="65" spans="1:19" x14ac:dyDescent="0.35">
      <c r="A65" s="149" t="s">
        <v>86</v>
      </c>
      <c r="B65" s="150"/>
      <c r="C65" s="150"/>
      <c r="D65" s="129" t="s">
        <v>355</v>
      </c>
      <c r="E65" s="129"/>
      <c r="F65" s="129"/>
      <c r="G65" s="129"/>
      <c r="H65" s="129"/>
      <c r="R65"/>
    </row>
    <row r="66" spans="1:19" ht="15.75" customHeight="1" x14ac:dyDescent="0.35">
      <c r="A66" s="169"/>
      <c r="B66" s="170"/>
      <c r="C66" s="170"/>
      <c r="D66" s="127" t="s">
        <v>357</v>
      </c>
      <c r="E66" s="127"/>
      <c r="F66" s="127"/>
      <c r="G66" s="127"/>
      <c r="H66" s="127"/>
      <c r="R66"/>
    </row>
    <row r="67" spans="1:19" ht="15.75" customHeight="1" x14ac:dyDescent="0.35">
      <c r="A67" s="94" t="s">
        <v>43</v>
      </c>
      <c r="B67" s="94"/>
      <c r="C67" s="124"/>
      <c r="D67" s="125" t="s">
        <v>338</v>
      </c>
      <c r="E67" s="125"/>
      <c r="F67" s="125"/>
      <c r="G67" s="125"/>
      <c r="H67" s="125"/>
      <c r="J67" s="22"/>
      <c r="K67" s="21"/>
      <c r="N67" s="21"/>
      <c r="S67"/>
    </row>
    <row r="68" spans="1:19" ht="15.75" customHeight="1" x14ac:dyDescent="0.35">
      <c r="A68" s="94" t="s">
        <v>84</v>
      </c>
      <c r="B68" s="94"/>
      <c r="C68" s="124"/>
      <c r="D68" s="159" t="str">
        <f>(IF(G60="NA","60 Years After Completion",IF(G60&lt;&gt;"NA",""&amp;60-ROUNDDOWN((E3-G60)/360,0)&amp;" Years"," ")))</f>
        <v>60 Years After Completion</v>
      </c>
      <c r="E68" s="159"/>
      <c r="F68" s="159"/>
      <c r="G68" s="159"/>
      <c r="H68" s="159"/>
      <c r="N68" s="21"/>
      <c r="S68"/>
    </row>
    <row r="69" spans="1:19" ht="15.75" customHeight="1" x14ac:dyDescent="0.35">
      <c r="A69" s="94" t="s">
        <v>85</v>
      </c>
      <c r="B69" s="94"/>
      <c r="C69" s="124"/>
      <c r="D69" s="125" t="s">
        <v>23</v>
      </c>
      <c r="E69" s="125"/>
      <c r="F69" s="125"/>
      <c r="G69" s="125"/>
      <c r="H69" s="125"/>
      <c r="J69" s="23"/>
      <c r="K69" s="23"/>
      <c r="S69"/>
    </row>
    <row r="70" spans="1:19" ht="66" customHeight="1" x14ac:dyDescent="0.35">
      <c r="A70" s="127" t="s">
        <v>340</v>
      </c>
      <c r="B70" s="127"/>
      <c r="C70" s="128"/>
      <c r="D70" s="129" t="s">
        <v>359</v>
      </c>
      <c r="E70" s="125"/>
      <c r="F70" s="125"/>
      <c r="G70" s="125"/>
      <c r="H70" s="125"/>
      <c r="S70"/>
    </row>
    <row r="71" spans="1:19" x14ac:dyDescent="0.35">
      <c r="A71" s="125" t="s">
        <v>142</v>
      </c>
      <c r="B71" s="125"/>
      <c r="C71" s="125"/>
      <c r="D71" s="217" t="s">
        <v>28</v>
      </c>
      <c r="E71" s="217"/>
      <c r="F71" s="217"/>
      <c r="G71" s="217"/>
      <c r="H71" s="217"/>
      <c r="I71" s="24"/>
      <c r="J71" s="24"/>
      <c r="K71" s="24"/>
      <c r="L71" s="24"/>
      <c r="M71" s="24"/>
      <c r="N71" s="24"/>
    </row>
    <row r="72" spans="1:19" ht="15.75" customHeight="1" x14ac:dyDescent="0.35">
      <c r="A72" s="218" t="s">
        <v>83</v>
      </c>
      <c r="B72" s="218"/>
      <c r="C72" s="218"/>
      <c r="D72" s="147" t="str">
        <f ca="1">(IF(G78&gt;95%,"Nothing",IF(G78&gt;0%,"Cement, Aggregate, Steel, etc",IF(G78=0%,"Work not yet Started"))))</f>
        <v>Cement, Aggregate, Steel, etc</v>
      </c>
      <c r="E72" s="147"/>
      <c r="F72" s="147"/>
      <c r="G72" s="147"/>
      <c r="H72" s="147"/>
      <c r="J72" s="23"/>
      <c r="S72"/>
    </row>
    <row r="73" spans="1:19" ht="33.75" customHeight="1" thickBot="1" x14ac:dyDescent="0.4">
      <c r="A73" s="130" t="s">
        <v>114</v>
      </c>
      <c r="B73" s="130"/>
      <c r="C73" s="130"/>
      <c r="D73" s="147" t="str">
        <f ca="1">(IF(D72="Nothing","Yes",IF(D72="Cement, Aggregate, Steel, etc","Under Construction",IF(D72="Work not yet Started","Work not yet Started"))))</f>
        <v>Under Construction</v>
      </c>
      <c r="E73" s="147"/>
      <c r="F73" s="147" t="str">
        <f ca="1">(IF(D72="Nothing","Yes",IF(D72="Cement, Aggregate, Steel, etc","Under Construction",IF(D72="Work not yet Started","Work not yet Started"))))</f>
        <v>Under Construction</v>
      </c>
      <c r="G73" s="147"/>
      <c r="H73" s="147"/>
      <c r="S73"/>
    </row>
    <row r="74" spans="1:19" x14ac:dyDescent="0.35">
      <c r="A74" s="140" t="s">
        <v>134</v>
      </c>
      <c r="B74" s="141"/>
      <c r="C74" s="142" t="str">
        <f>D65</f>
        <v>Building No.4 (Wing D) = Gr/St + 1st to 16th Floor</v>
      </c>
      <c r="D74" s="143"/>
      <c r="E74" s="143"/>
      <c r="F74" s="143"/>
      <c r="G74" s="143"/>
      <c r="H74" s="144"/>
      <c r="I74" s="42" t="str">
        <f ca="1">IF(D87=100%,"All work Completed. Possession granted to the Building.",IF(D86=100%,"All work Completed, Waiting for OC",I75&amp;""&amp;I76&amp;""&amp;J75&amp;""&amp;J74&amp;" "&amp;J76))</f>
        <v>Excavation, Plinth Completed, RCC upto 7 Slab Completed</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7 Slab</v>
      </c>
      <c r="S74"/>
    </row>
    <row r="75" spans="1:19" x14ac:dyDescent="0.35">
      <c r="A75" s="15" t="s">
        <v>136</v>
      </c>
      <c r="B75" s="46">
        <f>IF(AND(ISNUMBER(SEARCH("1B",C74))),1,IF(AND(ISNUMBER(SEARCH("2B",C74))),2,IF(AND(ISNUMBER(SEARCH("3B",C74))),3,IF(AND(ISNUMBER(SEARCH("4B",C74))),4,IF(ISNUMBER(SEARCH("5B",C74)),5,0)))))</f>
        <v>0</v>
      </c>
      <c r="C75" s="46" t="s">
        <v>69</v>
      </c>
      <c r="D75" s="46">
        <v>1</v>
      </c>
      <c r="E75" s="46" t="s">
        <v>68</v>
      </c>
      <c r="F75" s="46">
        <v>0</v>
      </c>
      <c r="G75" s="46" t="s">
        <v>77</v>
      </c>
      <c r="H75" s="16">
        <f ca="1">--TRIM(RIGHT(SUBSTITUTE(LEFT(C74,_xlfn.AGGREGATE(16,6,FIND({0,1,2,3,4,5,6,7,8,9},C74,ROW(INDIRECT("1:"&amp;LEN(C74)))),1))," ",REPT(" ",LEN(C74))),LEN(C74)))</f>
        <v>16</v>
      </c>
      <c r="I75" s="44" t="str">
        <f ca="1">IF(D78=100%,"Excavation","")&amp;IF(D79=100%,", Plinth","")&amp;IF(D80=100%,", RCC Slab","")&amp;IF(D81=100%,", Brickwork","")&amp;IF(D82=100%,", Internal Plaster","")&amp;IF(D83=100%,", External Plaster","")&amp;IF(D84=100%,", Flooring","")&amp;IF(D85=100%,", Painting","")&amp;IF(D86=100%,", Building common Amenities","")</f>
        <v>Excavation, Plinth</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35">
      <c r="A76" s="139" t="s">
        <v>87</v>
      </c>
      <c r="B76" s="139"/>
      <c r="C76" s="126" t="str">
        <f ca="1">I74</f>
        <v>Excavation, Plinth Completed, RCC upto 7 Slab Completed</v>
      </c>
      <c r="D76" s="126"/>
      <c r="E76" s="126"/>
      <c r="F76" s="126"/>
      <c r="G76" s="126"/>
      <c r="H76" s="126"/>
      <c r="I76" s="86" t="str">
        <f ca="1">IF(I75&lt;&gt;""," Completed","")</f>
        <v xml:space="preserve"> Completed</v>
      </c>
      <c r="J76" s="45" t="str">
        <f ca="1">IF(J74&lt;&gt;"","Completed","")</f>
        <v>Completed</v>
      </c>
      <c r="S76"/>
    </row>
    <row r="77" spans="1:19" ht="15.75" customHeight="1" x14ac:dyDescent="0.35">
      <c r="A77" s="95" t="s">
        <v>47</v>
      </c>
      <c r="B77" s="95"/>
      <c r="C77" s="84" t="s">
        <v>133</v>
      </c>
      <c r="D77" s="84" t="s">
        <v>80</v>
      </c>
      <c r="E77" s="95" t="s">
        <v>82</v>
      </c>
      <c r="F77" s="95"/>
      <c r="G77" s="95" t="s">
        <v>81</v>
      </c>
      <c r="H77" s="95"/>
      <c r="I77" s="13" t="s">
        <v>135</v>
      </c>
      <c r="J77" s="25">
        <f ca="1">H75*25%</f>
        <v>4</v>
      </c>
      <c r="S77"/>
    </row>
    <row r="78" spans="1:19" x14ac:dyDescent="0.35">
      <c r="A78" s="95" t="s">
        <v>122</v>
      </c>
      <c r="B78" s="95"/>
      <c r="C78" s="81">
        <f ca="1">J79</f>
        <v>16</v>
      </c>
      <c r="D78" s="70">
        <f ca="1">((100/H75)*C78)/100</f>
        <v>1</v>
      </c>
      <c r="E78" s="117">
        <f ca="1">(((C79/H75*10)+(40/(D75+F75+H75)*C80)+(7.5/(H75)*C81)+(7.5/(H75)*C82)+(10/H75*C83)+(10/H75*C84)+(5/H75*C85)+(5/H75*C86)+(5/H75*C87))/100)</f>
        <v>0.26470588235294118</v>
      </c>
      <c r="F78" s="117"/>
      <c r="G78" s="117">
        <f ca="1">((((C78/H75)*20)+((C79/H75)*25)+(30/(H75+F75+D75)*C80)+(5/H75*C81)+(5/H75*C82)+(5/H75*C83)+(5/H75*C84)+(0/H75*C85)+(0/H75*C86)+(5/H75*C87))/100)</f>
        <v>0.57352941176470584</v>
      </c>
      <c r="H78" s="117"/>
      <c r="I78" s="13" t="s">
        <v>96</v>
      </c>
      <c r="J78" s="26">
        <f ca="1">H75*50%</f>
        <v>8</v>
      </c>
    </row>
    <row r="79" spans="1:19" x14ac:dyDescent="0.35">
      <c r="A79" s="95" t="s">
        <v>48</v>
      </c>
      <c r="B79" s="95"/>
      <c r="C79" s="81">
        <f ca="1">J87</f>
        <v>16</v>
      </c>
      <c r="D79" s="70">
        <f ca="1">((100/H75)*C79)/100</f>
        <v>1</v>
      </c>
      <c r="E79" s="117"/>
      <c r="F79" s="117"/>
      <c r="G79" s="117"/>
      <c r="H79" s="117"/>
      <c r="I79" s="13" t="s">
        <v>97</v>
      </c>
      <c r="J79" s="26">
        <f ca="1">H75</f>
        <v>16</v>
      </c>
      <c r="S79"/>
    </row>
    <row r="80" spans="1:19" ht="15.75" customHeight="1" x14ac:dyDescent="0.35">
      <c r="A80" s="95" t="s">
        <v>123</v>
      </c>
      <c r="B80" s="95"/>
      <c r="C80" s="81">
        <v>7</v>
      </c>
      <c r="D80" s="70">
        <f ca="1">((100/(D75+F75+H75))*C80)/100</f>
        <v>0.41176470588235298</v>
      </c>
      <c r="E80" s="117"/>
      <c r="F80" s="117"/>
      <c r="G80" s="117"/>
      <c r="H80" s="117"/>
      <c r="I80" s="13" t="s">
        <v>98</v>
      </c>
      <c r="J80" s="27">
        <f ca="1">(IF(B75&gt;1,(H75/(B75+2)),H75/4))</f>
        <v>4</v>
      </c>
      <c r="S80"/>
    </row>
    <row r="81" spans="1:10" ht="15.75" customHeight="1" x14ac:dyDescent="0.35">
      <c r="A81" s="95" t="s">
        <v>130</v>
      </c>
      <c r="B81" s="95" t="s">
        <v>124</v>
      </c>
      <c r="C81" s="81">
        <v>0</v>
      </c>
      <c r="D81" s="70">
        <f ca="1">((100/H75)*C81)/100</f>
        <v>0</v>
      </c>
      <c r="E81" s="117"/>
      <c r="F81" s="117"/>
      <c r="G81" s="117"/>
      <c r="H81" s="117"/>
      <c r="I81" s="13" t="s">
        <v>99</v>
      </c>
      <c r="J81" s="27">
        <f ca="1">(IF(B75&gt;1,(H75/(B75+2)+J80),H75/4+J80))</f>
        <v>8</v>
      </c>
    </row>
    <row r="82" spans="1:10" ht="15.75" customHeight="1" x14ac:dyDescent="0.35">
      <c r="A82" s="95" t="s">
        <v>131</v>
      </c>
      <c r="B82" s="95" t="s">
        <v>124</v>
      </c>
      <c r="C82" s="81">
        <v>0</v>
      </c>
      <c r="D82" s="70">
        <f ca="1">((100/H75)*C82)/100</f>
        <v>0</v>
      </c>
      <c r="E82" s="117"/>
      <c r="F82" s="117"/>
      <c r="G82" s="117"/>
      <c r="H82" s="117"/>
      <c r="I82" s="13" t="s">
        <v>140</v>
      </c>
      <c r="J82" s="27">
        <f>(IF(B75&gt;1,(H75/(B75+2)+J81),0))</f>
        <v>0</v>
      </c>
    </row>
    <row r="83" spans="1:10" ht="15" customHeight="1" x14ac:dyDescent="0.35">
      <c r="A83" s="95" t="s">
        <v>129</v>
      </c>
      <c r="B83" s="95" t="s">
        <v>126</v>
      </c>
      <c r="C83" s="81">
        <v>0</v>
      </c>
      <c r="D83" s="70">
        <f ca="1">((100/(H75))*C83)/100</f>
        <v>0</v>
      </c>
      <c r="E83" s="117"/>
      <c r="F83" s="117"/>
      <c r="G83" s="117"/>
      <c r="H83" s="117"/>
      <c r="I83" s="13" t="s">
        <v>137</v>
      </c>
      <c r="J83" s="27">
        <f>(IF(B75&gt;2,(H75/(B75+2)+J82),0))</f>
        <v>0</v>
      </c>
    </row>
    <row r="84" spans="1:10" ht="15.75" customHeight="1" x14ac:dyDescent="0.35">
      <c r="A84" s="95" t="s">
        <v>125</v>
      </c>
      <c r="B84" s="95" t="s">
        <v>125</v>
      </c>
      <c r="C84" s="81">
        <v>0</v>
      </c>
      <c r="D84" s="70">
        <f ca="1">((100/H75)*C84)/100</f>
        <v>0</v>
      </c>
      <c r="E84" s="117"/>
      <c r="F84" s="117"/>
      <c r="G84" s="117"/>
      <c r="H84" s="117"/>
      <c r="I84" s="13" t="s">
        <v>138</v>
      </c>
      <c r="J84" s="28">
        <f>(IF(B75&gt;3,(H75/(B75+2)+J83),0))</f>
        <v>0</v>
      </c>
    </row>
    <row r="85" spans="1:10" ht="15.75" customHeight="1" x14ac:dyDescent="0.35">
      <c r="A85" s="95" t="s">
        <v>132</v>
      </c>
      <c r="B85" s="95"/>
      <c r="C85" s="81">
        <v>0</v>
      </c>
      <c r="D85" s="70">
        <f ca="1">((100/H75)*C85)/100</f>
        <v>0</v>
      </c>
      <c r="E85" s="117"/>
      <c r="F85" s="117"/>
      <c r="G85" s="117"/>
      <c r="H85" s="117"/>
      <c r="I85" s="13" t="s">
        <v>139</v>
      </c>
      <c r="J85" s="27">
        <f>(IF(B75&gt;4,(H75/(B75+2)+J84),0))</f>
        <v>0</v>
      </c>
    </row>
    <row r="86" spans="1:10" ht="15.75" customHeight="1" x14ac:dyDescent="0.35">
      <c r="A86" s="95" t="s">
        <v>127</v>
      </c>
      <c r="B86" s="95" t="s">
        <v>127</v>
      </c>
      <c r="C86" s="81">
        <v>0</v>
      </c>
      <c r="D86" s="70">
        <f ca="1">((100/(H75))*C86)/100</f>
        <v>0</v>
      </c>
      <c r="E86" s="117"/>
      <c r="F86" s="117"/>
      <c r="G86" s="117"/>
      <c r="H86" s="117"/>
      <c r="I86" s="13" t="s">
        <v>141</v>
      </c>
      <c r="J86" s="27">
        <f ca="1">(IF(B75=1,(H75/(B75+3)+J81),IF(B75=0,(H75/4+J81),IF(B75&gt;1,0))))</f>
        <v>12</v>
      </c>
    </row>
    <row r="87" spans="1:10" ht="16" thickBot="1" x14ac:dyDescent="0.4">
      <c r="A87" s="95" t="s">
        <v>128</v>
      </c>
      <c r="B87" s="95"/>
      <c r="C87" s="81">
        <v>0</v>
      </c>
      <c r="D87" s="70">
        <f ca="1">((100/(H75))*C87)/100</f>
        <v>0</v>
      </c>
      <c r="E87" s="117"/>
      <c r="F87" s="117"/>
      <c r="G87" s="117"/>
      <c r="H87" s="117"/>
      <c r="I87" s="14" t="s">
        <v>100</v>
      </c>
      <c r="J87" s="29">
        <f ca="1">(IF(B75&gt;1.5,(H75/(B75+2)+J81+MAX(0,J82-J81)+MAX(0,J83-J82)+MAX(0,J84-J83)+MAX(0,J85-J84)+MAX(0,J86-J85)),IF(B75=1,(H75/(B75+3)+J86),IF(B75=0,H75/4+J86))))</f>
        <v>16</v>
      </c>
    </row>
    <row r="88" spans="1:10" ht="15.75" customHeight="1" x14ac:dyDescent="0.35">
      <c r="A88" s="126" t="s">
        <v>134</v>
      </c>
      <c r="B88" s="126"/>
      <c r="C88" s="126" t="str">
        <f>D66</f>
        <v>Building No.4 (Wing E) = Gr/St + 1st to 23rd Floor</v>
      </c>
      <c r="D88" s="126"/>
      <c r="E88" s="126"/>
      <c r="F88" s="126"/>
      <c r="G88" s="126"/>
      <c r="H88" s="126"/>
      <c r="I88" s="85" t="str">
        <f ca="1">IF(D101=100%,"All work Completed. Possession granted to the Building.",IF(D100=100%,"All work Completed, Waiting for OC",I89&amp;""&amp;I90&amp;""&amp;J89&amp;""&amp;J88&amp;" "&amp;J90))</f>
        <v>Excavation, Plinth Completed, RCC upto 2 Slab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2 Slab</v>
      </c>
    </row>
    <row r="89" spans="1:10" x14ac:dyDescent="0.35">
      <c r="A89" s="46" t="s">
        <v>136</v>
      </c>
      <c r="B89" s="46">
        <f>IF(AND(ISNUMBER(SEARCH("1B",C88))),1,IF(AND(ISNUMBER(SEARCH("2B",C88))),2,IF(AND(ISNUMBER(SEARCH("3B",C88))),3,IF(AND(ISNUMBER(SEARCH("4B",C88))),4,IF(ISNUMBER(SEARCH("5B",C88)),5,0)))))</f>
        <v>0</v>
      </c>
      <c r="C89" s="46" t="s">
        <v>69</v>
      </c>
      <c r="D89" s="46">
        <v>1</v>
      </c>
      <c r="E89" s="46" t="s">
        <v>68</v>
      </c>
      <c r="F89" s="46">
        <v>0</v>
      </c>
      <c r="G89" s="46" t="s">
        <v>77</v>
      </c>
      <c r="H89" s="46">
        <f ca="1">--TRIM(RIGHT(SUBSTITUTE(LEFT(C88,_xlfn.AGGREGATE(16,6,FIND({0,1,2,3,4,5,6,7,8,9},C88,ROW(INDIRECT("1:"&amp;LEN(C88)))),1))," ",REPT(" ",LEN(C88))),LEN(C88)))</f>
        <v>23</v>
      </c>
      <c r="I89" s="86" t="str">
        <f ca="1">IF(D92=100%,"Excavation","")&amp;IF(D93=100%,", Plinth","")&amp;IF(D94=100%,", RCC Slab","")&amp;IF(D95=100%,", Brickwork","")&amp;IF(D96=100%,", Internal Plaster","")&amp;IF(D97=100%,", External Plaster","")&amp;IF(D98=100%,", Flooring","")&amp;IF(D99=100%,", Painting","")&amp;IF(D100=100%,", Building common Amenities","")</f>
        <v>Excavation, Plinth</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x14ac:dyDescent="0.35">
      <c r="A90" s="139" t="s">
        <v>87</v>
      </c>
      <c r="B90" s="139"/>
      <c r="C90" s="126" t="str">
        <f ca="1">(IF($G$60="NA",I88,"All work Completed. OC Received."))</f>
        <v>Excavation, Plinth Completed, RCC upto 2 Slab Completed</v>
      </c>
      <c r="D90" s="126"/>
      <c r="E90" s="126"/>
      <c r="F90" s="126"/>
      <c r="G90" s="126"/>
      <c r="H90" s="126"/>
      <c r="I90" s="86" t="str">
        <f ca="1">IF(I89&lt;&gt;""," Completed","")</f>
        <v xml:space="preserve"> Completed</v>
      </c>
      <c r="J90" s="45" t="str">
        <f ca="1">IF(J88&lt;&gt;"","Completed","")</f>
        <v>Completed</v>
      </c>
    </row>
    <row r="91" spans="1:10" ht="15.75" customHeight="1" x14ac:dyDescent="0.35">
      <c r="A91" s="95" t="s">
        <v>47</v>
      </c>
      <c r="B91" s="95"/>
      <c r="C91" s="83" t="s">
        <v>133</v>
      </c>
      <c r="D91" s="83" t="s">
        <v>80</v>
      </c>
      <c r="E91" s="95" t="s">
        <v>82</v>
      </c>
      <c r="F91" s="95"/>
      <c r="G91" s="95" t="s">
        <v>81</v>
      </c>
      <c r="H91" s="95"/>
      <c r="I91" s="13" t="s">
        <v>135</v>
      </c>
      <c r="J91" s="25">
        <f ca="1">H89*25%</f>
        <v>5.75</v>
      </c>
    </row>
    <row r="92" spans="1:10" x14ac:dyDescent="0.35">
      <c r="A92" s="95" t="s">
        <v>122</v>
      </c>
      <c r="B92" s="95"/>
      <c r="C92" s="81">
        <f ca="1">J93</f>
        <v>23</v>
      </c>
      <c r="D92" s="70">
        <f ca="1">((100/H89)*C92)/100</f>
        <v>1</v>
      </c>
      <c r="E92" s="117">
        <f ca="1">(((C93/H89*10)+(40/(D89+F89+H89)*C94)+(7.5/(H89)*C95)+(7.5/(H89)*C96)+(10/H89*C97)+(10/H89*C98)+(5/H89*C99)+(5/H89*C100)+(5/H89*C101))/100)</f>
        <v>0.13333333333333333</v>
      </c>
      <c r="F92" s="117"/>
      <c r="G92" s="117">
        <f ca="1">((((C92/H89)*20)+((C93/H89)*25)+(30/(H89+F89+D89)*C94)+(5/H89*C95)+(5/H89*C96)+(5/H89*C97)+(5/H89*C98)+(0/H89*C99)+(0/H89*C100)+(5/H89*C101))/100)</f>
        <v>0.47499999999999998</v>
      </c>
      <c r="H92" s="117"/>
      <c r="I92" s="13" t="s">
        <v>96</v>
      </c>
      <c r="J92" s="26">
        <f ca="1">H89*50%</f>
        <v>11.5</v>
      </c>
    </row>
    <row r="93" spans="1:10" x14ac:dyDescent="0.35">
      <c r="A93" s="95" t="s">
        <v>48</v>
      </c>
      <c r="B93" s="95"/>
      <c r="C93" s="82">
        <f ca="1">J101</f>
        <v>23</v>
      </c>
      <c r="D93" s="70">
        <f ca="1">((100/H89)*C93)/100</f>
        <v>1</v>
      </c>
      <c r="E93" s="117"/>
      <c r="F93" s="117"/>
      <c r="G93" s="117"/>
      <c r="H93" s="117"/>
      <c r="I93" s="13" t="s">
        <v>97</v>
      </c>
      <c r="J93" s="26">
        <f ca="1">H89</f>
        <v>23</v>
      </c>
    </row>
    <row r="94" spans="1:10" ht="15.75" customHeight="1" x14ac:dyDescent="0.35">
      <c r="A94" s="95" t="s">
        <v>123</v>
      </c>
      <c r="B94" s="95"/>
      <c r="C94" s="81">
        <v>2</v>
      </c>
      <c r="D94" s="70">
        <f ca="1">((100/(D89+F89+H89))*C94)/100</f>
        <v>8.3333333333333343E-2</v>
      </c>
      <c r="E94" s="117"/>
      <c r="F94" s="117"/>
      <c r="G94" s="117"/>
      <c r="H94" s="117"/>
      <c r="I94" s="13" t="s">
        <v>98</v>
      </c>
      <c r="J94" s="27">
        <f ca="1">(IF(B89&gt;1,(H89/(B89+2)),H89/4))</f>
        <v>5.75</v>
      </c>
    </row>
    <row r="95" spans="1:10" ht="15.75" customHeight="1" x14ac:dyDescent="0.35">
      <c r="A95" s="95" t="s">
        <v>130</v>
      </c>
      <c r="B95" s="95" t="s">
        <v>124</v>
      </c>
      <c r="C95" s="81">
        <v>0</v>
      </c>
      <c r="D95" s="70">
        <f ca="1">((100/H89)*C95)/100</f>
        <v>0</v>
      </c>
      <c r="E95" s="117"/>
      <c r="F95" s="117"/>
      <c r="G95" s="117"/>
      <c r="H95" s="117"/>
      <c r="I95" s="13" t="s">
        <v>99</v>
      </c>
      <c r="J95" s="27">
        <f ca="1">(IF(B89&gt;1,(H89/(B89+2)+J94),H89/4+J94))</f>
        <v>11.5</v>
      </c>
    </row>
    <row r="96" spans="1:10" ht="15.75" customHeight="1" x14ac:dyDescent="0.35">
      <c r="A96" s="95" t="s">
        <v>131</v>
      </c>
      <c r="B96" s="95" t="s">
        <v>124</v>
      </c>
      <c r="C96" s="81">
        <v>0</v>
      </c>
      <c r="D96" s="70">
        <f ca="1">((100/H89)*C96)/100</f>
        <v>0</v>
      </c>
      <c r="E96" s="117"/>
      <c r="F96" s="117"/>
      <c r="G96" s="117"/>
      <c r="H96" s="117"/>
      <c r="I96" s="13" t="s">
        <v>140</v>
      </c>
      <c r="J96" s="27">
        <f>(IF(B89&gt;1,(H89/(B89+2)+J95),0))</f>
        <v>0</v>
      </c>
    </row>
    <row r="97" spans="1:22" ht="15" customHeight="1" x14ac:dyDescent="0.35">
      <c r="A97" s="95" t="s">
        <v>129</v>
      </c>
      <c r="B97" s="95" t="s">
        <v>126</v>
      </c>
      <c r="C97" s="81">
        <v>0</v>
      </c>
      <c r="D97" s="70">
        <f ca="1">((100/(H89))*C97)/100</f>
        <v>0</v>
      </c>
      <c r="E97" s="117"/>
      <c r="F97" s="117"/>
      <c r="G97" s="117"/>
      <c r="H97" s="117"/>
      <c r="I97" s="13" t="s">
        <v>137</v>
      </c>
      <c r="J97" s="27">
        <f>(IF(B89&gt;2,(H89/(B89+2)+J96),0))</f>
        <v>0</v>
      </c>
    </row>
    <row r="98" spans="1:22" ht="15.75" customHeight="1" x14ac:dyDescent="0.35">
      <c r="A98" s="95" t="s">
        <v>125</v>
      </c>
      <c r="B98" s="95" t="s">
        <v>125</v>
      </c>
      <c r="C98" s="81">
        <v>0</v>
      </c>
      <c r="D98" s="70">
        <f ca="1">((100/H89)*C98)/100</f>
        <v>0</v>
      </c>
      <c r="E98" s="117"/>
      <c r="F98" s="117"/>
      <c r="G98" s="117"/>
      <c r="H98" s="117"/>
      <c r="I98" s="13" t="s">
        <v>138</v>
      </c>
      <c r="J98" s="28">
        <f>(IF(B89&gt;3,(H89/(B89+2)+J97),0))</f>
        <v>0</v>
      </c>
    </row>
    <row r="99" spans="1:22" ht="15.75" customHeight="1" x14ac:dyDescent="0.35">
      <c r="A99" s="95" t="s">
        <v>132</v>
      </c>
      <c r="B99" s="95"/>
      <c r="C99" s="81">
        <v>0</v>
      </c>
      <c r="D99" s="70">
        <f ca="1">((100/H89)*C99)/100</f>
        <v>0</v>
      </c>
      <c r="E99" s="117"/>
      <c r="F99" s="117"/>
      <c r="G99" s="117"/>
      <c r="H99" s="117"/>
      <c r="I99" s="13" t="s">
        <v>139</v>
      </c>
      <c r="J99" s="27">
        <f>(IF(B89&gt;4,(H89/(B89+2)+J98),0))</f>
        <v>0</v>
      </c>
    </row>
    <row r="100" spans="1:22" ht="15.75" customHeight="1" x14ac:dyDescent="0.35">
      <c r="A100" s="95" t="s">
        <v>127</v>
      </c>
      <c r="B100" s="95" t="s">
        <v>127</v>
      </c>
      <c r="C100" s="81">
        <v>0</v>
      </c>
      <c r="D100" s="70">
        <f ca="1">((100/(H89))*C100)/100</f>
        <v>0</v>
      </c>
      <c r="E100" s="117"/>
      <c r="F100" s="117"/>
      <c r="G100" s="117"/>
      <c r="H100" s="117"/>
      <c r="I100" s="13" t="s">
        <v>141</v>
      </c>
      <c r="J100" s="27">
        <f ca="1">(IF(B89=1,(H89/(B89+3)+J95),IF(B89=0,(H89/4+J95),IF(B89&gt;1,0))))</f>
        <v>17.25</v>
      </c>
    </row>
    <row r="101" spans="1:22" ht="16" thickBot="1" x14ac:dyDescent="0.4">
      <c r="A101" s="95" t="s">
        <v>128</v>
      </c>
      <c r="B101" s="95"/>
      <c r="C101" s="81">
        <v>0</v>
      </c>
      <c r="D101" s="70">
        <f ca="1">((100/(H89))*C101)/100</f>
        <v>0</v>
      </c>
      <c r="E101" s="117"/>
      <c r="F101" s="117"/>
      <c r="G101" s="117"/>
      <c r="H101" s="117"/>
      <c r="I101" s="14" t="s">
        <v>100</v>
      </c>
      <c r="J101" s="29">
        <f ca="1">(IF(B89&gt;1.5,(H89/(B89+2)+J95+MAX(0,J96-J95)+MAX(0,J97-J96)+MAX(0,J98-J97)+MAX(0,J99-J98)+MAX(0,J100-J99)),IF(B89=1,(H89/(B89+3)+J100),IF(B89=0,H89/4+J100))))</f>
        <v>23</v>
      </c>
    </row>
    <row r="102" spans="1:22" x14ac:dyDescent="0.35">
      <c r="A102" s="121" t="s">
        <v>151</v>
      </c>
      <c r="B102" s="121"/>
      <c r="C102" s="121"/>
      <c r="D102" s="121"/>
      <c r="E102" s="121"/>
      <c r="F102" s="196" t="s">
        <v>155</v>
      </c>
      <c r="G102" s="196"/>
      <c r="H102" s="196"/>
      <c r="R102" t="s">
        <v>248</v>
      </c>
      <c r="S102" t="s">
        <v>167</v>
      </c>
      <c r="T102" t="s">
        <v>174</v>
      </c>
      <c r="U102" t="s">
        <v>189</v>
      </c>
      <c r="V102" t="s">
        <v>184</v>
      </c>
    </row>
    <row r="103" spans="1:22" x14ac:dyDescent="0.35">
      <c r="A103" s="94" t="s">
        <v>153</v>
      </c>
      <c r="B103" s="94"/>
      <c r="C103" s="94"/>
      <c r="D103" s="94"/>
      <c r="E103" s="94"/>
      <c r="F103" s="118">
        <v>5200</v>
      </c>
      <c r="G103" s="118"/>
      <c r="H103" s="118"/>
      <c r="R103"/>
      <c r="S103">
        <v>800000</v>
      </c>
      <c r="T103">
        <v>150000</v>
      </c>
      <c r="U103">
        <v>100000</v>
      </c>
      <c r="V103">
        <v>100000</v>
      </c>
    </row>
    <row r="104" spans="1:22" x14ac:dyDescent="0.35">
      <c r="A104" s="94" t="s">
        <v>152</v>
      </c>
      <c r="B104" s="94"/>
      <c r="C104" s="94"/>
      <c r="D104" s="94"/>
      <c r="E104" s="94"/>
      <c r="F104" s="118">
        <v>10000</v>
      </c>
      <c r="G104" s="118"/>
      <c r="H104" s="118"/>
      <c r="R104"/>
      <c r="S104">
        <v>900000</v>
      </c>
      <c r="T104">
        <v>200000</v>
      </c>
      <c r="U104">
        <v>150000</v>
      </c>
      <c r="V104">
        <v>150000</v>
      </c>
    </row>
    <row r="105" spans="1:22" hidden="1" x14ac:dyDescent="0.35">
      <c r="A105" s="94" t="s">
        <v>154</v>
      </c>
      <c r="B105" s="94"/>
      <c r="C105" s="94"/>
      <c r="D105" s="94"/>
      <c r="E105" s="94"/>
      <c r="F105" s="118"/>
      <c r="G105" s="118"/>
      <c r="H105" s="118"/>
      <c r="R105"/>
      <c r="S105">
        <v>1000000</v>
      </c>
      <c r="T105">
        <v>250000</v>
      </c>
      <c r="U105">
        <v>200000</v>
      </c>
      <c r="V105">
        <v>200000</v>
      </c>
    </row>
    <row r="106" spans="1:22" s="30" customFormat="1" hidden="1" x14ac:dyDescent="0.35">
      <c r="A106" s="94" t="s">
        <v>170</v>
      </c>
      <c r="B106" s="94"/>
      <c r="C106" s="94"/>
      <c r="D106" s="94"/>
      <c r="E106" s="94"/>
      <c r="F106" s="118"/>
      <c r="G106" s="118"/>
      <c r="H106" s="118"/>
      <c r="R106"/>
      <c r="S106">
        <v>1100000</v>
      </c>
      <c r="T106">
        <v>300000</v>
      </c>
      <c r="U106">
        <v>250000</v>
      </c>
      <c r="V106" s="20">
        <v>250000</v>
      </c>
    </row>
    <row r="107" spans="1:22" s="30" customFormat="1" hidden="1" x14ac:dyDescent="0.35">
      <c r="A107" s="94" t="s">
        <v>91</v>
      </c>
      <c r="B107" s="94"/>
      <c r="C107" s="94"/>
      <c r="D107" s="94"/>
      <c r="E107" s="94"/>
      <c r="F107" s="118"/>
      <c r="G107" s="118"/>
      <c r="H107" s="118"/>
      <c r="R107"/>
      <c r="S107">
        <v>1200000</v>
      </c>
      <c r="T107">
        <v>350000</v>
      </c>
      <c r="U107">
        <v>300000</v>
      </c>
      <c r="V107">
        <v>300000</v>
      </c>
    </row>
    <row r="108" spans="1:22" s="30" customFormat="1" hidden="1" x14ac:dyDescent="0.35">
      <c r="A108" s="94" t="s">
        <v>92</v>
      </c>
      <c r="B108" s="94"/>
      <c r="C108" s="94"/>
      <c r="D108" s="94"/>
      <c r="E108" s="94"/>
      <c r="F108" s="118"/>
      <c r="G108" s="118"/>
      <c r="H108" s="118"/>
      <c r="R108"/>
      <c r="S108">
        <v>1300000</v>
      </c>
      <c r="T108">
        <v>400000</v>
      </c>
      <c r="U108">
        <v>350000</v>
      </c>
      <c r="V108" s="20">
        <v>400000</v>
      </c>
    </row>
    <row r="109" spans="1:22" s="30" customFormat="1" hidden="1" x14ac:dyDescent="0.35">
      <c r="A109" s="94" t="s">
        <v>93</v>
      </c>
      <c r="B109" s="94"/>
      <c r="C109" s="94"/>
      <c r="D109" s="94"/>
      <c r="E109" s="94"/>
      <c r="F109" s="118"/>
      <c r="G109" s="118"/>
      <c r="H109" s="118"/>
      <c r="R109"/>
      <c r="S109">
        <v>1400000</v>
      </c>
      <c r="T109">
        <v>500000</v>
      </c>
      <c r="U109">
        <v>400000</v>
      </c>
      <c r="V109"/>
    </row>
    <row r="110" spans="1:22" s="30" customFormat="1" hidden="1" x14ac:dyDescent="0.35">
      <c r="A110" s="94" t="s">
        <v>94</v>
      </c>
      <c r="B110" s="94"/>
      <c r="C110" s="94"/>
      <c r="D110" s="94"/>
      <c r="E110" s="94"/>
      <c r="F110" s="118"/>
      <c r="G110" s="118"/>
      <c r="H110" s="118"/>
      <c r="R110"/>
      <c r="S110">
        <v>1500000</v>
      </c>
      <c r="T110">
        <v>600000</v>
      </c>
      <c r="U110">
        <v>500000</v>
      </c>
      <c r="V110" s="20"/>
    </row>
    <row r="111" spans="1:22" s="30" customFormat="1" hidden="1" x14ac:dyDescent="0.35">
      <c r="A111" s="94" t="s">
        <v>95</v>
      </c>
      <c r="B111" s="94"/>
      <c r="C111" s="94"/>
      <c r="D111" s="94"/>
      <c r="E111" s="94"/>
      <c r="F111" s="118"/>
      <c r="G111" s="118"/>
      <c r="H111" s="118"/>
      <c r="R111"/>
      <c r="S111">
        <v>1600000</v>
      </c>
      <c r="T111">
        <v>700000</v>
      </c>
      <c r="U111">
        <v>600000</v>
      </c>
      <c r="V111"/>
    </row>
    <row r="112" spans="1:22" s="30" customFormat="1" hidden="1" x14ac:dyDescent="0.35">
      <c r="A112" s="94" t="s">
        <v>342</v>
      </c>
      <c r="B112" s="94"/>
      <c r="C112" s="94"/>
      <c r="D112" s="94"/>
      <c r="E112" s="94"/>
      <c r="F112" s="118"/>
      <c r="G112" s="118"/>
      <c r="H112" s="118"/>
      <c r="R112"/>
      <c r="S112">
        <v>1700000</v>
      </c>
      <c r="T112">
        <v>800000</v>
      </c>
      <c r="U112"/>
      <c r="V112" s="20"/>
    </row>
    <row r="113" spans="1:22" x14ac:dyDescent="0.35">
      <c r="A113" s="94" t="s">
        <v>49</v>
      </c>
      <c r="B113" s="94"/>
      <c r="C113" s="94"/>
      <c r="D113" s="94"/>
      <c r="E113" s="94"/>
      <c r="F113" s="118">
        <v>250000</v>
      </c>
      <c r="G113" s="118"/>
      <c r="H113" s="118"/>
      <c r="R113"/>
      <c r="S113">
        <v>1800000</v>
      </c>
      <c r="T113">
        <v>900000</v>
      </c>
      <c r="U113"/>
    </row>
    <row r="114" spans="1:22" s="31" customFormat="1" x14ac:dyDescent="0.35">
      <c r="A114" s="146" t="s">
        <v>50</v>
      </c>
      <c r="B114" s="146"/>
      <c r="C114" s="146"/>
      <c r="D114" s="146"/>
      <c r="E114" s="146"/>
      <c r="F114" s="118">
        <f>F103*0.8</f>
        <v>4160</v>
      </c>
      <c r="G114" s="118"/>
      <c r="H114" s="118"/>
      <c r="R114" s="18"/>
      <c r="S114" s="18"/>
      <c r="T114">
        <v>1000000</v>
      </c>
      <c r="U114"/>
      <c r="V114" s="18"/>
    </row>
    <row r="115" spans="1:22" s="32" customFormat="1" ht="15.75" customHeight="1" x14ac:dyDescent="0.35">
      <c r="A115" s="99" t="s">
        <v>72</v>
      </c>
      <c r="B115" s="99"/>
      <c r="C115" s="99"/>
      <c r="D115" s="99"/>
      <c r="E115" s="99"/>
      <c r="F115" s="99"/>
      <c r="G115" s="99"/>
      <c r="H115" s="99"/>
      <c r="R115"/>
      <c r="S115" s="18"/>
      <c r="T115"/>
      <c r="U115"/>
      <c r="V115" s="18"/>
    </row>
    <row r="116" spans="1:22" s="32" customFormat="1" ht="15.75" customHeight="1" x14ac:dyDescent="0.35">
      <c r="A116" s="104" t="s">
        <v>51</v>
      </c>
      <c r="B116" s="104"/>
      <c r="C116" s="101" t="s">
        <v>75</v>
      </c>
      <c r="D116" s="101"/>
      <c r="E116" s="103" t="s">
        <v>52</v>
      </c>
      <c r="F116" s="103"/>
      <c r="G116" s="104" t="s">
        <v>53</v>
      </c>
      <c r="H116" s="104"/>
      <c r="R116"/>
      <c r="S116" s="18"/>
      <c r="T116"/>
      <c r="U116" s="18"/>
      <c r="V116" s="18"/>
    </row>
    <row r="117" spans="1:22" s="32" customFormat="1" x14ac:dyDescent="0.35">
      <c r="A117" s="105" t="s">
        <v>361</v>
      </c>
      <c r="B117" s="105"/>
      <c r="C117" s="134">
        <f>COUNT(F132:F138)</f>
        <v>7</v>
      </c>
      <c r="D117" s="106"/>
      <c r="E117" s="107">
        <f>SUM(F132:F138)</f>
        <v>1392.4310399999999</v>
      </c>
      <c r="F117" s="135"/>
      <c r="G117" s="107">
        <f>SUM(H132:H138)</f>
        <v>2088.6465599999997</v>
      </c>
      <c r="H117" s="135"/>
      <c r="R117"/>
      <c r="S117" s="18"/>
      <c r="T117"/>
      <c r="U117" s="18"/>
      <c r="V117" s="18"/>
    </row>
    <row r="118" spans="1:22" s="32" customFormat="1" x14ac:dyDescent="0.35">
      <c r="A118" s="99" t="s">
        <v>144</v>
      </c>
      <c r="B118" s="99"/>
      <c r="C118" s="100">
        <f>SUM(C117)</f>
        <v>7</v>
      </c>
      <c r="D118" s="101"/>
      <c r="E118" s="102">
        <f t="shared" ref="E118:G118" si="0">SUM(E117)</f>
        <v>1392.4310399999999</v>
      </c>
      <c r="F118" s="103"/>
      <c r="G118" s="104">
        <f t="shared" si="0"/>
        <v>2088.6465599999997</v>
      </c>
      <c r="H118" s="104"/>
      <c r="R118"/>
      <c r="S118" s="18"/>
      <c r="T118"/>
      <c r="U118" s="18"/>
      <c r="V118" s="18"/>
    </row>
    <row r="119" spans="1:22" s="32" customFormat="1" x14ac:dyDescent="0.35">
      <c r="A119" s="99" t="s">
        <v>67</v>
      </c>
      <c r="B119" s="99"/>
      <c r="C119" s="99"/>
      <c r="D119" s="99"/>
      <c r="E119" s="99"/>
      <c r="F119" s="99"/>
      <c r="G119" s="99"/>
      <c r="H119" s="99"/>
      <c r="T119"/>
    </row>
    <row r="120" spans="1:22" s="32" customFormat="1" ht="15.75" customHeight="1" x14ac:dyDescent="0.35">
      <c r="A120" s="104" t="s">
        <v>51</v>
      </c>
      <c r="B120" s="104"/>
      <c r="C120" s="101" t="s">
        <v>75</v>
      </c>
      <c r="D120" s="101"/>
      <c r="E120" s="103" t="s">
        <v>52</v>
      </c>
      <c r="F120" s="103"/>
      <c r="G120" s="104" t="s">
        <v>53</v>
      </c>
      <c r="H120" s="104"/>
      <c r="T120"/>
    </row>
    <row r="121" spans="1:22" s="32" customFormat="1" x14ac:dyDescent="0.35">
      <c r="A121" s="105" t="s">
        <v>360</v>
      </c>
      <c r="B121" s="105"/>
      <c r="C121" s="106">
        <f>COUNT(F146:F150)+COUNT(F152:F156)*13+COUNT(F158:F160,F162)*2</f>
        <v>78</v>
      </c>
      <c r="D121" s="106"/>
      <c r="E121" s="107">
        <f>SUM(F146:F150)+SUM(F152:F156)*13+SUM(F158:F160,F162)*2</f>
        <v>37232.245439999999</v>
      </c>
      <c r="F121" s="107"/>
      <c r="G121" s="107">
        <f>SUM(H146:H150)+SUM(H152:H156)*13+SUM(H158:H160,H162)*2</f>
        <v>55892.769659999998</v>
      </c>
      <c r="H121" s="107"/>
      <c r="T121"/>
    </row>
    <row r="122" spans="1:22" s="32" customFormat="1" x14ac:dyDescent="0.35">
      <c r="A122" s="105" t="s">
        <v>361</v>
      </c>
      <c r="B122" s="105"/>
      <c r="C122" s="106">
        <f>COUNT(F165:F170)+COUNT(F172:F177)*13+COUNT(F179,F181:F184)*2+COUNT(F186:F191)+COUNT(F193:F198)+COUNT(F200,F202:F205)+COUNT(F207:F212)*4</f>
        <v>135</v>
      </c>
      <c r="D122" s="106"/>
      <c r="E122" s="107">
        <f>SUM(F165:F170)+SUM(F172:F177)*13+SUM(F179,F181:F184)*2+SUM(F186:F191)+SUM(F193:F198)+SUM(F200,F202:F205)+SUM(F207:F212)*4</f>
        <v>59742.218249999991</v>
      </c>
      <c r="F122" s="107"/>
      <c r="G122" s="107">
        <f>SUM(H165:H170)+SUM(H172:H177)*13+SUM(H179,H181:H184)*2+SUM(H186:H191)+SUM(H193:H198)+SUM(H200,H202:H205)+SUM(H207:H212)*4</f>
        <v>89884.445624999993</v>
      </c>
      <c r="H122" s="107"/>
      <c r="T122"/>
    </row>
    <row r="123" spans="1:22" s="32" customFormat="1" ht="16" thickBot="1" x14ac:dyDescent="0.4">
      <c r="A123" s="96" t="s">
        <v>144</v>
      </c>
      <c r="B123" s="96"/>
      <c r="C123" s="202">
        <f>SUM(C121:D122)</f>
        <v>213</v>
      </c>
      <c r="D123" s="202"/>
      <c r="E123" s="97">
        <f t="shared" ref="E123:G123" si="1">SUM(E121:F122)</f>
        <v>96974.46368999999</v>
      </c>
      <c r="F123" s="97"/>
      <c r="G123" s="98">
        <f t="shared" si="1"/>
        <v>145777.21528499998</v>
      </c>
      <c r="H123" s="98"/>
      <c r="T123"/>
    </row>
    <row r="124" spans="1:22" s="32" customFormat="1" ht="16" thickBot="1" x14ac:dyDescent="0.4">
      <c r="A124" s="203" t="s">
        <v>161</v>
      </c>
      <c r="B124" s="204"/>
      <c r="C124" s="205">
        <f>C118+C123</f>
        <v>220</v>
      </c>
      <c r="D124" s="205"/>
      <c r="E124" s="206">
        <f>E118+E123</f>
        <v>98366.894729999985</v>
      </c>
      <c r="F124" s="206"/>
      <c r="G124" s="136">
        <f>G118+G123</f>
        <v>147865.86184499998</v>
      </c>
      <c r="H124" s="137"/>
      <c r="T124"/>
    </row>
    <row r="125" spans="1:22" s="31" customFormat="1" x14ac:dyDescent="0.35">
      <c r="A125" s="196" t="s">
        <v>54</v>
      </c>
      <c r="B125" s="196"/>
      <c r="C125" s="196"/>
      <c r="D125" s="196"/>
      <c r="E125" s="196"/>
      <c r="F125" s="196"/>
      <c r="G125" s="196"/>
      <c r="H125" s="196"/>
      <c r="T125" s="32"/>
    </row>
    <row r="126" spans="1:22" x14ac:dyDescent="0.35">
      <c r="A126" s="213" t="s">
        <v>169</v>
      </c>
      <c r="B126" s="213"/>
      <c r="C126" s="213"/>
      <c r="D126" s="213"/>
      <c r="E126" s="213"/>
      <c r="F126" s="213"/>
      <c r="G126" s="213"/>
      <c r="H126" s="213"/>
      <c r="T126" s="32"/>
    </row>
    <row r="127" spans="1:22" ht="47.25" customHeight="1" x14ac:dyDescent="0.35">
      <c r="A127" s="119" t="s">
        <v>364</v>
      </c>
      <c r="B127" s="119" t="s">
        <v>171</v>
      </c>
      <c r="C127" s="119" t="s">
        <v>55</v>
      </c>
      <c r="D127" s="119" t="s">
        <v>227</v>
      </c>
      <c r="E127" s="122" t="s">
        <v>150</v>
      </c>
      <c r="F127" s="119" t="s">
        <v>56</v>
      </c>
      <c r="G127" s="122" t="s">
        <v>57</v>
      </c>
      <c r="H127" s="75" t="s">
        <v>143</v>
      </c>
      <c r="T127" s="32"/>
    </row>
    <row r="128" spans="1:22" s="34" customFormat="1" x14ac:dyDescent="0.35">
      <c r="A128" s="120"/>
      <c r="B128" s="120"/>
      <c r="C128" s="120"/>
      <c r="D128" s="120"/>
      <c r="E128" s="123"/>
      <c r="F128" s="120"/>
      <c r="G128" s="123"/>
      <c r="H128" s="76">
        <v>0.5</v>
      </c>
      <c r="T128" s="32"/>
    </row>
    <row r="129" spans="1:20" s="34" customFormat="1" x14ac:dyDescent="0.35">
      <c r="A129" s="145" t="s">
        <v>382</v>
      </c>
      <c r="B129" s="145"/>
      <c r="C129" s="145"/>
      <c r="D129" s="145"/>
      <c r="E129" s="145"/>
      <c r="F129" s="145"/>
      <c r="G129" s="145"/>
      <c r="H129" s="145"/>
      <c r="J129" s="33"/>
      <c r="T129" s="32"/>
    </row>
    <row r="130" spans="1:20" s="34" customFormat="1" ht="15.75" customHeight="1" x14ac:dyDescent="0.35">
      <c r="A130" s="113" t="s">
        <v>361</v>
      </c>
      <c r="B130" s="113"/>
      <c r="C130" s="113"/>
      <c r="D130" s="113"/>
      <c r="E130" s="113"/>
      <c r="F130" s="113"/>
      <c r="G130" s="113"/>
      <c r="H130" s="113"/>
      <c r="I130" s="33"/>
      <c r="L130" s="131"/>
      <c r="M130" s="131"/>
      <c r="N130" s="33"/>
      <c r="T130" s="32"/>
    </row>
    <row r="131" spans="1:20" s="34" customFormat="1" ht="15.75" customHeight="1" x14ac:dyDescent="0.35">
      <c r="A131" s="113" t="s">
        <v>362</v>
      </c>
      <c r="B131" s="113"/>
      <c r="C131" s="113"/>
      <c r="D131" s="113"/>
      <c r="E131" s="113"/>
      <c r="F131" s="113"/>
      <c r="G131" s="113"/>
      <c r="H131" s="113"/>
      <c r="I131" s="33"/>
      <c r="L131" s="131"/>
      <c r="M131" s="131"/>
      <c r="N131" s="33"/>
      <c r="T131" s="31"/>
    </row>
    <row r="132" spans="1:20" s="34" customFormat="1" ht="15.75" customHeight="1" x14ac:dyDescent="0.35">
      <c r="A132" s="132" t="s">
        <v>387</v>
      </c>
      <c r="B132" s="132"/>
      <c r="C132" s="87" t="s">
        <v>363</v>
      </c>
      <c r="D132" s="77">
        <f>(40.58)*10.764</f>
        <v>436.80311999999998</v>
      </c>
      <c r="E132" s="87">
        <v>0</v>
      </c>
      <c r="F132" s="87">
        <f>D132+(IF(E132&lt;201,E132,IF(E132&lt;301,E132/2,E132/3)))</f>
        <v>436.80311999999998</v>
      </c>
      <c r="G132" s="55">
        <v>0</v>
      </c>
      <c r="H132" s="87">
        <f>(F132+(IF(G132&lt;101,G132,IF(G132&lt;201,G132/2,IF(G132&lt;=301,G132/3,G132/4)))))*(($H$128)+1)</f>
        <v>655.20467999999994</v>
      </c>
      <c r="I132" s="73">
        <f>7.85*4.75+1.2*2</f>
        <v>39.6875</v>
      </c>
      <c r="L132" s="131"/>
      <c r="M132" s="131"/>
      <c r="N132" s="33"/>
      <c r="T132" s="18"/>
    </row>
    <row r="133" spans="1:20" s="34" customFormat="1" ht="15.75" customHeight="1" x14ac:dyDescent="0.35">
      <c r="A133" s="132" t="s">
        <v>388</v>
      </c>
      <c r="B133" s="132"/>
      <c r="C133" s="87" t="s">
        <v>363</v>
      </c>
      <c r="D133" s="77">
        <f>(21.52)*10.764</f>
        <v>231.64127999999999</v>
      </c>
      <c r="E133" s="87">
        <v>0</v>
      </c>
      <c r="F133" s="87">
        <f t="shared" ref="F133:F135" si="2">D133+(IF(E133&lt;201,E133,IF(E133&lt;301,E133/2,E133/3)))</f>
        <v>231.64127999999999</v>
      </c>
      <c r="G133" s="87">
        <v>0</v>
      </c>
      <c r="H133" s="87">
        <f t="shared" ref="H133:H135" si="3">(F133+(IF(G133&lt;101,G133,IF(G133&lt;201,G133/2,IF(G133&lt;=301,G133/3,G133/4)))))*(($H$128)+1)</f>
        <v>347.46191999999996</v>
      </c>
      <c r="I133" s="73">
        <f>2.75*5.65+0.3*2.15+1.05*3+0.9*1.25</f>
        <v>20.457500000000003</v>
      </c>
      <c r="L133" s="131"/>
      <c r="M133" s="131"/>
      <c r="N133" s="33"/>
      <c r="T133" s="18"/>
    </row>
    <row r="134" spans="1:20" s="34" customFormat="1" x14ac:dyDescent="0.35">
      <c r="A134" s="132" t="s">
        <v>389</v>
      </c>
      <c r="B134" s="132"/>
      <c r="C134" s="87" t="s">
        <v>363</v>
      </c>
      <c r="D134" s="77">
        <f>(7.62)*10.764</f>
        <v>82.021679999999989</v>
      </c>
      <c r="E134" s="87">
        <v>0</v>
      </c>
      <c r="F134" s="87">
        <f t="shared" si="2"/>
        <v>82.021679999999989</v>
      </c>
      <c r="G134" s="87">
        <v>0</v>
      </c>
      <c r="H134" s="87">
        <f t="shared" si="3"/>
        <v>123.03251999999998</v>
      </c>
      <c r="I134" s="73">
        <f>2.75*2+1.5*1.1</f>
        <v>7.15</v>
      </c>
      <c r="N134" s="33"/>
    </row>
    <row r="135" spans="1:20" x14ac:dyDescent="0.35">
      <c r="A135" s="132" t="s">
        <v>390</v>
      </c>
      <c r="B135" s="132"/>
      <c r="C135" s="87" t="s">
        <v>363</v>
      </c>
      <c r="D135" s="77">
        <f>(19.51)*10.764</f>
        <v>210.00564</v>
      </c>
      <c r="E135" s="87">
        <v>0</v>
      </c>
      <c r="F135" s="87">
        <f t="shared" si="2"/>
        <v>210.00564</v>
      </c>
      <c r="G135" s="87">
        <v>0</v>
      </c>
      <c r="H135" s="87">
        <f t="shared" si="3"/>
        <v>315.00846000000001</v>
      </c>
      <c r="I135" s="73">
        <f>5.6*2.75+0.9*1.4+1.95*1.1</f>
        <v>18.805</v>
      </c>
      <c r="T135" s="34"/>
    </row>
    <row r="136" spans="1:20" s="34" customFormat="1" x14ac:dyDescent="0.35">
      <c r="A136" s="132" t="s">
        <v>391</v>
      </c>
      <c r="B136" s="132"/>
      <c r="C136" s="87" t="s">
        <v>363</v>
      </c>
      <c r="D136" s="77">
        <f>(18.25)*10.764</f>
        <v>196.44299999999998</v>
      </c>
      <c r="E136" s="87">
        <v>0</v>
      </c>
      <c r="F136" s="87">
        <f>D136+(IF(E136&lt;201,E136,IF(E136&lt;301,E136/2,E136/3)))</f>
        <v>196.44299999999998</v>
      </c>
      <c r="G136" s="55">
        <v>0</v>
      </c>
      <c r="H136" s="87">
        <f>(F136+(IF(G136&lt;101,G136,IF(G136&lt;201,G136/2,IF(G136&lt;=301,G136/3,G136/4)))))*(($H$128)+1)</f>
        <v>294.66449999999998</v>
      </c>
      <c r="I136" s="73">
        <f>5.6*2.75+1.95*1.1</f>
        <v>17.544999999999998</v>
      </c>
    </row>
    <row r="137" spans="1:20" s="34" customFormat="1" x14ac:dyDescent="0.35">
      <c r="A137" s="132" t="s">
        <v>392</v>
      </c>
      <c r="B137" s="132"/>
      <c r="C137" s="87" t="s">
        <v>363</v>
      </c>
      <c r="D137" s="77">
        <f>(9.75)*10.764</f>
        <v>104.949</v>
      </c>
      <c r="E137" s="87">
        <v>0</v>
      </c>
      <c r="F137" s="87">
        <f t="shared" ref="F137:F138" si="4">D137+(IF(E137&lt;201,E137,IF(E137&lt;301,E137/2,E137/3)))</f>
        <v>104.949</v>
      </c>
      <c r="G137" s="87">
        <v>0</v>
      </c>
      <c r="H137" s="87">
        <f t="shared" ref="H137:H138" si="5">(F137+(IF(G137&lt;101,G137,IF(G137&lt;201,G137/2,IF(G137&lt;=301,G137/3,G137/4)))))*(($H$128)+1)</f>
        <v>157.42349999999999</v>
      </c>
      <c r="I137" s="73">
        <f>3.5*2+1.2*1.95</f>
        <v>9.34</v>
      </c>
      <c r="J137" s="33"/>
    </row>
    <row r="138" spans="1:20" s="34" customFormat="1" ht="15.75" customHeight="1" x14ac:dyDescent="0.35">
      <c r="A138" s="132" t="s">
        <v>393</v>
      </c>
      <c r="B138" s="132"/>
      <c r="C138" s="87" t="s">
        <v>363</v>
      </c>
      <c r="D138" s="77">
        <f>(12.13)*10.764</f>
        <v>130.56732</v>
      </c>
      <c r="E138" s="87">
        <v>0</v>
      </c>
      <c r="F138" s="87">
        <f t="shared" si="4"/>
        <v>130.56732</v>
      </c>
      <c r="G138" s="87">
        <v>0</v>
      </c>
      <c r="H138" s="87">
        <f t="shared" si="5"/>
        <v>195.85097999999999</v>
      </c>
      <c r="I138" s="73">
        <f>3.5*2.75+1.2*1.56</f>
        <v>11.497</v>
      </c>
      <c r="L138" s="131"/>
      <c r="M138" s="131"/>
      <c r="N138" s="33"/>
    </row>
    <row r="139" spans="1:20" s="34" customFormat="1" ht="15.75" customHeight="1" x14ac:dyDescent="0.35">
      <c r="A139" s="109"/>
      <c r="B139" s="195"/>
      <c r="C139" s="195"/>
      <c r="D139" s="195"/>
      <c r="E139" s="195"/>
      <c r="F139" s="195"/>
      <c r="G139" s="195"/>
      <c r="H139" s="110"/>
      <c r="I139" s="33"/>
      <c r="L139" s="131"/>
      <c r="M139" s="131"/>
      <c r="N139" s="33"/>
    </row>
    <row r="140" spans="1:20" s="34" customFormat="1" ht="45.75" customHeight="1" x14ac:dyDescent="0.35">
      <c r="A140" s="197" t="s">
        <v>369</v>
      </c>
      <c r="B140" s="119" t="s">
        <v>172</v>
      </c>
      <c r="C140" s="119" t="s">
        <v>55</v>
      </c>
      <c r="D140" s="119" t="s">
        <v>227</v>
      </c>
      <c r="E140" s="119" t="s">
        <v>370</v>
      </c>
      <c r="F140" s="119" t="s">
        <v>56</v>
      </c>
      <c r="G140" s="122" t="s">
        <v>57</v>
      </c>
      <c r="H140" s="75" t="s">
        <v>143</v>
      </c>
      <c r="I140" s="33"/>
      <c r="L140" s="131"/>
      <c r="M140" s="131"/>
      <c r="N140" s="33"/>
      <c r="T140" s="18"/>
    </row>
    <row r="141" spans="1:20" s="34" customFormat="1" x14ac:dyDescent="0.35">
      <c r="A141" s="198"/>
      <c r="B141" s="120"/>
      <c r="C141" s="120"/>
      <c r="D141" s="120"/>
      <c r="E141" s="120"/>
      <c r="F141" s="120"/>
      <c r="G141" s="123"/>
      <c r="H141" s="76">
        <v>0.5</v>
      </c>
      <c r="I141" s="33"/>
      <c r="L141" s="131"/>
      <c r="M141" s="131"/>
    </row>
    <row r="142" spans="1:20" s="34" customFormat="1" x14ac:dyDescent="0.35">
      <c r="A142" s="199" t="s">
        <v>382</v>
      </c>
      <c r="B142" s="200"/>
      <c r="C142" s="200"/>
      <c r="D142" s="200"/>
      <c r="E142" s="200"/>
      <c r="F142" s="200"/>
      <c r="G142" s="200"/>
      <c r="H142" s="201"/>
      <c r="I142" s="33"/>
      <c r="N142" s="33"/>
    </row>
    <row r="143" spans="1:20" s="34" customFormat="1" x14ac:dyDescent="0.35">
      <c r="A143" s="199" t="s">
        <v>360</v>
      </c>
      <c r="B143" s="200"/>
      <c r="C143" s="200"/>
      <c r="D143" s="200"/>
      <c r="E143" s="200"/>
      <c r="F143" s="200"/>
      <c r="G143" s="200"/>
      <c r="H143" s="201"/>
      <c r="I143" s="33"/>
      <c r="N143" s="33"/>
    </row>
    <row r="144" spans="1:20" s="34" customFormat="1" x14ac:dyDescent="0.35">
      <c r="A144" s="199" t="s">
        <v>365</v>
      </c>
      <c r="B144" s="200"/>
      <c r="C144" s="200"/>
      <c r="D144" s="200"/>
      <c r="E144" s="200"/>
      <c r="F144" s="200"/>
      <c r="G144" s="200"/>
      <c r="H144" s="201"/>
      <c r="I144" s="33"/>
      <c r="N144" s="33"/>
    </row>
    <row r="145" spans="1:14" s="34" customFormat="1" x14ac:dyDescent="0.35">
      <c r="A145" s="199" t="s">
        <v>366</v>
      </c>
      <c r="B145" s="200"/>
      <c r="C145" s="200"/>
      <c r="D145" s="200"/>
      <c r="E145" s="200"/>
      <c r="F145" s="200"/>
      <c r="G145" s="200"/>
      <c r="H145" s="201"/>
      <c r="I145" s="33"/>
      <c r="N145" s="33"/>
    </row>
    <row r="146" spans="1:14" s="34" customFormat="1" x14ac:dyDescent="0.35">
      <c r="A146" s="109">
        <v>1</v>
      </c>
      <c r="B146" s="110"/>
      <c r="C146" s="73" t="s">
        <v>368</v>
      </c>
      <c r="D146" s="77">
        <f>(27.85+(2.75))*10.764</f>
        <v>329.3784</v>
      </c>
      <c r="E146" s="77">
        <f>(0.6*(2.75*2)+2*0.75)*10.764</f>
        <v>51.667199999999994</v>
      </c>
      <c r="F146" s="39">
        <f>D146+E146</f>
        <v>381.04559999999998</v>
      </c>
      <c r="G146" s="77">
        <v>0</v>
      </c>
      <c r="H146" s="49">
        <f>F146*(($H$141)+1)+(IF(G146&lt;101,G146,IF(G146&lt;201,G146/2,IF(G146&lt;=301,G146/3,G146/4))))</f>
        <v>571.5684</v>
      </c>
      <c r="I146" s="33">
        <f>2.75*2.95+2*2.75+2.75*2.75+1.9*0.45+1.5*1.2+1.2*1.05+1.2*0.9</f>
        <v>26.17</v>
      </c>
      <c r="N146" s="33"/>
    </row>
    <row r="147" spans="1:14" s="34" customFormat="1" ht="15.75" customHeight="1" x14ac:dyDescent="0.35">
      <c r="A147" s="109">
        <f>A146+1</f>
        <v>2</v>
      </c>
      <c r="B147" s="110"/>
      <c r="C147" s="73" t="s">
        <v>368</v>
      </c>
      <c r="D147" s="77">
        <f>(27.83+(2.75))*10.764</f>
        <v>329.16311999999994</v>
      </c>
      <c r="E147" s="77">
        <f>(2*0.75+2.75*0.6)*10.764</f>
        <v>33.906599999999997</v>
      </c>
      <c r="F147" s="49">
        <f>D147+E147</f>
        <v>363.06971999999996</v>
      </c>
      <c r="G147" s="77">
        <f>(2.75*1.5)*10.764</f>
        <v>44.401499999999999</v>
      </c>
      <c r="H147" s="49">
        <f>F147*(($H$141)+1)+(IF(G147&lt;101,G147,IF(G147&lt;201,G147/2,IF(G147&lt;=301,G147/3,G147/4))))</f>
        <v>589.00607999999988</v>
      </c>
      <c r="I147" s="33"/>
    </row>
    <row r="148" spans="1:14" s="34" customFormat="1" ht="15.75" customHeight="1" x14ac:dyDescent="0.35">
      <c r="A148" s="109">
        <f>A147+1</f>
        <v>3</v>
      </c>
      <c r="B148" s="110"/>
      <c r="C148" s="73" t="s">
        <v>367</v>
      </c>
      <c r="D148" s="77">
        <f>(38.82+(2.75*1.4+2+2.75*1.3))*10.764</f>
        <v>519.30917999999997</v>
      </c>
      <c r="E148" s="77">
        <f>(0.6*(2.75*2+3)+2*0.75)*10.764</f>
        <v>71.042399999999986</v>
      </c>
      <c r="F148" s="49">
        <f>D148+E148</f>
        <v>590.35158000000001</v>
      </c>
      <c r="G148" s="77">
        <v>0</v>
      </c>
      <c r="H148" s="49">
        <f>F148*(($H$141)+1)+(IF(G148&lt;101,G148,IF(G148&lt;201,G148/2,IF(G148&lt;=301,G148/3,G148/4))))</f>
        <v>885.52737000000002</v>
      </c>
      <c r="I148" s="33"/>
    </row>
    <row r="149" spans="1:14" s="34" customFormat="1" ht="15.75" customHeight="1" x14ac:dyDescent="0.35">
      <c r="A149" s="109">
        <f>A148+1</f>
        <v>4</v>
      </c>
      <c r="B149" s="110"/>
      <c r="C149" s="73" t="s">
        <v>386</v>
      </c>
      <c r="D149" s="77">
        <f>(29.68+(2.75*1.45+2.75))*10.764</f>
        <v>391.99796999999995</v>
      </c>
      <c r="E149" s="77">
        <f>(0.6*(2.75*2)+2*0.75)*10.764</f>
        <v>51.667199999999994</v>
      </c>
      <c r="F149" s="49">
        <f>D149+E149</f>
        <v>443.66516999999993</v>
      </c>
      <c r="G149" s="49">
        <v>0</v>
      </c>
      <c r="H149" s="49">
        <f>F149*(($H$141)+1)+(IF(G149&lt;101,G149,IF(G149&lt;201,G149/2,IF(G149&lt;=301,G149/3,G149/4))))</f>
        <v>665.49775499999987</v>
      </c>
      <c r="I149" s="33"/>
    </row>
    <row r="150" spans="1:14" s="34" customFormat="1" ht="15.75" customHeight="1" x14ac:dyDescent="0.35">
      <c r="A150" s="109">
        <v>5</v>
      </c>
      <c r="B150" s="110"/>
      <c r="C150" s="73" t="s">
        <v>367</v>
      </c>
      <c r="D150" s="77">
        <f>(39.69+(2.9*1.4+2.75))*10.764</f>
        <v>500.52599999999995</v>
      </c>
      <c r="E150" s="77">
        <f>(0.6*(2.9+2.75*2)+1.9*0.75)*10.764</f>
        <v>69.589259999999996</v>
      </c>
      <c r="F150" s="73">
        <f>D150+E150</f>
        <v>570.11525999999992</v>
      </c>
      <c r="G150" s="73">
        <v>0</v>
      </c>
      <c r="H150" s="73">
        <f>F150*(($H$141)+1)+(IF(G150&lt;101,G150,IF(G150&lt;201,G150/2,IF(G150&lt;=301,G150/3,G150/4))))</f>
        <v>855.17288999999982</v>
      </c>
      <c r="I150" s="33"/>
    </row>
    <row r="151" spans="1:14" s="34" customFormat="1" ht="15.75" customHeight="1" x14ac:dyDescent="0.35">
      <c r="A151" s="113" t="s">
        <v>371</v>
      </c>
      <c r="B151" s="113"/>
      <c r="C151" s="113"/>
      <c r="D151" s="113"/>
      <c r="E151" s="113"/>
      <c r="F151" s="113"/>
      <c r="G151" s="113"/>
      <c r="H151" s="113"/>
      <c r="I151" s="33"/>
    </row>
    <row r="152" spans="1:14" s="34" customFormat="1" ht="15.75" customHeight="1" x14ac:dyDescent="0.35">
      <c r="A152" s="109">
        <v>1</v>
      </c>
      <c r="B152" s="110"/>
      <c r="C152" s="73" t="s">
        <v>368</v>
      </c>
      <c r="D152" s="77">
        <f>(27.85+(2.75))*10.764</f>
        <v>329.3784</v>
      </c>
      <c r="E152" s="77">
        <f>(0.6*(2.75*2)+2*0.75)*10.764</f>
        <v>51.667199999999994</v>
      </c>
      <c r="F152" s="73">
        <f>D152+E152</f>
        <v>381.04559999999998</v>
      </c>
      <c r="G152" s="49">
        <v>0</v>
      </c>
      <c r="H152" s="49">
        <f>F152*(($H$141)+1)+(IF(G152&lt;101,G152,IF(G152&lt;201,G152/2,IF(G152&lt;=301,G152/3,G152/4))))</f>
        <v>571.5684</v>
      </c>
      <c r="I152" s="33"/>
    </row>
    <row r="153" spans="1:14" s="34" customFormat="1" ht="15.75" customHeight="1" x14ac:dyDescent="0.35">
      <c r="A153" s="109">
        <f>A152+1</f>
        <v>2</v>
      </c>
      <c r="B153" s="110"/>
      <c r="C153" s="73" t="s">
        <v>368</v>
      </c>
      <c r="D153" s="77">
        <f>(27.83+(2.75))*10.764</f>
        <v>329.16311999999994</v>
      </c>
      <c r="E153" s="77">
        <f>(0.6*(2.75*2)+2*0.75)*10.764</f>
        <v>51.667199999999994</v>
      </c>
      <c r="F153" s="73">
        <f>D153+E153</f>
        <v>380.83031999999992</v>
      </c>
      <c r="G153" s="49">
        <v>0</v>
      </c>
      <c r="H153" s="49">
        <f>F153*(($H$141)+1)+(IF(G153&lt;101,G153,IF(G153&lt;201,G153/2,IF(G153&lt;=301,G153/3,G153/4))))</f>
        <v>571.24547999999982</v>
      </c>
      <c r="I153" s="33"/>
    </row>
    <row r="154" spans="1:14" s="34" customFormat="1" ht="15.75" customHeight="1" x14ac:dyDescent="0.35">
      <c r="A154" s="109">
        <f>A153+1</f>
        <v>3</v>
      </c>
      <c r="B154" s="110"/>
      <c r="C154" s="73" t="s">
        <v>367</v>
      </c>
      <c r="D154" s="77">
        <f>(38.82+(2.75*1.4+2+2.75*1.3))*10.764</f>
        <v>519.30917999999997</v>
      </c>
      <c r="E154" s="77">
        <f>(0.6*(2.75*2+3)+2*0.75)*10.764</f>
        <v>71.042399999999986</v>
      </c>
      <c r="F154" s="73">
        <f>D154+E154</f>
        <v>590.35158000000001</v>
      </c>
      <c r="G154" s="49">
        <v>0</v>
      </c>
      <c r="H154" s="49">
        <f>F154*(($H$141)+1)+(IF(G154&lt;101,G154,IF(G154&lt;201,G154/2,IF(G154&lt;=301,G154/3,G154/4))))</f>
        <v>885.52737000000002</v>
      </c>
      <c r="I154" s="33"/>
    </row>
    <row r="155" spans="1:14" s="34" customFormat="1" ht="15.75" customHeight="1" x14ac:dyDescent="0.35">
      <c r="A155" s="109">
        <f>A154+1</f>
        <v>4</v>
      </c>
      <c r="B155" s="110"/>
      <c r="C155" s="73" t="s">
        <v>386</v>
      </c>
      <c r="D155" s="77">
        <f>(29.68+(2.75*1.45+2.75))*10.764</f>
        <v>391.99796999999995</v>
      </c>
      <c r="E155" s="77">
        <f>(0.6*(2.75*2)+2*0.75)*10.764</f>
        <v>51.667199999999994</v>
      </c>
      <c r="F155" s="73">
        <f>D155+E155</f>
        <v>443.66516999999993</v>
      </c>
      <c r="G155" s="49">
        <v>0</v>
      </c>
      <c r="H155" s="49">
        <f>F155*(($H$141)+1)+(IF(G155&lt;101,G155,IF(G155&lt;201,G155/2,IF(G155&lt;=301,G155/3,G155/4))))</f>
        <v>665.49775499999987</v>
      </c>
      <c r="I155" s="33"/>
    </row>
    <row r="156" spans="1:14" s="34" customFormat="1" x14ac:dyDescent="0.35">
      <c r="A156" s="109">
        <v>5</v>
      </c>
      <c r="B156" s="110"/>
      <c r="C156" s="73" t="s">
        <v>367</v>
      </c>
      <c r="D156" s="77">
        <f>(39.69+(2.9*1.4+2.75))*10.764</f>
        <v>500.52599999999995</v>
      </c>
      <c r="E156" s="77">
        <f>(0.6*(2.9+2.75*2)+1.9*0.75)*10.764</f>
        <v>69.589259999999996</v>
      </c>
      <c r="F156" s="73">
        <f>D156+E156</f>
        <v>570.11525999999992</v>
      </c>
      <c r="G156" s="49">
        <v>0</v>
      </c>
      <c r="H156" s="49">
        <f>F156*(($H$141)+1)+(IF(G156&lt;101,G156,IF(G156&lt;201,G156/2,IF(G156&lt;=301,G156/3,G156/4))))</f>
        <v>855.17288999999982</v>
      </c>
      <c r="I156" s="77">
        <v>10.763999999999999</v>
      </c>
    </row>
    <row r="157" spans="1:14" s="34" customFormat="1" ht="15.75" customHeight="1" x14ac:dyDescent="0.35">
      <c r="A157" s="113" t="s">
        <v>372</v>
      </c>
      <c r="B157" s="113"/>
      <c r="C157" s="113"/>
      <c r="D157" s="113"/>
      <c r="E157" s="113"/>
      <c r="F157" s="113"/>
      <c r="G157" s="113"/>
      <c r="H157" s="113"/>
      <c r="I157" s="33"/>
    </row>
    <row r="158" spans="1:14" s="34" customFormat="1" ht="15.75" customHeight="1" x14ac:dyDescent="0.35">
      <c r="A158" s="109">
        <v>1</v>
      </c>
      <c r="B158" s="110"/>
      <c r="C158" s="73" t="s">
        <v>368</v>
      </c>
      <c r="D158" s="77">
        <f>(27.85+(2.75))*10.764</f>
        <v>329.3784</v>
      </c>
      <c r="E158" s="77">
        <f>(0.6*(2.75*2)+2*0.75)*10.764</f>
        <v>51.667199999999994</v>
      </c>
      <c r="F158" s="73">
        <f>D158+E158</f>
        <v>381.04559999999998</v>
      </c>
      <c r="G158" s="73">
        <v>0</v>
      </c>
      <c r="H158" s="73">
        <f>F158*(($H$141)+1)+(IF(G158&lt;101,G158,IF(G158&lt;201,G158/2,IF(G158&lt;=301,G158/3,G158/4))))</f>
        <v>571.5684</v>
      </c>
      <c r="I158" s="33"/>
    </row>
    <row r="159" spans="1:14" s="34" customFormat="1" ht="15.75" customHeight="1" x14ac:dyDescent="0.35">
      <c r="A159" s="109">
        <f>A158+1</f>
        <v>2</v>
      </c>
      <c r="B159" s="110"/>
      <c r="C159" s="73" t="s">
        <v>368</v>
      </c>
      <c r="D159" s="77">
        <f>(27.83+(2.75))*10.764</f>
        <v>329.16311999999994</v>
      </c>
      <c r="E159" s="77">
        <f>(0.6*(2.75*2)+2*0.75)*10.764</f>
        <v>51.667199999999994</v>
      </c>
      <c r="F159" s="73">
        <f>D159+E159</f>
        <v>380.83031999999992</v>
      </c>
      <c r="G159" s="73">
        <v>0</v>
      </c>
      <c r="H159" s="73">
        <f>F159*(($H$141)+1)+(IF(G159&lt;101,G159,IF(G159&lt;201,G159/2,IF(G159&lt;=301,G159/3,G159/4))))</f>
        <v>571.24547999999982</v>
      </c>
      <c r="I159" s="33"/>
    </row>
    <row r="160" spans="1:14" s="34" customFormat="1" ht="15.75" customHeight="1" x14ac:dyDescent="0.35">
      <c r="A160" s="109">
        <f>A159+1</f>
        <v>3</v>
      </c>
      <c r="B160" s="110"/>
      <c r="C160" s="73" t="s">
        <v>375</v>
      </c>
      <c r="D160" s="77">
        <f>(49.82+(2.75*1.4+2+2.75*1.45))*10.764</f>
        <v>642.15332999999998</v>
      </c>
      <c r="E160" s="77">
        <f>(0.6*(2.75*3+3)+2*0.75)*10.764</f>
        <v>88.802999999999997</v>
      </c>
      <c r="F160" s="73">
        <f>D160+E160</f>
        <v>730.95632999999998</v>
      </c>
      <c r="G160" s="73">
        <v>0</v>
      </c>
      <c r="H160" s="73">
        <f>F160*(($H$141)+1)+(IF(G160&lt;101,G160,IF(G160&lt;201,G160/2,IF(G160&lt;=301,G160/3,G160/4))))</f>
        <v>1096.434495</v>
      </c>
      <c r="I160" s="33"/>
    </row>
    <row r="161" spans="1:20" s="74" customFormat="1" ht="15.75" customHeight="1" x14ac:dyDescent="0.35">
      <c r="A161" s="109">
        <v>4</v>
      </c>
      <c r="B161" s="110"/>
      <c r="C161" s="109" t="s">
        <v>374</v>
      </c>
      <c r="D161" s="195"/>
      <c r="E161" s="195"/>
      <c r="F161" s="195"/>
      <c r="G161" s="110"/>
      <c r="H161" s="73" t="s">
        <v>373</v>
      </c>
      <c r="I161" s="33"/>
    </row>
    <row r="162" spans="1:20" s="32" customFormat="1" ht="15.75" customHeight="1" x14ac:dyDescent="0.35">
      <c r="A162" s="109">
        <v>5</v>
      </c>
      <c r="B162" s="110"/>
      <c r="C162" s="73" t="s">
        <v>367</v>
      </c>
      <c r="D162" s="77">
        <f>(39.69+(2.9*1.4+2.75))*10.764</f>
        <v>500.52599999999995</v>
      </c>
      <c r="E162" s="77">
        <f>(0.6*(2.9+2.75*2)+1.9*0.75)*10.764</f>
        <v>69.589259999999996</v>
      </c>
      <c r="F162" s="73">
        <f>D162+E162</f>
        <v>570.11525999999992</v>
      </c>
      <c r="G162" s="73">
        <v>0</v>
      </c>
      <c r="H162" s="73">
        <f>F162*(($H$141)+1)+(IF(G162&lt;101,G162,IF(G162&lt;201,G162/2,IF(G162&lt;=301,G162/3,G162/4))))</f>
        <v>855.17288999999982</v>
      </c>
      <c r="T162" s="34"/>
    </row>
    <row r="163" spans="1:20" s="32" customFormat="1" x14ac:dyDescent="0.35">
      <c r="A163" s="199" t="s">
        <v>361</v>
      </c>
      <c r="B163" s="200"/>
      <c r="C163" s="200"/>
      <c r="D163" s="200"/>
      <c r="E163" s="200"/>
      <c r="F163" s="200"/>
      <c r="G163" s="200"/>
      <c r="H163" s="201"/>
      <c r="T163" s="34"/>
    </row>
    <row r="164" spans="1:20" s="32" customFormat="1" x14ac:dyDescent="0.35">
      <c r="A164" s="199" t="s">
        <v>366</v>
      </c>
      <c r="B164" s="200"/>
      <c r="C164" s="200"/>
      <c r="D164" s="200"/>
      <c r="E164" s="200"/>
      <c r="F164" s="200"/>
      <c r="G164" s="200"/>
      <c r="H164" s="201"/>
      <c r="T164" s="34"/>
    </row>
    <row r="165" spans="1:20" s="32" customFormat="1" x14ac:dyDescent="0.35">
      <c r="A165" s="109">
        <v>1</v>
      </c>
      <c r="B165" s="110"/>
      <c r="C165" s="73" t="s">
        <v>367</v>
      </c>
      <c r="D165" s="77">
        <f>(35.78+(3.3*1.4+2.75+1.85+2.75))*10.764</f>
        <v>513.98099999999999</v>
      </c>
      <c r="E165" s="77">
        <f>(3.3*0.6)*10.764</f>
        <v>21.312719999999995</v>
      </c>
      <c r="F165" s="73">
        <f t="shared" ref="F165:F170" si="6">D165+E165</f>
        <v>535.29372000000001</v>
      </c>
      <c r="G165" s="77">
        <f>(7.8*1.2)*10.764</f>
        <v>100.75103999999999</v>
      </c>
      <c r="H165" s="73">
        <f t="shared" ref="H165:H170" si="7">F165*(($H$141)+1)+(IF(G165&lt;101,G165,IF(G165&lt;201,G165/2,IF(G165&lt;=301,G165/3,G165/4))))</f>
        <v>903.69161999999994</v>
      </c>
    </row>
    <row r="166" spans="1:20" s="32" customFormat="1" x14ac:dyDescent="0.35">
      <c r="A166" s="109">
        <f>A165+1</f>
        <v>2</v>
      </c>
      <c r="B166" s="110"/>
      <c r="C166" s="73" t="s">
        <v>386</v>
      </c>
      <c r="D166" s="77">
        <f>(29.68+(2.75*1.45+2.75))*10.764</f>
        <v>391.99796999999995</v>
      </c>
      <c r="E166" s="77">
        <v>0</v>
      </c>
      <c r="F166" s="73">
        <f t="shared" si="6"/>
        <v>391.99796999999995</v>
      </c>
      <c r="G166" s="77">
        <f>(8*1.2)*10.764</f>
        <v>103.33439999999999</v>
      </c>
      <c r="H166" s="73">
        <f t="shared" si="7"/>
        <v>639.66415499999994</v>
      </c>
    </row>
    <row r="167" spans="1:20" s="32" customFormat="1" x14ac:dyDescent="0.35">
      <c r="A167" s="109">
        <f>A166+1</f>
        <v>3</v>
      </c>
      <c r="B167" s="110"/>
      <c r="C167" s="73" t="s">
        <v>368</v>
      </c>
      <c r="D167" s="77">
        <f>(26.37+(2.75*2+2))*10.764</f>
        <v>364.57668000000001</v>
      </c>
      <c r="E167" s="77">
        <v>0</v>
      </c>
      <c r="F167" s="73">
        <f t="shared" si="6"/>
        <v>364.57668000000001</v>
      </c>
      <c r="G167" s="77">
        <f>(2.75*2.5+5.2*1.65)*10.764</f>
        <v>166.35762</v>
      </c>
      <c r="H167" s="73">
        <f t="shared" si="7"/>
        <v>630.04382999999996</v>
      </c>
    </row>
    <row r="168" spans="1:20" s="32" customFormat="1" x14ac:dyDescent="0.35">
      <c r="A168" s="109">
        <f>A167+1</f>
        <v>4</v>
      </c>
      <c r="B168" s="110"/>
      <c r="C168" s="73" t="s">
        <v>368</v>
      </c>
      <c r="D168" s="77">
        <f>(26.37+(2.75*2+2))*10.764</f>
        <v>364.57668000000001</v>
      </c>
      <c r="E168" s="77">
        <f>(0.6*(2.75*2)+2*0.75)*10.764</f>
        <v>51.667199999999994</v>
      </c>
      <c r="F168" s="73">
        <f t="shared" si="6"/>
        <v>416.24387999999999</v>
      </c>
      <c r="G168" s="77">
        <v>0</v>
      </c>
      <c r="H168" s="73">
        <f t="shared" si="7"/>
        <v>624.36581999999999</v>
      </c>
    </row>
    <row r="169" spans="1:20" s="32" customFormat="1" x14ac:dyDescent="0.35">
      <c r="A169" s="109">
        <v>5</v>
      </c>
      <c r="B169" s="110"/>
      <c r="C169" s="73" t="s">
        <v>368</v>
      </c>
      <c r="D169" s="77">
        <f>(28.17+(2.75*1.2))*10.764</f>
        <v>338.74308000000002</v>
      </c>
      <c r="E169" s="77">
        <f>(2*0.75+2.75*0.6)*10.764</f>
        <v>33.906599999999997</v>
      </c>
      <c r="F169" s="73">
        <f t="shared" si="6"/>
        <v>372.64967999999999</v>
      </c>
      <c r="G169" s="77">
        <f>(1.2*2.75)*10.764</f>
        <v>35.521199999999993</v>
      </c>
      <c r="H169" s="73">
        <f t="shared" si="7"/>
        <v>594.49572000000001</v>
      </c>
    </row>
    <row r="170" spans="1:20" s="72" customFormat="1" x14ac:dyDescent="0.35">
      <c r="A170" s="132">
        <f>A169+1</f>
        <v>6</v>
      </c>
      <c r="B170" s="132"/>
      <c r="C170" s="73" t="s">
        <v>368</v>
      </c>
      <c r="D170" s="77">
        <f>(28.13+(2.75*1.2))*10.764</f>
        <v>338.31251999999995</v>
      </c>
      <c r="E170" s="77">
        <f>(0.6*(2.75*2)+2*0.75)*10.764</f>
        <v>51.667199999999994</v>
      </c>
      <c r="F170" s="73">
        <f t="shared" si="6"/>
        <v>389.97971999999993</v>
      </c>
      <c r="G170" s="73">
        <v>0</v>
      </c>
      <c r="H170" s="73">
        <f t="shared" si="7"/>
        <v>584.96957999999995</v>
      </c>
    </row>
    <row r="171" spans="1:20" s="72" customFormat="1" ht="15.75" customHeight="1" x14ac:dyDescent="0.35">
      <c r="A171" s="113" t="s">
        <v>371</v>
      </c>
      <c r="B171" s="113"/>
      <c r="C171" s="113"/>
      <c r="D171" s="113"/>
      <c r="E171" s="113"/>
      <c r="F171" s="113"/>
      <c r="G171" s="113"/>
      <c r="H171" s="113"/>
    </row>
    <row r="172" spans="1:20" s="72" customFormat="1" x14ac:dyDescent="0.35">
      <c r="A172" s="132">
        <v>1</v>
      </c>
      <c r="B172" s="132"/>
      <c r="C172" s="87" t="s">
        <v>367</v>
      </c>
      <c r="D172" s="77">
        <f>(35.78+(3.3*1.4+2.75+1.85+2.75))*10.764</f>
        <v>513.98099999999999</v>
      </c>
      <c r="E172" s="77">
        <f>(0.6*(2.75*2+3.3)+1.85*0.75)*10.764</f>
        <v>71.768969999999996</v>
      </c>
      <c r="F172" s="87">
        <f t="shared" ref="F172:F177" si="8">D172+E172</f>
        <v>585.74996999999996</v>
      </c>
      <c r="G172" s="87">
        <v>0</v>
      </c>
      <c r="H172" s="87">
        <f t="shared" ref="H172:H177" si="9">F172*(($H$141)+1)+(IF(G172&lt;101,G172,IF(G172&lt;201,G172/2,IF(G172&lt;=301,G172/3,G172/4))))</f>
        <v>878.624955</v>
      </c>
    </row>
    <row r="173" spans="1:20" x14ac:dyDescent="0.35">
      <c r="A173" s="132">
        <f>A172+1</f>
        <v>2</v>
      </c>
      <c r="B173" s="132"/>
      <c r="C173" s="87" t="s">
        <v>386</v>
      </c>
      <c r="D173" s="77">
        <f>(29.68+(2.75*1.45+2.75))*10.764</f>
        <v>391.99796999999995</v>
      </c>
      <c r="E173" s="77">
        <f>(0.6*(2.75*2)+2*0.75)*10.764</f>
        <v>51.667199999999994</v>
      </c>
      <c r="F173" s="87">
        <f t="shared" si="8"/>
        <v>443.66516999999993</v>
      </c>
      <c r="G173" s="87">
        <v>0</v>
      </c>
      <c r="H173" s="87">
        <f t="shared" si="9"/>
        <v>665.49775499999987</v>
      </c>
      <c r="T173" s="32"/>
    </row>
    <row r="174" spans="1:20" x14ac:dyDescent="0.35">
      <c r="A174" s="132">
        <f>A173+1</f>
        <v>3</v>
      </c>
      <c r="B174" s="132"/>
      <c r="C174" s="87" t="s">
        <v>368</v>
      </c>
      <c r="D174" s="77">
        <f>(26.37+(2.75*2+2))*10.764</f>
        <v>364.57668000000001</v>
      </c>
      <c r="E174" s="77">
        <f>(0.6*(2.75*2)+2*0.75)*10.764</f>
        <v>51.667199999999994</v>
      </c>
      <c r="F174" s="87">
        <f t="shared" si="8"/>
        <v>416.24387999999999</v>
      </c>
      <c r="G174" s="87">
        <v>0</v>
      </c>
      <c r="H174" s="87">
        <f t="shared" si="9"/>
        <v>624.36581999999999</v>
      </c>
      <c r="T174" s="32"/>
    </row>
    <row r="175" spans="1:20" x14ac:dyDescent="0.35">
      <c r="A175" s="132">
        <f>A174+1</f>
        <v>4</v>
      </c>
      <c r="B175" s="132"/>
      <c r="C175" s="87" t="s">
        <v>368</v>
      </c>
      <c r="D175" s="77">
        <f>(26.37+(2.75*2+2))*10.764</f>
        <v>364.57668000000001</v>
      </c>
      <c r="E175" s="77">
        <f>(0.6*(2.75*2)+2*0.75)*10.764</f>
        <v>51.667199999999994</v>
      </c>
      <c r="F175" s="87">
        <f t="shared" si="8"/>
        <v>416.24387999999999</v>
      </c>
      <c r="G175" s="87">
        <v>0</v>
      </c>
      <c r="H175" s="87">
        <f t="shared" si="9"/>
        <v>624.36581999999999</v>
      </c>
      <c r="T175" s="32"/>
    </row>
    <row r="176" spans="1:20" x14ac:dyDescent="0.35">
      <c r="A176" s="132">
        <v>5</v>
      </c>
      <c r="B176" s="132"/>
      <c r="C176" s="87" t="s">
        <v>368</v>
      </c>
      <c r="D176" s="77">
        <f>(28.17+(2.75*1.2))*10.764</f>
        <v>338.74308000000002</v>
      </c>
      <c r="E176" s="77">
        <f>(0.6*(2.75*2)+2*0.75)*10.764</f>
        <v>51.667199999999994</v>
      </c>
      <c r="F176" s="87">
        <f t="shared" si="8"/>
        <v>390.41028</v>
      </c>
      <c r="G176" s="87">
        <v>0</v>
      </c>
      <c r="H176" s="87">
        <f t="shared" si="9"/>
        <v>585.61541999999997</v>
      </c>
      <c r="T176" s="32"/>
    </row>
    <row r="177" spans="1:20" x14ac:dyDescent="0.35">
      <c r="A177" s="132">
        <f>A176+1</f>
        <v>6</v>
      </c>
      <c r="B177" s="132"/>
      <c r="C177" s="87" t="s">
        <v>368</v>
      </c>
      <c r="D177" s="77">
        <f>(28.13+(2.75*1.2))*10.764</f>
        <v>338.31251999999995</v>
      </c>
      <c r="E177" s="77">
        <f>(0.6*(2.75*2)+2*0.75)*10.764</f>
        <v>51.667199999999994</v>
      </c>
      <c r="F177" s="87">
        <f t="shared" si="8"/>
        <v>389.97971999999993</v>
      </c>
      <c r="G177" s="87">
        <v>0</v>
      </c>
      <c r="H177" s="87">
        <f t="shared" si="9"/>
        <v>584.96957999999995</v>
      </c>
      <c r="T177" s="32"/>
    </row>
    <row r="178" spans="1:20" ht="15.75" customHeight="1" x14ac:dyDescent="0.35">
      <c r="A178" s="113" t="s">
        <v>372</v>
      </c>
      <c r="B178" s="113"/>
      <c r="C178" s="113"/>
      <c r="D178" s="113"/>
      <c r="E178" s="113"/>
      <c r="F178" s="113"/>
      <c r="G178" s="113"/>
      <c r="H178" s="113"/>
      <c r="T178" s="32"/>
    </row>
    <row r="179" spans="1:20" x14ac:dyDescent="0.35">
      <c r="A179" s="132">
        <v>1</v>
      </c>
      <c r="B179" s="132"/>
      <c r="C179" s="87" t="s">
        <v>367</v>
      </c>
      <c r="D179" s="77">
        <f>(35.78+(3.3*1.4+2.75+1.85+2.75))*10.764</f>
        <v>513.98099999999999</v>
      </c>
      <c r="E179" s="77">
        <f>(0.6*(2.75*2+3.3)+1.85*0.75)*10.764</f>
        <v>71.768969999999996</v>
      </c>
      <c r="F179" s="87">
        <f>D179+E179</f>
        <v>585.74996999999996</v>
      </c>
      <c r="G179" s="87">
        <v>0</v>
      </c>
      <c r="H179" s="87">
        <f>F179*(($H$141)+1)+(IF(G179&lt;101,G179,IF(G179&lt;201,G179/2,IF(G179&lt;=301,G179/3,G179/4))))</f>
        <v>878.624955</v>
      </c>
    </row>
    <row r="180" spans="1:20" ht="15.75" customHeight="1" x14ac:dyDescent="0.35">
      <c r="A180" s="132">
        <f>A179+1</f>
        <v>2</v>
      </c>
      <c r="B180" s="132"/>
      <c r="C180" s="132" t="s">
        <v>374</v>
      </c>
      <c r="D180" s="132"/>
      <c r="E180" s="132"/>
      <c r="F180" s="132"/>
      <c r="G180" s="132"/>
      <c r="H180" s="73" t="s">
        <v>373</v>
      </c>
    </row>
    <row r="181" spans="1:20" ht="15.75" customHeight="1" x14ac:dyDescent="0.35">
      <c r="A181" s="109">
        <f>A180+1</f>
        <v>3</v>
      </c>
      <c r="B181" s="110"/>
      <c r="C181" s="73" t="s">
        <v>367</v>
      </c>
      <c r="D181" s="77">
        <f>(35.35+(2.75*1.45+2.75*2+2))*10.764</f>
        <v>504.15885000000003</v>
      </c>
      <c r="E181" s="77">
        <f>(0.6*(2.75*3)+2*0.75)*10.764</f>
        <v>69.427799999999991</v>
      </c>
      <c r="F181" s="73">
        <f>D181+E181</f>
        <v>573.58664999999996</v>
      </c>
      <c r="G181" s="73">
        <v>0</v>
      </c>
      <c r="H181" s="73">
        <f>F181*(($H$141)+1)+(IF(G181&lt;101,G181,IF(G181&lt;201,G181/2,IF(G181&lt;=301,G181/3,G181/4))))</f>
        <v>860.37997499999994</v>
      </c>
    </row>
    <row r="182" spans="1:20" ht="15.75" customHeight="1" x14ac:dyDescent="0.35">
      <c r="A182" s="109">
        <f>A181+1</f>
        <v>4</v>
      </c>
      <c r="B182" s="110"/>
      <c r="C182" s="73" t="s">
        <v>368</v>
      </c>
      <c r="D182" s="77">
        <f>(26.37+(2.75*2+2))*10.764</f>
        <v>364.57668000000001</v>
      </c>
      <c r="E182" s="77">
        <f>(0.6*(2.75*2)+2*0.75)*10.764</f>
        <v>51.667199999999994</v>
      </c>
      <c r="F182" s="73">
        <f>D182+E182</f>
        <v>416.24387999999999</v>
      </c>
      <c r="G182" s="73">
        <v>0</v>
      </c>
      <c r="H182" s="73">
        <f>F182*(($H$141)+1)+(IF(G182&lt;101,G182,IF(G182&lt;201,G182/2,IF(G182&lt;=301,G182/3,G182/4))))</f>
        <v>624.36581999999999</v>
      </c>
    </row>
    <row r="183" spans="1:20" ht="15.75" customHeight="1" x14ac:dyDescent="0.35">
      <c r="A183" s="109">
        <v>5</v>
      </c>
      <c r="B183" s="110"/>
      <c r="C183" s="73" t="s">
        <v>368</v>
      </c>
      <c r="D183" s="77">
        <f>(28.17+(2.75*1.2))*10.764</f>
        <v>338.74308000000002</v>
      </c>
      <c r="E183" s="77">
        <f>(0.6*(2.75*2)+2*0.75)*10.764</f>
        <v>51.667199999999994</v>
      </c>
      <c r="F183" s="73">
        <f>D183+E183</f>
        <v>390.41028</v>
      </c>
      <c r="G183" s="73">
        <v>0</v>
      </c>
      <c r="H183" s="73">
        <f>F183*(($H$141)+1)+(IF(G183&lt;101,G183,IF(G183&lt;201,G183/2,IF(G183&lt;=301,G183/3,G183/4))))</f>
        <v>585.61541999999997</v>
      </c>
    </row>
    <row r="184" spans="1:20" ht="15.75" customHeight="1" x14ac:dyDescent="0.35">
      <c r="A184" s="109">
        <f>A183+1</f>
        <v>6</v>
      </c>
      <c r="B184" s="110"/>
      <c r="C184" s="73" t="s">
        <v>368</v>
      </c>
      <c r="D184" s="77">
        <f>(28.13+(2.75*1.2))*10.764</f>
        <v>338.31251999999995</v>
      </c>
      <c r="E184" s="77">
        <f>(0.6*(2.75*2)+2*0.75)*10.764</f>
        <v>51.667199999999994</v>
      </c>
      <c r="F184" s="73">
        <f>D184+E184</f>
        <v>389.97971999999993</v>
      </c>
      <c r="G184" s="73">
        <v>0</v>
      </c>
      <c r="H184" s="73">
        <f>F184*(($H$141)+1)+(IF(G184&lt;101,G184,IF(G184&lt;201,G184/2,IF(G184&lt;=301,G184/3,G184/4))))</f>
        <v>584.96957999999995</v>
      </c>
    </row>
    <row r="185" spans="1:20" x14ac:dyDescent="0.35">
      <c r="A185" s="113" t="s">
        <v>376</v>
      </c>
      <c r="B185" s="113"/>
      <c r="C185" s="113"/>
      <c r="D185" s="113"/>
      <c r="E185" s="113"/>
      <c r="F185" s="113"/>
      <c r="G185" s="113"/>
      <c r="H185" s="113"/>
    </row>
    <row r="186" spans="1:20" x14ac:dyDescent="0.35">
      <c r="A186" s="109">
        <v>1</v>
      </c>
      <c r="B186" s="110"/>
      <c r="C186" s="73" t="s">
        <v>367</v>
      </c>
      <c r="D186" s="77">
        <f>(35.78+(3.3*1.4+2.75+1.85+2.75))*10.764</f>
        <v>513.98099999999999</v>
      </c>
      <c r="E186" s="77">
        <f>(0.6*(2.75*2+3.3)+1.85*0.75)*10.764</f>
        <v>71.768969999999996</v>
      </c>
      <c r="F186" s="73">
        <f t="shared" ref="F186:F191" si="10">D186+E186</f>
        <v>585.74996999999996</v>
      </c>
      <c r="G186" s="73">
        <v>0</v>
      </c>
      <c r="H186" s="73">
        <f t="shared" ref="H186:H191" si="11">F186*(($H$141)+1)+(IF(G186&lt;101,G186,IF(G186&lt;201,G186/2,IF(G186&lt;=301,G186/3,G186/4))))</f>
        <v>878.624955</v>
      </c>
    </row>
    <row r="187" spans="1:20" x14ac:dyDescent="0.35">
      <c r="A187" s="109">
        <f>A186+1</f>
        <v>2</v>
      </c>
      <c r="B187" s="110"/>
      <c r="C187" s="73" t="s">
        <v>386</v>
      </c>
      <c r="D187" s="77">
        <f>(29.68+(2.75*1.45+2.75))*10.764</f>
        <v>391.99796999999995</v>
      </c>
      <c r="E187" s="77">
        <f>(0.6*(2.75*2)+2*0.75)*10.764</f>
        <v>51.667199999999994</v>
      </c>
      <c r="F187" s="73">
        <f t="shared" si="10"/>
        <v>443.66516999999993</v>
      </c>
      <c r="G187" s="73">
        <v>0</v>
      </c>
      <c r="H187" s="73">
        <f t="shared" si="11"/>
        <v>665.49775499999987</v>
      </c>
    </row>
    <row r="188" spans="1:20" ht="15" customHeight="1" x14ac:dyDescent="0.35">
      <c r="A188" s="109">
        <f>A187+1</f>
        <v>3</v>
      </c>
      <c r="B188" s="110"/>
      <c r="C188" s="73" t="s">
        <v>368</v>
      </c>
      <c r="D188" s="77">
        <f>(26.37+(2.75*2+2))*10.764</f>
        <v>364.57668000000001</v>
      </c>
      <c r="E188" s="77">
        <f>(0.6*(2.75*2)+2*0.75)*10.764</f>
        <v>51.667199999999994</v>
      </c>
      <c r="F188" s="73">
        <f t="shared" si="10"/>
        <v>416.24387999999999</v>
      </c>
      <c r="G188" s="73">
        <v>0</v>
      </c>
      <c r="H188" s="73">
        <f t="shared" si="11"/>
        <v>624.36581999999999</v>
      </c>
    </row>
    <row r="189" spans="1:20" x14ac:dyDescent="0.35">
      <c r="A189" s="109">
        <f>A188+1</f>
        <v>4</v>
      </c>
      <c r="B189" s="110"/>
      <c r="C189" s="73" t="s">
        <v>368</v>
      </c>
      <c r="D189" s="77">
        <f>(26.37+(2.75*2+2))*10.764</f>
        <v>364.57668000000001</v>
      </c>
      <c r="E189" s="77">
        <f>(0.6*(2.75*2)+2*0.75)*10.764</f>
        <v>51.667199999999994</v>
      </c>
      <c r="F189" s="73">
        <f t="shared" si="10"/>
        <v>416.24387999999999</v>
      </c>
      <c r="G189" s="73">
        <v>0</v>
      </c>
      <c r="H189" s="73">
        <f t="shared" si="11"/>
        <v>624.36581999999999</v>
      </c>
    </row>
    <row r="190" spans="1:20" x14ac:dyDescent="0.35">
      <c r="A190" s="109">
        <v>5</v>
      </c>
      <c r="B190" s="110"/>
      <c r="C190" s="73" t="s">
        <v>368</v>
      </c>
      <c r="D190" s="77">
        <f>(28.17+(2.75*1.2))*10.764</f>
        <v>338.74308000000002</v>
      </c>
      <c r="E190" s="77">
        <f>(0.6*(2.75*2)+2*0.75)*10.764</f>
        <v>51.667199999999994</v>
      </c>
      <c r="F190" s="73">
        <f t="shared" si="10"/>
        <v>390.41028</v>
      </c>
      <c r="G190" s="73">
        <v>0</v>
      </c>
      <c r="H190" s="73">
        <f t="shared" si="11"/>
        <v>585.61541999999997</v>
      </c>
    </row>
    <row r="191" spans="1:20" x14ac:dyDescent="0.35">
      <c r="A191" s="109">
        <f>A190+1</f>
        <v>6</v>
      </c>
      <c r="B191" s="110"/>
      <c r="C191" s="73" t="s">
        <v>368</v>
      </c>
      <c r="D191" s="77">
        <f>(28.13+(2.75*1.2))*10.764</f>
        <v>338.31251999999995</v>
      </c>
      <c r="E191" s="77">
        <f>(0.6*(2.75*2)+2*0.75)*10.764</f>
        <v>51.667199999999994</v>
      </c>
      <c r="F191" s="73">
        <f t="shared" si="10"/>
        <v>389.97971999999993</v>
      </c>
      <c r="G191" s="73">
        <v>0</v>
      </c>
      <c r="H191" s="73">
        <f t="shared" si="11"/>
        <v>584.96957999999995</v>
      </c>
    </row>
    <row r="192" spans="1:20" x14ac:dyDescent="0.35">
      <c r="A192" s="113" t="s">
        <v>377</v>
      </c>
      <c r="B192" s="113"/>
      <c r="C192" s="113"/>
      <c r="D192" s="113"/>
      <c r="E192" s="113"/>
      <c r="F192" s="113"/>
      <c r="G192" s="113"/>
      <c r="H192" s="113"/>
    </row>
    <row r="193" spans="1:8" x14ac:dyDescent="0.35">
      <c r="A193" s="109">
        <v>1</v>
      </c>
      <c r="B193" s="110"/>
      <c r="C193" s="73" t="s">
        <v>367</v>
      </c>
      <c r="D193" s="77">
        <f>(35.78+(3.3*1.4+2.75+1.85+2.75))*10.764</f>
        <v>513.98099999999999</v>
      </c>
      <c r="E193" s="77">
        <f>(0.6*(2.75*2+3.3)+1.85*0.75)*10.764</f>
        <v>71.768969999999996</v>
      </c>
      <c r="F193" s="73">
        <f t="shared" ref="F193:F198" si="12">D193+E193</f>
        <v>585.74996999999996</v>
      </c>
      <c r="G193" s="73">
        <v>0</v>
      </c>
      <c r="H193" s="73">
        <f t="shared" ref="H193:H198" si="13">F193*(($H$141)+1)+(IF(G193&lt;101,G193,IF(G193&lt;201,G193/2,IF(G193&lt;=301,G193/3,G193/4))))</f>
        <v>878.624955</v>
      </c>
    </row>
    <row r="194" spans="1:8" x14ac:dyDescent="0.35">
      <c r="A194" s="109">
        <f>A193+1</f>
        <v>2</v>
      </c>
      <c r="B194" s="110"/>
      <c r="C194" s="73" t="s">
        <v>386</v>
      </c>
      <c r="D194" s="77">
        <f>(29.68+(2.75*1.45+2.75))*10.764</f>
        <v>391.99796999999995</v>
      </c>
      <c r="E194" s="77">
        <f>(0.6*(2.75*2)+2*0.75)*10.764</f>
        <v>51.667199999999994</v>
      </c>
      <c r="F194" s="73">
        <f t="shared" si="12"/>
        <v>443.66516999999993</v>
      </c>
      <c r="G194" s="73">
        <v>0</v>
      </c>
      <c r="H194" s="73">
        <f t="shared" si="13"/>
        <v>665.49775499999987</v>
      </c>
    </row>
    <row r="195" spans="1:8" x14ac:dyDescent="0.35">
      <c r="A195" s="109">
        <f>A194+1</f>
        <v>3</v>
      </c>
      <c r="B195" s="110"/>
      <c r="C195" s="73" t="s">
        <v>368</v>
      </c>
      <c r="D195" s="77">
        <f>(26.37+(2.75*2+2))*10.764</f>
        <v>364.57668000000001</v>
      </c>
      <c r="E195" s="77">
        <f>(0.6*(2.75*2)+2*0.75)*10.764</f>
        <v>51.667199999999994</v>
      </c>
      <c r="F195" s="73">
        <f t="shared" si="12"/>
        <v>416.24387999999999</v>
      </c>
      <c r="G195" s="73">
        <v>0</v>
      </c>
      <c r="H195" s="73">
        <f t="shared" si="13"/>
        <v>624.36581999999999</v>
      </c>
    </row>
    <row r="196" spans="1:8" x14ac:dyDescent="0.35">
      <c r="A196" s="109">
        <f>A195+1</f>
        <v>4</v>
      </c>
      <c r="B196" s="110"/>
      <c r="C196" s="73" t="s">
        <v>368</v>
      </c>
      <c r="D196" s="77">
        <f>(26.37+(2.75*2+2))*10.764</f>
        <v>364.57668000000001</v>
      </c>
      <c r="E196" s="77">
        <f>(0.6*(2.75*2)+2*0.75)*10.764</f>
        <v>51.667199999999994</v>
      </c>
      <c r="F196" s="73">
        <f t="shared" si="12"/>
        <v>416.24387999999999</v>
      </c>
      <c r="G196" s="73">
        <v>0</v>
      </c>
      <c r="H196" s="73">
        <f t="shared" si="13"/>
        <v>624.36581999999999</v>
      </c>
    </row>
    <row r="197" spans="1:8" x14ac:dyDescent="0.35">
      <c r="A197" s="109">
        <v>5</v>
      </c>
      <c r="B197" s="110"/>
      <c r="C197" s="73" t="s">
        <v>368</v>
      </c>
      <c r="D197" s="77">
        <f>(28.17+(2.75*1.2))*10.764</f>
        <v>338.74308000000002</v>
      </c>
      <c r="E197" s="77">
        <f>(0.6*(2.75*2)+2*0.75)*10.764</f>
        <v>51.667199999999994</v>
      </c>
      <c r="F197" s="73">
        <f t="shared" si="12"/>
        <v>390.41028</v>
      </c>
      <c r="G197" s="73">
        <v>0</v>
      </c>
      <c r="H197" s="73">
        <f t="shared" si="13"/>
        <v>585.61541999999997</v>
      </c>
    </row>
    <row r="198" spans="1:8" x14ac:dyDescent="0.35">
      <c r="A198" s="109">
        <f>A197+1</f>
        <v>6</v>
      </c>
      <c r="B198" s="110"/>
      <c r="C198" s="73" t="s">
        <v>368</v>
      </c>
      <c r="D198" s="77">
        <f>(28.13+(2.75*1.2))*10.764</f>
        <v>338.31251999999995</v>
      </c>
      <c r="E198" s="77">
        <f>(0.6*(2.75*2)+2*0.75)*10.764</f>
        <v>51.667199999999994</v>
      </c>
      <c r="F198" s="73">
        <f t="shared" si="12"/>
        <v>389.97971999999993</v>
      </c>
      <c r="G198" s="73">
        <v>0</v>
      </c>
      <c r="H198" s="73">
        <f t="shared" si="13"/>
        <v>584.96957999999995</v>
      </c>
    </row>
    <row r="199" spans="1:8" x14ac:dyDescent="0.35">
      <c r="A199" s="145" t="s">
        <v>380</v>
      </c>
      <c r="B199" s="145"/>
      <c r="C199" s="145"/>
      <c r="D199" s="145"/>
      <c r="E199" s="145"/>
      <c r="F199" s="145"/>
      <c r="G199" s="145"/>
      <c r="H199" s="145"/>
    </row>
    <row r="200" spans="1:8" x14ac:dyDescent="0.35">
      <c r="A200" s="109">
        <v>1</v>
      </c>
      <c r="B200" s="110"/>
      <c r="C200" s="73" t="s">
        <v>367</v>
      </c>
      <c r="D200" s="77">
        <f>(35.78+(3.3*1.4+2.75+1.85+2.75))*10.764</f>
        <v>513.98099999999999</v>
      </c>
      <c r="E200" s="77">
        <f>(0.6*(2.75*2+3.3)+1.85*0.75)*10.764</f>
        <v>71.768969999999996</v>
      </c>
      <c r="F200" s="73">
        <f>D200+E200</f>
        <v>585.74996999999996</v>
      </c>
      <c r="G200" s="73">
        <v>0</v>
      </c>
      <c r="H200" s="73">
        <f>F200*(($H$141)+1)+(IF(G200&lt;101,G200,IF(G200&lt;201,G200/2,IF(G200&lt;=301,G200/3,G200/4))))</f>
        <v>878.624955</v>
      </c>
    </row>
    <row r="201" spans="1:8" x14ac:dyDescent="0.35">
      <c r="A201" s="109">
        <f>A200+1</f>
        <v>2</v>
      </c>
      <c r="B201" s="110"/>
      <c r="C201" s="109" t="s">
        <v>374</v>
      </c>
      <c r="D201" s="195"/>
      <c r="E201" s="195"/>
      <c r="F201" s="195"/>
      <c r="G201" s="110"/>
      <c r="H201" s="73" t="s">
        <v>373</v>
      </c>
    </row>
    <row r="202" spans="1:8" x14ac:dyDescent="0.35">
      <c r="A202" s="109">
        <f>A201+1</f>
        <v>3</v>
      </c>
      <c r="B202" s="110"/>
      <c r="C202" s="73" t="s">
        <v>367</v>
      </c>
      <c r="D202" s="77">
        <f>(35.35+(2.75*1.45+2.75*2+2))*10.764</f>
        <v>504.15885000000003</v>
      </c>
      <c r="E202" s="77">
        <f>(0.6*(2.75*3)+2*0.75)*10.764</f>
        <v>69.427799999999991</v>
      </c>
      <c r="F202" s="73">
        <f>D202+E202</f>
        <v>573.58664999999996</v>
      </c>
      <c r="G202" s="73">
        <v>0</v>
      </c>
      <c r="H202" s="73">
        <f>F202*(($H$141)+1)+(IF(G202&lt;101,G202,IF(G202&lt;201,G202/2,IF(G202&lt;=301,G202/3,G202/4))))</f>
        <v>860.37997499999994</v>
      </c>
    </row>
    <row r="203" spans="1:8" x14ac:dyDescent="0.35">
      <c r="A203" s="109">
        <f>A202+1</f>
        <v>4</v>
      </c>
      <c r="B203" s="110"/>
      <c r="C203" s="73" t="s">
        <v>368</v>
      </c>
      <c r="D203" s="77">
        <f>(26.37+(2.75*2+2))*10.764</f>
        <v>364.57668000000001</v>
      </c>
      <c r="E203" s="77">
        <f>(0.6*(2.75*2)+2*0.75)*10.764</f>
        <v>51.667199999999994</v>
      </c>
      <c r="F203" s="73">
        <f>D203+E203</f>
        <v>416.24387999999999</v>
      </c>
      <c r="G203" s="73">
        <v>0</v>
      </c>
      <c r="H203" s="73">
        <f>F203*(($H$141)+1)+(IF(G203&lt;101,G203,IF(G203&lt;201,G203/2,IF(G203&lt;=301,G203/3,G203/4))))</f>
        <v>624.36581999999999</v>
      </c>
    </row>
    <row r="204" spans="1:8" x14ac:dyDescent="0.35">
      <c r="A204" s="109">
        <v>5</v>
      </c>
      <c r="B204" s="110"/>
      <c r="C204" s="73" t="s">
        <v>368</v>
      </c>
      <c r="D204" s="77">
        <f>(28.17+(2.75*1.2))*10.764</f>
        <v>338.74308000000002</v>
      </c>
      <c r="E204" s="77">
        <f>(0.6*(2.75*2)+2*0.75)*10.764</f>
        <v>51.667199999999994</v>
      </c>
      <c r="F204" s="73">
        <f>D204+E204</f>
        <v>390.41028</v>
      </c>
      <c r="G204" s="73">
        <v>0</v>
      </c>
      <c r="H204" s="73">
        <f>F204*(($H$141)+1)+(IF(G204&lt;101,G204,IF(G204&lt;201,G204/2,IF(G204&lt;=301,G204/3,G204/4))))</f>
        <v>585.61541999999997</v>
      </c>
    </row>
    <row r="205" spans="1:8" x14ac:dyDescent="0.35">
      <c r="A205" s="109">
        <f>A204+1</f>
        <v>6</v>
      </c>
      <c r="B205" s="110"/>
      <c r="C205" s="73" t="s">
        <v>368</v>
      </c>
      <c r="D205" s="77">
        <f>(28.13+(2.75*1.2))*10.764</f>
        <v>338.31251999999995</v>
      </c>
      <c r="E205" s="77">
        <f>(0.6*(2.75*2)+2*0.75)*10.764</f>
        <v>51.667199999999994</v>
      </c>
      <c r="F205" s="73">
        <f>D205+E205</f>
        <v>389.97971999999993</v>
      </c>
      <c r="G205" s="73">
        <v>0</v>
      </c>
      <c r="H205" s="73">
        <f>F205*(($H$141)+1)+(IF(G205&lt;101,G205,IF(G205&lt;201,G205/2,IF(G205&lt;=301,G205/3,G205/4))))</f>
        <v>584.96957999999995</v>
      </c>
    </row>
    <row r="206" spans="1:8" x14ac:dyDescent="0.35">
      <c r="A206" s="113" t="s">
        <v>378</v>
      </c>
      <c r="B206" s="113"/>
      <c r="C206" s="113"/>
      <c r="D206" s="113"/>
      <c r="E206" s="113"/>
      <c r="F206" s="113"/>
      <c r="G206" s="113"/>
      <c r="H206" s="113"/>
    </row>
    <row r="207" spans="1:8" x14ac:dyDescent="0.35">
      <c r="A207" s="109">
        <v>1</v>
      </c>
      <c r="B207" s="110"/>
      <c r="C207" s="73" t="s">
        <v>367</v>
      </c>
      <c r="D207" s="77">
        <f>(35.78+(3.3*1.4+2.75+1.85+2.75))*10.764</f>
        <v>513.98099999999999</v>
      </c>
      <c r="E207" s="77">
        <f>(0.6*(2.75*2+3.3)+1.85*0.75)*10.764</f>
        <v>71.768969999999996</v>
      </c>
      <c r="F207" s="73">
        <f t="shared" ref="F207:F212" si="14">D207+E207</f>
        <v>585.74996999999996</v>
      </c>
      <c r="G207" s="73">
        <v>0</v>
      </c>
      <c r="H207" s="73">
        <f t="shared" ref="H207:H212" si="15">F207*(($H$141)+1)+(IF(G207&lt;101,G207,IF(G207&lt;201,G207/2,IF(G207&lt;=301,G207/3,G207/4))))</f>
        <v>878.624955</v>
      </c>
    </row>
    <row r="208" spans="1:8" x14ac:dyDescent="0.35">
      <c r="A208" s="109">
        <f>A207+1</f>
        <v>2</v>
      </c>
      <c r="B208" s="110"/>
      <c r="C208" s="73" t="s">
        <v>386</v>
      </c>
      <c r="D208" s="77">
        <f>(29.68+(2.75*1.45+2.75))*10.764</f>
        <v>391.99796999999995</v>
      </c>
      <c r="E208" s="77">
        <f>(0.6*(2.75*2)+2*0.75)*10.764</f>
        <v>51.667199999999994</v>
      </c>
      <c r="F208" s="73">
        <f t="shared" si="14"/>
        <v>443.66516999999993</v>
      </c>
      <c r="G208" s="73">
        <v>0</v>
      </c>
      <c r="H208" s="73">
        <f t="shared" si="15"/>
        <v>665.49775499999987</v>
      </c>
    </row>
    <row r="209" spans="1:9" x14ac:dyDescent="0.35">
      <c r="A209" s="109">
        <f>A208+1</f>
        <v>3</v>
      </c>
      <c r="B209" s="110"/>
      <c r="C209" s="73" t="s">
        <v>368</v>
      </c>
      <c r="D209" s="77">
        <f>(26.37+(2.75*2+2))*10.764</f>
        <v>364.57668000000001</v>
      </c>
      <c r="E209" s="77">
        <f>(0.6*(2.75*2)+2*0.75)*10.764</f>
        <v>51.667199999999994</v>
      </c>
      <c r="F209" s="73">
        <f t="shared" si="14"/>
        <v>416.24387999999999</v>
      </c>
      <c r="G209" s="73">
        <v>0</v>
      </c>
      <c r="H209" s="73">
        <f t="shared" si="15"/>
        <v>624.36581999999999</v>
      </c>
    </row>
    <row r="210" spans="1:9" x14ac:dyDescent="0.35">
      <c r="A210" s="109">
        <f>A209+1</f>
        <v>4</v>
      </c>
      <c r="B210" s="110"/>
      <c r="C210" s="73" t="s">
        <v>368</v>
      </c>
      <c r="D210" s="77">
        <f>(26.37+(2.75*2+2))*10.764</f>
        <v>364.57668000000001</v>
      </c>
      <c r="E210" s="77">
        <f>(0.6*(2.75*2)+2*0.75)*10.764</f>
        <v>51.667199999999994</v>
      </c>
      <c r="F210" s="73">
        <f t="shared" si="14"/>
        <v>416.24387999999999</v>
      </c>
      <c r="G210" s="73">
        <v>0</v>
      </c>
      <c r="H210" s="73">
        <f t="shared" si="15"/>
        <v>624.36581999999999</v>
      </c>
    </row>
    <row r="211" spans="1:9" x14ac:dyDescent="0.35">
      <c r="A211" s="109">
        <v>5</v>
      </c>
      <c r="B211" s="110"/>
      <c r="C211" s="73" t="s">
        <v>368</v>
      </c>
      <c r="D211" s="77">
        <f>(28.17+(2.75*1.2))*10.764</f>
        <v>338.74308000000002</v>
      </c>
      <c r="E211" s="77">
        <f>(0.6*(2.75*2)+2*0.75)*10.764</f>
        <v>51.667199999999994</v>
      </c>
      <c r="F211" s="73">
        <f t="shared" si="14"/>
        <v>390.41028</v>
      </c>
      <c r="G211" s="73">
        <v>0</v>
      </c>
      <c r="H211" s="73">
        <f t="shared" si="15"/>
        <v>585.61541999999997</v>
      </c>
    </row>
    <row r="212" spans="1:9" x14ac:dyDescent="0.35">
      <c r="A212" s="109">
        <f>A211+1</f>
        <v>6</v>
      </c>
      <c r="B212" s="110"/>
      <c r="C212" s="73" t="s">
        <v>368</v>
      </c>
      <c r="D212" s="77">
        <f>(28.13+(2.75*1.2))*10.764</f>
        <v>338.31251999999995</v>
      </c>
      <c r="E212" s="77">
        <f>(0.6*(2.75*2)+2*0.75)*10.764</f>
        <v>51.667199999999994</v>
      </c>
      <c r="F212" s="73">
        <f t="shared" si="14"/>
        <v>389.97971999999993</v>
      </c>
      <c r="G212" s="73">
        <v>0</v>
      </c>
      <c r="H212" s="73">
        <f t="shared" si="15"/>
        <v>584.96957999999995</v>
      </c>
    </row>
    <row r="213" spans="1:9" x14ac:dyDescent="0.35">
      <c r="A213" s="112" t="s">
        <v>65</v>
      </c>
      <c r="B213" s="112"/>
      <c r="C213" s="112"/>
      <c r="D213" s="112"/>
      <c r="E213" s="112"/>
      <c r="F213" s="112"/>
      <c r="G213" s="112"/>
      <c r="H213" s="112"/>
    </row>
    <row r="214" spans="1:9" ht="31.5" customHeight="1" x14ac:dyDescent="0.35">
      <c r="A214" s="88" t="s">
        <v>147</v>
      </c>
      <c r="B214" s="111" t="s">
        <v>401</v>
      </c>
      <c r="C214" s="111"/>
      <c r="D214" s="111"/>
      <c r="E214" s="111"/>
      <c r="F214" s="111"/>
      <c r="G214" s="111"/>
      <c r="H214" s="111"/>
      <c r="I214" s="18" t="s">
        <v>399</v>
      </c>
    </row>
    <row r="215" spans="1:9" x14ac:dyDescent="0.35">
      <c r="A215" s="88" t="s">
        <v>147</v>
      </c>
      <c r="B215" s="111" t="str">
        <f>(IF(H140="Saleable area Loading :","We have considered Saleable area of Flats as per our Calculation.","We considered Saleable area of Flat as per Builder area Sheet."))</f>
        <v>We have considered Saleable area of Flats as per our Calculation.</v>
      </c>
      <c r="C215" s="111"/>
      <c r="D215" s="111"/>
      <c r="E215" s="111"/>
      <c r="F215" s="111"/>
      <c r="G215" s="111"/>
      <c r="H215" s="111"/>
    </row>
    <row r="216" spans="1:9" x14ac:dyDescent="0.35">
      <c r="A216" s="88" t="s">
        <v>147</v>
      </c>
      <c r="B216" s="111" t="str">
        <f>(IF(H127="Saleable area Loading :","We have considered Saleable area of Commercial as per our Calculation.","We considered Saleable area of Commercial as per Builder area Sheet."))</f>
        <v>We have considered Saleable area of Commercial as per our Calculation.</v>
      </c>
      <c r="C216" s="111"/>
      <c r="D216" s="111"/>
      <c r="E216" s="111"/>
      <c r="F216" s="111"/>
      <c r="G216" s="111"/>
      <c r="H216" s="111"/>
    </row>
    <row r="217" spans="1:9" x14ac:dyDescent="0.35">
      <c r="A217" s="88" t="s">
        <v>147</v>
      </c>
      <c r="B217" s="108" t="s">
        <v>117</v>
      </c>
      <c r="C217" s="108"/>
      <c r="D217" s="108"/>
      <c r="E217" s="108"/>
      <c r="F217" s="108"/>
      <c r="G217" s="108"/>
      <c r="H217" s="108"/>
    </row>
    <row r="218" spans="1:9" x14ac:dyDescent="0.35">
      <c r="A218" s="88" t="s">
        <v>147</v>
      </c>
      <c r="B218" s="111" t="s">
        <v>398</v>
      </c>
      <c r="C218" s="111"/>
      <c r="D218" s="111"/>
      <c r="E218" s="111"/>
      <c r="F218" s="111"/>
      <c r="G218" s="111"/>
      <c r="H218" s="111"/>
    </row>
    <row r="219" spans="1:9" x14ac:dyDescent="0.35">
      <c r="A219" s="88" t="s">
        <v>147</v>
      </c>
      <c r="B219" s="108" t="s">
        <v>146</v>
      </c>
      <c r="C219" s="108"/>
      <c r="D219" s="108"/>
      <c r="E219" s="108"/>
      <c r="F219" s="108"/>
      <c r="G219" s="108"/>
      <c r="H219" s="108"/>
    </row>
    <row r="220" spans="1:9" x14ac:dyDescent="0.35">
      <c r="A220" s="88" t="s">
        <v>147</v>
      </c>
      <c r="B220" s="108" t="s">
        <v>118</v>
      </c>
      <c r="C220" s="108"/>
      <c r="D220" s="108"/>
      <c r="E220" s="108"/>
      <c r="F220" s="108"/>
      <c r="G220" s="108"/>
      <c r="H220" s="108"/>
    </row>
    <row r="221" spans="1:9" ht="33" customHeight="1" x14ac:dyDescent="0.35">
      <c r="A221" s="88" t="s">
        <v>147</v>
      </c>
      <c r="B221" s="108" t="s">
        <v>148</v>
      </c>
      <c r="C221" s="108"/>
      <c r="D221" s="108"/>
      <c r="E221" s="108"/>
      <c r="F221" s="108"/>
      <c r="G221" s="108"/>
      <c r="H221" s="108"/>
    </row>
    <row r="222" spans="1:9" x14ac:dyDescent="0.35">
      <c r="A222" s="88" t="s">
        <v>147</v>
      </c>
      <c r="B222" s="108" t="s">
        <v>119</v>
      </c>
      <c r="C222" s="108"/>
      <c r="D222" s="108"/>
      <c r="E222" s="108"/>
      <c r="F222" s="108"/>
      <c r="G222" s="108"/>
      <c r="H222" s="108"/>
    </row>
    <row r="223" spans="1:9" x14ac:dyDescent="0.35">
      <c r="A223" s="79" t="s">
        <v>147</v>
      </c>
      <c r="B223" s="192" t="s">
        <v>397</v>
      </c>
      <c r="C223" s="193"/>
      <c r="D223" s="193"/>
      <c r="E223" s="193"/>
      <c r="F223" s="193"/>
      <c r="G223" s="193"/>
      <c r="H223" s="194"/>
    </row>
    <row r="224" spans="1:9" hidden="1" x14ac:dyDescent="0.35">
      <c r="A224" s="41" t="s">
        <v>147</v>
      </c>
      <c r="B224" s="192" t="s">
        <v>396</v>
      </c>
      <c r="C224" s="193"/>
      <c r="D224" s="193"/>
      <c r="E224" s="193"/>
      <c r="F224" s="193"/>
      <c r="G224" s="193"/>
      <c r="H224" s="194"/>
    </row>
    <row r="225" spans="1:8" hidden="1" x14ac:dyDescent="0.35">
      <c r="A225" s="78" t="s">
        <v>147</v>
      </c>
      <c r="B225" s="91" t="s">
        <v>173</v>
      </c>
      <c r="C225" s="92"/>
      <c r="D225" s="92"/>
      <c r="E225" s="92"/>
      <c r="F225" s="92"/>
      <c r="G225" s="92"/>
      <c r="H225" s="93"/>
    </row>
    <row r="226" spans="1:8" ht="39.75" hidden="1" customHeight="1" x14ac:dyDescent="0.35">
      <c r="A226" s="71" t="s">
        <v>147</v>
      </c>
      <c r="B226" s="91" t="s">
        <v>341</v>
      </c>
      <c r="C226" s="92"/>
      <c r="D226" s="92"/>
      <c r="E226" s="92"/>
      <c r="F226" s="92"/>
      <c r="G226" s="92"/>
      <c r="H226" s="93"/>
    </row>
    <row r="227" spans="1:8" x14ac:dyDescent="0.35">
      <c r="A227" s="90" t="s">
        <v>147</v>
      </c>
      <c r="B227" s="192" t="s">
        <v>403</v>
      </c>
      <c r="C227" s="193"/>
      <c r="D227" s="193"/>
      <c r="E227" s="193"/>
      <c r="F227" s="193"/>
      <c r="G227" s="193"/>
      <c r="H227" s="194"/>
    </row>
    <row r="228" spans="1:8" x14ac:dyDescent="0.35">
      <c r="A228" s="190" t="s">
        <v>58</v>
      </c>
      <c r="B228" s="190"/>
      <c r="C228" s="190"/>
      <c r="D228" s="190"/>
      <c r="E228" s="190"/>
      <c r="F228" s="190"/>
      <c r="G228" s="190"/>
      <c r="H228" s="190"/>
    </row>
    <row r="229" spans="1:8" x14ac:dyDescent="0.35">
      <c r="A229" s="94" t="s">
        <v>59</v>
      </c>
      <c r="B229" s="94"/>
      <c r="C229" s="94"/>
      <c r="D229" s="94"/>
      <c r="E229" s="94"/>
      <c r="F229" s="94"/>
      <c r="G229" s="94"/>
      <c r="H229" s="94"/>
    </row>
    <row r="230" spans="1:8" x14ac:dyDescent="0.35">
      <c r="A230" s="191" t="s">
        <v>60</v>
      </c>
      <c r="B230" s="191"/>
      <c r="C230" s="191"/>
      <c r="D230" s="191"/>
      <c r="E230" s="191"/>
      <c r="F230" s="191"/>
      <c r="G230" s="191"/>
      <c r="H230" s="191"/>
    </row>
    <row r="231" spans="1:8" x14ac:dyDescent="0.35">
      <c r="A231" s="94" t="s">
        <v>61</v>
      </c>
      <c r="B231" s="94"/>
      <c r="C231" s="94"/>
      <c r="D231" s="94"/>
      <c r="E231" s="94"/>
      <c r="F231" s="94"/>
      <c r="G231" s="94"/>
      <c r="H231" s="94"/>
    </row>
    <row r="232" spans="1:8" x14ac:dyDescent="0.35">
      <c r="A232" s="94" t="s">
        <v>62</v>
      </c>
      <c r="B232" s="94"/>
      <c r="C232" s="94"/>
      <c r="D232" s="94"/>
      <c r="E232" s="94"/>
      <c r="F232" s="94"/>
      <c r="G232" s="94"/>
      <c r="H232" s="94"/>
    </row>
    <row r="233" spans="1:8" x14ac:dyDescent="0.35">
      <c r="A233" s="94" t="s">
        <v>120</v>
      </c>
      <c r="B233" s="94"/>
      <c r="C233" s="94"/>
      <c r="D233" s="94"/>
      <c r="E233" s="94"/>
      <c r="F233" s="94"/>
      <c r="G233" s="94"/>
      <c r="H233" s="94"/>
    </row>
    <row r="234" spans="1:8" x14ac:dyDescent="0.35">
      <c r="A234" s="125" t="s">
        <v>121</v>
      </c>
      <c r="B234" s="125"/>
      <c r="C234" s="125"/>
      <c r="D234" s="125"/>
      <c r="E234" s="125"/>
      <c r="F234" s="125"/>
      <c r="G234" s="125"/>
      <c r="H234" s="125"/>
    </row>
    <row r="235" spans="1:8" x14ac:dyDescent="0.35">
      <c r="A235" s="189" t="s">
        <v>74</v>
      </c>
      <c r="B235" s="189"/>
      <c r="C235" s="189" t="s">
        <v>349</v>
      </c>
      <c r="D235" s="189"/>
      <c r="E235" s="189" t="s">
        <v>102</v>
      </c>
      <c r="F235" s="189"/>
      <c r="G235" s="189" t="s">
        <v>402</v>
      </c>
      <c r="H235" s="189"/>
    </row>
    <row r="236" spans="1:8" x14ac:dyDescent="0.35">
      <c r="A236" s="188" t="s">
        <v>76</v>
      </c>
      <c r="B236" s="188"/>
      <c r="C236" s="188"/>
      <c r="D236" s="188"/>
      <c r="E236" s="188"/>
      <c r="F236" s="188"/>
      <c r="G236" s="188"/>
      <c r="H236" s="188"/>
    </row>
    <row r="237" spans="1:8" x14ac:dyDescent="0.35">
      <c r="A237" s="188"/>
      <c r="B237" s="188"/>
      <c r="C237" s="188"/>
      <c r="D237" s="188"/>
      <c r="E237" s="188"/>
      <c r="F237" s="188"/>
      <c r="G237" s="188"/>
      <c r="H237" s="188"/>
    </row>
    <row r="238" spans="1:8" x14ac:dyDescent="0.35">
      <c r="A238" s="188"/>
      <c r="B238" s="188"/>
      <c r="C238" s="188"/>
      <c r="D238" s="188"/>
      <c r="E238" s="188"/>
      <c r="F238" s="188"/>
      <c r="G238" s="188"/>
      <c r="H238" s="188"/>
    </row>
    <row r="239" spans="1:8" hidden="1" x14ac:dyDescent="0.35">
      <c r="A239" s="188"/>
      <c r="B239" s="188"/>
      <c r="C239" s="188"/>
      <c r="D239" s="188"/>
      <c r="E239" s="188"/>
      <c r="F239" s="188"/>
      <c r="G239" s="188"/>
      <c r="H239" s="188"/>
    </row>
    <row r="240" spans="1:8" x14ac:dyDescent="0.35">
      <c r="A240" s="35" t="s">
        <v>63</v>
      </c>
      <c r="B240" s="36"/>
      <c r="C240" s="36"/>
      <c r="D240" s="35" t="str">
        <f>E9</f>
        <v>Elite Tower</v>
      </c>
      <c r="F240" s="36"/>
      <c r="G240" s="36"/>
      <c r="H240" s="36"/>
    </row>
    <row r="241" spans="1:8" x14ac:dyDescent="0.35">
      <c r="A241" s="36"/>
      <c r="B241" s="36"/>
      <c r="C241" s="36"/>
      <c r="D241" s="36"/>
      <c r="E241" s="36"/>
      <c r="F241" s="36"/>
      <c r="G241" s="36"/>
      <c r="H241" s="36"/>
    </row>
    <row r="242" spans="1:8" x14ac:dyDescent="0.35">
      <c r="A242" s="36"/>
      <c r="B242" s="36"/>
      <c r="C242" s="36"/>
      <c r="D242" s="36"/>
      <c r="E242" s="36"/>
      <c r="F242" s="36"/>
      <c r="G242" s="36"/>
      <c r="H242" s="36"/>
    </row>
    <row r="283" spans="1:1" x14ac:dyDescent="0.35">
      <c r="A283" s="38" t="s">
        <v>158</v>
      </c>
    </row>
    <row r="326" spans="1:1" x14ac:dyDescent="0.35">
      <c r="A326" s="38" t="s">
        <v>64</v>
      </c>
    </row>
  </sheetData>
  <mergeCells count="390">
    <mergeCell ref="B227:H227"/>
    <mergeCell ref="B223:H223"/>
    <mergeCell ref="B222:H222"/>
    <mergeCell ref="A209:B209"/>
    <mergeCell ref="A210:B210"/>
    <mergeCell ref="A211:B211"/>
    <mergeCell ref="A212:B212"/>
    <mergeCell ref="A201:B201"/>
    <mergeCell ref="A202:B202"/>
    <mergeCell ref="A203:B203"/>
    <mergeCell ref="A204:B204"/>
    <mergeCell ref="A205:B205"/>
    <mergeCell ref="A188:B188"/>
    <mergeCell ref="A189:B189"/>
    <mergeCell ref="A190:B190"/>
    <mergeCell ref="A191:B191"/>
    <mergeCell ref="C201:G201"/>
    <mergeCell ref="A206:H206"/>
    <mergeCell ref="A207:B207"/>
    <mergeCell ref="A208:B208"/>
    <mergeCell ref="A192:H192"/>
    <mergeCell ref="A193:B193"/>
    <mergeCell ref="A194:B194"/>
    <mergeCell ref="A195:B195"/>
    <mergeCell ref="A196:B196"/>
    <mergeCell ref="A197:B197"/>
    <mergeCell ref="A198:B198"/>
    <mergeCell ref="A199:H199"/>
    <mergeCell ref="A200:B200"/>
    <mergeCell ref="A176:B176"/>
    <mergeCell ref="A177:B177"/>
    <mergeCell ref="A161:B161"/>
    <mergeCell ref="C161:G161"/>
    <mergeCell ref="A184:B184"/>
    <mergeCell ref="C180:G180"/>
    <mergeCell ref="A185:H185"/>
    <mergeCell ref="A186:B186"/>
    <mergeCell ref="A187:B187"/>
    <mergeCell ref="A168:B168"/>
    <mergeCell ref="A169:B169"/>
    <mergeCell ref="A170:B170"/>
    <mergeCell ref="A183:B183"/>
    <mergeCell ref="A180:B180"/>
    <mergeCell ref="A178:H178"/>
    <mergeCell ref="A163:H163"/>
    <mergeCell ref="A164:H164"/>
    <mergeCell ref="A165:B165"/>
    <mergeCell ref="A166:B166"/>
    <mergeCell ref="A167:B167"/>
    <mergeCell ref="A175:B175"/>
    <mergeCell ref="I15:P15"/>
    <mergeCell ref="F112:H112"/>
    <mergeCell ref="F110:H110"/>
    <mergeCell ref="A126:H126"/>
    <mergeCell ref="G116:H116"/>
    <mergeCell ref="A111:E111"/>
    <mergeCell ref="A133:B133"/>
    <mergeCell ref="A60:B60"/>
    <mergeCell ref="C60:E60"/>
    <mergeCell ref="D62:H62"/>
    <mergeCell ref="F111:H111"/>
    <mergeCell ref="E116:F116"/>
    <mergeCell ref="A116:B116"/>
    <mergeCell ref="C120:D120"/>
    <mergeCell ref="D71:H71"/>
    <mergeCell ref="A72:C72"/>
    <mergeCell ref="A58:B59"/>
    <mergeCell ref="C58:E58"/>
    <mergeCell ref="G58:H58"/>
    <mergeCell ref="A130:H130"/>
    <mergeCell ref="A131:H131"/>
    <mergeCell ref="C51:E51"/>
    <mergeCell ref="E43:H43"/>
    <mergeCell ref="A43:D43"/>
    <mergeCell ref="D65:H65"/>
    <mergeCell ref="D66:H66"/>
    <mergeCell ref="E91:F91"/>
    <mergeCell ref="G91:H91"/>
    <mergeCell ref="E92:F101"/>
    <mergeCell ref="A99:B99"/>
    <mergeCell ref="A100:B100"/>
    <mergeCell ref="A91:B91"/>
    <mergeCell ref="D72:H72"/>
    <mergeCell ref="A78:B78"/>
    <mergeCell ref="G77:H77"/>
    <mergeCell ref="A80:B80"/>
    <mergeCell ref="A77:B77"/>
    <mergeCell ref="E78:F87"/>
    <mergeCell ref="G78:H87"/>
    <mergeCell ref="A86:B86"/>
    <mergeCell ref="A88:B88"/>
    <mergeCell ref="C88:H88"/>
    <mergeCell ref="A83:B83"/>
    <mergeCell ref="D73:H73"/>
    <mergeCell ref="A71:C71"/>
    <mergeCell ref="A96:B96"/>
    <mergeCell ref="A97:B97"/>
    <mergeCell ref="A98:B98"/>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F102:H102"/>
    <mergeCell ref="F107:H107"/>
    <mergeCell ref="A87:B87"/>
    <mergeCell ref="C123:D123"/>
    <mergeCell ref="A144:H144"/>
    <mergeCell ref="A132:B132"/>
    <mergeCell ref="A124:B124"/>
    <mergeCell ref="C124:D124"/>
    <mergeCell ref="E124:F124"/>
    <mergeCell ref="F103:H103"/>
    <mergeCell ref="G117:H117"/>
    <mergeCell ref="F109:H109"/>
    <mergeCell ref="C116:D116"/>
    <mergeCell ref="A108:E108"/>
    <mergeCell ref="F108:H108"/>
    <mergeCell ref="A110:E110"/>
    <mergeCell ref="F105:H105"/>
    <mergeCell ref="A109:E109"/>
    <mergeCell ref="A150:B150"/>
    <mergeCell ref="A152:B152"/>
    <mergeCell ref="A153:B153"/>
    <mergeCell ref="A145:H145"/>
    <mergeCell ref="A142:H142"/>
    <mergeCell ref="A143:H143"/>
    <mergeCell ref="A136:B136"/>
    <mergeCell ref="A137:B137"/>
    <mergeCell ref="A138:B138"/>
    <mergeCell ref="A233:H233"/>
    <mergeCell ref="A230:H230"/>
    <mergeCell ref="A120:B120"/>
    <mergeCell ref="D140:D141"/>
    <mergeCell ref="E140:E141"/>
    <mergeCell ref="A158:B158"/>
    <mergeCell ref="B225:H225"/>
    <mergeCell ref="B224:H224"/>
    <mergeCell ref="B220:H220"/>
    <mergeCell ref="B216:H216"/>
    <mergeCell ref="B214:H214"/>
    <mergeCell ref="A159:B159"/>
    <mergeCell ref="A171:H171"/>
    <mergeCell ref="A172:B172"/>
    <mergeCell ref="A173:B173"/>
    <mergeCell ref="A174:B174"/>
    <mergeCell ref="A146:B146"/>
    <mergeCell ref="A135:B135"/>
    <mergeCell ref="A134:B134"/>
    <mergeCell ref="A139:H139"/>
    <mergeCell ref="E120:F120"/>
    <mergeCell ref="A125:H125"/>
    <mergeCell ref="A140:A141"/>
    <mergeCell ref="F140:F141"/>
    <mergeCell ref="A236:H239"/>
    <mergeCell ref="A235:B235"/>
    <mergeCell ref="E235:F235"/>
    <mergeCell ref="C235:D235"/>
    <mergeCell ref="G235:H235"/>
    <mergeCell ref="A115:H115"/>
    <mergeCell ref="A113:E113"/>
    <mergeCell ref="F113:H113"/>
    <mergeCell ref="A114:E114"/>
    <mergeCell ref="F114:H114"/>
    <mergeCell ref="A151:H151"/>
    <mergeCell ref="A121:B121"/>
    <mergeCell ref="A160:B160"/>
    <mergeCell ref="A117:B117"/>
    <mergeCell ref="A231:H231"/>
    <mergeCell ref="A119:H119"/>
    <mergeCell ref="A234:H234"/>
    <mergeCell ref="A232:H232"/>
    <mergeCell ref="A228:H228"/>
    <mergeCell ref="G120:H120"/>
    <mergeCell ref="A162:B162"/>
    <mergeCell ref="C127:C128"/>
    <mergeCell ref="B140:B141"/>
    <mergeCell ref="A229:H22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A17:B17"/>
    <mergeCell ref="A14:D14"/>
    <mergeCell ref="E12:F12"/>
    <mergeCell ref="G12:H12"/>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F37:H37"/>
    <mergeCell ref="G51:H51"/>
    <mergeCell ref="A52:B53"/>
    <mergeCell ref="C59:E59"/>
    <mergeCell ref="G59:H59"/>
    <mergeCell ref="C53:H53"/>
    <mergeCell ref="C52:E52"/>
    <mergeCell ref="A65:C66"/>
    <mergeCell ref="A39:B39"/>
    <mergeCell ref="C39:H39"/>
    <mergeCell ref="A46:D46"/>
    <mergeCell ref="L133:M133"/>
    <mergeCell ref="L132:M132"/>
    <mergeCell ref="L131:M131"/>
    <mergeCell ref="L130:M130"/>
    <mergeCell ref="A85:B85"/>
    <mergeCell ref="C121:D121"/>
    <mergeCell ref="E121:F121"/>
    <mergeCell ref="G121:H121"/>
    <mergeCell ref="A103:E103"/>
    <mergeCell ref="A129:H129"/>
    <mergeCell ref="E127:E128"/>
    <mergeCell ref="A92:B92"/>
    <mergeCell ref="A47:D47"/>
    <mergeCell ref="A48:H48"/>
    <mergeCell ref="D64:H64"/>
    <mergeCell ref="A64:C64"/>
    <mergeCell ref="A84:B84"/>
    <mergeCell ref="C90:H90"/>
    <mergeCell ref="A45:D45"/>
    <mergeCell ref="A49:B49"/>
    <mergeCell ref="A76:B76"/>
    <mergeCell ref="L141:M141"/>
    <mergeCell ref="A156:B156"/>
    <mergeCell ref="A154:B154"/>
    <mergeCell ref="A179:B179"/>
    <mergeCell ref="A40:B40"/>
    <mergeCell ref="C40:H40"/>
    <mergeCell ref="F127:F128"/>
    <mergeCell ref="C117:D117"/>
    <mergeCell ref="E117:F117"/>
    <mergeCell ref="B127:B128"/>
    <mergeCell ref="A127:A128"/>
    <mergeCell ref="C140:C141"/>
    <mergeCell ref="G140:G141"/>
    <mergeCell ref="L140:M140"/>
    <mergeCell ref="L138:M138"/>
    <mergeCell ref="A147:B147"/>
    <mergeCell ref="G124:H124"/>
    <mergeCell ref="A148:B148"/>
    <mergeCell ref="L139:M139"/>
    <mergeCell ref="C55:H55"/>
    <mergeCell ref="A149:B149"/>
    <mergeCell ref="A90:B90"/>
    <mergeCell ref="A74:B74"/>
    <mergeCell ref="C74:H74"/>
    <mergeCell ref="C49:H49"/>
    <mergeCell ref="B219:H219"/>
    <mergeCell ref="G92:H101"/>
    <mergeCell ref="A93:B93"/>
    <mergeCell ref="A94:B94"/>
    <mergeCell ref="A95:B95"/>
    <mergeCell ref="F104:H104"/>
    <mergeCell ref="A104:E104"/>
    <mergeCell ref="D127:D128"/>
    <mergeCell ref="A106:E106"/>
    <mergeCell ref="A105:E105"/>
    <mergeCell ref="A102:E102"/>
    <mergeCell ref="F106:H106"/>
    <mergeCell ref="G127:G128"/>
    <mergeCell ref="A82:B82"/>
    <mergeCell ref="A69:C69"/>
    <mergeCell ref="D69:H69"/>
    <mergeCell ref="C76:H76"/>
    <mergeCell ref="A79:B79"/>
    <mergeCell ref="A81:B81"/>
    <mergeCell ref="E77:F77"/>
    <mergeCell ref="A70:C70"/>
    <mergeCell ref="D70:H70"/>
    <mergeCell ref="A73:C73"/>
    <mergeCell ref="B226:H226"/>
    <mergeCell ref="A107:E107"/>
    <mergeCell ref="A101:B101"/>
    <mergeCell ref="A123:B123"/>
    <mergeCell ref="E123:F123"/>
    <mergeCell ref="A112:E112"/>
    <mergeCell ref="G123:H123"/>
    <mergeCell ref="A118:B118"/>
    <mergeCell ref="C118:D118"/>
    <mergeCell ref="E118:F118"/>
    <mergeCell ref="G118:H118"/>
    <mergeCell ref="A122:B122"/>
    <mergeCell ref="C122:D122"/>
    <mergeCell ref="E122:F122"/>
    <mergeCell ref="G122:H122"/>
    <mergeCell ref="B221:H221"/>
    <mergeCell ref="A181:B181"/>
    <mergeCell ref="A155:B155"/>
    <mergeCell ref="B215:H215"/>
    <mergeCell ref="B217:H217"/>
    <mergeCell ref="B218:H218"/>
    <mergeCell ref="A213:H213"/>
    <mergeCell ref="A182:B182"/>
    <mergeCell ref="A157:H15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G235:H235">
      <formula1>"Gaurav Panchal,Kunal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7:B128">
      <formula1>"Shop No. (Sale Plan),Sale / Rehab,Sale / Mhada"</formula1>
    </dataValidation>
    <dataValidation type="list" allowBlank="1" showInputMessage="1" showErrorMessage="1" sqref="B140:B14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0:E141">
      <formula1>"Fungible area,Balcony Area,Chajja Area,Cornice Area,AP Area,WS Area"</formula1>
    </dataValidation>
    <dataValidation type="list" allowBlank="1" showInputMessage="1" showErrorMessage="1" sqref="H128 H14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27 H140">
      <formula1>"Saleable area Loading :,Builder Saleable Area"</formula1>
    </dataValidation>
    <dataValidation type="list" allowBlank="1" showInputMessage="1" showErrorMessage="1" sqref="D127:D128 D140:D14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55" max="7" man="1"/>
    <brk id="239" max="7" man="1"/>
    <brk id="282" max="7" man="1"/>
    <brk id="32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3" t="s">
        <v>103</v>
      </c>
      <c r="C3" s="223"/>
      <c r="D3" s="223"/>
      <c r="E3" s="223"/>
      <c r="F3" s="223"/>
      <c r="G3" s="223"/>
      <c r="H3" s="223"/>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174</v>
      </c>
      <c r="E4" s="48" t="s">
        <v>184</v>
      </c>
      <c r="F4" s="48" t="s">
        <v>167</v>
      </c>
      <c r="G4" s="48" t="s">
        <v>189</v>
      </c>
      <c r="H4" s="48" t="s">
        <v>207</v>
      </c>
      <c r="J4" t="s">
        <v>189</v>
      </c>
      <c r="K4" t="s">
        <v>205</v>
      </c>
    </row>
    <row r="5" spans="2:11" x14ac:dyDescent="0.35">
      <c r="B5" s="47"/>
      <c r="C5" s="47"/>
      <c r="D5" s="48" t="s">
        <v>175</v>
      </c>
      <c r="E5" s="48" t="s">
        <v>182</v>
      </c>
      <c r="F5" s="48" t="s">
        <v>204</v>
      </c>
      <c r="G5" s="48" t="s">
        <v>190</v>
      </c>
      <c r="H5" s="48" t="s">
        <v>208</v>
      </c>
    </row>
    <row r="6" spans="2:11" x14ac:dyDescent="0.35">
      <c r="B6" s="47"/>
      <c r="C6" s="47"/>
      <c r="D6" s="48" t="s">
        <v>176</v>
      </c>
      <c r="E6" s="48" t="s">
        <v>183</v>
      </c>
      <c r="F6" s="48" t="s">
        <v>205</v>
      </c>
      <c r="G6" s="48" t="s">
        <v>191</v>
      </c>
      <c r="H6" s="48" t="s">
        <v>221</v>
      </c>
    </row>
    <row r="7" spans="2:11" x14ac:dyDescent="0.35">
      <c r="B7" s="47"/>
      <c r="C7" s="47"/>
      <c r="D7" s="48" t="s">
        <v>177</v>
      </c>
      <c r="E7" s="48" t="s">
        <v>185</v>
      </c>
      <c r="F7" s="48" t="s">
        <v>206</v>
      </c>
      <c r="G7" s="48" t="s">
        <v>192</v>
      </c>
      <c r="H7" s="48" t="s">
        <v>209</v>
      </c>
    </row>
    <row r="8" spans="2:11" x14ac:dyDescent="0.35">
      <c r="B8" s="47"/>
      <c r="C8" s="47"/>
      <c r="D8" s="48" t="s">
        <v>178</v>
      </c>
      <c r="E8" s="48" t="s">
        <v>186</v>
      </c>
      <c r="F8" s="48"/>
      <c r="G8" s="48" t="s">
        <v>193</v>
      </c>
      <c r="H8" s="48" t="s">
        <v>210</v>
      </c>
    </row>
    <row r="9" spans="2:11" x14ac:dyDescent="0.35">
      <c r="B9" s="47"/>
      <c r="C9" s="47"/>
      <c r="D9" s="48" t="s">
        <v>179</v>
      </c>
      <c r="E9" s="48" t="s">
        <v>184</v>
      </c>
      <c r="F9" s="48"/>
      <c r="G9" s="48" t="s">
        <v>194</v>
      </c>
      <c r="H9" s="48" t="s">
        <v>211</v>
      </c>
    </row>
    <row r="10" spans="2:11" x14ac:dyDescent="0.35">
      <c r="B10" s="47"/>
      <c r="C10" s="47"/>
      <c r="D10" s="48" t="s">
        <v>180</v>
      </c>
      <c r="E10" s="48" t="s">
        <v>187</v>
      </c>
      <c r="F10" s="48"/>
      <c r="G10" s="48" t="s">
        <v>195</v>
      </c>
      <c r="H10" s="48" t="s">
        <v>212</v>
      </c>
    </row>
    <row r="11" spans="2:11" x14ac:dyDescent="0.35">
      <c r="B11" s="47"/>
      <c r="C11" s="47"/>
      <c r="D11" s="48" t="s">
        <v>181</v>
      </c>
      <c r="E11" s="48" t="s">
        <v>188</v>
      </c>
      <c r="F11" s="48"/>
      <c r="G11" s="48" t="s">
        <v>196</v>
      </c>
      <c r="H11" s="48" t="s">
        <v>213</v>
      </c>
    </row>
    <row r="12" spans="2:11" x14ac:dyDescent="0.35">
      <c r="B12" s="47"/>
      <c r="C12" s="47"/>
      <c r="D12" s="48"/>
      <c r="E12" s="48"/>
      <c r="F12" s="48"/>
      <c r="G12" s="48" t="s">
        <v>197</v>
      </c>
      <c r="H12" s="48" t="s">
        <v>214</v>
      </c>
    </row>
    <row r="13" spans="2:11" x14ac:dyDescent="0.35">
      <c r="B13" s="47"/>
      <c r="C13" s="47"/>
      <c r="D13" s="48"/>
      <c r="E13" s="48"/>
      <c r="F13" s="48"/>
      <c r="G13" s="48" t="s">
        <v>198</v>
      </c>
      <c r="H13" s="48" t="s">
        <v>215</v>
      </c>
    </row>
    <row r="14" spans="2:11" x14ac:dyDescent="0.35">
      <c r="B14" s="47"/>
      <c r="C14" s="47"/>
      <c r="D14" s="48"/>
      <c r="E14" s="48"/>
      <c r="F14" s="48"/>
      <c r="G14" s="48" t="s">
        <v>199</v>
      </c>
      <c r="H14" s="48" t="s">
        <v>216</v>
      </c>
    </row>
    <row r="15" spans="2:11" x14ac:dyDescent="0.35">
      <c r="B15" s="47"/>
      <c r="C15" s="47"/>
      <c r="D15" s="48"/>
      <c r="E15" s="48"/>
      <c r="F15" s="48"/>
      <c r="G15" s="48" t="s">
        <v>200</v>
      </c>
      <c r="H15" s="48" t="s">
        <v>217</v>
      </c>
    </row>
    <row r="16" spans="2:11" x14ac:dyDescent="0.35">
      <c r="B16" s="47"/>
      <c r="C16" s="47"/>
      <c r="D16" s="48"/>
      <c r="E16" s="48"/>
      <c r="F16" s="48"/>
      <c r="G16" s="48" t="s">
        <v>201</v>
      </c>
      <c r="H16" s="48" t="s">
        <v>218</v>
      </c>
    </row>
    <row r="17" spans="2:8" x14ac:dyDescent="0.35">
      <c r="B17" s="47"/>
      <c r="C17" s="47"/>
      <c r="D17" s="48"/>
      <c r="E17" s="48"/>
      <c r="F17" s="48"/>
      <c r="G17" s="48" t="s">
        <v>202</v>
      </c>
      <c r="H17" s="48" t="s">
        <v>219</v>
      </c>
    </row>
    <row r="18" spans="2:8" x14ac:dyDescent="0.35">
      <c r="B18" s="47"/>
      <c r="C18" s="47"/>
      <c r="D18" s="48"/>
      <c r="E18" s="48"/>
      <c r="F18" s="48"/>
      <c r="G18" s="48" t="s">
        <v>203</v>
      </c>
      <c r="H18" s="48" t="s">
        <v>220</v>
      </c>
    </row>
    <row r="24" spans="2:8" x14ac:dyDescent="0.35">
      <c r="C24" t="s">
        <v>164</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164</v>
      </c>
    </row>
    <row r="33" spans="3:11" x14ac:dyDescent="0.35">
      <c r="J33">
        <v>1</v>
      </c>
      <c r="K33">
        <v>2</v>
      </c>
    </row>
    <row r="34" spans="3:11" x14ac:dyDescent="0.35">
      <c r="C34" s="50" t="s">
        <v>231</v>
      </c>
      <c r="D34" s="48" t="s">
        <v>229</v>
      </c>
      <c r="E34" s="48" t="s">
        <v>234</v>
      </c>
      <c r="F34" s="48" t="s">
        <v>232</v>
      </c>
      <c r="G34" s="48" t="s">
        <v>233</v>
      </c>
      <c r="H34" s="48" t="s">
        <v>235</v>
      </c>
      <c r="J34" t="s">
        <v>189</v>
      </c>
      <c r="K34" t="s">
        <v>205</v>
      </c>
    </row>
    <row r="35" spans="3:11" x14ac:dyDescent="0.35">
      <c r="C35" s="47" t="s">
        <v>230</v>
      </c>
      <c r="D35" s="48" t="s">
        <v>165</v>
      </c>
      <c r="E35" s="48" t="s">
        <v>239</v>
      </c>
      <c r="F35" s="48" t="s">
        <v>241</v>
      </c>
      <c r="G35" s="48" t="s">
        <v>243</v>
      </c>
      <c r="H35" s="48"/>
    </row>
    <row r="36" spans="3:11" x14ac:dyDescent="0.35">
      <c r="C36" s="47"/>
      <c r="D36" s="48" t="s">
        <v>236</v>
      </c>
      <c r="E36" s="48" t="s">
        <v>240</v>
      </c>
      <c r="F36" s="48" t="s">
        <v>242</v>
      </c>
      <c r="G36" s="48" t="s">
        <v>244</v>
      </c>
      <c r="H36" s="48"/>
    </row>
    <row r="37" spans="3:11" x14ac:dyDescent="0.35">
      <c r="C37" s="47"/>
      <c r="D37" s="48" t="s">
        <v>237</v>
      </c>
      <c r="E37" s="48"/>
      <c r="F37" s="48"/>
      <c r="G37" s="48" t="s">
        <v>245</v>
      </c>
      <c r="H37" s="48"/>
    </row>
    <row r="38" spans="3:11" x14ac:dyDescent="0.35">
      <c r="C38" s="47"/>
      <c r="D38" s="48" t="s">
        <v>238</v>
      </c>
      <c r="E38" s="48"/>
      <c r="F38" s="48"/>
      <c r="G38" s="48" t="s">
        <v>245</v>
      </c>
      <c r="H38" s="48"/>
    </row>
    <row r="39" spans="3:11" x14ac:dyDescent="0.35">
      <c r="C39" s="47"/>
      <c r="D39" s="48"/>
      <c r="E39" s="48"/>
      <c r="F39" s="48"/>
      <c r="G39" s="48" t="s">
        <v>246</v>
      </c>
      <c r="H39" s="48"/>
    </row>
    <row r="40" spans="3:11" x14ac:dyDescent="0.35">
      <c r="C40" s="47"/>
      <c r="D40" s="48"/>
      <c r="E40" s="48"/>
      <c r="F40" s="48"/>
      <c r="G40" s="48" t="s">
        <v>247</v>
      </c>
      <c r="H40" s="48"/>
    </row>
    <row r="41" spans="3:11" x14ac:dyDescent="0.35">
      <c r="C41" s="47"/>
      <c r="D41" s="48"/>
      <c r="E41" s="48"/>
      <c r="F41" s="48"/>
      <c r="G41" s="48"/>
      <c r="H41" s="48"/>
    </row>
    <row r="43" spans="3:11" x14ac:dyDescent="0.35">
      <c r="C43" t="s">
        <v>248</v>
      </c>
    </row>
    <row r="44" spans="3:11" x14ac:dyDescent="0.35">
      <c r="C44" t="s">
        <v>167</v>
      </c>
      <c r="D44" t="s">
        <v>249</v>
      </c>
    </row>
    <row r="45" spans="3:11" x14ac:dyDescent="0.35">
      <c r="D45" t="s">
        <v>250</v>
      </c>
    </row>
    <row r="46" spans="3:11" x14ac:dyDescent="0.35">
      <c r="D46" t="s">
        <v>251</v>
      </c>
    </row>
    <row r="47" spans="3:11" x14ac:dyDescent="0.35">
      <c r="D47" t="s">
        <v>252</v>
      </c>
    </row>
    <row r="48" spans="3:11" x14ac:dyDescent="0.35">
      <c r="D48" t="s">
        <v>253</v>
      </c>
    </row>
    <row r="49" spans="3:4" x14ac:dyDescent="0.35">
      <c r="C49" t="s">
        <v>174</v>
      </c>
      <c r="D49" t="s">
        <v>254</v>
      </c>
    </row>
    <row r="50" spans="3:4" x14ac:dyDescent="0.35">
      <c r="D50" t="s">
        <v>255</v>
      </c>
    </row>
    <row r="51" spans="3:4" x14ac:dyDescent="0.35">
      <c r="D51" t="s">
        <v>256</v>
      </c>
    </row>
    <row r="52" spans="3:4" x14ac:dyDescent="0.35">
      <c r="D52" t="s">
        <v>259</v>
      </c>
    </row>
    <row r="53" spans="3:4" x14ac:dyDescent="0.35">
      <c r="D53" t="s">
        <v>257</v>
      </c>
    </row>
    <row r="54" spans="3:4" x14ac:dyDescent="0.35">
      <c r="D54" t="s">
        <v>258</v>
      </c>
    </row>
    <row r="55" spans="3:4" x14ac:dyDescent="0.35">
      <c r="D55" t="s">
        <v>260</v>
      </c>
    </row>
    <row r="56" spans="3:4" x14ac:dyDescent="0.35">
      <c r="D56" t="s">
        <v>261</v>
      </c>
    </row>
    <row r="57" spans="3:4" x14ac:dyDescent="0.35">
      <c r="D57" t="s">
        <v>262</v>
      </c>
    </row>
    <row r="58" spans="3:4" x14ac:dyDescent="0.35">
      <c r="D58" t="s">
        <v>264</v>
      </c>
    </row>
    <row r="59" spans="3:4" x14ac:dyDescent="0.35">
      <c r="D59" t="s">
        <v>273</v>
      </c>
    </row>
    <row r="60" spans="3:4" x14ac:dyDescent="0.35">
      <c r="C60" t="s">
        <v>189</v>
      </c>
      <c r="D60" t="s">
        <v>265</v>
      </c>
    </row>
    <row r="61" spans="3:4" x14ac:dyDescent="0.35">
      <c r="D61" t="s">
        <v>263</v>
      </c>
    </row>
    <row r="62" spans="3:4" x14ac:dyDescent="0.35">
      <c r="D62" t="s">
        <v>253</v>
      </c>
    </row>
    <row r="63" spans="3:4" x14ac:dyDescent="0.35">
      <c r="D63" t="s">
        <v>266</v>
      </c>
    </row>
    <row r="64" spans="3:4" x14ac:dyDescent="0.35">
      <c r="D64" t="s">
        <v>267</v>
      </c>
    </row>
    <row r="65" spans="3:4" x14ac:dyDescent="0.35">
      <c r="D65" t="s">
        <v>268</v>
      </c>
    </row>
    <row r="66" spans="3:4" x14ac:dyDescent="0.35">
      <c r="D66" t="s">
        <v>269</v>
      </c>
    </row>
    <row r="67" spans="3:4" x14ac:dyDescent="0.35">
      <c r="C67" t="s">
        <v>184</v>
      </c>
      <c r="D67" t="s">
        <v>270</v>
      </c>
    </row>
    <row r="68" spans="3:4" x14ac:dyDescent="0.35">
      <c r="D68" t="s">
        <v>271</v>
      </c>
    </row>
    <row r="69" spans="3:4" x14ac:dyDescent="0.3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1">
        <v>1</v>
      </c>
      <c r="C2" s="54" t="s">
        <v>279</v>
      </c>
    </row>
    <row r="3" spans="2:3" x14ac:dyDescent="0.35">
      <c r="B3" s="51">
        <v>2</v>
      </c>
      <c r="C3" s="52" t="s">
        <v>280</v>
      </c>
    </row>
    <row r="4" spans="2:3" x14ac:dyDescent="0.35">
      <c r="B4" s="51">
        <v>3</v>
      </c>
      <c r="C4" s="53" t="s">
        <v>281</v>
      </c>
    </row>
    <row r="5" spans="2:3" x14ac:dyDescent="0.35">
      <c r="B5" s="51">
        <v>4</v>
      </c>
      <c r="C5" s="52" t="s">
        <v>282</v>
      </c>
    </row>
    <row r="6" spans="2:3" x14ac:dyDescent="0.35">
      <c r="B6" s="51">
        <v>5</v>
      </c>
      <c r="C6" s="53" t="s">
        <v>283</v>
      </c>
    </row>
    <row r="7" spans="2:3" ht="29" x14ac:dyDescent="0.35">
      <c r="B7" s="51">
        <v>6</v>
      </c>
      <c r="C7" s="52" t="s">
        <v>284</v>
      </c>
    </row>
    <row r="8" spans="2:3" ht="72.5" x14ac:dyDescent="0.35">
      <c r="B8" s="51">
        <v>7</v>
      </c>
      <c r="C8" s="52" t="s">
        <v>285</v>
      </c>
    </row>
    <row r="9" spans="2:3" x14ac:dyDescent="0.35">
      <c r="B9" s="51">
        <v>8</v>
      </c>
      <c r="C9" s="53" t="s">
        <v>286</v>
      </c>
    </row>
    <row r="10" spans="2:3" x14ac:dyDescent="0.35">
      <c r="B10" s="51">
        <v>9</v>
      </c>
      <c r="C10" s="53" t="s">
        <v>287</v>
      </c>
    </row>
    <row r="11" spans="2:3" x14ac:dyDescent="0.35">
      <c r="B11" s="51">
        <v>10</v>
      </c>
      <c r="C11" s="53" t="s">
        <v>288</v>
      </c>
    </row>
    <row r="12" spans="2:3" x14ac:dyDescent="0.35">
      <c r="B12" s="51">
        <v>11</v>
      </c>
      <c r="C12" s="53" t="s">
        <v>289</v>
      </c>
    </row>
    <row r="13" spans="2:3" x14ac:dyDescent="0.35">
      <c r="B13" s="51">
        <v>12</v>
      </c>
      <c r="C13" s="53" t="s">
        <v>290</v>
      </c>
    </row>
    <row r="14" spans="2:3" x14ac:dyDescent="0.35">
      <c r="B14" s="51">
        <v>13</v>
      </c>
      <c r="C14" s="53" t="s">
        <v>291</v>
      </c>
    </row>
    <row r="15" spans="2:3" x14ac:dyDescent="0.35">
      <c r="B15" s="51">
        <v>14</v>
      </c>
      <c r="C15" s="53" t="s">
        <v>281</v>
      </c>
    </row>
    <row r="16" spans="2:3" x14ac:dyDescent="0.35">
      <c r="B16" s="51">
        <v>15</v>
      </c>
      <c r="C16" s="53" t="s">
        <v>293</v>
      </c>
    </row>
    <row r="17" spans="2:3" ht="31.5" customHeight="1" x14ac:dyDescent="0.35">
      <c r="B17" s="56">
        <v>16</v>
      </c>
      <c r="C17" s="58" t="s">
        <v>294</v>
      </c>
    </row>
    <row r="18" spans="2:3" x14ac:dyDescent="0.35">
      <c r="B18" s="57">
        <v>17</v>
      </c>
      <c r="C18" s="58" t="s">
        <v>295</v>
      </c>
    </row>
    <row r="19" spans="2:3" x14ac:dyDescent="0.35">
      <c r="B19" s="56">
        <v>18</v>
      </c>
      <c r="C19" s="51" t="s">
        <v>296</v>
      </c>
    </row>
    <row r="20" spans="2:3" x14ac:dyDescent="0.35">
      <c r="B20" s="57">
        <v>19</v>
      </c>
      <c r="C20" s="51" t="s">
        <v>297</v>
      </c>
    </row>
    <row r="21" spans="2:3" x14ac:dyDescent="0.35">
      <c r="B21" s="59">
        <v>20</v>
      </c>
      <c r="C21" s="51" t="s">
        <v>298</v>
      </c>
    </row>
    <row r="22" spans="2:3" x14ac:dyDescent="0.35">
      <c r="B22" s="57">
        <v>21</v>
      </c>
      <c r="C22" s="51" t="s">
        <v>296</v>
      </c>
    </row>
    <row r="23" spans="2:3" s="67" customFormat="1" ht="29.25" customHeight="1" x14ac:dyDescent="0.35">
      <c r="B23" s="66">
        <v>22</v>
      </c>
      <c r="C23" s="54" t="s">
        <v>325</v>
      </c>
    </row>
    <row r="24" spans="2:3" s="67" customFormat="1" ht="30.75" customHeight="1" x14ac:dyDescent="0.35">
      <c r="B24" s="68">
        <v>23</v>
      </c>
      <c r="C24" s="54" t="s">
        <v>326</v>
      </c>
    </row>
    <row r="25" spans="2:3" x14ac:dyDescent="0.35">
      <c r="B25" s="59">
        <v>24</v>
      </c>
      <c r="C25" s="51"/>
    </row>
    <row r="26" spans="2:3" x14ac:dyDescent="0.35">
      <c r="B26" s="57">
        <v>25</v>
      </c>
      <c r="C26"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7"/>
    <col min="2" max="2" width="12.26953125" style="47" customWidth="1"/>
    <col min="3" max="16384" width="9.1796875" style="47"/>
  </cols>
  <sheetData>
    <row r="2" spans="1:12" x14ac:dyDescent="0.35">
      <c r="B2" s="60" t="s">
        <v>299</v>
      </c>
      <c r="C2" s="224"/>
      <c r="D2" s="224"/>
    </row>
    <row r="3" spans="1:12" x14ac:dyDescent="0.35">
      <c r="D3" s="61"/>
      <c r="E3" s="61"/>
      <c r="F3" s="61"/>
      <c r="G3" s="61"/>
      <c r="H3" s="61"/>
      <c r="I3" s="61"/>
    </row>
    <row r="4" spans="1:12" x14ac:dyDescent="0.35">
      <c r="A4" s="60" t="s">
        <v>66</v>
      </c>
      <c r="B4" s="62" t="s">
        <v>300</v>
      </c>
      <c r="C4" s="225" t="s">
        <v>301</v>
      </c>
      <c r="D4" s="225"/>
      <c r="E4" s="225"/>
      <c r="F4" s="62"/>
      <c r="G4" s="226" t="s">
        <v>302</v>
      </c>
      <c r="H4" s="226"/>
      <c r="I4" s="226"/>
      <c r="J4" s="227" t="s">
        <v>303</v>
      </c>
      <c r="K4" s="227"/>
      <c r="L4" s="227"/>
    </row>
    <row r="5" spans="1:12" x14ac:dyDescent="0.35">
      <c r="A5" s="60"/>
      <c r="B5" s="62"/>
      <c r="C5" s="62" t="s">
        <v>304</v>
      </c>
      <c r="D5" s="62" t="s">
        <v>305</v>
      </c>
      <c r="E5" s="62" t="s">
        <v>306</v>
      </c>
      <c r="F5" s="62"/>
      <c r="G5" s="62" t="s">
        <v>304</v>
      </c>
      <c r="H5" s="62" t="s">
        <v>305</v>
      </c>
      <c r="I5" s="62" t="s">
        <v>306</v>
      </c>
      <c r="J5" s="62" t="s">
        <v>304</v>
      </c>
      <c r="K5" s="62" t="s">
        <v>305</v>
      </c>
      <c r="L5" s="62" t="s">
        <v>306</v>
      </c>
    </row>
    <row r="6" spans="1:12" x14ac:dyDescent="0.35">
      <c r="B6" s="48" t="s">
        <v>307</v>
      </c>
      <c r="C6" s="48"/>
      <c r="D6" s="48"/>
      <c r="E6" s="48">
        <f>C6*D6</f>
        <v>0</v>
      </c>
      <c r="F6" s="48" t="s">
        <v>324</v>
      </c>
      <c r="G6" s="48"/>
      <c r="H6" s="48"/>
      <c r="I6" s="48">
        <f>G6*H6</f>
        <v>0</v>
      </c>
      <c r="J6" s="48"/>
      <c r="K6" s="48"/>
      <c r="L6" s="48">
        <f>J6*K6</f>
        <v>0</v>
      </c>
    </row>
    <row r="7" spans="1:12" x14ac:dyDescent="0.35">
      <c r="B7" s="48"/>
      <c r="C7" s="48"/>
      <c r="D7" s="48"/>
      <c r="E7" s="48">
        <f t="shared" ref="E7:E41" si="0">C7*D7</f>
        <v>0</v>
      </c>
      <c r="F7" s="48" t="s">
        <v>324</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308</v>
      </c>
      <c r="G9" s="48"/>
      <c r="H9" s="48"/>
      <c r="I9" s="48">
        <f t="shared" si="1"/>
        <v>0</v>
      </c>
      <c r="J9" s="48"/>
      <c r="K9" s="48"/>
      <c r="L9" s="48">
        <f t="shared" si="2"/>
        <v>0</v>
      </c>
    </row>
    <row r="10" spans="1:12" x14ac:dyDescent="0.35">
      <c r="B10" s="48" t="s">
        <v>309</v>
      </c>
      <c r="C10" s="48"/>
      <c r="D10" s="48"/>
      <c r="E10" s="48">
        <f t="shared" si="0"/>
        <v>0</v>
      </c>
      <c r="F10" s="48" t="s">
        <v>308</v>
      </c>
      <c r="G10" s="48"/>
      <c r="H10" s="48"/>
      <c r="I10" s="48">
        <f t="shared" si="1"/>
        <v>0</v>
      </c>
      <c r="J10" s="48"/>
      <c r="K10" s="48"/>
      <c r="L10" s="48">
        <f t="shared" si="2"/>
        <v>0</v>
      </c>
    </row>
    <row r="11" spans="1:12" x14ac:dyDescent="0.35">
      <c r="B11" s="48"/>
      <c r="C11" s="48"/>
      <c r="D11" s="48"/>
      <c r="E11" s="48">
        <f t="shared" si="0"/>
        <v>0</v>
      </c>
      <c r="F11" s="48" t="s">
        <v>310</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311</v>
      </c>
      <c r="C14" s="48"/>
      <c r="D14" s="48"/>
      <c r="E14" s="48">
        <f t="shared" si="0"/>
        <v>0</v>
      </c>
      <c r="F14" s="48" t="s">
        <v>308</v>
      </c>
      <c r="G14" s="48"/>
      <c r="H14" s="48"/>
      <c r="I14" s="48">
        <f t="shared" si="1"/>
        <v>0</v>
      </c>
      <c r="J14" s="48"/>
      <c r="K14" s="48"/>
      <c r="L14" s="48">
        <f t="shared" si="2"/>
        <v>0</v>
      </c>
    </row>
    <row r="15" spans="1:12" x14ac:dyDescent="0.35">
      <c r="B15" s="48"/>
      <c r="C15" s="48"/>
      <c r="D15" s="48"/>
      <c r="E15" s="48">
        <f t="shared" si="0"/>
        <v>0</v>
      </c>
      <c r="F15" s="48" t="s">
        <v>310</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312</v>
      </c>
      <c r="C18" s="48"/>
      <c r="D18" s="48"/>
      <c r="E18" s="48">
        <f t="shared" si="0"/>
        <v>0</v>
      </c>
      <c r="F18" s="48" t="s">
        <v>308</v>
      </c>
      <c r="G18" s="48"/>
      <c r="H18" s="48"/>
      <c r="I18" s="48">
        <f t="shared" si="1"/>
        <v>0</v>
      </c>
      <c r="J18" s="48"/>
      <c r="K18" s="48"/>
      <c r="L18" s="48">
        <f t="shared" si="2"/>
        <v>0</v>
      </c>
    </row>
    <row r="19" spans="2:12" x14ac:dyDescent="0.35">
      <c r="B19" s="48"/>
      <c r="C19" s="48"/>
      <c r="D19" s="48"/>
      <c r="E19" s="48">
        <f t="shared" si="0"/>
        <v>0</v>
      </c>
      <c r="F19" s="48" t="s">
        <v>310</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313</v>
      </c>
      <c r="C21" s="48"/>
      <c r="D21" s="48"/>
      <c r="E21" s="48">
        <f t="shared" si="0"/>
        <v>0</v>
      </c>
      <c r="F21" s="48" t="s">
        <v>308</v>
      </c>
      <c r="G21" s="48"/>
      <c r="H21" s="48"/>
      <c r="I21" s="48">
        <f t="shared" si="1"/>
        <v>0</v>
      </c>
      <c r="J21" s="48"/>
      <c r="K21" s="48"/>
      <c r="L21" s="48">
        <f t="shared" si="2"/>
        <v>0</v>
      </c>
    </row>
    <row r="22" spans="2:12" x14ac:dyDescent="0.35">
      <c r="B22" s="48"/>
      <c r="C22" s="48"/>
      <c r="D22" s="48"/>
      <c r="E22" s="48">
        <f t="shared" si="0"/>
        <v>0</v>
      </c>
      <c r="F22" s="48" t="s">
        <v>310</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314</v>
      </c>
      <c r="C24" s="48"/>
      <c r="D24" s="48"/>
      <c r="E24" s="48">
        <f t="shared" si="0"/>
        <v>0</v>
      </c>
      <c r="F24" s="48" t="s">
        <v>315</v>
      </c>
      <c r="G24" s="48"/>
      <c r="H24" s="48"/>
      <c r="I24" s="48">
        <f t="shared" si="1"/>
        <v>0</v>
      </c>
      <c r="J24" s="48"/>
      <c r="K24" s="48"/>
      <c r="L24" s="48">
        <f t="shared" si="2"/>
        <v>0</v>
      </c>
    </row>
    <row r="25" spans="2:12" x14ac:dyDescent="0.35">
      <c r="B25" s="48"/>
      <c r="C25" s="48"/>
      <c r="D25" s="48"/>
      <c r="E25" s="48">
        <f t="shared" ref="E25:E27" si="3">C25*D25</f>
        <v>0</v>
      </c>
      <c r="F25" s="48" t="s">
        <v>315</v>
      </c>
      <c r="G25" s="48"/>
      <c r="H25" s="48"/>
      <c r="I25" s="48">
        <f t="shared" ref="I25:I27" si="4">G25*H25</f>
        <v>0</v>
      </c>
      <c r="J25" s="48"/>
      <c r="K25" s="48"/>
      <c r="L25" s="48">
        <f t="shared" ref="L25:L27" si="5">J25*K25</f>
        <v>0</v>
      </c>
    </row>
    <row r="26" spans="2:12" x14ac:dyDescent="0.35">
      <c r="B26" s="48"/>
      <c r="C26" s="48"/>
      <c r="D26" s="48"/>
      <c r="E26" s="48">
        <f t="shared" si="3"/>
        <v>0</v>
      </c>
      <c r="F26" s="48" t="s">
        <v>315</v>
      </c>
      <c r="G26" s="48"/>
      <c r="H26" s="48"/>
      <c r="I26" s="48">
        <f t="shared" si="4"/>
        <v>0</v>
      </c>
      <c r="J26" s="48"/>
      <c r="K26" s="48"/>
      <c r="L26" s="48">
        <f t="shared" si="5"/>
        <v>0</v>
      </c>
    </row>
    <row r="27" spans="2:12" x14ac:dyDescent="0.35">
      <c r="B27" s="48"/>
      <c r="C27" s="48"/>
      <c r="D27" s="48"/>
      <c r="E27" s="48">
        <f t="shared" si="3"/>
        <v>0</v>
      </c>
      <c r="F27" s="48" t="s">
        <v>315</v>
      </c>
      <c r="G27" s="48"/>
      <c r="H27" s="48"/>
      <c r="I27" s="48">
        <f t="shared" si="4"/>
        <v>0</v>
      </c>
      <c r="J27" s="48"/>
      <c r="K27" s="48"/>
      <c r="L27" s="48">
        <f t="shared" si="5"/>
        <v>0</v>
      </c>
    </row>
    <row r="28" spans="2:12" x14ac:dyDescent="0.35">
      <c r="B28" s="48" t="s">
        <v>316</v>
      </c>
      <c r="C28" s="48"/>
      <c r="D28" s="48"/>
      <c r="E28" s="48">
        <f t="shared" si="0"/>
        <v>0</v>
      </c>
      <c r="F28" s="48" t="s">
        <v>315</v>
      </c>
      <c r="G28" s="48"/>
      <c r="H28" s="48"/>
      <c r="I28" s="48">
        <f t="shared" si="1"/>
        <v>0</v>
      </c>
      <c r="J28" s="48"/>
      <c r="K28" s="48"/>
      <c r="L28" s="48">
        <f t="shared" si="2"/>
        <v>0</v>
      </c>
    </row>
    <row r="29" spans="2:12" x14ac:dyDescent="0.35">
      <c r="B29" s="48" t="s">
        <v>317</v>
      </c>
      <c r="C29" s="48"/>
      <c r="D29" s="48"/>
      <c r="E29" s="48">
        <f t="shared" si="0"/>
        <v>0</v>
      </c>
      <c r="F29" s="48" t="s">
        <v>315</v>
      </c>
      <c r="G29" s="48"/>
      <c r="H29" s="48"/>
      <c r="I29" s="48">
        <f t="shared" si="1"/>
        <v>0</v>
      </c>
      <c r="J29" s="48"/>
      <c r="K29" s="48"/>
      <c r="L29" s="48">
        <f t="shared" si="2"/>
        <v>0</v>
      </c>
    </row>
    <row r="30" spans="2:12" x14ac:dyDescent="0.35">
      <c r="B30" s="48" t="s">
        <v>321</v>
      </c>
      <c r="C30" s="48"/>
      <c r="D30" s="48"/>
      <c r="E30" s="48">
        <f t="shared" si="0"/>
        <v>0</v>
      </c>
      <c r="F30" s="48"/>
      <c r="G30" s="48"/>
      <c r="H30" s="48"/>
      <c r="I30" s="48">
        <f t="shared" si="1"/>
        <v>0</v>
      </c>
      <c r="J30" s="48"/>
      <c r="K30" s="48"/>
      <c r="L30" s="48">
        <f t="shared" si="2"/>
        <v>0</v>
      </c>
    </row>
    <row r="31" spans="2:12" x14ac:dyDescent="0.35">
      <c r="B31" s="48"/>
      <c r="C31" s="48"/>
      <c r="D31" s="48"/>
      <c r="E31" s="48">
        <f t="shared" ref="E31:E32" si="6">C31*D31</f>
        <v>0</v>
      </c>
      <c r="F31" s="48"/>
      <c r="G31" s="48"/>
      <c r="H31" s="48"/>
      <c r="I31" s="48">
        <f t="shared" ref="I31:I32" si="7">G31*H31</f>
        <v>0</v>
      </c>
      <c r="J31" s="48"/>
      <c r="K31" s="48"/>
      <c r="L31" s="48">
        <f t="shared" ref="L31:L32" si="8">J31*K31</f>
        <v>0</v>
      </c>
    </row>
    <row r="32" spans="2:12" x14ac:dyDescent="0.35">
      <c r="B32" s="48"/>
      <c r="C32" s="48"/>
      <c r="D32" s="48"/>
      <c r="E32" s="48">
        <f t="shared" si="6"/>
        <v>0</v>
      </c>
      <c r="F32" s="48"/>
      <c r="G32" s="48"/>
      <c r="H32" s="48"/>
      <c r="I32" s="48">
        <f t="shared" si="7"/>
        <v>0</v>
      </c>
      <c r="J32" s="48"/>
      <c r="K32" s="48"/>
      <c r="L32" s="48">
        <f t="shared" si="8"/>
        <v>0</v>
      </c>
    </row>
    <row r="33" spans="2:12" x14ac:dyDescent="0.35">
      <c r="B33" s="48" t="s">
        <v>318</v>
      </c>
      <c r="C33" s="48"/>
      <c r="D33" s="48"/>
      <c r="E33" s="48">
        <f t="shared" si="0"/>
        <v>0</v>
      </c>
      <c r="F33" s="48"/>
      <c r="G33" s="48"/>
      <c r="H33" s="48"/>
      <c r="I33" s="48">
        <f t="shared" si="1"/>
        <v>0</v>
      </c>
      <c r="J33" s="48"/>
      <c r="K33" s="48"/>
      <c r="L33" s="48">
        <f t="shared" si="2"/>
        <v>0</v>
      </c>
    </row>
    <row r="34" spans="2:12" x14ac:dyDescent="0.35">
      <c r="B34" s="48" t="s">
        <v>322</v>
      </c>
      <c r="C34" s="48"/>
      <c r="D34" s="48"/>
      <c r="E34" s="48">
        <f t="shared" si="0"/>
        <v>0</v>
      </c>
      <c r="F34" s="48"/>
      <c r="G34" s="48"/>
      <c r="H34" s="48"/>
      <c r="I34" s="48">
        <f t="shared" si="1"/>
        <v>0</v>
      </c>
      <c r="J34" s="48"/>
      <c r="K34" s="48"/>
      <c r="L34" s="48">
        <f t="shared" si="2"/>
        <v>0</v>
      </c>
    </row>
    <row r="35" spans="2:12" x14ac:dyDescent="0.35">
      <c r="B35" s="48" t="s">
        <v>319</v>
      </c>
      <c r="C35" s="48"/>
      <c r="D35" s="48"/>
      <c r="E35" s="48">
        <f t="shared" si="0"/>
        <v>0</v>
      </c>
      <c r="F35" s="48"/>
      <c r="G35" s="48"/>
      <c r="H35" s="48"/>
      <c r="I35" s="48">
        <f t="shared" si="1"/>
        <v>0</v>
      </c>
      <c r="J35" s="48"/>
      <c r="K35" s="48"/>
      <c r="L35" s="48">
        <f t="shared" si="2"/>
        <v>0</v>
      </c>
    </row>
    <row r="36" spans="2:12" x14ac:dyDescent="0.35">
      <c r="B36" s="48" t="s">
        <v>320</v>
      </c>
      <c r="C36" s="48"/>
      <c r="D36" s="48"/>
      <c r="E36" s="48">
        <f t="shared" si="0"/>
        <v>0</v>
      </c>
      <c r="F36" s="48"/>
      <c r="G36" s="48"/>
      <c r="H36" s="48"/>
      <c r="I36" s="48">
        <f>G36*H36</f>
        <v>0</v>
      </c>
      <c r="J36" s="48"/>
      <c r="K36" s="48"/>
      <c r="L36" s="48">
        <f>J36*K36</f>
        <v>0</v>
      </c>
    </row>
    <row r="37" spans="2:12" x14ac:dyDescent="0.35">
      <c r="B37" s="48"/>
      <c r="C37" s="48"/>
      <c r="D37" s="48"/>
      <c r="E37" s="48">
        <f t="shared" ref="E37:E38" si="9">C37*D37</f>
        <v>0</v>
      </c>
      <c r="F37" s="48"/>
      <c r="G37" s="48"/>
      <c r="H37" s="48"/>
      <c r="I37" s="48">
        <f t="shared" ref="I37:I38" si="10">G37*H37</f>
        <v>0</v>
      </c>
      <c r="J37" s="48"/>
      <c r="K37" s="48"/>
      <c r="L37" s="48">
        <f t="shared" ref="L37:L38" si="11">J37*K37</f>
        <v>0</v>
      </c>
    </row>
    <row r="38" spans="2:12" x14ac:dyDescent="0.35">
      <c r="B38" s="48" t="s">
        <v>323</v>
      </c>
      <c r="C38" s="48"/>
      <c r="D38" s="48"/>
      <c r="E38" s="48">
        <f t="shared" si="9"/>
        <v>0</v>
      </c>
      <c r="F38" s="48"/>
      <c r="G38" s="48"/>
      <c r="H38" s="48"/>
      <c r="I38" s="48">
        <f t="shared" si="10"/>
        <v>0</v>
      </c>
      <c r="J38" s="48"/>
      <c r="K38" s="48"/>
      <c r="L38" s="48">
        <f t="shared" si="11"/>
        <v>0</v>
      </c>
    </row>
    <row r="39" spans="2:12" x14ac:dyDescent="0.35">
      <c r="B39" s="48"/>
      <c r="C39" s="48"/>
      <c r="D39" s="48"/>
      <c r="E39" s="48">
        <f t="shared" si="0"/>
        <v>0</v>
      </c>
      <c r="F39" s="48"/>
      <c r="G39" s="48"/>
      <c r="H39" s="48"/>
      <c r="I39" s="48">
        <f>G39*H39</f>
        <v>0</v>
      </c>
      <c r="J39" s="48"/>
      <c r="K39" s="48"/>
      <c r="L39" s="48">
        <f>J39*K39</f>
        <v>0</v>
      </c>
    </row>
    <row r="40" spans="2:12" x14ac:dyDescent="0.35">
      <c r="B40" s="48"/>
      <c r="C40" s="48"/>
      <c r="D40" s="48"/>
      <c r="E40" s="48">
        <f t="shared" si="0"/>
        <v>0</v>
      </c>
      <c r="F40" s="48"/>
      <c r="G40" s="48"/>
      <c r="H40" s="48"/>
      <c r="I40" s="48">
        <f>G40*H40</f>
        <v>0</v>
      </c>
      <c r="J40" s="48"/>
      <c r="K40" s="48"/>
      <c r="L40" s="48">
        <f>J40*K40</f>
        <v>0</v>
      </c>
    </row>
    <row r="41" spans="2:12" x14ac:dyDescent="0.35">
      <c r="B41" s="48"/>
      <c r="C41" s="48"/>
      <c r="D41" s="48"/>
      <c r="E41" s="48">
        <f t="shared" si="0"/>
        <v>0</v>
      </c>
      <c r="F41" s="48"/>
      <c r="G41" s="48"/>
      <c r="H41" s="48"/>
      <c r="I41" s="48">
        <f>G41*H41</f>
        <v>0</v>
      </c>
      <c r="J41" s="48"/>
      <c r="K41" s="48"/>
      <c r="L41" s="48">
        <f>J41*K41</f>
        <v>0</v>
      </c>
    </row>
    <row r="42" spans="2:12" x14ac:dyDescent="0.35">
      <c r="B42" s="48" t="s">
        <v>144</v>
      </c>
      <c r="C42" s="48"/>
      <c r="D42" s="48">
        <f>E42*10.764</f>
        <v>0</v>
      </c>
      <c r="E42" s="65">
        <f>SUM(E6:E41)</f>
        <v>0</v>
      </c>
      <c r="F42" s="48"/>
      <c r="G42" s="48"/>
      <c r="H42" s="48">
        <f>I42*10.764</f>
        <v>0</v>
      </c>
      <c r="I42" s="64">
        <f>SUM(I6:I41)</f>
        <v>0</v>
      </c>
      <c r="J42" s="48"/>
      <c r="K42" s="48">
        <f>L42*10.764</f>
        <v>0</v>
      </c>
      <c r="L42" s="63">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2025-05-14T05:58:39Z</cp:lastPrinted>
  <dcterms:created xsi:type="dcterms:W3CDTF">2019-07-16T09:29:46Z</dcterms:created>
  <dcterms:modified xsi:type="dcterms:W3CDTF">2025-07-20T15:44:57Z</dcterms:modified>
</cp:coreProperties>
</file>