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18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7" i="1" l="1"/>
  <c r="C64" i="1" l="1"/>
  <c r="E3" i="1"/>
  <c r="Q5" i="4"/>
  <c r="Q4" i="4"/>
  <c r="Q6" i="4"/>
  <c r="Q7" i="4"/>
  <c r="P7" i="4"/>
  <c r="P6" i="4"/>
  <c r="P5" i="4"/>
  <c r="P4" i="4"/>
  <c r="L179" i="1"/>
  <c r="L176" i="1"/>
  <c r="L175" i="1" l="1"/>
  <c r="L174" i="1"/>
  <c r="K172" i="1"/>
  <c r="L200" i="1" l="1"/>
  <c r="K196" i="1" l="1"/>
  <c r="K176" i="1"/>
  <c r="G192" i="1" l="1"/>
  <c r="D193" i="1"/>
  <c r="J193" i="1" s="1"/>
  <c r="A193" i="1"/>
  <c r="D192" i="1"/>
  <c r="J192" i="1" s="1"/>
  <c r="G173" i="1"/>
  <c r="D174" i="1"/>
  <c r="J174" i="1" s="1"/>
  <c r="A174" i="1"/>
  <c r="D173" i="1"/>
  <c r="J173" i="1" s="1"/>
  <c r="D181" i="1"/>
  <c r="J181" i="1" s="1"/>
  <c r="D178" i="1"/>
  <c r="J178" i="1" s="1"/>
  <c r="D179" i="1"/>
  <c r="J179" i="1" s="1"/>
  <c r="D180" i="1"/>
  <c r="J180" i="1" s="1"/>
  <c r="D177" i="1"/>
  <c r="J177" i="1" s="1"/>
  <c r="D176" i="1"/>
  <c r="J176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F162" i="1" s="1"/>
  <c r="A163" i="1"/>
  <c r="A164" i="1" s="1"/>
  <c r="A165" i="1" s="1"/>
  <c r="A166" i="1" s="1"/>
  <c r="A167" i="1" s="1"/>
  <c r="A168" i="1" s="1"/>
  <c r="J162" i="1"/>
  <c r="I162" i="1"/>
  <c r="G162" i="1"/>
  <c r="D200" i="1"/>
  <c r="J200" i="1" s="1"/>
  <c r="D199" i="1"/>
  <c r="J199" i="1" s="1"/>
  <c r="D198" i="1"/>
  <c r="J198" i="1" s="1"/>
  <c r="D197" i="1"/>
  <c r="J197" i="1" s="1"/>
  <c r="D196" i="1"/>
  <c r="J196" i="1" s="1"/>
  <c r="D195" i="1"/>
  <c r="J195" i="1" s="1"/>
  <c r="G195" i="1"/>
  <c r="D189" i="1"/>
  <c r="J189" i="1" s="1"/>
  <c r="D186" i="1"/>
  <c r="J186" i="1" s="1"/>
  <c r="D187" i="1"/>
  <c r="J187" i="1" s="1"/>
  <c r="D188" i="1"/>
  <c r="J188" i="1" s="1"/>
  <c r="D185" i="1"/>
  <c r="J185" i="1" s="1"/>
  <c r="D184" i="1"/>
  <c r="G184" i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D150" i="1"/>
  <c r="F150" i="1" s="1"/>
  <c r="D149" i="1"/>
  <c r="F149" i="1" s="1"/>
  <c r="D148" i="1"/>
  <c r="F148" i="1" s="1"/>
  <c r="D147" i="1"/>
  <c r="F147" i="1" s="1"/>
  <c r="I158" i="1"/>
  <c r="I154" i="1"/>
  <c r="J147" i="1"/>
  <c r="I147" i="1"/>
  <c r="G147" i="1"/>
  <c r="P184" i="1"/>
  <c r="P195" i="1"/>
  <c r="O184" i="1"/>
  <c r="O195" i="1"/>
  <c r="G124" i="1" l="1"/>
  <c r="G129" i="1"/>
  <c r="J184" i="1"/>
  <c r="C123" i="1"/>
  <c r="E128" i="1"/>
  <c r="C128" i="1"/>
  <c r="E123" i="1"/>
  <c r="C124" i="1"/>
  <c r="E129" i="1"/>
  <c r="C129" i="1"/>
  <c r="E124" i="1"/>
  <c r="E130" i="1"/>
  <c r="C130" i="1"/>
  <c r="G123" i="1"/>
  <c r="G130" i="1"/>
  <c r="O196" i="1"/>
  <c r="N195" i="1"/>
  <c r="P196" i="1"/>
  <c r="P197" i="1" s="1"/>
  <c r="P198" i="1" s="1"/>
  <c r="P199" i="1" s="1"/>
  <c r="P200" i="1" s="1"/>
  <c r="N184" i="1"/>
  <c r="O185" i="1"/>
  <c r="P185" i="1"/>
  <c r="P186" i="1" s="1"/>
  <c r="P187" i="1" s="1"/>
  <c r="P188" i="1" s="1"/>
  <c r="P189" i="1" s="1"/>
  <c r="D144" i="1"/>
  <c r="D143" i="1"/>
  <c r="D142" i="1"/>
  <c r="D141" i="1"/>
  <c r="D140" i="1"/>
  <c r="D139" i="1"/>
  <c r="D138" i="1"/>
  <c r="J138" i="1"/>
  <c r="I138" i="1"/>
  <c r="C131" i="1" l="1"/>
  <c r="C122" i="1"/>
  <c r="C125" i="1" s="1"/>
  <c r="E131" i="1"/>
  <c r="E122" i="1"/>
  <c r="E125" i="1" s="1"/>
  <c r="N196" i="1"/>
  <c r="O197" i="1"/>
  <c r="O186" i="1"/>
  <c r="N185" i="1"/>
  <c r="G128" i="1"/>
  <c r="G131" i="1" s="1"/>
  <c r="F138" i="1"/>
  <c r="N197" i="1" l="1"/>
  <c r="O198" i="1"/>
  <c r="N186" i="1"/>
  <c r="O187" i="1"/>
  <c r="F139" i="1"/>
  <c r="F140" i="1"/>
  <c r="F141" i="1"/>
  <c r="F142" i="1"/>
  <c r="F143" i="1"/>
  <c r="F144" i="1"/>
  <c r="G122" i="1" l="1"/>
  <c r="G125" i="1" s="1"/>
  <c r="O199" i="1"/>
  <c r="N198" i="1"/>
  <c r="N187" i="1"/>
  <c r="O188" i="1"/>
  <c r="B204" i="1"/>
  <c r="B203" i="1"/>
  <c r="O176" i="1"/>
  <c r="O200" i="1" l="1"/>
  <c r="N200" i="1" s="1"/>
  <c r="N199" i="1"/>
  <c r="O189" i="1"/>
  <c r="N189" i="1" s="1"/>
  <c r="N188" i="1"/>
  <c r="E2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4" i="1"/>
  <c r="G176" i="1"/>
  <c r="A139" i="1"/>
  <c r="A140" i="1" s="1"/>
  <c r="A141" i="1" s="1"/>
  <c r="A142" i="1" s="1"/>
  <c r="A143" i="1" s="1"/>
  <c r="A144" i="1" s="1"/>
  <c r="G138" i="1"/>
  <c r="F119" i="1"/>
  <c r="J103" i="1"/>
  <c r="J102" i="1"/>
  <c r="J101" i="1"/>
  <c r="J100" i="1"/>
  <c r="C92" i="1"/>
  <c r="J89" i="1"/>
  <c r="J88" i="1"/>
  <c r="J87" i="1"/>
  <c r="J86" i="1"/>
  <c r="C78" i="1"/>
  <c r="J75" i="1"/>
  <c r="J74" i="1"/>
  <c r="J73" i="1"/>
  <c r="J72" i="1"/>
  <c r="D58" i="1"/>
  <c r="D51" i="1"/>
  <c r="G46" i="1"/>
  <c r="G47" i="1" s="1"/>
  <c r="C46" i="1"/>
  <c r="E40" i="1"/>
  <c r="E41" i="1" s="1"/>
  <c r="E24" i="1"/>
  <c r="E22" i="1"/>
  <c r="C13" i="1"/>
  <c r="E7" i="1"/>
  <c r="P176" i="1"/>
  <c r="H93" i="1"/>
  <c r="H79" i="1"/>
  <c r="H65" i="1"/>
  <c r="D70" i="1" l="1"/>
  <c r="N176" i="1"/>
  <c r="J68" i="1"/>
  <c r="D77" i="1"/>
  <c r="D75" i="1"/>
  <c r="D73" i="1"/>
  <c r="D71" i="1"/>
  <c r="J69" i="1"/>
  <c r="J67" i="1"/>
  <c r="J70" i="1"/>
  <c r="J71" i="1" s="1"/>
  <c r="J76" i="1" s="1"/>
  <c r="J77" i="1" s="1"/>
  <c r="D76" i="1"/>
  <c r="D72" i="1"/>
  <c r="D74" i="1"/>
  <c r="D98" i="1"/>
  <c r="J96" i="1"/>
  <c r="D105" i="1"/>
  <c r="D103" i="1"/>
  <c r="D101" i="1"/>
  <c r="D99" i="1"/>
  <c r="J97" i="1"/>
  <c r="J95" i="1"/>
  <c r="J98" i="1"/>
  <c r="J99" i="1" s="1"/>
  <c r="J104" i="1" s="1"/>
  <c r="J105" i="1" s="1"/>
  <c r="C97" i="1" s="1"/>
  <c r="D104" i="1"/>
  <c r="D102" i="1"/>
  <c r="D100" i="1"/>
  <c r="J84" i="1"/>
  <c r="J85" i="1" s="1"/>
  <c r="J90" i="1" s="1"/>
  <c r="J91" i="1" s="1"/>
  <c r="D90" i="1"/>
  <c r="D88" i="1"/>
  <c r="D86" i="1"/>
  <c r="D84" i="1"/>
  <c r="J82" i="1"/>
  <c r="D91" i="1"/>
  <c r="J83" i="1"/>
  <c r="C83" i="1" s="1"/>
  <c r="D85" i="1"/>
  <c r="D87" i="1"/>
  <c r="D89" i="1"/>
  <c r="J81" i="1"/>
  <c r="O177" i="1"/>
  <c r="P177" i="1"/>
  <c r="P178" i="1" s="1"/>
  <c r="P179" i="1" s="1"/>
  <c r="P180" i="1" s="1"/>
  <c r="P181" i="1" s="1"/>
  <c r="C82" i="1" l="1"/>
  <c r="D82" i="1" s="1"/>
  <c r="C96" i="1"/>
  <c r="D96" i="1" s="1"/>
  <c r="G68" i="1"/>
  <c r="D62" i="1" s="1"/>
  <c r="N177" i="1"/>
  <c r="E82" i="1"/>
  <c r="D83" i="1"/>
  <c r="E96" i="1"/>
  <c r="D97" i="1"/>
  <c r="E68" i="1"/>
  <c r="D69" i="1"/>
  <c r="O178" i="1"/>
  <c r="G82" i="1" l="1"/>
  <c r="I78" i="1"/>
  <c r="C80" i="1" s="1"/>
  <c r="G96" i="1"/>
  <c r="I92" i="1"/>
  <c r="C94" i="1" s="1"/>
  <c r="D68" i="1"/>
  <c r="I64" i="1" s="1"/>
  <c r="C66" i="1" s="1"/>
  <c r="F63" i="1"/>
  <c r="D63" i="1"/>
  <c r="N178" i="1"/>
  <c r="O179" i="1"/>
  <c r="N179" i="1" l="1"/>
  <c r="O180" i="1"/>
  <c r="N180" i="1" l="1"/>
  <c r="O181" i="1"/>
  <c r="N181" i="1" s="1"/>
</calcChain>
</file>

<file path=xl/sharedStrings.xml><?xml version="1.0" encoding="utf-8"?>
<sst xmlns="http://schemas.openxmlformats.org/spreadsheetml/2006/main" count="406" uniqueCount="218">
  <si>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</si>
  <si>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</si>
  <si>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</si>
  <si>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</si>
  <si>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</si>
  <si>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</si>
  <si>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</si>
  <si>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</si>
  <si>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</si>
  <si>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</si>
  <si>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</si>
  <si>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</si>
  <si>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</si>
  <si>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</si>
  <si>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</si>
  <si>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</si>
  <si>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</si>
  <si>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</si>
  <si>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</si>
  <si>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</si>
  <si>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</si>
  <si>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</si>
  <si>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</si>
  <si>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</si>
  <si>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</si>
  <si>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</si>
  <si>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</si>
  <si>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</si>
  <si>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</si>
  <si>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</si>
  <si>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</si>
  <si>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</si>
  <si>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</si>
  <si>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</si>
  <si>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</si>
  <si>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</si>
  <si>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</si>
  <si>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</si>
  <si>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</si>
  <si>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</si>
  <si>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</si>
  <si>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</si>
  <si>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</si>
  <si>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</si>
  <si>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</si>
  <si>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</si>
  <si>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</si>
  <si>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</si>
  <si>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</si>
  <si>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</si>
  <si>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</si>
  <si>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</si>
  <si>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</si>
  <si>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</si>
  <si>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</si>
  <si>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</si>
  <si>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</si>
  <si>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</si>
  <si>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</si>
  <si>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</si>
  <si>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</si>
  <si>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</si>
  <si>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</si>
  <si>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</si>
  <si>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</si>
  <si>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</si>
  <si>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</si>
  <si>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</si>
  <si>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</si>
  <si>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</si>
  <si>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</si>
  <si>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</si>
  <si>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</si>
  <si>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</si>
  <si>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</si>
  <si>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</si>
  <si>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</si>
  <si>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</si>
  <si>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</si>
  <si>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</si>
  <si>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</si>
  <si>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</si>
  <si>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</si>
  <si>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</si>
  <si>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</si>
  <si>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</si>
  <si>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</si>
  <si>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</si>
  <si>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</si>
  <si>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</si>
  <si>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</si>
  <si>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</si>
  <si>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</si>
  <si>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</si>
  <si>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</si>
  <si>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</si>
  <si>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</si>
  <si>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</si>
  <si>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</si>
  <si>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</si>
  <si>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</si>
  <si>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</si>
  <si>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</si>
  <si>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</si>
  <si>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</si>
  <si>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</si>
  <si>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</si>
  <si>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</si>
  <si>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</si>
  <si>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</si>
  <si>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</si>
  <si>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</si>
  <si>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</si>
  <si>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</si>
  <si>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</si>
  <si>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</si>
  <si>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</si>
  <si>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</si>
  <si>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</si>
  <si>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</si>
  <si>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</si>
  <si>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</si>
  <si>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</si>
  <si>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</si>
  <si>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</si>
  <si>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</si>
  <si>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</si>
  <si>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</si>
  <si>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</si>
  <si>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</si>
  <si>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</si>
  <si>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</si>
  <si>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</si>
  <si>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</si>
  <si>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</si>
  <si>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</si>
  <si>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</si>
  <si>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</si>
  <si>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</si>
  <si>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</si>
  <si>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</si>
  <si>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</si>
  <si>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</si>
  <si>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</si>
  <si>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</si>
  <si>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</si>
  <si>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</si>
  <si>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</si>
  <si>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</si>
  <si>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</si>
  <si>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</si>
  <si>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</si>
  <si>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</si>
  <si>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</si>
  <si>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</si>
  <si>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</si>
  <si>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</si>
  <si>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</si>
  <si>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</si>
  <si>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</si>
  <si>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</si>
  <si>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</si>
  <si>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</si>
  <si>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Axis Goregaon</t>
  </si>
  <si>
    <t>P99000027533</t>
  </si>
  <si>
    <t>M/s. Shreenath Enterprises</t>
  </si>
  <si>
    <t>Parasnath Nagari</t>
  </si>
  <si>
    <t>Gut No</t>
  </si>
  <si>
    <t>154/B, 184/2, 185</t>
  </si>
  <si>
    <t>Village</t>
  </si>
  <si>
    <t>Umroli</t>
  </si>
  <si>
    <t>Palghar</t>
  </si>
  <si>
    <t>Mahasul/K-1/MJ1/B.S.P/S.R/C.R/354/17</t>
  </si>
  <si>
    <t>Mahasul/K.1/T.1/NP/SR-354/2017</t>
  </si>
  <si>
    <t>Wing - A (Type -C)</t>
  </si>
  <si>
    <t>Shop</t>
  </si>
  <si>
    <t>1BHK</t>
  </si>
  <si>
    <t xml:space="preserve">Ground Floor For Commercial </t>
  </si>
  <si>
    <t>Wing - B (Type -D)</t>
  </si>
  <si>
    <t>Wing - C (Type -E)</t>
  </si>
  <si>
    <t>2BHK</t>
  </si>
  <si>
    <t>We considered Gross carpet area = Net carpet + Enclose balcony + C.B Area</t>
  </si>
  <si>
    <t>Ground Floor For  Residential</t>
  </si>
  <si>
    <t xml:space="preserve">1st to 4th Floor </t>
  </si>
  <si>
    <t xml:space="preserve">Ground Floor </t>
  </si>
  <si>
    <t>Total</t>
  </si>
  <si>
    <t>Internal Road</t>
  </si>
  <si>
    <t>Open Plot</t>
  </si>
  <si>
    <t>Mahadeep apartment</t>
  </si>
  <si>
    <t>1.4Km from Umroli Railway Station</t>
  </si>
  <si>
    <t>Flats - 76, Shops - 27</t>
  </si>
  <si>
    <t>1RK</t>
  </si>
  <si>
    <t>Builder Saleable area</t>
  </si>
  <si>
    <t>03 Wings</t>
  </si>
  <si>
    <t>Approved Plans, CC, Builder saleable area, Cost Sheet</t>
  </si>
  <si>
    <t>Sector 6 - Building No.2 
Wing A (Type C)
Wing B (Type D)
Wing C (Type E)</t>
  </si>
  <si>
    <t xml:space="preserve">Valid Up to: Building No.2 
Wing A (Type C) = Gr/St + 1st to 4th Floor
Wing B (Type  D) = Gr/St + 1st to 4th Floor
Wing C (Type  E) = Gr/St + 1st to 4th Floor   </t>
  </si>
  <si>
    <t>Building No.2 =  Wing A (Type C) = Gr/St + 1st to 4th Floor
                          Wing B (Type D) = Gr/St + 1st to 4th Floor
                          Wing C (Type E) = Gr/St + 1st to 4th Floor</t>
  </si>
  <si>
    <t>Building No.2 = Wing C (Type E)= Gr/St + 1st to 4th Floor</t>
  </si>
  <si>
    <t>*</t>
  </si>
  <si>
    <t>Water, Electricitcal Connection</t>
  </si>
  <si>
    <t>Society Maintance Charges</t>
  </si>
  <si>
    <t>Gaurav Patil</t>
  </si>
  <si>
    <t>2800-3200</t>
  </si>
  <si>
    <t xml:space="preserve">Building No.2 = Wing A (Type C) = Gr/St + 1st to 4th Floor
</t>
  </si>
  <si>
    <t>Building No.2 = Wing  B (Type D) = Gr/St + 1st to 4th Floor
Building No.2 = Wing C (Type E)= Gr/St + 1st to 4th Floor</t>
  </si>
  <si>
    <t>19.7521882, 72.7635517</t>
  </si>
  <si>
    <t>Latitude, Longitude</t>
  </si>
  <si>
    <t>Location Link</t>
  </si>
  <si>
    <t>https://goo.gl/maps/R9yCB497ssW4jvF79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</si>
  <si>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</si>
  <si>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As per RERA -  31/12/2027</t>
  </si>
  <si>
    <t>Since the project has received CC on 25/06/2018, But construction work is not yet Completed.</t>
  </si>
  <si>
    <t>Wing A &amp; B = Lobby &amp; lift work is pending.
Wing C = Some flats are occupied by tenants but lobby &amp; lift work is pending.</t>
  </si>
  <si>
    <t>As checked on RERA portal on date 20/07/2025, we have observed that above project "Parasnath Nagari" is kept under abeyance. Please check from your end.</t>
  </si>
  <si>
    <t>On Site, we meet Mr. Upadhyay (Supervisor) : 7498196988.</t>
  </si>
  <si>
    <t>Pooja</t>
  </si>
  <si>
    <t>Yadnyesh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</si>
</sst>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87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6" fillId="2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vertical="top"/>
      <protection locked="0"/>
    </xf>
    <xf numFmtId="0" fontId="8" fillId="2" borderId="1" xfId="1" applyFont="1" applyFill="1" applyBorder="1" applyAlignment="1" applyProtection="1">
      <alignment horizontal="left"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17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23" fillId="0" borderId="0" xfId="1" applyFont="1"/>
    <xf numFmtId="0" fontId="12" fillId="0" borderId="1" xfId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1" fontId="10" fillId="0" borderId="0" xfId="1" applyNumberFormat="1" applyFont="1" applyAlignment="1">
      <alignment horizontal="center" vertical="center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14" fontId="7" fillId="3" borderId="0" xfId="1" applyNumberFormat="1" applyFont="1" applyFill="1"/>
    <xf numFmtId="0" fontId="24" fillId="3" borderId="0" xfId="0" applyFont="1" applyFill="1"/>
    <xf numFmtId="0" fontId="7" fillId="3" borderId="0" xfId="1" applyFont="1" applyFill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6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" fontId="7" fillId="0" borderId="9" xfId="0" applyNumberFormat="1" applyFont="1" applyBorder="1" applyAlignment="1" applyProtection="1">
      <alignment horizontal="center" vertical="top" wrapText="1"/>
      <protection locked="0"/>
    </xf>
    <xf numFmtId="1" fontId="7" fillId="0" borderId="10" xfId="0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3" fillId="2" borderId="1" xfId="1" applyFont="1" applyFill="1" applyBorder="1" applyAlignment="1" applyProtection="1">
      <alignment horizontal="center" vertical="top"/>
      <protection locked="0"/>
    </xf>
    <xf numFmtId="0" fontId="25" fillId="0" borderId="1" xfId="9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167" fontId="6" fillId="2" borderId="1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1" fontId="12" fillId="0" borderId="21" xfId="1" applyNumberFormat="1" applyFont="1" applyBorder="1" applyAlignment="1" applyProtection="1">
      <alignment horizontal="center" vertical="center" wrapText="1"/>
      <protection locked="0"/>
    </xf>
    <xf numFmtId="1" fontId="12" fillId="0" borderId="27" xfId="1" applyNumberFormat="1" applyFont="1" applyBorder="1" applyAlignment="1" applyProtection="1">
      <alignment horizontal="center" vertical="center" wrapText="1"/>
      <protection locked="0"/>
    </xf>
    <xf numFmtId="1" fontId="12" fillId="0" borderId="28" xfId="1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8" fillId="0" borderId="29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30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4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22" xfId="1" applyNumberFormat="1" applyFont="1" applyBorder="1" applyAlignment="1" applyProtection="1">
      <alignment horizontal="center" vertical="center" wrapText="1"/>
      <protection locked="0"/>
    </xf>
    <xf numFmtId="1" fontId="12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  <xf numFmtId="1" fontId="26" fillId="0" borderId="9" xfId="0" applyNumberFormat="1" applyFont="1" applyBorder="1" applyAlignment="1" applyProtection="1">
      <alignment vertical="top" wrapText="1"/>
      <protection locked="0"/>
    </xf>
    <xf numFmtId="1" fontId="26" fillId="0" borderId="24" xfId="0" applyNumberFormat="1" applyFont="1" applyBorder="1" applyAlignment="1" applyProtection="1">
      <alignment vertical="top" wrapText="1"/>
      <protection locked="0"/>
    </xf>
    <xf numFmtId="1" fontId="26" fillId="0" borderId="10" xfId="0" applyNumberFormat="1" applyFont="1" applyBorder="1" applyAlignment="1" applyProtection="1">
      <alignment vertical="top" wrapText="1"/>
      <protection locked="0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327</xdr:row>
      <xdr:rowOff>115207</xdr:rowOff>
    </xdr:from>
    <xdr:to>
      <xdr:col>6</xdr:col>
      <xdr:colOff>385296</xdr:colOff>
      <xdr:row>345</xdr:row>
      <xdr:rowOff>114757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23975" y="53950507"/>
          <a:ext cx="433817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504825</xdr:colOff>
      <xdr:row>309</xdr:row>
      <xdr:rowOff>0</xdr:rowOff>
    </xdr:from>
    <xdr:to>
      <xdr:col>6</xdr:col>
      <xdr:colOff>385296</xdr:colOff>
      <xdr:row>327</xdr:row>
      <xdr:rowOff>416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23975" y="50234850"/>
          <a:ext cx="433817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209550</xdr:colOff>
      <xdr:row>224</xdr:row>
      <xdr:rowOff>139700</xdr:rowOff>
    </xdr:from>
    <xdr:to>
      <xdr:col>7</xdr:col>
      <xdr:colOff>645519</xdr:colOff>
      <xdr:row>253</xdr:row>
      <xdr:rowOff>13874</xdr:rowOff>
    </xdr:to>
    <xdr:grpSp>
      <xdr:nvGrpSpPr>
        <xdr:cNvPr id="4" name="Group 3"/>
        <xdr:cNvGrpSpPr/>
      </xdr:nvGrpSpPr>
      <xdr:grpSpPr>
        <a:xfrm>
          <a:off x="209550" y="45034200"/>
          <a:ext cx="6411319" cy="5576474"/>
          <a:chOff x="209550" y="45256450"/>
          <a:chExt cx="6411319" cy="5576474"/>
        </a:xfrm>
      </xdr:grpSpPr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9550" y="48096924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0277" y="48096924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0278" y="452564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1006" y="452564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1004" y="48096924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9550" y="452564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oneCellAnchor>
    <xdr:from>
      <xdr:col>9</xdr:col>
      <xdr:colOff>184150</xdr:colOff>
      <xdr:row>281</xdr:row>
      <xdr:rowOff>63500</xdr:rowOff>
    </xdr:from>
    <xdr:ext cx="700769" cy="311496"/>
    <xdr:sp macro="" textlink="">
      <xdr:nvSpPr>
        <xdr:cNvPr id="6" name="TextBox 5"/>
        <xdr:cNvSpPr txBox="1"/>
      </xdr:nvSpPr>
      <xdr:spPr>
        <a:xfrm>
          <a:off x="8248650" y="56388000"/>
          <a:ext cx="70076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C</a:t>
          </a:r>
        </a:p>
      </xdr:txBody>
    </xdr:sp>
    <xdr:clientData/>
  </xdr:oneCellAnchor>
  <xdr:oneCellAnchor>
    <xdr:from>
      <xdr:col>3</xdr:col>
      <xdr:colOff>15993</xdr:colOff>
      <xdr:row>290</xdr:row>
      <xdr:rowOff>98174</xdr:rowOff>
    </xdr:from>
    <xdr:ext cx="700769" cy="311496"/>
    <xdr:sp macro="" textlink="">
      <xdr:nvSpPr>
        <xdr:cNvPr id="38" name="TextBox 37"/>
        <xdr:cNvSpPr txBox="1"/>
      </xdr:nvSpPr>
      <xdr:spPr>
        <a:xfrm>
          <a:off x="2543293" y="58194324"/>
          <a:ext cx="70076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C</a:t>
          </a:r>
        </a:p>
      </xdr:txBody>
    </xdr:sp>
    <xdr:clientData/>
  </xdr:oneCellAnchor>
  <xdr:twoCellAnchor>
    <xdr:from>
      <xdr:col>0</xdr:col>
      <xdr:colOff>203200</xdr:colOff>
      <xdr:row>267</xdr:row>
      <xdr:rowOff>133350</xdr:rowOff>
    </xdr:from>
    <xdr:to>
      <xdr:col>7</xdr:col>
      <xdr:colOff>687163</xdr:colOff>
      <xdr:row>304</xdr:row>
      <xdr:rowOff>146298</xdr:rowOff>
    </xdr:to>
    <xdr:grpSp>
      <xdr:nvGrpSpPr>
        <xdr:cNvPr id="7" name="Group 6"/>
        <xdr:cNvGrpSpPr/>
      </xdr:nvGrpSpPr>
      <xdr:grpSpPr>
        <a:xfrm>
          <a:off x="203200" y="53486050"/>
          <a:ext cx="6459313" cy="7290048"/>
          <a:chOff x="203200" y="53708300"/>
          <a:chExt cx="6459313" cy="7290048"/>
        </a:xfrm>
      </xdr:grpSpPr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40906" y="5883834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84836" y="56543324"/>
            <a:ext cx="287767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78663" y="5883834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0350" y="5654332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22593" y="5654332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0350" y="5370830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21804" y="5370830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41077" y="5370830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8" name="TextBox 47"/>
          <xdr:cNvSpPr txBox="1"/>
        </xdr:nvSpPr>
        <xdr:spPr>
          <a:xfrm>
            <a:off x="203200" y="56575074"/>
            <a:ext cx="70076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C</a:t>
            </a:r>
          </a:p>
        </xdr:txBody>
      </xdr:sp>
    </xdr:grpSp>
    <xdr:clientData/>
  </xdr:twoCellAnchor>
  <xdr:twoCellAnchor editAs="oneCell">
    <xdr:from>
      <xdr:col>8</xdr:col>
      <xdr:colOff>774700</xdr:colOff>
      <xdr:row>200</xdr:row>
      <xdr:rowOff>76200</xdr:rowOff>
    </xdr:from>
    <xdr:to>
      <xdr:col>15</xdr:col>
      <xdr:colOff>173950</xdr:colOff>
      <xdr:row>213</xdr:row>
      <xdr:rowOff>110150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00" y="39554150"/>
          <a:ext cx="5400000" cy="30375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3</xdr:col>
      <xdr:colOff>107950</xdr:colOff>
      <xdr:row>241</xdr:row>
      <xdr:rowOff>190500</xdr:rowOff>
    </xdr:from>
    <xdr:ext cx="700769" cy="311496"/>
    <xdr:sp macro="" textlink="">
      <xdr:nvSpPr>
        <xdr:cNvPr id="53" name="TextBox 52"/>
        <xdr:cNvSpPr txBox="1"/>
      </xdr:nvSpPr>
      <xdr:spPr>
        <a:xfrm>
          <a:off x="2635250" y="48647350"/>
          <a:ext cx="70076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C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217715</xdr:colOff>
      <xdr:row>1</xdr:row>
      <xdr:rowOff>0</xdr:rowOff>
    </xdr:from>
    <xdr:to>
      <xdr:col>13</xdr:col>
      <xdr:colOff>419441</xdr:colOff>
      <xdr:row>15</xdr:row>
      <xdr:rowOff>9190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715" y="190500"/>
          <a:ext cx="8161905" cy="2676190"/>
        </a:xfrm>
        <a:prstGeom prst="rect">
          <a:avLst/>
        </a:prstGeom>
      </xdr:spPr>
    </xdr:pic>
    <xdr:clientData/>
  </xdr:twoCellAnchor>
  <xdr:twoCellAnchor editAs="oneCell">
    <xdr:from>
      <xdr:col>2</xdr:col>
      <xdr:colOff>136071</xdr:colOff>
      <xdr:row>15</xdr:row>
      <xdr:rowOff>149678</xdr:rowOff>
    </xdr:from>
    <xdr:to>
      <xdr:col>14</xdr:col>
      <xdr:colOff>35833</xdr:colOff>
      <xdr:row>32</xdr:row>
      <xdr:rowOff>104368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4" y="3007178"/>
          <a:ext cx="7247619" cy="32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R9yCB497ssW4jvF7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08"/>
  <sheetViews>
    <sheetView tabSelected="1" view="pageBreakPreview" topLeftCell="A202" zoomScaleNormal="100" zoomScaleSheetLayoutView="100" workbookViewId="0">
      <selection activeCell="A210" sqref="A210:XFD210"/>
    </sheetView>
  </sheetViews>
  <sheetFormatPr defaultColWidth="9.1796875" defaultRowHeight="15.5" x14ac:dyDescent="0.35"/>
  <cols>
    <col min="1" max="1" width="11.453125" style="13" customWidth="1"/>
    <col min="2" max="2" width="12" style="13" customWidth="1"/>
    <col min="3" max="3" width="12.7265625" style="13" customWidth="1"/>
    <col min="4" max="4" width="14.1796875" style="13" customWidth="1"/>
    <col min="5" max="7" width="11.7265625" style="13" customWidth="1"/>
    <col min="8" max="8" width="12.453125" style="13" customWidth="1"/>
    <col min="9" max="9" width="17.453125" style="3" customWidth="1"/>
    <col min="10" max="10" width="11.453125" style="3" customWidth="1"/>
    <col min="11" max="11" width="12.26953125" style="3" bestFit="1" customWidth="1"/>
    <col min="12" max="12" width="10.54296875" style="3" customWidth="1"/>
    <col min="13" max="13" width="11.81640625" style="3" customWidth="1"/>
    <col min="14" max="14" width="12.54296875" style="3" customWidth="1"/>
    <col min="15" max="15" width="9.81640625" style="3" customWidth="1"/>
    <col min="16" max="16" width="11.7265625" style="3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8" ht="46.5" customHeight="1" x14ac:dyDescent="0.35">
      <c r="A1" s="134" t="s">
        <v>210</v>
      </c>
      <c r="B1" s="134"/>
      <c r="C1" s="134"/>
      <c r="D1" s="134"/>
      <c r="E1" s="134"/>
      <c r="F1" s="134"/>
      <c r="G1" s="134"/>
      <c r="H1" s="134"/>
    </row>
    <row r="2" spans="1:8" ht="16.5" customHeight="1" x14ac:dyDescent="0.35">
      <c r="A2" s="102" t="s">
        <v>0</v>
      </c>
      <c r="B2" s="102"/>
      <c r="C2" s="102"/>
      <c r="D2" s="102"/>
      <c r="E2" s="102"/>
      <c r="F2" s="102"/>
      <c r="G2" s="102"/>
      <c r="H2" s="102"/>
    </row>
    <row r="3" spans="1:8" x14ac:dyDescent="0.35">
      <c r="A3" s="88" t="s">
        <v>1</v>
      </c>
      <c r="B3" s="88"/>
      <c r="C3" s="88"/>
      <c r="D3" s="88"/>
      <c r="E3" s="135" t="str">
        <f ca="1">TEXT(TODAY(),"DD/MM/YYYY")</f>
        <v>21/07/2025</v>
      </c>
      <c r="F3" s="135"/>
      <c r="G3" s="135"/>
      <c r="H3" s="135"/>
    </row>
    <row r="4" spans="1:8" ht="15" customHeight="1" x14ac:dyDescent="0.35">
      <c r="A4" s="88" t="s">
        <v>2</v>
      </c>
      <c r="B4" s="88"/>
      <c r="C4" s="88"/>
      <c r="D4" s="88"/>
      <c r="E4" s="122" t="s">
        <v>163</v>
      </c>
      <c r="F4" s="122"/>
      <c r="G4" s="122"/>
      <c r="H4" s="122"/>
    </row>
    <row r="5" spans="1:8" x14ac:dyDescent="0.35">
      <c r="A5" s="88" t="s">
        <v>3</v>
      </c>
      <c r="B5" s="88"/>
      <c r="C5" s="88"/>
      <c r="D5" s="88"/>
      <c r="E5" s="136">
        <v>45857</v>
      </c>
      <c r="F5" s="136"/>
      <c r="G5" s="136"/>
      <c r="H5" s="136"/>
    </row>
    <row r="6" spans="1:8" ht="16.5" customHeight="1" x14ac:dyDescent="0.35">
      <c r="A6" s="88" t="s">
        <v>4</v>
      </c>
      <c r="B6" s="88"/>
      <c r="C6" s="88"/>
      <c r="D6" s="88"/>
      <c r="E6" s="112" t="s">
        <v>165</v>
      </c>
      <c r="F6" s="112"/>
      <c r="G6" s="112"/>
      <c r="H6" s="112"/>
    </row>
    <row r="7" spans="1:8" ht="15" customHeight="1" x14ac:dyDescent="0.35">
      <c r="A7" s="88" t="s">
        <v>5</v>
      </c>
      <c r="B7" s="88"/>
      <c r="C7" s="88"/>
      <c r="D7" s="88"/>
      <c r="E7" s="112" t="str">
        <f>E6</f>
        <v>M/s. Shreenath Enterprises</v>
      </c>
      <c r="F7" s="112"/>
      <c r="G7" s="112"/>
      <c r="H7" s="112"/>
    </row>
    <row r="8" spans="1:8" x14ac:dyDescent="0.35">
      <c r="A8" s="88" t="s">
        <v>6</v>
      </c>
      <c r="B8" s="88"/>
      <c r="C8" s="88"/>
      <c r="D8" s="88"/>
      <c r="E8" s="99" t="s">
        <v>166</v>
      </c>
      <c r="F8" s="99"/>
      <c r="G8" s="99"/>
      <c r="H8" s="99"/>
    </row>
    <row r="9" spans="1:8" x14ac:dyDescent="0.35">
      <c r="A9" s="88" t="s">
        <v>133</v>
      </c>
      <c r="B9" s="88"/>
      <c r="C9" s="88"/>
      <c r="D9" s="88"/>
      <c r="E9" s="88">
        <v>8483065871</v>
      </c>
      <c r="F9" s="88"/>
      <c r="G9" s="88"/>
      <c r="H9" s="88"/>
    </row>
    <row r="10" spans="1:8" ht="63.75" customHeight="1" x14ac:dyDescent="0.35">
      <c r="A10" s="110" t="s">
        <v>7</v>
      </c>
      <c r="B10" s="110"/>
      <c r="C10" s="110"/>
      <c r="D10" s="110"/>
      <c r="E10" s="109" t="s">
        <v>195</v>
      </c>
      <c r="F10" s="110"/>
      <c r="G10" s="110"/>
      <c r="H10" s="110"/>
    </row>
    <row r="11" spans="1:8" x14ac:dyDescent="0.35">
      <c r="A11" s="88" t="s">
        <v>8</v>
      </c>
      <c r="B11" s="88"/>
      <c r="C11" s="88"/>
      <c r="D11" s="88"/>
      <c r="E11" s="109" t="s">
        <v>194</v>
      </c>
      <c r="F11" s="109"/>
      <c r="G11" s="109"/>
      <c r="H11" s="109"/>
    </row>
    <row r="12" spans="1:8" x14ac:dyDescent="0.35">
      <c r="A12" s="88" t="s">
        <v>9</v>
      </c>
      <c r="B12" s="88"/>
      <c r="C12" s="88"/>
      <c r="D12" s="88"/>
      <c r="E12" s="109" t="s">
        <v>164</v>
      </c>
      <c r="F12" s="110"/>
      <c r="G12" s="110"/>
      <c r="H12" s="110"/>
    </row>
    <row r="13" spans="1:8" ht="34.5" customHeight="1" x14ac:dyDescent="0.35">
      <c r="A13" s="112" t="s">
        <v>10</v>
      </c>
      <c r="B13" s="112"/>
      <c r="C13" s="112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Parasnath Nagari, Gut No.154/B, 184/2, 185, near Mahadeep apartment, Internal Road, Umroli, Umroli, Palghar, Palghar.</v>
      </c>
      <c r="D13" s="112"/>
      <c r="E13" s="112"/>
      <c r="F13" s="112"/>
      <c r="G13" s="112"/>
      <c r="H13" s="112"/>
    </row>
    <row r="14" spans="1:8" x14ac:dyDescent="0.35">
      <c r="A14" s="112" t="s">
        <v>167</v>
      </c>
      <c r="B14" s="112"/>
      <c r="C14" s="109" t="s">
        <v>168</v>
      </c>
      <c r="D14" s="109"/>
      <c r="E14" s="109"/>
      <c r="F14" s="109"/>
      <c r="G14" s="109"/>
      <c r="H14" s="109"/>
    </row>
    <row r="15" spans="1:8" ht="15.75" customHeight="1" x14ac:dyDescent="0.35">
      <c r="A15" s="112" t="s">
        <v>11</v>
      </c>
      <c r="B15" s="112"/>
      <c r="C15" s="110" t="s">
        <v>186</v>
      </c>
      <c r="D15" s="110"/>
      <c r="E15" s="112" t="s">
        <v>169</v>
      </c>
      <c r="F15" s="112"/>
      <c r="G15" s="109" t="s">
        <v>170</v>
      </c>
      <c r="H15" s="109"/>
    </row>
    <row r="16" spans="1:8" x14ac:dyDescent="0.35">
      <c r="A16" s="88" t="s">
        <v>13</v>
      </c>
      <c r="B16" s="88"/>
      <c r="C16" s="109" t="s">
        <v>170</v>
      </c>
      <c r="D16" s="109"/>
      <c r="E16" s="112" t="s">
        <v>12</v>
      </c>
      <c r="F16" s="112"/>
      <c r="G16" s="128" t="s">
        <v>171</v>
      </c>
      <c r="H16" s="128"/>
    </row>
    <row r="17" spans="1:8" x14ac:dyDescent="0.35">
      <c r="A17" s="88" t="s">
        <v>78</v>
      </c>
      <c r="B17" s="88"/>
      <c r="C17" s="109" t="s">
        <v>171</v>
      </c>
      <c r="D17" s="109"/>
      <c r="E17" s="112" t="s">
        <v>14</v>
      </c>
      <c r="F17" s="112"/>
      <c r="G17" s="109">
        <v>401404</v>
      </c>
      <c r="H17" s="109"/>
    </row>
    <row r="18" spans="1:8" ht="32.25" customHeight="1" x14ac:dyDescent="0.35">
      <c r="A18" s="129" t="s">
        <v>134</v>
      </c>
      <c r="B18" s="129"/>
      <c r="C18" s="130" t="s">
        <v>188</v>
      </c>
      <c r="D18" s="130"/>
      <c r="E18" s="130" t="s">
        <v>15</v>
      </c>
      <c r="F18" s="130"/>
      <c r="G18" s="109" t="s">
        <v>189</v>
      </c>
      <c r="H18" s="109"/>
    </row>
    <row r="19" spans="1:8" ht="15" customHeight="1" x14ac:dyDescent="0.35">
      <c r="A19" s="112" t="s">
        <v>82</v>
      </c>
      <c r="B19" s="112"/>
      <c r="C19" s="112"/>
      <c r="D19" s="112"/>
      <c r="E19" s="110" t="s">
        <v>16</v>
      </c>
      <c r="F19" s="110"/>
      <c r="G19" s="110"/>
      <c r="H19" s="110"/>
    </row>
    <row r="20" spans="1:8" ht="18.75" customHeight="1" x14ac:dyDescent="0.35">
      <c r="A20" s="112"/>
      <c r="B20" s="112"/>
      <c r="C20" s="112"/>
      <c r="D20" s="112"/>
      <c r="E20" s="110"/>
      <c r="F20" s="110"/>
      <c r="G20" s="110"/>
      <c r="H20" s="110"/>
    </row>
    <row r="21" spans="1:8" ht="15" customHeight="1" x14ac:dyDescent="0.35">
      <c r="A21" s="112" t="s">
        <v>17</v>
      </c>
      <c r="B21" s="112"/>
      <c r="C21" s="112"/>
      <c r="D21" s="112"/>
      <c r="E21" s="109" t="s">
        <v>18</v>
      </c>
      <c r="F21" s="109"/>
      <c r="G21" s="109"/>
      <c r="H21" s="109"/>
    </row>
    <row r="22" spans="1:8" ht="15" customHeight="1" x14ac:dyDescent="0.35">
      <c r="A22" s="88" t="s">
        <v>19</v>
      </c>
      <c r="B22" s="88"/>
      <c r="C22" s="88"/>
      <c r="D22" s="88"/>
      <c r="E22" s="109" t="str">
        <f>IF(AND(G16="Mumbai"),"Upper Class","Middle Class")</f>
        <v>Middle Class</v>
      </c>
      <c r="F22" s="109"/>
      <c r="G22" s="109"/>
      <c r="H22" s="109"/>
    </row>
    <row r="23" spans="1:8" x14ac:dyDescent="0.35">
      <c r="A23" s="88" t="s">
        <v>20</v>
      </c>
      <c r="B23" s="88"/>
      <c r="C23" s="88"/>
      <c r="D23" s="88"/>
      <c r="E23" s="109" t="s">
        <v>21</v>
      </c>
      <c r="F23" s="109"/>
      <c r="G23" s="109"/>
      <c r="H23" s="109"/>
    </row>
    <row r="24" spans="1:8" ht="15.75" customHeight="1" x14ac:dyDescent="0.35">
      <c r="A24" s="88" t="s">
        <v>22</v>
      </c>
      <c r="B24" s="88"/>
      <c r="C24" s="88"/>
      <c r="D24" s="88"/>
      <c r="E24" s="109" t="str">
        <f>IF(AND(G16="Mumbai"),"Developed","Developing")</f>
        <v>Developing</v>
      </c>
      <c r="F24" s="109"/>
      <c r="G24" s="109"/>
      <c r="H24" s="109"/>
    </row>
    <row r="25" spans="1:8" x14ac:dyDescent="0.35">
      <c r="A25" s="88" t="s">
        <v>23</v>
      </c>
      <c r="B25" s="88"/>
      <c r="C25" s="88"/>
      <c r="D25" s="88"/>
      <c r="E25" s="109" t="s">
        <v>24</v>
      </c>
      <c r="F25" s="109"/>
      <c r="G25" s="109"/>
      <c r="H25" s="109"/>
    </row>
    <row r="26" spans="1:8" x14ac:dyDescent="0.35">
      <c r="A26" s="88" t="s">
        <v>89</v>
      </c>
      <c r="B26" s="88"/>
      <c r="C26" s="88"/>
      <c r="D26" s="88"/>
      <c r="E26" s="109" t="s">
        <v>90</v>
      </c>
      <c r="F26" s="109"/>
      <c r="G26" s="109"/>
      <c r="H26" s="109"/>
    </row>
    <row r="27" spans="1:8" ht="15" customHeight="1" x14ac:dyDescent="0.35">
      <c r="A27" s="112" t="s">
        <v>33</v>
      </c>
      <c r="B27" s="112"/>
      <c r="C27" s="112"/>
      <c r="D27" s="112"/>
      <c r="E27" s="122" t="str">
        <f>IF(ISNUMBER(SEARCH("Shops",D52)),"Residential + Commercial",IF(SEARCH("Offices",D52),"Residential + Commercial",IF(SEARCH("Flats",D52),"Residential","")))</f>
        <v>Residential + Commercial</v>
      </c>
      <c r="F27" s="122"/>
      <c r="G27" s="122"/>
      <c r="H27" s="122"/>
    </row>
    <row r="28" spans="1:8" x14ac:dyDescent="0.35">
      <c r="A28" s="112" t="s">
        <v>101</v>
      </c>
      <c r="B28" s="112"/>
      <c r="C28" s="112"/>
      <c r="D28" s="112"/>
      <c r="E28" s="112" t="s">
        <v>34</v>
      </c>
      <c r="F28" s="112"/>
      <c r="G28" s="112"/>
      <c r="H28" s="112"/>
    </row>
    <row r="29" spans="1:8" s="6" customFormat="1" x14ac:dyDescent="0.35">
      <c r="A29" s="127" t="s">
        <v>102</v>
      </c>
      <c r="B29" s="127"/>
      <c r="C29" s="123" t="s">
        <v>29</v>
      </c>
      <c r="D29" s="123"/>
      <c r="E29" s="123"/>
      <c r="F29" s="123" t="s">
        <v>31</v>
      </c>
      <c r="G29" s="123"/>
      <c r="H29" s="123"/>
    </row>
    <row r="30" spans="1:8" s="6" customFormat="1" x14ac:dyDescent="0.35">
      <c r="A30" s="119" t="s">
        <v>25</v>
      </c>
      <c r="B30" s="119" t="s">
        <v>30</v>
      </c>
      <c r="C30" s="117" t="s">
        <v>30</v>
      </c>
      <c r="D30" s="117"/>
      <c r="E30" s="117"/>
      <c r="F30" s="117" t="s">
        <v>186</v>
      </c>
      <c r="G30" s="117"/>
      <c r="H30" s="117"/>
    </row>
    <row r="31" spans="1:8" x14ac:dyDescent="0.35">
      <c r="A31" s="119" t="s">
        <v>26</v>
      </c>
      <c r="B31" s="119" t="s">
        <v>30</v>
      </c>
      <c r="C31" s="117" t="s">
        <v>30</v>
      </c>
      <c r="D31" s="117"/>
      <c r="E31" s="117"/>
      <c r="F31" s="117" t="s">
        <v>187</v>
      </c>
      <c r="G31" s="117"/>
      <c r="H31" s="117"/>
    </row>
    <row r="32" spans="1:8" s="6" customFormat="1" x14ac:dyDescent="0.35">
      <c r="A32" s="119" t="s">
        <v>28</v>
      </c>
      <c r="B32" s="119" t="s">
        <v>30</v>
      </c>
      <c r="C32" s="117" t="s">
        <v>30</v>
      </c>
      <c r="D32" s="117"/>
      <c r="E32" s="117"/>
      <c r="F32" s="117" t="s">
        <v>186</v>
      </c>
      <c r="G32" s="117"/>
      <c r="H32" s="117"/>
    </row>
    <row r="33" spans="1:8" x14ac:dyDescent="0.35">
      <c r="A33" s="119" t="s">
        <v>27</v>
      </c>
      <c r="B33" s="119" t="s">
        <v>30</v>
      </c>
      <c r="C33" s="117" t="s">
        <v>30</v>
      </c>
      <c r="D33" s="117"/>
      <c r="E33" s="117"/>
      <c r="F33" s="117" t="s">
        <v>187</v>
      </c>
      <c r="G33" s="117"/>
      <c r="H33" s="117"/>
    </row>
    <row r="34" spans="1:8" x14ac:dyDescent="0.35">
      <c r="A34" s="88" t="s">
        <v>32</v>
      </c>
      <c r="B34" s="88"/>
      <c r="C34" s="88"/>
      <c r="D34" s="88"/>
      <c r="E34" s="88"/>
      <c r="F34" s="88"/>
      <c r="G34" s="88"/>
      <c r="H34" s="88"/>
    </row>
    <row r="35" spans="1:8" ht="15.75" customHeight="1" x14ac:dyDescent="0.35">
      <c r="A35" s="115" t="s">
        <v>207</v>
      </c>
      <c r="B35" s="115"/>
      <c r="C35" s="114" t="s">
        <v>206</v>
      </c>
      <c r="D35" s="114"/>
      <c r="E35" s="114"/>
      <c r="F35" s="114"/>
      <c r="G35" s="114"/>
      <c r="H35" s="114"/>
    </row>
    <row r="36" spans="1:8" ht="15.75" customHeight="1" x14ac:dyDescent="0.35">
      <c r="A36" s="115" t="s">
        <v>208</v>
      </c>
      <c r="B36" s="115"/>
      <c r="C36" s="116" t="s">
        <v>209</v>
      </c>
      <c r="D36" s="114"/>
      <c r="E36" s="114"/>
      <c r="F36" s="114"/>
      <c r="G36" s="114"/>
      <c r="H36" s="114"/>
    </row>
    <row r="37" spans="1:8" x14ac:dyDescent="0.35">
      <c r="A37" s="99" t="s">
        <v>35</v>
      </c>
      <c r="B37" s="99"/>
      <c r="C37" s="99"/>
      <c r="D37" s="99"/>
      <c r="E37" s="99"/>
      <c r="F37" s="99"/>
      <c r="G37" s="99"/>
      <c r="H37" s="99"/>
    </row>
    <row r="38" spans="1:8" x14ac:dyDescent="0.35">
      <c r="A38" s="88" t="s">
        <v>36</v>
      </c>
      <c r="B38" s="88"/>
      <c r="C38" s="88"/>
      <c r="D38" s="88"/>
      <c r="E38" s="120">
        <v>14550</v>
      </c>
      <c r="F38" s="120"/>
      <c r="G38" s="120"/>
      <c r="H38" s="120"/>
    </row>
    <row r="39" spans="1:8" x14ac:dyDescent="0.35">
      <c r="A39" s="88" t="s">
        <v>37</v>
      </c>
      <c r="B39" s="88"/>
      <c r="C39" s="88"/>
      <c r="D39" s="88"/>
      <c r="E39" s="118">
        <v>0.9</v>
      </c>
      <c r="F39" s="118"/>
      <c r="G39" s="118"/>
      <c r="H39" s="118"/>
    </row>
    <row r="40" spans="1:8" x14ac:dyDescent="0.35">
      <c r="A40" s="88" t="s">
        <v>38</v>
      </c>
      <c r="B40" s="88"/>
      <c r="C40" s="88"/>
      <c r="D40" s="88"/>
      <c r="E40" s="118">
        <f>E42/E38-E39</f>
        <v>0</v>
      </c>
      <c r="F40" s="118"/>
      <c r="G40" s="118"/>
      <c r="H40" s="118"/>
    </row>
    <row r="41" spans="1:8" x14ac:dyDescent="0.35">
      <c r="A41" s="88" t="s">
        <v>39</v>
      </c>
      <c r="B41" s="88"/>
      <c r="C41" s="88"/>
      <c r="D41" s="88"/>
      <c r="E41" s="118">
        <f>E39+E40</f>
        <v>0.9</v>
      </c>
      <c r="F41" s="118"/>
      <c r="G41" s="118"/>
      <c r="H41" s="118"/>
    </row>
    <row r="42" spans="1:8" x14ac:dyDescent="0.35">
      <c r="A42" s="88" t="s">
        <v>100</v>
      </c>
      <c r="B42" s="88"/>
      <c r="C42" s="88"/>
      <c r="D42" s="88"/>
      <c r="E42" s="113">
        <v>13095</v>
      </c>
      <c r="F42" s="113"/>
      <c r="G42" s="113"/>
      <c r="H42" s="113"/>
    </row>
    <row r="43" spans="1:8" x14ac:dyDescent="0.35">
      <c r="A43" s="110" t="s">
        <v>40</v>
      </c>
      <c r="B43" s="110"/>
      <c r="C43" s="110"/>
      <c r="D43" s="110"/>
      <c r="E43" s="110" t="s">
        <v>193</v>
      </c>
      <c r="F43" s="110"/>
      <c r="G43" s="110"/>
      <c r="H43" s="110"/>
    </row>
    <row r="44" spans="1:8" x14ac:dyDescent="0.35">
      <c r="A44" s="99" t="s">
        <v>41</v>
      </c>
      <c r="B44" s="99"/>
      <c r="C44" s="99"/>
      <c r="D44" s="99"/>
      <c r="E44" s="99"/>
      <c r="F44" s="99"/>
      <c r="G44" s="99"/>
      <c r="H44" s="99"/>
    </row>
    <row r="45" spans="1:8" x14ac:dyDescent="0.35">
      <c r="A45" s="112" t="s">
        <v>42</v>
      </c>
      <c r="B45" s="112"/>
      <c r="C45" s="146" t="s">
        <v>172</v>
      </c>
      <c r="D45" s="146"/>
      <c r="E45" s="146"/>
      <c r="F45" s="8" t="s">
        <v>43</v>
      </c>
      <c r="G45" s="172">
        <v>43276</v>
      </c>
      <c r="H45" s="172"/>
    </row>
    <row r="46" spans="1:8" x14ac:dyDescent="0.35">
      <c r="A46" s="88" t="s">
        <v>44</v>
      </c>
      <c r="B46" s="88"/>
      <c r="C46" s="146" t="str">
        <f>C45</f>
        <v>Mahasul/K-1/MJ1/B.S.P/S.R/C.R/354/17</v>
      </c>
      <c r="D46" s="146"/>
      <c r="E46" s="146"/>
      <c r="F46" s="8" t="s">
        <v>43</v>
      </c>
      <c r="G46" s="172">
        <f>G45</f>
        <v>43276</v>
      </c>
      <c r="H46" s="172"/>
    </row>
    <row r="47" spans="1:8" s="5" customFormat="1" x14ac:dyDescent="0.35">
      <c r="A47" s="109" t="s">
        <v>45</v>
      </c>
      <c r="B47" s="109"/>
      <c r="C47" s="146" t="s">
        <v>173</v>
      </c>
      <c r="D47" s="87"/>
      <c r="E47" s="87"/>
      <c r="F47" s="9" t="s">
        <v>43</v>
      </c>
      <c r="G47" s="172">
        <f>G46</f>
        <v>43276</v>
      </c>
      <c r="H47" s="172"/>
    </row>
    <row r="48" spans="1:8" s="5" customFormat="1" ht="66" customHeight="1" x14ac:dyDescent="0.35">
      <c r="A48" s="109"/>
      <c r="B48" s="109"/>
      <c r="C48" s="124" t="s">
        <v>196</v>
      </c>
      <c r="D48" s="125"/>
      <c r="E48" s="125"/>
      <c r="F48" s="125"/>
      <c r="G48" s="125"/>
      <c r="H48" s="126"/>
    </row>
    <row r="49" spans="1:14" x14ac:dyDescent="0.35">
      <c r="A49" s="111" t="s">
        <v>46</v>
      </c>
      <c r="B49" s="111"/>
      <c r="C49" s="131" t="s">
        <v>115</v>
      </c>
      <c r="D49" s="132"/>
      <c r="E49" s="132" t="s">
        <v>47</v>
      </c>
      <c r="F49" s="10" t="s">
        <v>43</v>
      </c>
      <c r="G49" s="121" t="s">
        <v>30</v>
      </c>
      <c r="H49" s="121"/>
    </row>
    <row r="50" spans="1:14" x14ac:dyDescent="0.35">
      <c r="A50" s="133" t="s">
        <v>49</v>
      </c>
      <c r="B50" s="133"/>
      <c r="C50" s="133"/>
      <c r="D50" s="133"/>
      <c r="E50" s="133"/>
      <c r="F50" s="133"/>
      <c r="G50" s="133"/>
      <c r="H50" s="133"/>
    </row>
    <row r="51" spans="1:14" x14ac:dyDescent="0.35">
      <c r="A51" s="112" t="s">
        <v>99</v>
      </c>
      <c r="B51" s="112"/>
      <c r="C51" s="112"/>
      <c r="D51" s="88">
        <f>E42</f>
        <v>13095</v>
      </c>
      <c r="E51" s="88"/>
      <c r="F51" s="88"/>
      <c r="G51" s="88"/>
      <c r="H51" s="88"/>
    </row>
    <row r="52" spans="1:14" x14ac:dyDescent="0.35">
      <c r="A52" s="109" t="s">
        <v>50</v>
      </c>
      <c r="B52" s="110"/>
      <c r="C52" s="110"/>
      <c r="D52" s="110" t="s">
        <v>190</v>
      </c>
      <c r="E52" s="110"/>
      <c r="F52" s="110"/>
      <c r="G52" s="110"/>
      <c r="H52" s="110"/>
      <c r="I52" s="37"/>
    </row>
    <row r="53" spans="1:14" ht="50.25" customHeight="1" x14ac:dyDescent="0.35">
      <c r="A53" s="109" t="s">
        <v>51</v>
      </c>
      <c r="B53" s="109"/>
      <c r="C53" s="109"/>
      <c r="D53" s="109" t="s">
        <v>197</v>
      </c>
      <c r="E53" s="110"/>
      <c r="F53" s="110"/>
      <c r="G53" s="110"/>
      <c r="H53" s="110"/>
    </row>
    <row r="54" spans="1:14" ht="15" customHeight="1" x14ac:dyDescent="0.35">
      <c r="A54" s="109" t="s">
        <v>97</v>
      </c>
      <c r="B54" s="109"/>
      <c r="C54" s="109"/>
      <c r="D54" s="109" t="s">
        <v>204</v>
      </c>
      <c r="E54" s="110"/>
      <c r="F54" s="110"/>
      <c r="G54" s="110"/>
      <c r="H54" s="110"/>
    </row>
    <row r="55" spans="1:14" ht="15.75" customHeight="1" x14ac:dyDescent="0.35">
      <c r="A55" s="109"/>
      <c r="B55" s="109"/>
      <c r="C55" s="109"/>
      <c r="D55" s="109" t="s">
        <v>205</v>
      </c>
      <c r="E55" s="110"/>
      <c r="F55" s="110"/>
      <c r="G55" s="110"/>
      <c r="H55" s="110"/>
    </row>
    <row r="56" spans="1:14" ht="15.75" customHeight="1" x14ac:dyDescent="0.35">
      <c r="A56" s="109"/>
      <c r="B56" s="109"/>
      <c r="C56" s="109"/>
      <c r="D56" s="110" t="s">
        <v>198</v>
      </c>
      <c r="E56" s="110"/>
      <c r="F56" s="110"/>
      <c r="G56" s="110"/>
      <c r="H56" s="110"/>
    </row>
    <row r="57" spans="1:14" ht="15.75" customHeight="1" x14ac:dyDescent="0.35">
      <c r="A57" s="88" t="s">
        <v>48</v>
      </c>
      <c r="B57" s="88"/>
      <c r="C57" s="88"/>
      <c r="D57" s="112" t="s">
        <v>211</v>
      </c>
      <c r="E57" s="112"/>
      <c r="F57" s="112"/>
      <c r="G57" s="112"/>
      <c r="H57" s="112"/>
      <c r="J57" s="36"/>
      <c r="K57" s="37"/>
      <c r="N57" s="37"/>
    </row>
    <row r="58" spans="1:14" ht="15.75" customHeight="1" x14ac:dyDescent="0.35">
      <c r="A58" s="88" t="s">
        <v>95</v>
      </c>
      <c r="B58" s="88"/>
      <c r="C58" s="88"/>
      <c r="D58" s="108" t="str">
        <f>(IF(G49="NA","60 Years After Completion",IF(G49&lt;&gt;"NA",""&amp;60-ROUNDDOWN((E3-G49)/360,0)&amp;" Years"," ")))</f>
        <v>60 Years After Completion</v>
      </c>
      <c r="E58" s="108"/>
      <c r="F58" s="108"/>
      <c r="G58" s="108"/>
      <c r="H58" s="108"/>
      <c r="N58" s="37"/>
    </row>
    <row r="59" spans="1:14" ht="15.75" customHeight="1" x14ac:dyDescent="0.35">
      <c r="A59" s="88" t="s">
        <v>96</v>
      </c>
      <c r="B59" s="88"/>
      <c r="C59" s="88"/>
      <c r="D59" s="112" t="s">
        <v>24</v>
      </c>
      <c r="E59" s="112"/>
      <c r="F59" s="112"/>
      <c r="G59" s="112"/>
      <c r="H59" s="112"/>
      <c r="J59" s="15"/>
      <c r="K59" s="15"/>
    </row>
    <row r="60" spans="1:14" ht="15" hidden="1" customHeight="1" x14ac:dyDescent="0.35">
      <c r="A60" s="88" t="s">
        <v>79</v>
      </c>
      <c r="B60" s="88"/>
      <c r="C60" s="88"/>
      <c r="D60" s="109" t="s">
        <v>160</v>
      </c>
      <c r="E60" s="112"/>
      <c r="F60" s="112"/>
      <c r="G60" s="112"/>
      <c r="H60" s="112"/>
    </row>
    <row r="61" spans="1:14" x14ac:dyDescent="0.35">
      <c r="A61" s="112" t="s">
        <v>161</v>
      </c>
      <c r="B61" s="112"/>
      <c r="C61" s="112"/>
      <c r="D61" s="112" t="s">
        <v>30</v>
      </c>
      <c r="E61" s="112"/>
      <c r="F61" s="112"/>
      <c r="G61" s="112"/>
      <c r="H61" s="112"/>
      <c r="I61" s="52"/>
      <c r="J61" s="52"/>
      <c r="K61" s="52"/>
      <c r="L61" s="52"/>
      <c r="M61" s="52"/>
      <c r="N61" s="52"/>
    </row>
    <row r="62" spans="1:14" ht="15.75" customHeight="1" x14ac:dyDescent="0.35">
      <c r="A62" s="88" t="s">
        <v>94</v>
      </c>
      <c r="B62" s="88"/>
      <c r="C62" s="88"/>
      <c r="D62" s="109" t="str">
        <f ca="1">(IF(G68&gt;95%,"Nothing",IF(G68&gt;0%,"Cement, Aggregate, Steel, etc",IF(G68=0%,"Work not yet Started"))))</f>
        <v>Cement, Aggregate, Steel, etc</v>
      </c>
      <c r="E62" s="109"/>
      <c r="F62" s="109"/>
      <c r="G62" s="109"/>
      <c r="H62" s="109"/>
      <c r="J62" s="15"/>
    </row>
    <row r="63" spans="1:14" ht="33.75" customHeight="1" thickBot="1" x14ac:dyDescent="0.4">
      <c r="A63" s="112" t="s">
        <v>128</v>
      </c>
      <c r="B63" s="112"/>
      <c r="C63" s="112"/>
      <c r="D63" s="109" t="str">
        <f ca="1">(IF(D62="Nothing","Yes",IF(D62="Cement, Aggregate, Steel, etc","Under Construction",IF(D62="Work not yet Started","Work not yet Started"))))</f>
        <v>Under Construction</v>
      </c>
      <c r="E63" s="109"/>
      <c r="F63" s="109" t="str">
        <f ca="1">(IF(D62="Nothing","Yes",IF(D62="Cement, Aggregate, Steel, etc","Under Construction",IF(D62="Work not yet Started","Work not yet Started"))))</f>
        <v>Under Construction</v>
      </c>
      <c r="G63" s="109"/>
      <c r="H63" s="109"/>
    </row>
    <row r="64" spans="1:14" x14ac:dyDescent="0.35">
      <c r="A64" s="111" t="s">
        <v>152</v>
      </c>
      <c r="B64" s="111"/>
      <c r="C64" s="111" t="str">
        <f>D54</f>
        <v xml:space="preserve">Building No.2 = Wing A (Type C) = Gr/St + 1st to 4th Floor
</v>
      </c>
      <c r="D64" s="111"/>
      <c r="E64" s="111"/>
      <c r="F64" s="111"/>
      <c r="G64" s="111"/>
      <c r="H64" s="111"/>
      <c r="I64" s="40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Slab",IF(C70&gt;0,", RCC upto "&amp;C70&amp;" Slab",""))&amp;(IF(C71=H65,", Brickwork",IF(C71&gt;0,", Brickwork upto "&amp;C71&amp;" Floor",""))&amp;(IF(C72=H65,", Internal Plaster",IF(C72&gt;0,", Internal Plaster upto "&amp;C72&amp;" Floor",""))&amp;(IF(C73=H65,", External Plaster",IF(C73&gt;0,", External Plaster upto "&amp;C73&amp;" Floor",""))&amp;(IF(C74=H65,", Flooring",IF(C74&gt;0,", Flooring upto "&amp;C74&amp;" Floor",""))&amp;(IF(C75=H65,", Painting",IF(C75&gt;0,", Painting upto "&amp;C75&amp;" Floor",""))&amp;(IF(C76&gt;0,", Finishing upto "&amp;C76&amp;" Floor","")&amp;(IF(C70&gt;0.5," Completed",""))))))))))))))</f>
        <v>Plinth, RCC, Brick, Plaster, Flooring, Painting work Completed. Finishing work is in process.</v>
      </c>
      <c r="J64" s="16"/>
    </row>
    <row r="65" spans="1:10" x14ac:dyDescent="0.35">
      <c r="A65" s="66" t="s">
        <v>154</v>
      </c>
      <c r="B65" s="66">
        <v>0</v>
      </c>
      <c r="C65" s="66" t="s">
        <v>77</v>
      </c>
      <c r="D65" s="66">
        <v>1</v>
      </c>
      <c r="E65" s="66" t="s">
        <v>76</v>
      </c>
      <c r="F65" s="66">
        <v>0</v>
      </c>
      <c r="G65" s="50" t="s">
        <v>88</v>
      </c>
      <c r="H65" s="66">
        <f ca="1">--TRIM(RIGHT(SUBSTITUTE(LEFT(C64,_xlfn.AGGREGATE(16,6,FIND({0,1,2,3,4,5,6,7,8,9},C64,ROW(INDIRECT("1:"&amp;LEN(C64)))),1))," ",REPT(" ",LEN(C64))),LEN(C64)))</f>
        <v>4</v>
      </c>
      <c r="I65" s="15"/>
      <c r="J65" s="17"/>
    </row>
    <row r="66" spans="1:10" ht="34" customHeight="1" x14ac:dyDescent="0.35">
      <c r="A66" s="73" t="s">
        <v>98</v>
      </c>
      <c r="B66" s="73"/>
      <c r="C66" s="154" t="str">
        <f ca="1">I64</f>
        <v>Plinth, RCC, Brick, Plaster, Flooring, Painting work Completed. Finishing work is in process.</v>
      </c>
      <c r="D66" s="154"/>
      <c r="E66" s="154"/>
      <c r="F66" s="154"/>
      <c r="G66" s="154"/>
      <c r="H66" s="154"/>
      <c r="I66" s="15" t="s">
        <v>114</v>
      </c>
      <c r="J66" s="17"/>
    </row>
    <row r="67" spans="1:10" ht="15.75" customHeight="1" x14ac:dyDescent="0.35">
      <c r="A67" s="86" t="s">
        <v>52</v>
      </c>
      <c r="B67" s="86"/>
      <c r="C67" s="65" t="s">
        <v>151</v>
      </c>
      <c r="D67" s="65" t="s">
        <v>91</v>
      </c>
      <c r="E67" s="86" t="s">
        <v>93</v>
      </c>
      <c r="F67" s="86"/>
      <c r="G67" s="86" t="s">
        <v>92</v>
      </c>
      <c r="H67" s="86"/>
      <c r="I67" s="35" t="s">
        <v>153</v>
      </c>
      <c r="J67" s="18">
        <f ca="1">H65*25%</f>
        <v>1</v>
      </c>
    </row>
    <row r="68" spans="1:10" x14ac:dyDescent="0.35">
      <c r="A68" s="86" t="s">
        <v>140</v>
      </c>
      <c r="B68" s="86"/>
      <c r="C68" s="53">
        <v>4</v>
      </c>
      <c r="D68" s="64">
        <f ca="1">((100/H65)*C68)/100</f>
        <v>1</v>
      </c>
      <c r="E68" s="81">
        <f ca="1">(((C69/H65*10)+(40/(D65+F65+H65)*C70)+(7.5/(H65)*C71)+(7.5/(H65)*C72)+(10/H65*C73)+(10/H65*C74)+(5/H65*C75)+(5/H65*C76)+(5/H65*C77))/100)</f>
        <v>0.92500000000000004</v>
      </c>
      <c r="F68" s="81"/>
      <c r="G68" s="81">
        <f ca="1">((((C68/H65)*20)+((C69/H65)*25)+(30/(H65+F65+D65)*C70)+(5/H65*C71)+(5/H65*C72)+(5/H65*C73)+(5/H65*C74)+(0/H65*C75)+(0/H65*C76)+(5/H65*C77))/100)</f>
        <v>0.95</v>
      </c>
      <c r="H68" s="81"/>
      <c r="I68" s="35" t="s">
        <v>109</v>
      </c>
      <c r="J68" s="39">
        <f ca="1">H65*50%</f>
        <v>2</v>
      </c>
    </row>
    <row r="69" spans="1:10" x14ac:dyDescent="0.35">
      <c r="A69" s="86" t="s">
        <v>53</v>
      </c>
      <c r="B69" s="86"/>
      <c r="C69" s="54">
        <v>4</v>
      </c>
      <c r="D69" s="64">
        <f ca="1">((100/H65)*C69)/100</f>
        <v>1</v>
      </c>
      <c r="E69" s="81"/>
      <c r="F69" s="81"/>
      <c r="G69" s="81"/>
      <c r="H69" s="81"/>
      <c r="I69" s="35" t="s">
        <v>110</v>
      </c>
      <c r="J69" s="39">
        <f ca="1">H65</f>
        <v>4</v>
      </c>
    </row>
    <row r="70" spans="1:10" ht="15.75" customHeight="1" x14ac:dyDescent="0.35">
      <c r="A70" s="86" t="s">
        <v>141</v>
      </c>
      <c r="B70" s="86"/>
      <c r="C70" s="54">
        <v>5</v>
      </c>
      <c r="D70" s="64">
        <f ca="1">((100/(D65+F65+H65))*C70)/100</f>
        <v>1</v>
      </c>
      <c r="E70" s="81"/>
      <c r="F70" s="81"/>
      <c r="G70" s="81"/>
      <c r="H70" s="81"/>
      <c r="I70" s="35" t="s">
        <v>111</v>
      </c>
      <c r="J70" s="42">
        <f ca="1">(IF(B65&gt;1,(H65/(B65+2)),H65/4))</f>
        <v>1</v>
      </c>
    </row>
    <row r="71" spans="1:10" ht="15.75" customHeight="1" x14ac:dyDescent="0.35">
      <c r="A71" s="86" t="s">
        <v>148</v>
      </c>
      <c r="B71" s="86" t="s">
        <v>142</v>
      </c>
      <c r="C71" s="53">
        <v>4</v>
      </c>
      <c r="D71" s="64">
        <f ca="1">((100/H65)*C71)/100</f>
        <v>1</v>
      </c>
      <c r="E71" s="81"/>
      <c r="F71" s="81"/>
      <c r="G71" s="81"/>
      <c r="H71" s="81"/>
      <c r="I71" s="35" t="s">
        <v>112</v>
      </c>
      <c r="J71" s="42">
        <f ca="1">(IF(B65&gt;1,(H65/(B65+2)+J70),H65/4+J70))</f>
        <v>2</v>
      </c>
    </row>
    <row r="72" spans="1:10" ht="15.75" customHeight="1" x14ac:dyDescent="0.35">
      <c r="A72" s="86" t="s">
        <v>149</v>
      </c>
      <c r="B72" s="86" t="s">
        <v>142</v>
      </c>
      <c r="C72" s="53">
        <v>4</v>
      </c>
      <c r="D72" s="64">
        <f ca="1">((100/H65)*C72)/100</f>
        <v>1</v>
      </c>
      <c r="E72" s="81"/>
      <c r="F72" s="81"/>
      <c r="G72" s="81"/>
      <c r="H72" s="81"/>
      <c r="I72" s="35" t="s">
        <v>158</v>
      </c>
      <c r="J72" s="42">
        <f>(IF(B65&gt;1,(H65/(B65+2)+J71),0))</f>
        <v>0</v>
      </c>
    </row>
    <row r="73" spans="1:10" ht="15" customHeight="1" x14ac:dyDescent="0.35">
      <c r="A73" s="86" t="s">
        <v>147</v>
      </c>
      <c r="B73" s="86" t="s">
        <v>144</v>
      </c>
      <c r="C73" s="53">
        <v>4</v>
      </c>
      <c r="D73" s="64">
        <f ca="1">((100/(H65))*C73)/100</f>
        <v>1</v>
      </c>
      <c r="E73" s="81"/>
      <c r="F73" s="81"/>
      <c r="G73" s="81"/>
      <c r="H73" s="81"/>
      <c r="I73" s="35" t="s">
        <v>155</v>
      </c>
      <c r="J73" s="42">
        <f>(IF(B65&gt;2,(H65/(B65+2)+J72),0))</f>
        <v>0</v>
      </c>
    </row>
    <row r="74" spans="1:10" ht="15.75" customHeight="1" x14ac:dyDescent="0.35">
      <c r="A74" s="86" t="s">
        <v>143</v>
      </c>
      <c r="B74" s="86" t="s">
        <v>143</v>
      </c>
      <c r="C74" s="53">
        <v>4</v>
      </c>
      <c r="D74" s="64">
        <f ca="1">((100/H65)*C74)/100</f>
        <v>1</v>
      </c>
      <c r="E74" s="81"/>
      <c r="F74" s="81"/>
      <c r="G74" s="81"/>
      <c r="H74" s="81"/>
      <c r="I74" s="35" t="s">
        <v>156</v>
      </c>
      <c r="J74" s="43">
        <f>(IF(B65&gt;3,(H65/(B65+2)+J73),0))</f>
        <v>0</v>
      </c>
    </row>
    <row r="75" spans="1:10" ht="15.75" customHeight="1" x14ac:dyDescent="0.35">
      <c r="A75" s="86" t="s">
        <v>150</v>
      </c>
      <c r="B75" s="86"/>
      <c r="C75" s="53">
        <v>4</v>
      </c>
      <c r="D75" s="64">
        <f ca="1">((100/H65)*C75)/100</f>
        <v>1</v>
      </c>
      <c r="E75" s="81"/>
      <c r="F75" s="81"/>
      <c r="G75" s="81"/>
      <c r="H75" s="81"/>
      <c r="I75" s="35" t="s">
        <v>157</v>
      </c>
      <c r="J75" s="42">
        <f>(IF(B65&gt;4,(H65/(B65+2)+J74),0))</f>
        <v>0</v>
      </c>
    </row>
    <row r="76" spans="1:10" ht="15.75" customHeight="1" x14ac:dyDescent="0.35">
      <c r="A76" s="86" t="s">
        <v>145</v>
      </c>
      <c r="B76" s="86" t="s">
        <v>145</v>
      </c>
      <c r="C76" s="53">
        <v>2</v>
      </c>
      <c r="D76" s="64">
        <f ca="1">((100/(H65))*C76)/100</f>
        <v>0.5</v>
      </c>
      <c r="E76" s="81"/>
      <c r="F76" s="81"/>
      <c r="G76" s="81"/>
      <c r="H76" s="81"/>
      <c r="I76" s="35" t="s">
        <v>159</v>
      </c>
      <c r="J76" s="42">
        <f ca="1">(IF(B65=1,(H65/(B65+3)+J71),IF(B65=0,(H65/4+J71),IF(B65&gt;1,0))))</f>
        <v>3</v>
      </c>
    </row>
    <row r="77" spans="1:10" ht="16" thickBot="1" x14ac:dyDescent="0.4">
      <c r="A77" s="86" t="s">
        <v>146</v>
      </c>
      <c r="B77" s="86"/>
      <c r="C77" s="53">
        <v>0</v>
      </c>
      <c r="D77" s="64">
        <f ca="1">((100/(H65))*C77)/100</f>
        <v>0</v>
      </c>
      <c r="E77" s="81"/>
      <c r="F77" s="81"/>
      <c r="G77" s="81"/>
      <c r="H77" s="81"/>
      <c r="I77" s="41" t="s">
        <v>113</v>
      </c>
      <c r="J77" s="44">
        <f ca="1">(IF(B65&gt;1.5,(H65/(B65+2)+J71+MAX(0,J72-J71)+MAX(0,J73-J72)+MAX(0,J74-J73)+MAX(0,J75-J74)+MAX(0,J76-J75)),IF(B65=1,(H65/(B65+3)+J76),IF(B65=0,H65/4+J76))))</f>
        <v>4</v>
      </c>
    </row>
    <row r="78" spans="1:10" ht="31.5" customHeight="1" x14ac:dyDescent="0.35">
      <c r="A78" s="167" t="s">
        <v>152</v>
      </c>
      <c r="B78" s="168"/>
      <c r="C78" s="169" t="str">
        <f>D55</f>
        <v>Building No.2 = Wing  B (Type D) = Gr/St + 1st to 4th Floor
Building No.2 = Wing C (Type E)= Gr/St + 1st to 4th Floor</v>
      </c>
      <c r="D78" s="170"/>
      <c r="E78" s="170"/>
      <c r="F78" s="170"/>
      <c r="G78" s="170"/>
      <c r="H78" s="171"/>
      <c r="I78" s="40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completed","0")))))))))))&amp;(IF(C84=(D79+F79+H79),", RCC Slab",IF(C84&gt;0,", RCC upto "&amp;C84&amp;" Slab",""))&amp;(IF(C85=H79,", Brickwork",IF(C85&gt;0,", Brickwork upto "&amp;C85&amp;" Floor",""))&amp;(IF(C86=H79,", Internal Plaster",IF(C86&gt;0,", Internal Plaster upto "&amp;C86&amp;" Floor",""))&amp;(IF(C87=H79,", External Plaster",IF(C87&gt;0,", External Plaster upto "&amp;C87&amp;" Floor",""))&amp;(IF(C88=H79,", Flooring",IF(C88&gt;0,", Flooring upto "&amp;C88&amp;" Floor",""))&amp;(IF(C89=H79,", Painting",IF(C89&gt;0,", Painting upto "&amp;C89&amp;" Floor",""))&amp;(IF(C90&gt;0,", Finishing upto "&amp;C90&amp;" Floor","")&amp;(IF(C84&gt;0.5," Completed",""))))))))))))))</f>
        <v>Plinth, RCC, Brick, Plaster, Flooring, Painting work Completed. Finishing work is in process.</v>
      </c>
      <c r="J78" s="16"/>
    </row>
    <row r="79" spans="1:10" x14ac:dyDescent="0.35">
      <c r="A79" s="45" t="s">
        <v>154</v>
      </c>
      <c r="B79" s="49">
        <v>0</v>
      </c>
      <c r="C79" s="49" t="s">
        <v>77</v>
      </c>
      <c r="D79" s="49">
        <v>1</v>
      </c>
      <c r="E79" s="49" t="s">
        <v>76</v>
      </c>
      <c r="F79" s="49">
        <v>0</v>
      </c>
      <c r="G79" s="50" t="s">
        <v>88</v>
      </c>
      <c r="H79" s="51">
        <f ca="1">--TRIM(RIGHT(SUBSTITUTE(LEFT(C78,_xlfn.AGGREGATE(16,6,FIND({0,1,2,3,4,5,6,7,8,9},C78,ROW(INDIRECT("1:"&amp;LEN(C78)))),1))," ",REPT(" ",LEN(C78))),LEN(C78)))</f>
        <v>4</v>
      </c>
      <c r="I79" s="15"/>
      <c r="J79" s="17"/>
    </row>
    <row r="80" spans="1:10" ht="33" customHeight="1" x14ac:dyDescent="0.35">
      <c r="A80" s="72" t="s">
        <v>98</v>
      </c>
      <c r="B80" s="73"/>
      <c r="C80" s="154" t="str">
        <f ca="1">I78</f>
        <v>Plinth, RCC, Brick, Plaster, Flooring, Painting work Completed. Finishing work is in process.</v>
      </c>
      <c r="D80" s="154"/>
      <c r="E80" s="154"/>
      <c r="F80" s="154"/>
      <c r="G80" s="154"/>
      <c r="H80" s="155"/>
      <c r="I80" s="15" t="s">
        <v>114</v>
      </c>
      <c r="J80" s="17"/>
    </row>
    <row r="81" spans="1:10" ht="15.75" customHeight="1" x14ac:dyDescent="0.35">
      <c r="A81" s="85" t="s">
        <v>52</v>
      </c>
      <c r="B81" s="86"/>
      <c r="C81" s="46" t="s">
        <v>151</v>
      </c>
      <c r="D81" s="46" t="s">
        <v>91</v>
      </c>
      <c r="E81" s="86" t="s">
        <v>93</v>
      </c>
      <c r="F81" s="86"/>
      <c r="G81" s="86" t="s">
        <v>92</v>
      </c>
      <c r="H81" s="156"/>
      <c r="I81" s="35" t="s">
        <v>153</v>
      </c>
      <c r="J81" s="18">
        <f ca="1">H79*25%</f>
        <v>1</v>
      </c>
    </row>
    <row r="82" spans="1:10" x14ac:dyDescent="0.35">
      <c r="A82" s="85" t="s">
        <v>140</v>
      </c>
      <c r="B82" s="86"/>
      <c r="C82" s="53">
        <f ca="1">J83</f>
        <v>4</v>
      </c>
      <c r="D82" s="47">
        <f ca="1">((100/H79)*C82)/100</f>
        <v>1</v>
      </c>
      <c r="E82" s="81">
        <f ca="1">(((C83/H79*10)+(40/(D79+F79+H79)*C84)+(7.5/(H79)*C85)+(7.5/(H79)*C86)+(10/H79*C87)+(10/H79*C88)+(5/H79*C89)+(5/H79*C90)+(5/H79*C91))/100)</f>
        <v>0.92500000000000004</v>
      </c>
      <c r="F82" s="81"/>
      <c r="G82" s="81">
        <f ca="1">((((C82/H79)*20)+((C83/H79)*25)+(30/(H79+F79+D79)*C84)+(5/H79*C85)+(5/H79*C86)+(5/H79*C87)+(5/H79*C88)+(0/H79*C89)+(0/H79*C90)+(5/H79*C91))/100)</f>
        <v>0.95</v>
      </c>
      <c r="H82" s="82"/>
      <c r="I82" s="35" t="s">
        <v>109</v>
      </c>
      <c r="J82" s="39">
        <f ca="1">H79*50%</f>
        <v>2</v>
      </c>
    </row>
    <row r="83" spans="1:10" x14ac:dyDescent="0.35">
      <c r="A83" s="85" t="s">
        <v>53</v>
      </c>
      <c r="B83" s="86"/>
      <c r="C83" s="54">
        <f ca="1">J83</f>
        <v>4</v>
      </c>
      <c r="D83" s="47">
        <f ca="1">((100/H79)*C83)/100</f>
        <v>1</v>
      </c>
      <c r="E83" s="81"/>
      <c r="F83" s="81"/>
      <c r="G83" s="81"/>
      <c r="H83" s="82"/>
      <c r="I83" s="35" t="s">
        <v>110</v>
      </c>
      <c r="J83" s="39">
        <f ca="1">H79</f>
        <v>4</v>
      </c>
    </row>
    <row r="84" spans="1:10" ht="15.75" customHeight="1" x14ac:dyDescent="0.35">
      <c r="A84" s="85" t="s">
        <v>141</v>
      </c>
      <c r="B84" s="86"/>
      <c r="C84" s="54">
        <v>5</v>
      </c>
      <c r="D84" s="47">
        <f ca="1">((100/(D79+F79+H79))*C84)/100</f>
        <v>1</v>
      </c>
      <c r="E84" s="81"/>
      <c r="F84" s="81"/>
      <c r="G84" s="81"/>
      <c r="H84" s="82"/>
      <c r="I84" s="35" t="s">
        <v>111</v>
      </c>
      <c r="J84" s="42">
        <f ca="1">(IF(B79&gt;1,(H79/(B79+2)),H79/4))</f>
        <v>1</v>
      </c>
    </row>
    <row r="85" spans="1:10" ht="15.75" customHeight="1" x14ac:dyDescent="0.35">
      <c r="A85" s="85" t="s">
        <v>148</v>
      </c>
      <c r="B85" s="86" t="s">
        <v>142</v>
      </c>
      <c r="C85" s="53">
        <v>4</v>
      </c>
      <c r="D85" s="47">
        <f ca="1">((100/H79)*C85)/100</f>
        <v>1</v>
      </c>
      <c r="E85" s="81"/>
      <c r="F85" s="81"/>
      <c r="G85" s="81"/>
      <c r="H85" s="82"/>
      <c r="I85" s="35" t="s">
        <v>112</v>
      </c>
      <c r="J85" s="42">
        <f ca="1">(IF(B79&gt;1,(H79/(B79+2)+J84),H79/4+J84))</f>
        <v>2</v>
      </c>
    </row>
    <row r="86" spans="1:10" ht="15.75" customHeight="1" x14ac:dyDescent="0.35">
      <c r="A86" s="85" t="s">
        <v>149</v>
      </c>
      <c r="B86" s="86" t="s">
        <v>142</v>
      </c>
      <c r="C86" s="53">
        <v>4</v>
      </c>
      <c r="D86" s="47">
        <f ca="1">((100/H79)*C86)/100</f>
        <v>1</v>
      </c>
      <c r="E86" s="81"/>
      <c r="F86" s="81"/>
      <c r="G86" s="81"/>
      <c r="H86" s="82"/>
      <c r="I86" s="35" t="s">
        <v>158</v>
      </c>
      <c r="J86" s="42">
        <f>(IF(B79&gt;1,(H79/(B79+2)+J85),0))</f>
        <v>0</v>
      </c>
    </row>
    <row r="87" spans="1:10" ht="15" customHeight="1" x14ac:dyDescent="0.35">
      <c r="A87" s="85" t="s">
        <v>147</v>
      </c>
      <c r="B87" s="86" t="s">
        <v>144</v>
      </c>
      <c r="C87" s="53">
        <v>4</v>
      </c>
      <c r="D87" s="47">
        <f ca="1">((100/(H79))*C87)/100</f>
        <v>1</v>
      </c>
      <c r="E87" s="81"/>
      <c r="F87" s="81"/>
      <c r="G87" s="81"/>
      <c r="H87" s="82"/>
      <c r="I87" s="35" t="s">
        <v>155</v>
      </c>
      <c r="J87" s="42">
        <f>(IF(B79&gt;2,(H79/(B79+2)+J86),0))</f>
        <v>0</v>
      </c>
    </row>
    <row r="88" spans="1:10" ht="15.75" customHeight="1" x14ac:dyDescent="0.35">
      <c r="A88" s="85" t="s">
        <v>143</v>
      </c>
      <c r="B88" s="86" t="s">
        <v>143</v>
      </c>
      <c r="C88" s="53">
        <v>4</v>
      </c>
      <c r="D88" s="47">
        <f ca="1">((100/H79)*C88)/100</f>
        <v>1</v>
      </c>
      <c r="E88" s="81"/>
      <c r="F88" s="81"/>
      <c r="G88" s="81"/>
      <c r="H88" s="82"/>
      <c r="I88" s="35" t="s">
        <v>156</v>
      </c>
      <c r="J88" s="43">
        <f>(IF(B79&gt;3,(H79/(B79+2)+J87),0))</f>
        <v>0</v>
      </c>
    </row>
    <row r="89" spans="1:10" ht="15.75" customHeight="1" x14ac:dyDescent="0.35">
      <c r="A89" s="85" t="s">
        <v>150</v>
      </c>
      <c r="B89" s="86"/>
      <c r="C89" s="53">
        <v>4</v>
      </c>
      <c r="D89" s="47">
        <f ca="1">((100/H79)*C89)/100</f>
        <v>1</v>
      </c>
      <c r="E89" s="81"/>
      <c r="F89" s="81"/>
      <c r="G89" s="81"/>
      <c r="H89" s="82"/>
      <c r="I89" s="35" t="s">
        <v>157</v>
      </c>
      <c r="J89" s="42">
        <f>(IF(B79&gt;4,(H79/(B79+2)+J88),0))</f>
        <v>0</v>
      </c>
    </row>
    <row r="90" spans="1:10" ht="15.75" customHeight="1" x14ac:dyDescent="0.35">
      <c r="A90" s="85" t="s">
        <v>145</v>
      </c>
      <c r="B90" s="86" t="s">
        <v>145</v>
      </c>
      <c r="C90" s="53">
        <v>2</v>
      </c>
      <c r="D90" s="47">
        <f ca="1">((100/(H79))*C90)/100</f>
        <v>0.5</v>
      </c>
      <c r="E90" s="81"/>
      <c r="F90" s="81"/>
      <c r="G90" s="81"/>
      <c r="H90" s="82"/>
      <c r="I90" s="35" t="s">
        <v>159</v>
      </c>
      <c r="J90" s="42">
        <f ca="1">(IF(B79=1,(H79/(B79+3)+J85),IF(B79=0,(H79/4+J85),IF(B79&gt;1,0))))</f>
        <v>3</v>
      </c>
    </row>
    <row r="91" spans="1:10" ht="16" thickBot="1" x14ac:dyDescent="0.4">
      <c r="A91" s="92" t="s">
        <v>146</v>
      </c>
      <c r="B91" s="93"/>
      <c r="C91" s="55">
        <v>0</v>
      </c>
      <c r="D91" s="48">
        <f ca="1">((100/(H79))*C91)/100</f>
        <v>0</v>
      </c>
      <c r="E91" s="83"/>
      <c r="F91" s="83"/>
      <c r="G91" s="83"/>
      <c r="H91" s="84"/>
      <c r="I91" s="41" t="s">
        <v>113</v>
      </c>
      <c r="J91" s="44">
        <f ca="1">(IF(B79&gt;1.5,(H79/(B79+2)+J85+MAX(0,J86-J85)+MAX(0,J87-J86)+MAX(0,J88-J87)+MAX(0,J89-J88)+MAX(0,J90-J89)),IF(B79=1,(H79/(B79+3)+J90),IF(B79=0,H79/4+J90))))</f>
        <v>4</v>
      </c>
    </row>
    <row r="92" spans="1:10" ht="15.75" hidden="1" customHeight="1" x14ac:dyDescent="0.35">
      <c r="A92" s="94" t="s">
        <v>152</v>
      </c>
      <c r="B92" s="95"/>
      <c r="C92" s="96" t="str">
        <f>D56</f>
        <v>Building No.2 = Wing C (Type E)= Gr/St + 1st to 4th Floor</v>
      </c>
      <c r="D92" s="97"/>
      <c r="E92" s="97"/>
      <c r="F92" s="97"/>
      <c r="G92" s="97"/>
      <c r="H92" s="98"/>
      <c r="I92" s="40" t="str">
        <f ca="1">(IF(E96&gt;99%,"All work completed. Please provide OC.",IF(E96&gt;89.8%,"Plinth, RCC, Brick, Plaster, Flooring, Painting work Completed. Finishing work is in process.",IF(E96&lt;94%,(IF(C96=0,"Work not yet Started.",IF(D96=25%,"Piling work in process",IF(D96=50%,"Excavation work in process",IF(D96=100%,"Excavation work Completed. ","0")))&amp;(IF(C97=0%,"",IF(C97=J98,"Footing work is process",IF(C97=J99,"Footing work Completed",IF(C97=J100,"1st Basement Completed",IF(C97=J101,"1st &amp; 2nd Basement Completed",IF(C97=J102,"1st to 3rd Basement Completed",IF(C97=J103,"1st to 4th Basement Completed",IF(C97=J104,"Plinth work is process",IF(C97=J105,"Plinth work completed","0")))))))))))&amp;(IF(C98=(D93+F93+H93),", RCC Slab",IF(C98&gt;0,", RCC upto "&amp;C98&amp;" Slab",""))&amp;(IF(C99=H93,", Brickwork",IF(C99&gt;0,", Brickwork upto "&amp;C99&amp;" Floor",""))&amp;(IF(C100=H93,", Internal Plaster",IF(C100&gt;0,", Internal Plaster upto "&amp;C100&amp;" Floor",""))&amp;(IF(C101=H93,", External Plaster",IF(C101&gt;0,", External Plaster upto "&amp;C101&amp;" Floor",""))&amp;(IF(C102=H93,", Flooring",IF(C102&gt;0,", Flooring upto "&amp;C102&amp;" Floor",""))&amp;(IF(C103=H93,", Painting",IF(C103&gt;0,", Painting upto "&amp;C103&amp;" Floor",""))&amp;(IF(C104&gt;0,", Finishing upto "&amp;C104&amp;" Floor","")&amp;(IF(C98&gt;0.5," Completed",""))))))))))))))</f>
        <v>Excavation work Completed. Plinth work completed, RCC Slab, Brickwork Completed</v>
      </c>
      <c r="J92" s="16"/>
    </row>
    <row r="93" spans="1:10" hidden="1" x14ac:dyDescent="0.35">
      <c r="A93" s="45" t="s">
        <v>154</v>
      </c>
      <c r="B93" s="49">
        <v>0</v>
      </c>
      <c r="C93" s="49" t="s">
        <v>77</v>
      </c>
      <c r="D93" s="49">
        <v>1</v>
      </c>
      <c r="E93" s="49" t="s">
        <v>76</v>
      </c>
      <c r="F93" s="49">
        <v>0</v>
      </c>
      <c r="G93" s="50" t="s">
        <v>88</v>
      </c>
      <c r="H93" s="51">
        <f ca="1">--TRIM(RIGHT(SUBSTITUTE(LEFT(C92,_xlfn.AGGREGATE(16,6,FIND({0,1,2,3,4,5,6,7,8,9},C92,ROW(INDIRECT("1:"&amp;LEN(C92)))),1))," ",REPT(" ",LEN(C92))),LEN(C92)))</f>
        <v>4</v>
      </c>
      <c r="I93" s="15"/>
      <c r="J93" s="17"/>
    </row>
    <row r="94" spans="1:10" ht="32.25" hidden="1" customHeight="1" x14ac:dyDescent="0.35">
      <c r="A94" s="72" t="s">
        <v>98</v>
      </c>
      <c r="B94" s="73"/>
      <c r="C94" s="154" t="str">
        <f ca="1">I92</f>
        <v>Excavation work Completed. Plinth work completed, RCC Slab, Brickwork Completed</v>
      </c>
      <c r="D94" s="154"/>
      <c r="E94" s="154"/>
      <c r="F94" s="154"/>
      <c r="G94" s="154"/>
      <c r="H94" s="155"/>
      <c r="I94" s="15" t="s">
        <v>114</v>
      </c>
      <c r="J94" s="17"/>
    </row>
    <row r="95" spans="1:10" ht="15.75" hidden="1" customHeight="1" x14ac:dyDescent="0.35">
      <c r="A95" s="85" t="s">
        <v>52</v>
      </c>
      <c r="B95" s="86"/>
      <c r="C95" s="46" t="s">
        <v>151</v>
      </c>
      <c r="D95" s="46" t="s">
        <v>91</v>
      </c>
      <c r="E95" s="86" t="s">
        <v>93</v>
      </c>
      <c r="F95" s="86"/>
      <c r="G95" s="86" t="s">
        <v>92</v>
      </c>
      <c r="H95" s="156"/>
      <c r="I95" s="35" t="s">
        <v>153</v>
      </c>
      <c r="J95" s="18">
        <f ca="1">H93*25%</f>
        <v>1</v>
      </c>
    </row>
    <row r="96" spans="1:10" hidden="1" x14ac:dyDescent="0.35">
      <c r="A96" s="85" t="s">
        <v>140</v>
      </c>
      <c r="B96" s="86"/>
      <c r="C96" s="53">
        <f ca="1">J97</f>
        <v>4</v>
      </c>
      <c r="D96" s="47">
        <f ca="1">((100/H93)*C96)/100</f>
        <v>1</v>
      </c>
      <c r="E96" s="81">
        <f ca="1">(((C97/H93*10)+(40/(D93+F93+H93)*C98)+(7.5/(H93)*C99)+(7.5/(H93)*C100)+(10/H93*C101)+(10/H93*C102)+(5/H93*C103)+(5/H93*C104)+(5/H93*C105))/100)</f>
        <v>0.57499999999999996</v>
      </c>
      <c r="F96" s="81"/>
      <c r="G96" s="81">
        <f ca="1">((((C96/H93)*20)+((C97/H93)*25)+(30/(H93+F93+D93)*C98)+(5/H93*C99)+(5/H93*C100)+(5/H93*C101)+(5/H93*C102)+(0/H93*C103)+(0/H93*C104)+(5/H93*C105))/100)</f>
        <v>0.8</v>
      </c>
      <c r="H96" s="82"/>
      <c r="I96" s="35" t="s">
        <v>109</v>
      </c>
      <c r="J96" s="39">
        <f ca="1">H93*50%</f>
        <v>2</v>
      </c>
    </row>
    <row r="97" spans="1:12" hidden="1" x14ac:dyDescent="0.35">
      <c r="A97" s="85" t="s">
        <v>53</v>
      </c>
      <c r="B97" s="86"/>
      <c r="C97" s="54">
        <f ca="1">J105</f>
        <v>4</v>
      </c>
      <c r="D97" s="47">
        <f ca="1">((100/H93)*C97)/100</f>
        <v>1</v>
      </c>
      <c r="E97" s="81"/>
      <c r="F97" s="81"/>
      <c r="G97" s="81"/>
      <c r="H97" s="82"/>
      <c r="I97" s="35" t="s">
        <v>110</v>
      </c>
      <c r="J97" s="39">
        <f ca="1">H93</f>
        <v>4</v>
      </c>
    </row>
    <row r="98" spans="1:12" ht="15.75" hidden="1" customHeight="1" x14ac:dyDescent="0.35">
      <c r="A98" s="85" t="s">
        <v>141</v>
      </c>
      <c r="B98" s="86"/>
      <c r="C98" s="54">
        <v>5</v>
      </c>
      <c r="D98" s="47">
        <f ca="1">((100/(D93+F93+H93))*C98)/100</f>
        <v>1</v>
      </c>
      <c r="E98" s="81"/>
      <c r="F98" s="81"/>
      <c r="G98" s="81"/>
      <c r="H98" s="82"/>
      <c r="I98" s="35" t="s">
        <v>111</v>
      </c>
      <c r="J98" s="42">
        <f ca="1">(IF(B93&gt;1,(H93/(B93+2)),H93/4))</f>
        <v>1</v>
      </c>
    </row>
    <row r="99" spans="1:12" ht="15.75" hidden="1" customHeight="1" x14ac:dyDescent="0.35">
      <c r="A99" s="85" t="s">
        <v>148</v>
      </c>
      <c r="B99" s="86" t="s">
        <v>142</v>
      </c>
      <c r="C99" s="53">
        <v>4</v>
      </c>
      <c r="D99" s="47">
        <f ca="1">((100/H93)*C99)/100</f>
        <v>1</v>
      </c>
      <c r="E99" s="81"/>
      <c r="F99" s="81"/>
      <c r="G99" s="81"/>
      <c r="H99" s="82"/>
      <c r="I99" s="35" t="s">
        <v>112</v>
      </c>
      <c r="J99" s="42">
        <f ca="1">(IF(B93&gt;1,(H93/(B93+2)+J98),H93/4+J98))</f>
        <v>2</v>
      </c>
    </row>
    <row r="100" spans="1:12" ht="15.75" hidden="1" customHeight="1" x14ac:dyDescent="0.35">
      <c r="A100" s="85" t="s">
        <v>149</v>
      </c>
      <c r="B100" s="86" t="s">
        <v>142</v>
      </c>
      <c r="C100" s="53">
        <v>0</v>
      </c>
      <c r="D100" s="47">
        <f ca="1">((100/H93)*C100)/100</f>
        <v>0</v>
      </c>
      <c r="E100" s="81"/>
      <c r="F100" s="81"/>
      <c r="G100" s="81"/>
      <c r="H100" s="82"/>
      <c r="I100" s="35" t="s">
        <v>158</v>
      </c>
      <c r="J100" s="42">
        <f>(IF(B93&gt;1,(H93/(B93+2)+J99),0))</f>
        <v>0</v>
      </c>
    </row>
    <row r="101" spans="1:12" ht="15" hidden="1" customHeight="1" x14ac:dyDescent="0.35">
      <c r="A101" s="85" t="s">
        <v>147</v>
      </c>
      <c r="B101" s="86" t="s">
        <v>144</v>
      </c>
      <c r="C101" s="53">
        <v>0</v>
      </c>
      <c r="D101" s="47">
        <f ca="1">((100/(H93))*C101)/100</f>
        <v>0</v>
      </c>
      <c r="E101" s="81"/>
      <c r="F101" s="81"/>
      <c r="G101" s="81"/>
      <c r="H101" s="82"/>
      <c r="I101" s="35" t="s">
        <v>155</v>
      </c>
      <c r="J101" s="42">
        <f>(IF(B93&gt;2,(H93/(B93+2)+J100),0))</f>
        <v>0</v>
      </c>
    </row>
    <row r="102" spans="1:12" ht="15.75" hidden="1" customHeight="1" x14ac:dyDescent="0.35">
      <c r="A102" s="85" t="s">
        <v>143</v>
      </c>
      <c r="B102" s="86" t="s">
        <v>143</v>
      </c>
      <c r="C102" s="53">
        <v>0</v>
      </c>
      <c r="D102" s="47">
        <f ca="1">((100/H93)*C102)/100</f>
        <v>0</v>
      </c>
      <c r="E102" s="81"/>
      <c r="F102" s="81"/>
      <c r="G102" s="81"/>
      <c r="H102" s="82"/>
      <c r="I102" s="35" t="s">
        <v>156</v>
      </c>
      <c r="J102" s="43">
        <f>(IF(B93&gt;3,(H93/(B93+2)+J101),0))</f>
        <v>0</v>
      </c>
    </row>
    <row r="103" spans="1:12" ht="15.75" hidden="1" customHeight="1" x14ac:dyDescent="0.35">
      <c r="A103" s="85" t="s">
        <v>150</v>
      </c>
      <c r="B103" s="86"/>
      <c r="C103" s="53">
        <v>0</v>
      </c>
      <c r="D103" s="47">
        <f ca="1">((100/H93)*C103)/100</f>
        <v>0</v>
      </c>
      <c r="E103" s="81"/>
      <c r="F103" s="81"/>
      <c r="G103" s="81"/>
      <c r="H103" s="82"/>
      <c r="I103" s="35" t="s">
        <v>157</v>
      </c>
      <c r="J103" s="42">
        <f>(IF(B93&gt;4,(H93/(B93+2)+J102),0))</f>
        <v>0</v>
      </c>
    </row>
    <row r="104" spans="1:12" ht="15.75" hidden="1" customHeight="1" x14ac:dyDescent="0.35">
      <c r="A104" s="85" t="s">
        <v>145</v>
      </c>
      <c r="B104" s="86" t="s">
        <v>145</v>
      </c>
      <c r="C104" s="53">
        <v>0</v>
      </c>
      <c r="D104" s="47">
        <f ca="1">((100/(H93))*C104)/100</f>
        <v>0</v>
      </c>
      <c r="E104" s="81"/>
      <c r="F104" s="81"/>
      <c r="G104" s="81"/>
      <c r="H104" s="82"/>
      <c r="I104" s="35" t="s">
        <v>159</v>
      </c>
      <c r="J104" s="42">
        <f ca="1">(IF(B93=1,(H93/(B93+3)+J99),IF(B93=0,(H93/4+J99),IF(B93&gt;1,0))))</f>
        <v>3</v>
      </c>
    </row>
    <row r="105" spans="1:12" ht="16" hidden="1" thickBot="1" x14ac:dyDescent="0.4">
      <c r="A105" s="92" t="s">
        <v>146</v>
      </c>
      <c r="B105" s="93"/>
      <c r="C105" s="55">
        <v>0</v>
      </c>
      <c r="D105" s="48">
        <f ca="1">((100/(H93))*C105)/100</f>
        <v>0</v>
      </c>
      <c r="E105" s="83"/>
      <c r="F105" s="83"/>
      <c r="G105" s="83"/>
      <c r="H105" s="84"/>
      <c r="I105" s="41" t="s">
        <v>113</v>
      </c>
      <c r="J105" s="44">
        <f ca="1">(IF(B93&gt;1.5,(H93/(B93+2)+J99+MAX(0,J100-J99)+MAX(0,J101-J100)+MAX(0,J102-J101)+MAX(0,J103-J102)+MAX(0,J104-J103)),IF(B93=1,(H93/(B93+3)+J104),IF(B93=0,H93/4+J104))))</f>
        <v>4</v>
      </c>
    </row>
    <row r="106" spans="1:12" x14ac:dyDescent="0.35">
      <c r="A106" s="99" t="s">
        <v>54</v>
      </c>
      <c r="B106" s="99"/>
      <c r="C106" s="99"/>
      <c r="D106" s="99"/>
      <c r="E106" s="99"/>
      <c r="F106" s="99"/>
      <c r="G106" s="99"/>
      <c r="H106" s="99"/>
    </row>
    <row r="107" spans="1:12" x14ac:dyDescent="0.35">
      <c r="A107" s="88" t="s">
        <v>80</v>
      </c>
      <c r="B107" s="88"/>
      <c r="C107" s="88"/>
      <c r="D107" s="88"/>
      <c r="E107" s="88"/>
      <c r="F107" s="87">
        <v>3200</v>
      </c>
      <c r="G107" s="87"/>
      <c r="H107" s="87"/>
      <c r="J107" s="60">
        <v>44883</v>
      </c>
      <c r="K107" s="61" t="s">
        <v>202</v>
      </c>
      <c r="L107" s="62" t="s">
        <v>203</v>
      </c>
    </row>
    <row r="108" spans="1:12" x14ac:dyDescent="0.35">
      <c r="A108" s="88" t="s">
        <v>86</v>
      </c>
      <c r="B108" s="88"/>
      <c r="C108" s="88"/>
      <c r="D108" s="88"/>
      <c r="E108" s="88"/>
      <c r="F108" s="87">
        <v>5500</v>
      </c>
      <c r="G108" s="87"/>
      <c r="H108" s="87"/>
    </row>
    <row r="109" spans="1:12" hidden="1" x14ac:dyDescent="0.35">
      <c r="A109" s="88" t="s">
        <v>87</v>
      </c>
      <c r="B109" s="88"/>
      <c r="C109" s="88"/>
      <c r="D109" s="88"/>
      <c r="E109" s="88"/>
      <c r="F109" s="87"/>
      <c r="G109" s="87"/>
      <c r="H109" s="87"/>
    </row>
    <row r="110" spans="1:12" s="7" customFormat="1" hidden="1" x14ac:dyDescent="0.3">
      <c r="A110" s="88" t="s">
        <v>103</v>
      </c>
      <c r="B110" s="88"/>
      <c r="C110" s="88"/>
      <c r="D110" s="88"/>
      <c r="E110" s="88"/>
      <c r="F110" s="87" t="s">
        <v>30</v>
      </c>
      <c r="G110" s="87"/>
      <c r="H110" s="87"/>
    </row>
    <row r="111" spans="1:12" s="7" customFormat="1" x14ac:dyDescent="0.3">
      <c r="A111" s="88" t="s">
        <v>104</v>
      </c>
      <c r="B111" s="88"/>
      <c r="C111" s="88"/>
      <c r="D111" s="88"/>
      <c r="E111" s="88"/>
      <c r="F111" s="87">
        <v>190000</v>
      </c>
      <c r="G111" s="87"/>
      <c r="H111" s="87"/>
    </row>
    <row r="112" spans="1:12" s="7" customFormat="1" hidden="1" x14ac:dyDescent="0.3">
      <c r="A112" s="88" t="s">
        <v>105</v>
      </c>
      <c r="B112" s="88"/>
      <c r="C112" s="88"/>
      <c r="D112" s="88"/>
      <c r="E112" s="88"/>
      <c r="F112" s="87" t="s">
        <v>30</v>
      </c>
      <c r="G112" s="87"/>
      <c r="H112" s="87"/>
    </row>
    <row r="113" spans="1:8" s="7" customFormat="1" hidden="1" x14ac:dyDescent="0.3">
      <c r="A113" s="88" t="s">
        <v>106</v>
      </c>
      <c r="B113" s="88"/>
      <c r="C113" s="88"/>
      <c r="D113" s="88"/>
      <c r="E113" s="88"/>
      <c r="F113" s="87" t="s">
        <v>30</v>
      </c>
      <c r="G113" s="87"/>
      <c r="H113" s="87"/>
    </row>
    <row r="114" spans="1:8" s="7" customFormat="1" hidden="1" x14ac:dyDescent="0.3">
      <c r="A114" s="88" t="s">
        <v>107</v>
      </c>
      <c r="B114" s="88"/>
      <c r="C114" s="88"/>
      <c r="D114" s="88"/>
      <c r="E114" s="88"/>
      <c r="F114" s="87" t="s">
        <v>30</v>
      </c>
      <c r="G114" s="87"/>
      <c r="H114" s="87"/>
    </row>
    <row r="115" spans="1:8" s="7" customFormat="1" x14ac:dyDescent="0.3">
      <c r="A115" s="88" t="s">
        <v>200</v>
      </c>
      <c r="B115" s="88"/>
      <c r="C115" s="88"/>
      <c r="D115" s="88"/>
      <c r="E115" s="88"/>
      <c r="F115" s="87">
        <v>50000</v>
      </c>
      <c r="G115" s="87"/>
      <c r="H115" s="87"/>
    </row>
    <row r="116" spans="1:8" s="7" customFormat="1" x14ac:dyDescent="0.3">
      <c r="A116" s="88" t="s">
        <v>201</v>
      </c>
      <c r="B116" s="88"/>
      <c r="C116" s="88"/>
      <c r="D116" s="88"/>
      <c r="E116" s="88"/>
      <c r="F116" s="87">
        <v>85000</v>
      </c>
      <c r="G116" s="87"/>
      <c r="H116" s="87"/>
    </row>
    <row r="117" spans="1:8" s="7" customFormat="1" hidden="1" x14ac:dyDescent="0.3">
      <c r="A117" s="88" t="s">
        <v>108</v>
      </c>
      <c r="B117" s="88"/>
      <c r="C117" s="88"/>
      <c r="D117" s="88"/>
      <c r="E117" s="88"/>
      <c r="F117" s="87" t="s">
        <v>30</v>
      </c>
      <c r="G117" s="87"/>
      <c r="H117" s="87"/>
    </row>
    <row r="118" spans="1:8" x14ac:dyDescent="0.35">
      <c r="A118" s="88" t="s">
        <v>55</v>
      </c>
      <c r="B118" s="88"/>
      <c r="C118" s="88"/>
      <c r="D118" s="88"/>
      <c r="E118" s="88"/>
      <c r="F118" s="146">
        <v>100000</v>
      </c>
      <c r="G118" s="146"/>
      <c r="H118" s="146"/>
    </row>
    <row r="119" spans="1:8" s="4" customFormat="1" x14ac:dyDescent="0.35">
      <c r="A119" s="99" t="s">
        <v>56</v>
      </c>
      <c r="B119" s="99"/>
      <c r="C119" s="99"/>
      <c r="D119" s="99"/>
      <c r="E119" s="99"/>
      <c r="F119" s="87">
        <f>F107*0.8</f>
        <v>2560</v>
      </c>
      <c r="G119" s="87"/>
      <c r="H119" s="87"/>
    </row>
    <row r="120" spans="1:8" s="1" customFormat="1" ht="15.75" customHeight="1" x14ac:dyDescent="0.35">
      <c r="A120" s="91" t="s">
        <v>81</v>
      </c>
      <c r="B120" s="91"/>
      <c r="C120" s="91"/>
      <c r="D120" s="91"/>
      <c r="E120" s="91"/>
      <c r="F120" s="91"/>
      <c r="G120" s="91"/>
      <c r="H120" s="91"/>
    </row>
    <row r="121" spans="1:8" s="1" customFormat="1" ht="15.75" customHeight="1" x14ac:dyDescent="0.35">
      <c r="A121" s="103" t="s">
        <v>57</v>
      </c>
      <c r="B121" s="103"/>
      <c r="C121" s="77" t="s">
        <v>84</v>
      </c>
      <c r="D121" s="77"/>
      <c r="E121" s="79" t="s">
        <v>58</v>
      </c>
      <c r="F121" s="79"/>
      <c r="G121" s="103" t="s">
        <v>59</v>
      </c>
      <c r="H121" s="103"/>
    </row>
    <row r="122" spans="1:8" s="1" customFormat="1" x14ac:dyDescent="0.35">
      <c r="A122" s="80" t="s">
        <v>174</v>
      </c>
      <c r="B122" s="80"/>
      <c r="C122" s="74">
        <f>COUNT(D138:D144)</f>
        <v>7</v>
      </c>
      <c r="D122" s="75"/>
      <c r="E122" s="89">
        <f>SUM(D138:D144)</f>
        <v>914.07887999999991</v>
      </c>
      <c r="F122" s="90"/>
      <c r="G122" s="89">
        <f>SUM(F138:F144)</f>
        <v>1371.11832</v>
      </c>
      <c r="H122" s="90"/>
    </row>
    <row r="123" spans="1:8" s="1" customFormat="1" x14ac:dyDescent="0.35">
      <c r="A123" s="80" t="s">
        <v>178</v>
      </c>
      <c r="B123" s="80"/>
      <c r="C123" s="74">
        <f>COUNT(D147:D159)</f>
        <v>13</v>
      </c>
      <c r="D123" s="75"/>
      <c r="E123" s="89">
        <f>SUM(D147:D159)</f>
        <v>1621.2736799999998</v>
      </c>
      <c r="F123" s="90"/>
      <c r="G123" s="89">
        <f>SUM(F147:F159)</f>
        <v>2431.9105199999995</v>
      </c>
      <c r="H123" s="90"/>
    </row>
    <row r="124" spans="1:8" s="1" customFormat="1" x14ac:dyDescent="0.35">
      <c r="A124" s="80" t="s">
        <v>179</v>
      </c>
      <c r="B124" s="80"/>
      <c r="C124" s="74">
        <f>COUNT(D162:D168)</f>
        <v>7</v>
      </c>
      <c r="D124" s="75"/>
      <c r="E124" s="89">
        <f>SUM(D162:D168)</f>
        <v>915.4781999999999</v>
      </c>
      <c r="F124" s="90"/>
      <c r="G124" s="89">
        <f>SUM(F162:F168)</f>
        <v>1373.2173</v>
      </c>
      <c r="H124" s="90"/>
    </row>
    <row r="125" spans="1:8" s="1" customFormat="1" x14ac:dyDescent="0.35">
      <c r="A125" s="91" t="s">
        <v>185</v>
      </c>
      <c r="B125" s="91"/>
      <c r="C125" s="76">
        <f>SUM(C122:D124)</f>
        <v>27</v>
      </c>
      <c r="D125" s="77"/>
      <c r="E125" s="78">
        <f>SUM(E122:F124)</f>
        <v>3450.8307599999998</v>
      </c>
      <c r="F125" s="79"/>
      <c r="G125" s="78">
        <f>SUM(G122:H124)</f>
        <v>5176.2461399999993</v>
      </c>
      <c r="H125" s="79"/>
    </row>
    <row r="126" spans="1:8" s="1" customFormat="1" x14ac:dyDescent="0.35">
      <c r="A126" s="91" t="s">
        <v>75</v>
      </c>
      <c r="B126" s="91"/>
      <c r="C126" s="91"/>
      <c r="D126" s="91"/>
      <c r="E126" s="91"/>
      <c r="F126" s="91"/>
      <c r="G126" s="91"/>
      <c r="H126" s="91"/>
    </row>
    <row r="127" spans="1:8" s="1" customFormat="1" ht="15.75" customHeight="1" x14ac:dyDescent="0.35">
      <c r="A127" s="103" t="s">
        <v>57</v>
      </c>
      <c r="B127" s="103"/>
      <c r="C127" s="77" t="s">
        <v>84</v>
      </c>
      <c r="D127" s="77"/>
      <c r="E127" s="79" t="s">
        <v>58</v>
      </c>
      <c r="F127" s="79"/>
      <c r="G127" s="103" t="s">
        <v>59</v>
      </c>
      <c r="H127" s="103"/>
    </row>
    <row r="128" spans="1:8" s="1" customFormat="1" x14ac:dyDescent="0.35">
      <c r="A128" s="80" t="s">
        <v>174</v>
      </c>
      <c r="B128" s="80"/>
      <c r="C128" s="75">
        <f>COUNT(D173:D174)+COUNT(D176:D181)*4</f>
        <v>26</v>
      </c>
      <c r="D128" s="75"/>
      <c r="E128" s="89">
        <f>SUM(D173:D174)+SUM(D176:D181)*4</f>
        <v>9302.8946399999968</v>
      </c>
      <c r="F128" s="89"/>
      <c r="G128" s="89">
        <f>SUM(F173:F174)+SUM(F176:F181)*4</f>
        <v>16010</v>
      </c>
      <c r="H128" s="89"/>
    </row>
    <row r="129" spans="1:14" s="1" customFormat="1" x14ac:dyDescent="0.35">
      <c r="A129" s="80" t="s">
        <v>178</v>
      </c>
      <c r="B129" s="80"/>
      <c r="C129" s="75">
        <f>COUNT(D184:D189)*4</f>
        <v>24</v>
      </c>
      <c r="D129" s="75"/>
      <c r="E129" s="89">
        <f>SUM(D184:D189)*4</f>
        <v>8710.228799999999</v>
      </c>
      <c r="F129" s="90"/>
      <c r="G129" s="89">
        <f>SUM(F184:F189)*4</f>
        <v>15040</v>
      </c>
      <c r="H129" s="90"/>
    </row>
    <row r="130" spans="1:14" s="1" customFormat="1" x14ac:dyDescent="0.35">
      <c r="A130" s="80" t="s">
        <v>179</v>
      </c>
      <c r="B130" s="80"/>
      <c r="C130" s="104">
        <f>COUNT(D192:D193)+COUNT(D195:D200)*4</f>
        <v>26</v>
      </c>
      <c r="D130" s="105"/>
      <c r="E130" s="106">
        <f>SUM(D192:D193)+SUM(D195:D200)*4</f>
        <v>10188.556559999999</v>
      </c>
      <c r="F130" s="107"/>
      <c r="G130" s="106">
        <f>SUM(F192:F193)+SUM(F195:F200)*4</f>
        <v>17110</v>
      </c>
      <c r="H130" s="107"/>
    </row>
    <row r="131" spans="1:14" s="1" customFormat="1" x14ac:dyDescent="0.35">
      <c r="A131" s="91" t="s">
        <v>185</v>
      </c>
      <c r="B131" s="91"/>
      <c r="C131" s="76">
        <f>SUM(C128:D130)</f>
        <v>76</v>
      </c>
      <c r="D131" s="77"/>
      <c r="E131" s="78">
        <f>SUM(E128:F130)</f>
        <v>28201.679999999993</v>
      </c>
      <c r="F131" s="79"/>
      <c r="G131" s="78">
        <f>SUM(G128:H130)</f>
        <v>48160</v>
      </c>
      <c r="H131" s="79"/>
    </row>
    <row r="132" spans="1:14" s="4" customFormat="1" x14ac:dyDescent="0.35">
      <c r="A132" s="102" t="s">
        <v>60</v>
      </c>
      <c r="B132" s="102"/>
      <c r="C132" s="102"/>
      <c r="D132" s="102"/>
      <c r="E132" s="102"/>
      <c r="F132" s="102"/>
      <c r="G132" s="102"/>
      <c r="H132" s="102"/>
    </row>
    <row r="133" spans="1:14" x14ac:dyDescent="0.35">
      <c r="A133" s="102" t="s">
        <v>61</v>
      </c>
      <c r="B133" s="102"/>
      <c r="C133" s="102"/>
      <c r="D133" s="102"/>
      <c r="E133" s="102"/>
      <c r="F133" s="102"/>
      <c r="G133" s="102"/>
      <c r="H133" s="102"/>
    </row>
    <row r="134" spans="1:14" ht="47.25" customHeight="1" x14ac:dyDescent="0.35">
      <c r="A134" s="100" t="s">
        <v>130</v>
      </c>
      <c r="B134" s="100" t="s">
        <v>129</v>
      </c>
      <c r="C134" s="100" t="s">
        <v>62</v>
      </c>
      <c r="D134" s="100" t="s">
        <v>63</v>
      </c>
      <c r="E134" s="161" t="s">
        <v>64</v>
      </c>
      <c r="F134" s="31" t="s">
        <v>162</v>
      </c>
      <c r="G134" s="163" t="s">
        <v>65</v>
      </c>
      <c r="H134" s="164"/>
    </row>
    <row r="135" spans="1:14" s="2" customFormat="1" x14ac:dyDescent="0.35">
      <c r="A135" s="101"/>
      <c r="B135" s="101"/>
      <c r="C135" s="101"/>
      <c r="D135" s="101"/>
      <c r="E135" s="162"/>
      <c r="F135" s="32">
        <v>0.5</v>
      </c>
      <c r="G135" s="165"/>
      <c r="H135" s="166"/>
    </row>
    <row r="136" spans="1:14" s="4" customFormat="1" x14ac:dyDescent="0.35">
      <c r="A136" s="102" t="s">
        <v>174</v>
      </c>
      <c r="B136" s="102"/>
      <c r="C136" s="102"/>
      <c r="D136" s="102"/>
      <c r="E136" s="102"/>
      <c r="F136" s="102"/>
      <c r="G136" s="102"/>
      <c r="H136" s="102"/>
    </row>
    <row r="137" spans="1:14" s="2" customFormat="1" x14ac:dyDescent="0.35">
      <c r="A137" s="141" t="s">
        <v>177</v>
      </c>
      <c r="B137" s="142"/>
      <c r="C137" s="142"/>
      <c r="D137" s="142"/>
      <c r="E137" s="142"/>
      <c r="F137" s="142"/>
      <c r="G137" s="142"/>
      <c r="H137" s="143"/>
      <c r="J137" s="34"/>
    </row>
    <row r="138" spans="1:14" s="2" customFormat="1" ht="15.75" customHeight="1" x14ac:dyDescent="0.35">
      <c r="A138" s="139">
        <v>1</v>
      </c>
      <c r="B138" s="140"/>
      <c r="C138" s="33" t="s">
        <v>175</v>
      </c>
      <c r="D138" s="33">
        <f>11.75*10.764</f>
        <v>126.47699999999999</v>
      </c>
      <c r="E138" s="33">
        <v>0</v>
      </c>
      <c r="F138" s="33">
        <f>D138*(($F$135)+1)+(IF(E138&lt;101,E138,IF(E138&lt;201,E138/2,IF(E138&lt;=301,E138/3,E138/4))))</f>
        <v>189.71549999999999</v>
      </c>
      <c r="G138" s="157" t="str">
        <f>A137</f>
        <v xml:space="preserve">Ground Floor For Commercial </v>
      </c>
      <c r="H138" s="158"/>
      <c r="I138" s="33">
        <f>(2.9*4.05)*10.764</f>
        <v>126.42317999999999</v>
      </c>
      <c r="J138" s="2">
        <f>11.75*10.764</f>
        <v>126.47699999999999</v>
      </c>
      <c r="L138" s="176"/>
      <c r="M138" s="176"/>
      <c r="N138" s="34"/>
    </row>
    <row r="139" spans="1:14" s="2" customFormat="1" ht="15.75" customHeight="1" x14ac:dyDescent="0.35">
      <c r="A139" s="139">
        <f t="shared" ref="A139:A144" si="0">A138+1</f>
        <v>2</v>
      </c>
      <c r="B139" s="140"/>
      <c r="C139" s="33" t="s">
        <v>175</v>
      </c>
      <c r="D139" s="33">
        <f>12.54*10.764</f>
        <v>134.98055999999997</v>
      </c>
      <c r="E139" s="33">
        <v>0</v>
      </c>
      <c r="F139" s="33">
        <f t="shared" ref="F139:F144" si="1">D139*(($F$135)+1)+(IF(E139&lt;101,E139,IF(E139&lt;201,E139/2,IF(E139&lt;=301,E139/3,E139/4))))</f>
        <v>202.47083999999995</v>
      </c>
      <c r="G139" s="159"/>
      <c r="H139" s="160"/>
      <c r="I139" s="34"/>
      <c r="L139" s="176"/>
      <c r="M139" s="176"/>
      <c r="N139" s="34"/>
    </row>
    <row r="140" spans="1:14" s="2" customFormat="1" ht="15.75" customHeight="1" x14ac:dyDescent="0.35">
      <c r="A140" s="139">
        <f t="shared" si="0"/>
        <v>3</v>
      </c>
      <c r="B140" s="140"/>
      <c r="C140" s="33" t="s">
        <v>175</v>
      </c>
      <c r="D140" s="33">
        <f>9.35*10.764</f>
        <v>100.64339999999999</v>
      </c>
      <c r="E140" s="33">
        <v>0</v>
      </c>
      <c r="F140" s="33">
        <f t="shared" si="1"/>
        <v>150.96509999999998</v>
      </c>
      <c r="G140" s="159"/>
      <c r="H140" s="160"/>
      <c r="I140" s="34"/>
      <c r="L140" s="176"/>
      <c r="M140" s="176"/>
      <c r="N140" s="34"/>
    </row>
    <row r="141" spans="1:14" s="2" customFormat="1" ht="15.75" customHeight="1" x14ac:dyDescent="0.35">
      <c r="A141" s="139">
        <f t="shared" si="0"/>
        <v>4</v>
      </c>
      <c r="B141" s="140"/>
      <c r="C141" s="33" t="s">
        <v>175</v>
      </c>
      <c r="D141" s="33">
        <f>11.69*10.764</f>
        <v>125.83115999999998</v>
      </c>
      <c r="E141" s="33">
        <v>0</v>
      </c>
      <c r="F141" s="33">
        <f t="shared" si="1"/>
        <v>188.74673999999999</v>
      </c>
      <c r="G141" s="159"/>
      <c r="H141" s="160"/>
      <c r="I141" s="34"/>
      <c r="L141" s="176"/>
      <c r="M141" s="176"/>
      <c r="N141" s="34"/>
    </row>
    <row r="142" spans="1:14" s="2" customFormat="1" ht="15.75" customHeight="1" x14ac:dyDescent="0.35">
      <c r="A142" s="139">
        <f t="shared" si="0"/>
        <v>5</v>
      </c>
      <c r="B142" s="140"/>
      <c r="C142" s="33" t="s">
        <v>175</v>
      </c>
      <c r="D142" s="33">
        <f>14.99*10.764</f>
        <v>161.35236</v>
      </c>
      <c r="E142" s="33">
        <v>0</v>
      </c>
      <c r="F142" s="33">
        <f t="shared" si="1"/>
        <v>242.02854000000002</v>
      </c>
      <c r="G142" s="159"/>
      <c r="H142" s="160"/>
      <c r="I142" s="34"/>
      <c r="L142" s="176"/>
      <c r="M142" s="176"/>
      <c r="N142" s="34"/>
    </row>
    <row r="143" spans="1:14" s="2" customFormat="1" ht="15.75" customHeight="1" x14ac:dyDescent="0.35">
      <c r="A143" s="139">
        <f t="shared" si="0"/>
        <v>6</v>
      </c>
      <c r="B143" s="140"/>
      <c r="C143" s="33" t="s">
        <v>175</v>
      </c>
      <c r="D143" s="33">
        <f>11.54*10.764</f>
        <v>124.21655999999999</v>
      </c>
      <c r="E143" s="33">
        <v>0</v>
      </c>
      <c r="F143" s="33">
        <f t="shared" si="1"/>
        <v>186.32483999999999</v>
      </c>
      <c r="G143" s="159"/>
      <c r="H143" s="160"/>
      <c r="I143" s="34"/>
      <c r="L143" s="176"/>
      <c r="M143" s="176"/>
      <c r="N143" s="34"/>
    </row>
    <row r="144" spans="1:14" s="2" customFormat="1" ht="15.75" customHeight="1" x14ac:dyDescent="0.35">
      <c r="A144" s="139">
        <f t="shared" si="0"/>
        <v>7</v>
      </c>
      <c r="B144" s="140"/>
      <c r="C144" s="33" t="s">
        <v>175</v>
      </c>
      <c r="D144" s="33">
        <f>13.06*10.764</f>
        <v>140.57784000000001</v>
      </c>
      <c r="E144" s="33">
        <v>0</v>
      </c>
      <c r="F144" s="33">
        <f t="shared" si="1"/>
        <v>210.86676</v>
      </c>
      <c r="G144" s="159"/>
      <c r="H144" s="160"/>
      <c r="I144" s="34"/>
      <c r="L144" s="176"/>
      <c r="M144" s="176"/>
      <c r="N144" s="34"/>
    </row>
    <row r="145" spans="1:14" s="4" customFormat="1" x14ac:dyDescent="0.35">
      <c r="A145" s="102" t="s">
        <v>178</v>
      </c>
      <c r="B145" s="102"/>
      <c r="C145" s="102"/>
      <c r="D145" s="102"/>
      <c r="E145" s="102"/>
      <c r="F145" s="102"/>
      <c r="G145" s="102"/>
      <c r="H145" s="102"/>
    </row>
    <row r="146" spans="1:14" s="2" customFormat="1" x14ac:dyDescent="0.35">
      <c r="A146" s="141" t="s">
        <v>184</v>
      </c>
      <c r="B146" s="142"/>
      <c r="C146" s="142"/>
      <c r="D146" s="142"/>
      <c r="E146" s="142"/>
      <c r="F146" s="142"/>
      <c r="G146" s="142"/>
      <c r="H146" s="143"/>
      <c r="J146" s="34"/>
    </row>
    <row r="147" spans="1:14" s="2" customFormat="1" ht="15.75" customHeight="1" x14ac:dyDescent="0.35">
      <c r="A147" s="139">
        <v>1</v>
      </c>
      <c r="B147" s="140"/>
      <c r="C147" s="33" t="s">
        <v>175</v>
      </c>
      <c r="D147" s="33">
        <f>13.2*10.764</f>
        <v>142.08479999999997</v>
      </c>
      <c r="E147" s="33">
        <v>0</v>
      </c>
      <c r="F147" s="33">
        <f>D147*(($F$135)+1)+(IF(E147&lt;101,E147,IF(E147&lt;201,E147/2,IF(E147&lt;=301,E147/3,E147/4))))</f>
        <v>213.12719999999996</v>
      </c>
      <c r="G147" s="157" t="str">
        <f>A146</f>
        <v xml:space="preserve">Ground Floor </v>
      </c>
      <c r="H147" s="158"/>
      <c r="I147" s="33">
        <f>(2.9*4.05)*10.764</f>
        <v>126.42317999999999</v>
      </c>
      <c r="J147" s="2">
        <f>11.75*10.764</f>
        <v>126.47699999999999</v>
      </c>
      <c r="L147" s="176"/>
      <c r="M147" s="176"/>
      <c r="N147" s="34"/>
    </row>
    <row r="148" spans="1:14" s="2" customFormat="1" ht="15.75" customHeight="1" x14ac:dyDescent="0.35">
      <c r="A148" s="139">
        <v>2</v>
      </c>
      <c r="B148" s="140"/>
      <c r="C148" s="33" t="s">
        <v>175</v>
      </c>
      <c r="D148" s="33">
        <f>11.53*10.764</f>
        <v>124.10891999999998</v>
      </c>
      <c r="E148" s="33">
        <v>0</v>
      </c>
      <c r="F148" s="33">
        <f t="shared" ref="F148:F155" si="2">D148*(($F$135)+1)+(IF(E148&lt;101,E148,IF(E148&lt;201,E148/2,IF(E148&lt;=301,E148/3,E148/4))))</f>
        <v>186.16337999999996</v>
      </c>
      <c r="G148" s="159"/>
      <c r="H148" s="160"/>
      <c r="I148" s="34"/>
      <c r="L148" s="176"/>
      <c r="M148" s="176"/>
      <c r="N148" s="34"/>
    </row>
    <row r="149" spans="1:14" s="2" customFormat="1" ht="15.75" customHeight="1" x14ac:dyDescent="0.35">
      <c r="A149" s="139">
        <v>3</v>
      </c>
      <c r="B149" s="140"/>
      <c r="C149" s="33" t="s">
        <v>175</v>
      </c>
      <c r="D149" s="33">
        <f>14.99*10.764</f>
        <v>161.35236</v>
      </c>
      <c r="E149" s="33">
        <v>0</v>
      </c>
      <c r="F149" s="33">
        <f t="shared" si="2"/>
        <v>242.02854000000002</v>
      </c>
      <c r="G149" s="159"/>
      <c r="H149" s="160"/>
      <c r="I149" s="34"/>
      <c r="L149" s="176"/>
      <c r="M149" s="176"/>
      <c r="N149" s="34"/>
    </row>
    <row r="150" spans="1:14" s="2" customFormat="1" ht="15.75" customHeight="1" x14ac:dyDescent="0.35">
      <c r="A150" s="139">
        <v>4</v>
      </c>
      <c r="B150" s="140"/>
      <c r="C150" s="33" t="s">
        <v>175</v>
      </c>
      <c r="D150" s="33">
        <f>11.69*10.764</f>
        <v>125.83115999999998</v>
      </c>
      <c r="E150" s="33">
        <v>0</v>
      </c>
      <c r="F150" s="33">
        <f t="shared" si="2"/>
        <v>188.74673999999999</v>
      </c>
      <c r="G150" s="159"/>
      <c r="H150" s="160"/>
      <c r="I150" s="34"/>
      <c r="L150" s="176"/>
      <c r="M150" s="176"/>
      <c r="N150" s="34"/>
    </row>
    <row r="151" spans="1:14" s="2" customFormat="1" ht="15.75" customHeight="1" x14ac:dyDescent="0.35">
      <c r="A151" s="139">
        <v>5</v>
      </c>
      <c r="B151" s="140"/>
      <c r="C151" s="33" t="s">
        <v>175</v>
      </c>
      <c r="D151" s="33">
        <f>9.35*10.764</f>
        <v>100.64339999999999</v>
      </c>
      <c r="E151" s="33">
        <v>0</v>
      </c>
      <c r="F151" s="33">
        <f t="shared" si="2"/>
        <v>150.96509999999998</v>
      </c>
      <c r="G151" s="159"/>
      <c r="H151" s="160"/>
      <c r="I151" s="34"/>
      <c r="L151" s="176"/>
      <c r="M151" s="176"/>
      <c r="N151" s="34"/>
    </row>
    <row r="152" spans="1:14" s="2" customFormat="1" ht="15.75" customHeight="1" x14ac:dyDescent="0.35">
      <c r="A152" s="139">
        <v>6</v>
      </c>
      <c r="B152" s="140"/>
      <c r="C152" s="33" t="s">
        <v>175</v>
      </c>
      <c r="D152" s="33">
        <f>12.54*10.764</f>
        <v>134.98055999999997</v>
      </c>
      <c r="E152" s="33">
        <v>0</v>
      </c>
      <c r="F152" s="33">
        <f t="shared" si="2"/>
        <v>202.47083999999995</v>
      </c>
      <c r="G152" s="159"/>
      <c r="H152" s="160"/>
      <c r="I152" s="34"/>
      <c r="L152" s="176"/>
      <c r="M152" s="176"/>
      <c r="N152" s="34"/>
    </row>
    <row r="153" spans="1:14" s="2" customFormat="1" ht="15.75" customHeight="1" x14ac:dyDescent="0.35">
      <c r="A153" s="139">
        <v>7</v>
      </c>
      <c r="B153" s="140"/>
      <c r="C153" s="33" t="s">
        <v>175</v>
      </c>
      <c r="D153" s="33">
        <f>6.38*10.764</f>
        <v>68.674319999999994</v>
      </c>
      <c r="E153" s="33">
        <v>0</v>
      </c>
      <c r="F153" s="33">
        <f t="shared" si="2"/>
        <v>103.01147999999999</v>
      </c>
      <c r="G153" s="159"/>
      <c r="H153" s="160"/>
      <c r="I153" s="34"/>
      <c r="L153" s="176"/>
      <c r="M153" s="176"/>
      <c r="N153" s="34"/>
    </row>
    <row r="154" spans="1:14" s="2" customFormat="1" ht="15.75" customHeight="1" x14ac:dyDescent="0.35">
      <c r="A154" s="139">
        <v>8</v>
      </c>
      <c r="B154" s="140"/>
      <c r="C154" s="33" t="s">
        <v>175</v>
      </c>
      <c r="D154" s="33">
        <f>10.18*10.764</f>
        <v>109.57751999999999</v>
      </c>
      <c r="E154" s="33">
        <v>0</v>
      </c>
      <c r="F154" s="33">
        <f t="shared" si="2"/>
        <v>164.36627999999999</v>
      </c>
      <c r="G154" s="159"/>
      <c r="H154" s="160"/>
      <c r="I154" s="34">
        <f>(4.3*2.75+2*0.3+3.05*2.2+3.05*2.75+1.85*1.2+1.2*1.85+1.45*0.6+1.45*0.6)</f>
        <v>33.702499999999993</v>
      </c>
      <c r="L154" s="176"/>
      <c r="M154" s="176"/>
      <c r="N154" s="34"/>
    </row>
    <row r="155" spans="1:14" s="2" customFormat="1" ht="15.75" customHeight="1" x14ac:dyDescent="0.35">
      <c r="A155" s="139">
        <v>9</v>
      </c>
      <c r="B155" s="140"/>
      <c r="C155" s="33" t="s">
        <v>175</v>
      </c>
      <c r="D155" s="33">
        <f>9.35*10.764</f>
        <v>100.64339999999999</v>
      </c>
      <c r="E155" s="33">
        <v>0</v>
      </c>
      <c r="F155" s="33">
        <f t="shared" si="2"/>
        <v>150.96509999999998</v>
      </c>
      <c r="G155" s="159"/>
      <c r="H155" s="160"/>
      <c r="I155" s="34"/>
      <c r="L155" s="176"/>
      <c r="M155" s="176"/>
      <c r="N155" s="34"/>
    </row>
    <row r="156" spans="1:14" s="2" customFormat="1" ht="15.75" customHeight="1" x14ac:dyDescent="0.35">
      <c r="A156" s="139">
        <v>10</v>
      </c>
      <c r="B156" s="140"/>
      <c r="C156" s="33" t="s">
        <v>175</v>
      </c>
      <c r="D156" s="33">
        <f>11.69*10.764</f>
        <v>125.83115999999998</v>
      </c>
      <c r="E156" s="33">
        <v>0</v>
      </c>
      <c r="F156" s="33">
        <f t="shared" ref="F156:F159" si="3">D156*(($F$135)+1)+(IF(E156&lt;101,E156,IF(E156&lt;201,E156/2,IF(E156&lt;=301,E156/3,E156/4))))</f>
        <v>188.74673999999999</v>
      </c>
      <c r="G156" s="159"/>
      <c r="H156" s="160"/>
      <c r="I156" s="34"/>
      <c r="L156" s="176"/>
      <c r="M156" s="176"/>
      <c r="N156" s="34"/>
    </row>
    <row r="157" spans="1:14" s="2" customFormat="1" ht="15.75" customHeight="1" x14ac:dyDescent="0.35">
      <c r="A157" s="139">
        <v>11</v>
      </c>
      <c r="B157" s="140"/>
      <c r="C157" s="33" t="s">
        <v>175</v>
      </c>
      <c r="D157" s="33">
        <f>14.99*10.764</f>
        <v>161.35236</v>
      </c>
      <c r="E157" s="33">
        <v>0</v>
      </c>
      <c r="F157" s="33">
        <f t="shared" si="3"/>
        <v>242.02854000000002</v>
      </c>
      <c r="G157" s="159"/>
      <c r="H157" s="160"/>
      <c r="I157" s="34"/>
      <c r="L157" s="176"/>
      <c r="M157" s="176"/>
      <c r="N157" s="34"/>
    </row>
    <row r="158" spans="1:14" s="2" customFormat="1" ht="15.75" customHeight="1" x14ac:dyDescent="0.35">
      <c r="A158" s="139">
        <v>12</v>
      </c>
      <c r="B158" s="140"/>
      <c r="C158" s="33" t="s">
        <v>175</v>
      </c>
      <c r="D158" s="33">
        <f>11.53*10.764</f>
        <v>124.10891999999998</v>
      </c>
      <c r="E158" s="33">
        <v>0</v>
      </c>
      <c r="F158" s="33">
        <f t="shared" si="3"/>
        <v>186.16337999999996</v>
      </c>
      <c r="G158" s="159"/>
      <c r="H158" s="160"/>
      <c r="I158" s="34">
        <f>(4.3*2.75+2*0.3+3.05*2.2+3.05*2.75+1.85*1.2+1.2*1.85+1.45*0.6+1.45*0.6)</f>
        <v>33.702499999999993</v>
      </c>
      <c r="L158" s="176"/>
      <c r="M158" s="176"/>
      <c r="N158" s="34"/>
    </row>
    <row r="159" spans="1:14" s="2" customFormat="1" ht="15.75" customHeight="1" x14ac:dyDescent="0.35">
      <c r="A159" s="139">
        <v>13</v>
      </c>
      <c r="B159" s="140"/>
      <c r="C159" s="33" t="s">
        <v>175</v>
      </c>
      <c r="D159" s="33">
        <f>13.2*10.764</f>
        <v>142.08479999999997</v>
      </c>
      <c r="E159" s="33">
        <v>0</v>
      </c>
      <c r="F159" s="33">
        <f t="shared" si="3"/>
        <v>213.12719999999996</v>
      </c>
      <c r="G159" s="178"/>
      <c r="H159" s="179"/>
      <c r="I159" s="34"/>
      <c r="L159" s="176"/>
      <c r="M159" s="176"/>
      <c r="N159" s="34"/>
    </row>
    <row r="160" spans="1:14" s="4" customFormat="1" x14ac:dyDescent="0.35">
      <c r="A160" s="102" t="s">
        <v>179</v>
      </c>
      <c r="B160" s="102"/>
      <c r="C160" s="102"/>
      <c r="D160" s="102"/>
      <c r="E160" s="102"/>
      <c r="F160" s="102"/>
      <c r="G160" s="102"/>
      <c r="H160" s="102"/>
    </row>
    <row r="161" spans="1:16" s="2" customFormat="1" x14ac:dyDescent="0.35">
      <c r="A161" s="180" t="s">
        <v>177</v>
      </c>
      <c r="B161" s="180"/>
      <c r="C161" s="180"/>
      <c r="D161" s="180"/>
      <c r="E161" s="180"/>
      <c r="F161" s="180"/>
      <c r="G161" s="180"/>
      <c r="H161" s="180"/>
      <c r="J161" s="34"/>
    </row>
    <row r="162" spans="1:16" s="2" customFormat="1" ht="15.75" customHeight="1" x14ac:dyDescent="0.35">
      <c r="A162" s="138">
        <v>1</v>
      </c>
      <c r="B162" s="138"/>
      <c r="C162" s="68" t="s">
        <v>175</v>
      </c>
      <c r="D162" s="68">
        <f>13.2*10.764</f>
        <v>142.08479999999997</v>
      </c>
      <c r="E162" s="68">
        <v>0</v>
      </c>
      <c r="F162" s="68">
        <f t="shared" ref="F162:F168" si="4">D162*(($F$135)+1)+(IF(E162&lt;101,E162,IF(E162&lt;201,E162/2,IF(E162&lt;=301,E162/3,E162/4))))</f>
        <v>213.12719999999996</v>
      </c>
      <c r="G162" s="177" t="str">
        <f>A161</f>
        <v xml:space="preserve">Ground Floor For Commercial </v>
      </c>
      <c r="H162" s="177"/>
      <c r="I162" s="33">
        <f>(2.9*4.05)*10.764</f>
        <v>126.42317999999999</v>
      </c>
      <c r="J162" s="2">
        <f>11.75*10.764</f>
        <v>126.47699999999999</v>
      </c>
      <c r="L162" s="176"/>
      <c r="M162" s="176"/>
      <c r="N162" s="34"/>
    </row>
    <row r="163" spans="1:16" s="2" customFormat="1" ht="15.75" customHeight="1" x14ac:dyDescent="0.35">
      <c r="A163" s="138">
        <f t="shared" ref="A163:A168" si="5">A162+1</f>
        <v>2</v>
      </c>
      <c r="B163" s="138"/>
      <c r="C163" s="68" t="s">
        <v>175</v>
      </c>
      <c r="D163" s="68">
        <f>11.53*10.764</f>
        <v>124.10891999999998</v>
      </c>
      <c r="E163" s="68">
        <v>0</v>
      </c>
      <c r="F163" s="68">
        <f t="shared" si="4"/>
        <v>186.16337999999996</v>
      </c>
      <c r="G163" s="177"/>
      <c r="H163" s="177"/>
      <c r="I163" s="34"/>
      <c r="L163" s="176"/>
      <c r="M163" s="176"/>
      <c r="N163" s="34"/>
    </row>
    <row r="164" spans="1:16" s="2" customFormat="1" ht="15.75" customHeight="1" x14ac:dyDescent="0.35">
      <c r="A164" s="138">
        <f t="shared" si="5"/>
        <v>3</v>
      </c>
      <c r="B164" s="138"/>
      <c r="C164" s="68" t="s">
        <v>175</v>
      </c>
      <c r="D164" s="68">
        <f>14.99*10.764</f>
        <v>161.35236</v>
      </c>
      <c r="E164" s="68">
        <v>0</v>
      </c>
      <c r="F164" s="68">
        <f t="shared" si="4"/>
        <v>242.02854000000002</v>
      </c>
      <c r="G164" s="177"/>
      <c r="H164" s="177"/>
      <c r="I164" s="34"/>
      <c r="L164" s="176"/>
      <c r="M164" s="176"/>
      <c r="N164" s="34"/>
    </row>
    <row r="165" spans="1:16" s="2" customFormat="1" ht="15.75" customHeight="1" x14ac:dyDescent="0.35">
      <c r="A165" s="138">
        <f t="shared" si="5"/>
        <v>4</v>
      </c>
      <c r="B165" s="138"/>
      <c r="C165" s="68" t="s">
        <v>175</v>
      </c>
      <c r="D165" s="68">
        <f>11.69*10.764</f>
        <v>125.83115999999998</v>
      </c>
      <c r="E165" s="68">
        <v>0</v>
      </c>
      <c r="F165" s="68">
        <f t="shared" si="4"/>
        <v>188.74673999999999</v>
      </c>
      <c r="G165" s="177"/>
      <c r="H165" s="177"/>
      <c r="I165" s="34"/>
      <c r="L165" s="176"/>
      <c r="M165" s="176"/>
      <c r="N165" s="34"/>
    </row>
    <row r="166" spans="1:16" s="2" customFormat="1" ht="15.75" customHeight="1" x14ac:dyDescent="0.35">
      <c r="A166" s="138">
        <f t="shared" si="5"/>
        <v>5</v>
      </c>
      <c r="B166" s="138"/>
      <c r="C166" s="68" t="s">
        <v>175</v>
      </c>
      <c r="D166" s="68">
        <f>9.35*10.764</f>
        <v>100.64339999999999</v>
      </c>
      <c r="E166" s="68">
        <v>0</v>
      </c>
      <c r="F166" s="68">
        <f t="shared" si="4"/>
        <v>150.96509999999998</v>
      </c>
      <c r="G166" s="177"/>
      <c r="H166" s="177"/>
      <c r="I166" s="34"/>
      <c r="L166" s="176"/>
      <c r="M166" s="176"/>
      <c r="N166" s="34"/>
    </row>
    <row r="167" spans="1:16" s="2" customFormat="1" ht="15.75" customHeight="1" x14ac:dyDescent="0.35">
      <c r="A167" s="138">
        <f t="shared" si="5"/>
        <v>6</v>
      </c>
      <c r="B167" s="138"/>
      <c r="C167" s="68" t="s">
        <v>175</v>
      </c>
      <c r="D167" s="68">
        <f>12.54*10.764</f>
        <v>134.98055999999997</v>
      </c>
      <c r="E167" s="68">
        <v>0</v>
      </c>
      <c r="F167" s="68">
        <f t="shared" si="4"/>
        <v>202.47083999999995</v>
      </c>
      <c r="G167" s="177"/>
      <c r="H167" s="177"/>
      <c r="I167" s="34"/>
      <c r="L167" s="176"/>
      <c r="M167" s="176"/>
      <c r="N167" s="34"/>
    </row>
    <row r="168" spans="1:16" s="2" customFormat="1" ht="15.75" customHeight="1" x14ac:dyDescent="0.35">
      <c r="A168" s="138">
        <f t="shared" si="5"/>
        <v>7</v>
      </c>
      <c r="B168" s="138"/>
      <c r="C168" s="68" t="s">
        <v>175</v>
      </c>
      <c r="D168" s="68">
        <f>11.75*10.764</f>
        <v>126.47699999999999</v>
      </c>
      <c r="E168" s="68">
        <v>0</v>
      </c>
      <c r="F168" s="68">
        <f t="shared" si="4"/>
        <v>189.71549999999999</v>
      </c>
      <c r="G168" s="177"/>
      <c r="H168" s="177"/>
      <c r="I168" s="34"/>
      <c r="L168" s="176"/>
      <c r="M168" s="176"/>
      <c r="N168" s="34"/>
    </row>
    <row r="169" spans="1:16" s="2" customFormat="1" x14ac:dyDescent="0.35">
      <c r="A169" s="138"/>
      <c r="B169" s="138"/>
      <c r="C169" s="138"/>
      <c r="D169" s="138"/>
      <c r="E169" s="138"/>
      <c r="F169" s="138"/>
      <c r="G169" s="138"/>
      <c r="H169" s="138"/>
      <c r="I169" s="34"/>
      <c r="N169" s="34"/>
    </row>
    <row r="170" spans="1:16" ht="47.25" customHeight="1" x14ac:dyDescent="0.35">
      <c r="A170" s="57" t="s">
        <v>131</v>
      </c>
      <c r="B170" s="57" t="s">
        <v>132</v>
      </c>
      <c r="C170" s="31" t="s">
        <v>62</v>
      </c>
      <c r="D170" s="31" t="s">
        <v>63</v>
      </c>
      <c r="E170" s="58" t="s">
        <v>64</v>
      </c>
      <c r="F170" s="31" t="s">
        <v>192</v>
      </c>
      <c r="G170" s="163" t="s">
        <v>65</v>
      </c>
      <c r="H170" s="164"/>
      <c r="I170" s="34"/>
    </row>
    <row r="171" spans="1:16" s="4" customFormat="1" x14ac:dyDescent="0.35">
      <c r="A171" s="102" t="s">
        <v>174</v>
      </c>
      <c r="B171" s="102"/>
      <c r="C171" s="102"/>
      <c r="D171" s="102"/>
      <c r="E171" s="102"/>
      <c r="F171" s="102"/>
      <c r="G171" s="102"/>
      <c r="H171" s="102"/>
    </row>
    <row r="172" spans="1:16" s="2" customFormat="1" x14ac:dyDescent="0.35">
      <c r="A172" s="141" t="s">
        <v>182</v>
      </c>
      <c r="B172" s="142"/>
      <c r="C172" s="142"/>
      <c r="D172" s="142"/>
      <c r="E172" s="142"/>
      <c r="F172" s="142"/>
      <c r="G172" s="142"/>
      <c r="H172" s="143"/>
      <c r="J172" s="34"/>
      <c r="K172" s="2">
        <f>2800*F174</f>
        <v>1008000</v>
      </c>
    </row>
    <row r="173" spans="1:16" s="2" customFormat="1" ht="15.75" customHeight="1" x14ac:dyDescent="0.35">
      <c r="A173" s="139">
        <v>1</v>
      </c>
      <c r="B173" s="140"/>
      <c r="C173" s="33" t="s">
        <v>176</v>
      </c>
      <c r="D173" s="33">
        <f>33.5*10.764</f>
        <v>360.59399999999999</v>
      </c>
      <c r="E173" s="33">
        <v>0</v>
      </c>
      <c r="F173" s="33">
        <v>610</v>
      </c>
      <c r="G173" s="148" t="str">
        <f>A172</f>
        <v>Ground Floor For  Residential</v>
      </c>
      <c r="H173" s="149"/>
      <c r="I173" s="34"/>
      <c r="J173" s="59">
        <f>F173/D173:D173</f>
        <v>1.6916532166369935</v>
      </c>
      <c r="L173" s="176"/>
      <c r="M173" s="176"/>
      <c r="N173" s="34"/>
    </row>
    <row r="174" spans="1:16" s="2" customFormat="1" ht="15.75" customHeight="1" x14ac:dyDescent="0.35">
      <c r="A174" s="139">
        <f t="shared" ref="A174" si="6">A173+1</f>
        <v>2</v>
      </c>
      <c r="B174" s="140"/>
      <c r="C174" s="33" t="s">
        <v>191</v>
      </c>
      <c r="D174" s="33">
        <f>21.56*10.764</f>
        <v>232.07183999999998</v>
      </c>
      <c r="E174" s="33">
        <v>0</v>
      </c>
      <c r="F174" s="33">
        <v>360</v>
      </c>
      <c r="G174" s="152"/>
      <c r="H174" s="153"/>
      <c r="I174" s="34"/>
      <c r="J174" s="59">
        <f t="shared" ref="J174:J189" si="7">F174/D174:D174</f>
        <v>1.5512437872686322</v>
      </c>
      <c r="L174" s="176">
        <f>4200*F174</f>
        <v>1512000</v>
      </c>
      <c r="M174" s="176"/>
      <c r="N174" s="34"/>
    </row>
    <row r="175" spans="1:16" s="2" customFormat="1" x14ac:dyDescent="0.35">
      <c r="A175" s="141" t="s">
        <v>183</v>
      </c>
      <c r="B175" s="142"/>
      <c r="C175" s="142"/>
      <c r="D175" s="142"/>
      <c r="E175" s="142"/>
      <c r="F175" s="142"/>
      <c r="G175" s="142"/>
      <c r="H175" s="143"/>
      <c r="I175" s="34"/>
      <c r="J175" s="59"/>
      <c r="L175" s="2">
        <f>2800*F174</f>
        <v>1008000</v>
      </c>
    </row>
    <row r="176" spans="1:16" s="2" customFormat="1" ht="15.75" customHeight="1" x14ac:dyDescent="0.35">
      <c r="A176" s="139">
        <v>1</v>
      </c>
      <c r="B176" s="140"/>
      <c r="C176" s="33" t="s">
        <v>176</v>
      </c>
      <c r="D176" s="33">
        <f>32.9*10.764</f>
        <v>354.13559999999995</v>
      </c>
      <c r="E176" s="33">
        <v>0</v>
      </c>
      <c r="F176" s="33">
        <v>610</v>
      </c>
      <c r="G176" s="148" t="str">
        <f>A175</f>
        <v xml:space="preserve">1st to 4th Floor </v>
      </c>
      <c r="H176" s="149"/>
      <c r="I176" s="34"/>
      <c r="J176" s="59">
        <f t="shared" si="7"/>
        <v>1.7225040351774858</v>
      </c>
      <c r="K176" s="2">
        <f>F176*2800</f>
        <v>1708000</v>
      </c>
      <c r="L176" s="2">
        <f>2800*F173</f>
        <v>1708000</v>
      </c>
      <c r="N176" s="2" t="str">
        <f t="shared" ref="N176:N181" ca="1" si="8">O176&amp;""&amp;" to "&amp;""&amp;P176</f>
        <v>101 to 401</v>
      </c>
      <c r="O176" s="2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10^ROW(INDIRECT("1:"&amp;LEN((LEFT(A175,SUM(LEN(A175)-LEN(SUBSTITUTE(A175,{"0","1","2"},""))))))))/10))*100+1</f>
        <v>101</v>
      </c>
      <c r="P176" s="2">
        <f ca="1">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",LEN(A175))),LEN(A175)))))))/10))*100+1</f>
        <v>401</v>
      </c>
    </row>
    <row r="177" spans="1:16" s="2" customFormat="1" ht="15.75" customHeight="1" x14ac:dyDescent="0.35">
      <c r="A177" s="139">
        <v>2</v>
      </c>
      <c r="B177" s="140"/>
      <c r="C177" s="33" t="s">
        <v>176</v>
      </c>
      <c r="D177" s="33">
        <f>33.75*10.764</f>
        <v>363.28499999999997</v>
      </c>
      <c r="E177" s="33">
        <v>0</v>
      </c>
      <c r="F177" s="33">
        <v>630</v>
      </c>
      <c r="G177" s="150"/>
      <c r="H177" s="151"/>
      <c r="I177" s="56"/>
      <c r="J177" s="59">
        <f t="shared" si="7"/>
        <v>1.7341756472191256</v>
      </c>
      <c r="N177" s="2" t="str">
        <f t="shared" ca="1" si="8"/>
        <v>102 to 402</v>
      </c>
      <c r="O177" s="2">
        <f t="shared" ref="O177:P181" ca="1" si="9">O176+1</f>
        <v>102</v>
      </c>
      <c r="P177" s="2">
        <f t="shared" ca="1" si="9"/>
        <v>402</v>
      </c>
    </row>
    <row r="178" spans="1:16" s="2" customFormat="1" ht="15.75" customHeight="1" x14ac:dyDescent="0.35">
      <c r="A178" s="139">
        <v>3</v>
      </c>
      <c r="B178" s="140"/>
      <c r="C178" s="33" t="s">
        <v>176</v>
      </c>
      <c r="D178" s="33">
        <f t="shared" ref="D178:D180" si="10">33.75*10.764</f>
        <v>363.28499999999997</v>
      </c>
      <c r="E178" s="33">
        <v>0</v>
      </c>
      <c r="F178" s="33">
        <v>630</v>
      </c>
      <c r="G178" s="150"/>
      <c r="H178" s="151"/>
      <c r="I178" s="34"/>
      <c r="J178" s="59">
        <f t="shared" si="7"/>
        <v>1.7341756472191256</v>
      </c>
      <c r="N178" s="2" t="str">
        <f t="shared" ca="1" si="8"/>
        <v>103 to 403</v>
      </c>
      <c r="O178" s="2">
        <f t="shared" ca="1" si="9"/>
        <v>103</v>
      </c>
      <c r="P178" s="2">
        <f t="shared" ca="1" si="9"/>
        <v>403</v>
      </c>
    </row>
    <row r="179" spans="1:16" s="2" customFormat="1" ht="15.75" customHeight="1" x14ac:dyDescent="0.35">
      <c r="A179" s="139">
        <v>4</v>
      </c>
      <c r="B179" s="140"/>
      <c r="C179" s="33" t="s">
        <v>176</v>
      </c>
      <c r="D179" s="33">
        <f t="shared" si="10"/>
        <v>363.28499999999997</v>
      </c>
      <c r="E179" s="33">
        <v>0</v>
      </c>
      <c r="F179" s="33">
        <v>630</v>
      </c>
      <c r="G179" s="150"/>
      <c r="H179" s="151"/>
      <c r="I179" s="34"/>
      <c r="J179" s="59">
        <f t="shared" si="7"/>
        <v>1.7341756472191256</v>
      </c>
      <c r="L179" s="2">
        <f>2800*6100</f>
        <v>17080000</v>
      </c>
      <c r="N179" s="2" t="str">
        <f t="shared" ca="1" si="8"/>
        <v>104 to 404</v>
      </c>
      <c r="O179" s="2">
        <f t="shared" ca="1" si="9"/>
        <v>104</v>
      </c>
      <c r="P179" s="2">
        <f t="shared" ca="1" si="9"/>
        <v>404</v>
      </c>
    </row>
    <row r="180" spans="1:16" s="2" customFormat="1" ht="15.75" customHeight="1" x14ac:dyDescent="0.35">
      <c r="A180" s="139">
        <v>5</v>
      </c>
      <c r="B180" s="140"/>
      <c r="C180" s="33" t="s">
        <v>176</v>
      </c>
      <c r="D180" s="33">
        <f t="shared" si="10"/>
        <v>363.28499999999997</v>
      </c>
      <c r="E180" s="33">
        <v>0</v>
      </c>
      <c r="F180" s="33">
        <v>630</v>
      </c>
      <c r="G180" s="150"/>
      <c r="H180" s="151"/>
      <c r="I180" s="34"/>
      <c r="J180" s="59">
        <f t="shared" si="7"/>
        <v>1.7341756472191256</v>
      </c>
      <c r="N180" s="2" t="str">
        <f t="shared" ca="1" si="8"/>
        <v>105 to 405</v>
      </c>
      <c r="O180" s="2">
        <f t="shared" ca="1" si="9"/>
        <v>105</v>
      </c>
      <c r="P180" s="2">
        <f t="shared" ca="1" si="9"/>
        <v>405</v>
      </c>
    </row>
    <row r="181" spans="1:16" s="2" customFormat="1" ht="15.75" customHeight="1" x14ac:dyDescent="0.35">
      <c r="A181" s="139">
        <v>6</v>
      </c>
      <c r="B181" s="140"/>
      <c r="C181" s="33" t="s">
        <v>176</v>
      </c>
      <c r="D181" s="33">
        <f>34.4*10.764</f>
        <v>370.28159999999997</v>
      </c>
      <c r="E181" s="33">
        <v>0</v>
      </c>
      <c r="F181" s="33">
        <v>630</v>
      </c>
      <c r="G181" s="152"/>
      <c r="H181" s="153"/>
      <c r="I181" s="34"/>
      <c r="J181" s="59">
        <f t="shared" si="7"/>
        <v>1.701407793419927</v>
      </c>
      <c r="N181" s="2" t="str">
        <f t="shared" ca="1" si="8"/>
        <v>106 to 406</v>
      </c>
      <c r="O181" s="2">
        <f t="shared" ca="1" si="9"/>
        <v>106</v>
      </c>
      <c r="P181" s="2">
        <f t="shared" ca="1" si="9"/>
        <v>406</v>
      </c>
    </row>
    <row r="182" spans="1:16" s="4" customFormat="1" x14ac:dyDescent="0.35">
      <c r="A182" s="102" t="s">
        <v>178</v>
      </c>
      <c r="B182" s="102"/>
      <c r="C182" s="102"/>
      <c r="D182" s="102"/>
      <c r="E182" s="102"/>
      <c r="F182" s="102"/>
      <c r="G182" s="102"/>
      <c r="H182" s="102"/>
      <c r="J182" s="59"/>
    </row>
    <row r="183" spans="1:16" s="2" customFormat="1" x14ac:dyDescent="0.35">
      <c r="A183" s="141" t="s">
        <v>183</v>
      </c>
      <c r="B183" s="142"/>
      <c r="C183" s="142"/>
      <c r="D183" s="142"/>
      <c r="E183" s="142"/>
      <c r="F183" s="142"/>
      <c r="G183" s="142"/>
      <c r="H183" s="143"/>
      <c r="I183" s="34"/>
      <c r="J183" s="59"/>
    </row>
    <row r="184" spans="1:16" s="2" customFormat="1" ht="15.75" customHeight="1" x14ac:dyDescent="0.35">
      <c r="A184" s="139">
        <v>1</v>
      </c>
      <c r="B184" s="140"/>
      <c r="C184" s="33" t="s">
        <v>176</v>
      </c>
      <c r="D184" s="33">
        <f>34.4*10.764</f>
        <v>370.28159999999997</v>
      </c>
      <c r="E184" s="33">
        <v>0</v>
      </c>
      <c r="F184" s="33">
        <v>630</v>
      </c>
      <c r="G184" s="148" t="str">
        <f>A183</f>
        <v xml:space="preserve">1st to 4th Floor </v>
      </c>
      <c r="H184" s="149"/>
      <c r="I184" s="34"/>
      <c r="J184" s="59">
        <f t="shared" si="7"/>
        <v>1.701407793419927</v>
      </c>
      <c r="N184" s="2" t="str">
        <f t="shared" ref="N184:N189" ca="1" si="11">O184&amp;""&amp;" to "&amp;""&amp;P184</f>
        <v>101 to 401</v>
      </c>
      <c r="O184" s="2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10^ROW(INDIRECT("1:"&amp;LEN((LEFT(A183,SUM(LEN(A183)-LEN(SUBSTITUTE(A183,{"0","1","2"},""))))))))/10))*100+1</f>
        <v>101</v>
      </c>
      <c r="P184" s="2">
        <f ca="1">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",LEN(A183))),LEN(A183)))))))/10))*100+1</f>
        <v>401</v>
      </c>
    </row>
    <row r="185" spans="1:16" s="2" customFormat="1" ht="15.75" customHeight="1" x14ac:dyDescent="0.35">
      <c r="A185" s="139">
        <v>2</v>
      </c>
      <c r="B185" s="140"/>
      <c r="C185" s="33" t="s">
        <v>176</v>
      </c>
      <c r="D185" s="33">
        <f>33.75*10.764</f>
        <v>363.28499999999997</v>
      </c>
      <c r="E185" s="33">
        <v>0</v>
      </c>
      <c r="F185" s="33">
        <v>630</v>
      </c>
      <c r="G185" s="150"/>
      <c r="H185" s="151"/>
      <c r="I185" s="34"/>
      <c r="J185" s="59">
        <f t="shared" si="7"/>
        <v>1.7341756472191256</v>
      </c>
      <c r="N185" s="2" t="str">
        <f t="shared" ca="1" si="11"/>
        <v>102 to 402</v>
      </c>
      <c r="O185" s="2">
        <f t="shared" ref="O185:P189" ca="1" si="12">O184+1</f>
        <v>102</v>
      </c>
      <c r="P185" s="2">
        <f t="shared" ca="1" si="12"/>
        <v>402</v>
      </c>
    </row>
    <row r="186" spans="1:16" s="2" customFormat="1" ht="15.75" customHeight="1" x14ac:dyDescent="0.35">
      <c r="A186" s="139">
        <v>3</v>
      </c>
      <c r="B186" s="140"/>
      <c r="C186" s="33" t="s">
        <v>176</v>
      </c>
      <c r="D186" s="33">
        <f t="shared" ref="D186:D188" si="13">33.75*10.764</f>
        <v>363.28499999999997</v>
      </c>
      <c r="E186" s="33">
        <v>0</v>
      </c>
      <c r="F186" s="33">
        <v>630</v>
      </c>
      <c r="G186" s="150"/>
      <c r="H186" s="151"/>
      <c r="I186" s="34"/>
      <c r="J186" s="59">
        <f t="shared" si="7"/>
        <v>1.7341756472191256</v>
      </c>
      <c r="N186" s="2" t="str">
        <f t="shared" ca="1" si="11"/>
        <v>103 to 403</v>
      </c>
      <c r="O186" s="2">
        <f t="shared" ca="1" si="12"/>
        <v>103</v>
      </c>
      <c r="P186" s="2">
        <f t="shared" ca="1" si="12"/>
        <v>403</v>
      </c>
    </row>
    <row r="187" spans="1:16" s="2" customFormat="1" ht="15.75" customHeight="1" x14ac:dyDescent="0.35">
      <c r="A187" s="139">
        <v>4</v>
      </c>
      <c r="B187" s="140"/>
      <c r="C187" s="33" t="s">
        <v>176</v>
      </c>
      <c r="D187" s="33">
        <f t="shared" si="13"/>
        <v>363.28499999999997</v>
      </c>
      <c r="E187" s="33">
        <v>0</v>
      </c>
      <c r="F187" s="33">
        <v>630</v>
      </c>
      <c r="G187" s="150"/>
      <c r="H187" s="151"/>
      <c r="I187" s="34"/>
      <c r="J187" s="59">
        <f t="shared" si="7"/>
        <v>1.7341756472191256</v>
      </c>
      <c r="N187" s="2" t="str">
        <f t="shared" ca="1" si="11"/>
        <v>104 to 404</v>
      </c>
      <c r="O187" s="2">
        <f t="shared" ca="1" si="12"/>
        <v>104</v>
      </c>
      <c r="P187" s="2">
        <f t="shared" ca="1" si="12"/>
        <v>404</v>
      </c>
    </row>
    <row r="188" spans="1:16" s="2" customFormat="1" ht="15.75" customHeight="1" x14ac:dyDescent="0.35">
      <c r="A188" s="139">
        <v>5</v>
      </c>
      <c r="B188" s="140"/>
      <c r="C188" s="33" t="s">
        <v>176</v>
      </c>
      <c r="D188" s="33">
        <f t="shared" si="13"/>
        <v>363.28499999999997</v>
      </c>
      <c r="E188" s="33">
        <v>0</v>
      </c>
      <c r="F188" s="33">
        <v>630</v>
      </c>
      <c r="G188" s="150"/>
      <c r="H188" s="151"/>
      <c r="I188" s="34"/>
      <c r="J188" s="59">
        <f t="shared" si="7"/>
        <v>1.7341756472191256</v>
      </c>
      <c r="N188" s="2" t="str">
        <f t="shared" ca="1" si="11"/>
        <v>105 to 405</v>
      </c>
      <c r="O188" s="2">
        <f t="shared" ca="1" si="12"/>
        <v>105</v>
      </c>
      <c r="P188" s="2">
        <f t="shared" ca="1" si="12"/>
        <v>405</v>
      </c>
    </row>
    <row r="189" spans="1:16" s="2" customFormat="1" ht="15.75" customHeight="1" x14ac:dyDescent="0.35">
      <c r="A189" s="139">
        <v>6</v>
      </c>
      <c r="B189" s="140"/>
      <c r="C189" s="33" t="s">
        <v>176</v>
      </c>
      <c r="D189" s="33">
        <f>32.9*10.764</f>
        <v>354.13559999999995</v>
      </c>
      <c r="E189" s="33">
        <v>0</v>
      </c>
      <c r="F189" s="33">
        <v>610</v>
      </c>
      <c r="G189" s="152"/>
      <c r="H189" s="153"/>
      <c r="I189" s="34"/>
      <c r="J189" s="59">
        <f t="shared" si="7"/>
        <v>1.7225040351774858</v>
      </c>
      <c r="N189" s="2" t="str">
        <f t="shared" ca="1" si="11"/>
        <v>106 to 406</v>
      </c>
      <c r="O189" s="2">
        <f t="shared" ca="1" si="12"/>
        <v>106</v>
      </c>
      <c r="P189" s="2">
        <f t="shared" ca="1" si="12"/>
        <v>406</v>
      </c>
    </row>
    <row r="190" spans="1:16" s="4" customFormat="1" x14ac:dyDescent="0.35">
      <c r="A190" s="102" t="s">
        <v>179</v>
      </c>
      <c r="B190" s="102"/>
      <c r="C190" s="102"/>
      <c r="D190" s="102"/>
      <c r="E190" s="102"/>
      <c r="F190" s="102"/>
      <c r="G190" s="102"/>
      <c r="H190" s="102"/>
    </row>
    <row r="191" spans="1:16" s="2" customFormat="1" x14ac:dyDescent="0.35">
      <c r="A191" s="141" t="s">
        <v>184</v>
      </c>
      <c r="B191" s="142"/>
      <c r="C191" s="142"/>
      <c r="D191" s="142"/>
      <c r="E191" s="142"/>
      <c r="F191" s="142"/>
      <c r="G191" s="142"/>
      <c r="H191" s="143"/>
      <c r="J191" s="34"/>
    </row>
    <row r="192" spans="1:16" s="2" customFormat="1" ht="15.75" customHeight="1" x14ac:dyDescent="0.35">
      <c r="A192" s="139">
        <v>1</v>
      </c>
      <c r="B192" s="140"/>
      <c r="C192" s="33" t="s">
        <v>191</v>
      </c>
      <c r="D192" s="33">
        <f>22.56*10.764</f>
        <v>242.83583999999996</v>
      </c>
      <c r="E192" s="33">
        <v>0</v>
      </c>
      <c r="F192" s="33">
        <v>360</v>
      </c>
      <c r="G192" s="148" t="str">
        <f>A191</f>
        <v xml:space="preserve">Ground Floor </v>
      </c>
      <c r="H192" s="149"/>
      <c r="I192" s="34"/>
      <c r="J192" s="59">
        <f t="shared" ref="J192:J200" si="14">F192/D192:D192</f>
        <v>1.4824829810953772</v>
      </c>
      <c r="L192" s="176"/>
      <c r="M192" s="176"/>
      <c r="N192" s="34"/>
    </row>
    <row r="193" spans="1:16" s="2" customFormat="1" ht="15.75" customHeight="1" x14ac:dyDescent="0.35">
      <c r="A193" s="139">
        <f t="shared" ref="A193" si="15">A192+1</f>
        <v>2</v>
      </c>
      <c r="B193" s="140"/>
      <c r="C193" s="33" t="s">
        <v>180</v>
      </c>
      <c r="D193" s="33">
        <f>42.54*10.764</f>
        <v>457.90055999999998</v>
      </c>
      <c r="E193" s="33">
        <v>0</v>
      </c>
      <c r="F193" s="33">
        <v>750</v>
      </c>
      <c r="G193" s="152"/>
      <c r="H193" s="153"/>
      <c r="I193" s="34"/>
      <c r="J193" s="59">
        <f t="shared" si="14"/>
        <v>1.6379102047833267</v>
      </c>
      <c r="L193" s="176"/>
      <c r="M193" s="176"/>
      <c r="N193" s="34"/>
    </row>
    <row r="194" spans="1:16" s="2" customFormat="1" x14ac:dyDescent="0.35">
      <c r="A194" s="141" t="s">
        <v>183</v>
      </c>
      <c r="B194" s="142"/>
      <c r="C194" s="142"/>
      <c r="D194" s="142"/>
      <c r="E194" s="142"/>
      <c r="F194" s="142"/>
      <c r="G194" s="142"/>
      <c r="H194" s="143"/>
      <c r="I194" s="34"/>
      <c r="J194" s="59"/>
    </row>
    <row r="195" spans="1:16" s="2" customFormat="1" ht="15.75" customHeight="1" x14ac:dyDescent="0.35">
      <c r="A195" s="138">
        <v>1</v>
      </c>
      <c r="B195" s="138"/>
      <c r="C195" s="68" t="s">
        <v>176</v>
      </c>
      <c r="D195" s="68">
        <f>34.4*10.764</f>
        <v>370.28159999999997</v>
      </c>
      <c r="E195" s="68">
        <v>0</v>
      </c>
      <c r="F195" s="68">
        <v>630</v>
      </c>
      <c r="G195" s="138" t="str">
        <f>A194</f>
        <v xml:space="preserve">1st to 4th Floor </v>
      </c>
      <c r="H195" s="138"/>
      <c r="I195" s="34"/>
      <c r="J195" s="59">
        <f t="shared" si="14"/>
        <v>1.701407793419927</v>
      </c>
      <c r="N195" s="2" t="str">
        <f t="shared" ref="N195:N200" ca="1" si="16">O195&amp;""&amp;" to "&amp;""&amp;P195</f>
        <v>101 to 401</v>
      </c>
      <c r="O195" s="2">
        <f ca="1">(SUMPRODUCT(MID(0&amp;(LEFT(A194,SUM(LEN(A194)-LEN(SUBSTITUTE(A194,{"0","1","2"},""))))), LARGE(INDEX(ISNUMBER(--MID((LEFT(A194,SUM(LEN(A194)-LEN(SUBSTITUTE(A194,{"0","1","2"},""))))), ROW(INDIRECT("1:"&amp;LEN((LEFT(A194,SUM(LEN(A194)-LEN(SUBSTITUTE(A194,{"0","1","2"},"")))))))), 1)) * ROW(INDIRECT("1:"&amp;LEN((LEFT(A194,SUM(LEN(A194)-LEN(SUBSTITUTE(A194,{"0","1","2"},"")))))))), 0), ROW(INDIRECT("1:"&amp;LEN((LEFT(A194,SUM(LEN(A194)-LEN(SUBSTITUTE(A194,{"0","1","2"},"")))))))))+1, 1) * 10^ROW(INDIRECT("1:"&amp;LEN((LEFT(A194,SUM(LEN(A194)-LEN(SUBSTITUTE(A194,{"0","1","2"},""))))))))/10))*100+1</f>
        <v>101</v>
      </c>
      <c r="P195" s="2">
        <f ca="1">(SUMPRODUCT(MID(0&amp;(--TRIM(RIGHT(SUBSTITUTE(LEFT(A194,_xlfn.AGGREGATE(16,6,FIND({0,1,2,3,4,5,6,7,8,9},A194,ROW(INDIRECT("1:"&amp;LEN(A194)))),1))," ",REPT(" ",LEN(A194))),LEN(A194)))), LARGE(INDEX(ISNUMBER(--MID((--TRIM(RIGHT(SUBSTITUTE(LEFT(A194,_xlfn.AGGREGATE(16,6,FIND({0,1,2,3,4,5,6,7,8,9},A194,ROW(INDIRECT("1:"&amp;LEN(A194)))),1))," ",REPT(" ",LEN(A194))),LEN(A194)))), ROW(INDIRECT("1:"&amp;LEN((--TRIM(RIGHT(SUBSTITUTE(LEFT(A194,_xlfn.AGGREGATE(16,6,FIND({0,1,2,3,4,5,6,7,8,9},A194,ROW(INDIRECT("1:"&amp;LEN(A194)))),1))," ",REPT(" ",LEN(A194))),LEN(A194))))))), 1)) * ROW(INDIRECT("1:"&amp;LEN((--TRIM(RIGHT(SUBSTITUTE(LEFT(A194,_xlfn.AGGREGATE(16,6,FIND({0,1,2,3,4,5,6,7,8,9},A194,ROW(INDIRECT("1:"&amp;LEN(A194)))),1))," ",REPT(" ",LEN(A194))),LEN(A194))))))), 0), ROW(INDIRECT("1:"&amp;LEN((--TRIM(RIGHT(SUBSTITUTE(LEFT(A194,_xlfn.AGGREGATE(16,6,FIND({0,1,2,3,4,5,6,7,8,9},A194,ROW(INDIRECT("1:"&amp;LEN(A194)))),1))," ",REPT(" ",LEN(A194))),LEN(A194))))))))+1, 1) * 10^ROW(INDIRECT("1:"&amp;LEN((--TRIM(RIGHT(SUBSTITUTE(LEFT(A194,_xlfn.AGGREGATE(16,6,FIND({0,1,2,3,4,5,6,7,8,9},A194,ROW(INDIRECT("1:"&amp;LEN(A194)))),1))," ",REPT(" ",LEN(A194))),LEN(A194)))))))/10))*100+1</f>
        <v>401</v>
      </c>
    </row>
    <row r="196" spans="1:16" s="2" customFormat="1" ht="15.75" customHeight="1" x14ac:dyDescent="0.35">
      <c r="A196" s="138">
        <v>2</v>
      </c>
      <c r="B196" s="138"/>
      <c r="C196" s="68" t="s">
        <v>180</v>
      </c>
      <c r="D196" s="68">
        <f>42.54*10.764</f>
        <v>457.90055999999998</v>
      </c>
      <c r="E196" s="68">
        <v>0</v>
      </c>
      <c r="F196" s="68">
        <v>750</v>
      </c>
      <c r="G196" s="138"/>
      <c r="H196" s="138"/>
      <c r="I196" s="34"/>
      <c r="J196" s="59">
        <f t="shared" si="14"/>
        <v>1.6379102047833267</v>
      </c>
      <c r="K196" s="2">
        <f>F196*2800</f>
        <v>2100000</v>
      </c>
      <c r="N196" s="2" t="str">
        <f t="shared" ca="1" si="16"/>
        <v>102 to 402</v>
      </c>
      <c r="O196" s="2">
        <f t="shared" ref="O196:P200" ca="1" si="17">O195+1</f>
        <v>102</v>
      </c>
      <c r="P196" s="2">
        <f t="shared" ca="1" si="17"/>
        <v>402</v>
      </c>
    </row>
    <row r="197" spans="1:16" s="2" customFormat="1" ht="15.75" customHeight="1" x14ac:dyDescent="0.35">
      <c r="A197" s="138">
        <v>3</v>
      </c>
      <c r="B197" s="138"/>
      <c r="C197" s="68" t="s">
        <v>180</v>
      </c>
      <c r="D197" s="68">
        <f>42.54*10.764</f>
        <v>457.90055999999998</v>
      </c>
      <c r="E197" s="68">
        <v>0</v>
      </c>
      <c r="F197" s="68">
        <v>750</v>
      </c>
      <c r="G197" s="138"/>
      <c r="H197" s="138"/>
      <c r="I197" s="34"/>
      <c r="J197" s="59">
        <f t="shared" si="14"/>
        <v>1.6379102047833267</v>
      </c>
      <c r="N197" s="2" t="str">
        <f t="shared" ca="1" si="16"/>
        <v>103 to 403</v>
      </c>
      <c r="O197" s="2">
        <f t="shared" ca="1" si="17"/>
        <v>103</v>
      </c>
      <c r="P197" s="2">
        <f t="shared" ca="1" si="17"/>
        <v>403</v>
      </c>
    </row>
    <row r="198" spans="1:16" s="2" customFormat="1" ht="15.75" customHeight="1" x14ac:dyDescent="0.35">
      <c r="A198" s="138">
        <v>4</v>
      </c>
      <c r="B198" s="138"/>
      <c r="C198" s="68" t="s">
        <v>176</v>
      </c>
      <c r="D198" s="68">
        <f>33.75*10.764</f>
        <v>363.28499999999997</v>
      </c>
      <c r="E198" s="68">
        <v>0</v>
      </c>
      <c r="F198" s="68">
        <v>630</v>
      </c>
      <c r="G198" s="138"/>
      <c r="H198" s="138"/>
      <c r="I198" s="34"/>
      <c r="J198" s="59">
        <f t="shared" si="14"/>
        <v>1.7341756472191256</v>
      </c>
      <c r="N198" s="2" t="str">
        <f t="shared" ca="1" si="16"/>
        <v>104 to 404</v>
      </c>
      <c r="O198" s="2">
        <f t="shared" ca="1" si="17"/>
        <v>104</v>
      </c>
      <c r="P198" s="2">
        <f t="shared" ca="1" si="17"/>
        <v>404</v>
      </c>
    </row>
    <row r="199" spans="1:16" s="2" customFormat="1" ht="15.75" customHeight="1" x14ac:dyDescent="0.35">
      <c r="A199" s="138">
        <v>5</v>
      </c>
      <c r="B199" s="138"/>
      <c r="C199" s="68" t="s">
        <v>176</v>
      </c>
      <c r="D199" s="68">
        <f>33.75*10.764</f>
        <v>363.28499999999997</v>
      </c>
      <c r="E199" s="68">
        <v>0</v>
      </c>
      <c r="F199" s="68">
        <v>630</v>
      </c>
      <c r="G199" s="138"/>
      <c r="H199" s="138"/>
      <c r="I199" s="34"/>
      <c r="J199" s="59">
        <f t="shared" si="14"/>
        <v>1.7341756472191256</v>
      </c>
      <c r="N199" s="2" t="str">
        <f t="shared" ca="1" si="16"/>
        <v>105 to 405</v>
      </c>
      <c r="O199" s="2">
        <f t="shared" ca="1" si="17"/>
        <v>105</v>
      </c>
      <c r="P199" s="2">
        <f t="shared" ca="1" si="17"/>
        <v>405</v>
      </c>
    </row>
    <row r="200" spans="1:16" s="2" customFormat="1" ht="15.75" customHeight="1" x14ac:dyDescent="0.35">
      <c r="A200" s="138">
        <v>6</v>
      </c>
      <c r="B200" s="138"/>
      <c r="C200" s="68" t="s">
        <v>176</v>
      </c>
      <c r="D200" s="68">
        <f>33.38*10.764</f>
        <v>359.30232000000001</v>
      </c>
      <c r="E200" s="68">
        <v>0</v>
      </c>
      <c r="F200" s="68">
        <v>610</v>
      </c>
      <c r="G200" s="138"/>
      <c r="H200" s="138"/>
      <c r="I200" s="34"/>
      <c r="J200" s="59">
        <f t="shared" si="14"/>
        <v>1.6977346542042924</v>
      </c>
      <c r="L200" s="2">
        <f>2800*750</f>
        <v>2100000</v>
      </c>
      <c r="N200" s="2" t="str">
        <f t="shared" ca="1" si="16"/>
        <v>106 to 406</v>
      </c>
      <c r="O200" s="2">
        <f t="shared" ca="1" si="17"/>
        <v>106</v>
      </c>
      <c r="P200" s="2">
        <f t="shared" ca="1" si="17"/>
        <v>406</v>
      </c>
    </row>
    <row r="201" spans="1:16" s="1" customFormat="1" x14ac:dyDescent="0.35">
      <c r="A201" s="147" t="s">
        <v>73</v>
      </c>
      <c r="B201" s="147"/>
      <c r="C201" s="147"/>
      <c r="D201" s="147"/>
      <c r="E201" s="147"/>
      <c r="F201" s="147"/>
      <c r="G201" s="147"/>
      <c r="H201" s="147"/>
    </row>
    <row r="202" spans="1:16" s="1" customFormat="1" ht="33" customHeight="1" x14ac:dyDescent="0.35">
      <c r="A202" s="67" t="s">
        <v>199</v>
      </c>
      <c r="B202" s="181" t="s">
        <v>213</v>
      </c>
      <c r="C202" s="181"/>
      <c r="D202" s="181"/>
      <c r="E202" s="181"/>
      <c r="F202" s="181"/>
      <c r="G202" s="181"/>
      <c r="H202" s="181"/>
    </row>
    <row r="203" spans="1:16" s="1" customFormat="1" x14ac:dyDescent="0.35">
      <c r="A203" s="67" t="s">
        <v>199</v>
      </c>
      <c r="B203" s="181" t="str">
        <f>(IF(F170="Saleable area Loading :","We have considered Saleable area of Flats as per our Calculation.","We considered Saleable area of Flat as per Builder area Sheet."))</f>
        <v>We considered Saleable area of Flat as per Builder area Sheet.</v>
      </c>
      <c r="C203" s="181"/>
      <c r="D203" s="181"/>
      <c r="E203" s="181"/>
      <c r="F203" s="181"/>
      <c r="G203" s="181"/>
      <c r="H203" s="181"/>
    </row>
    <row r="204" spans="1:16" s="1" customFormat="1" x14ac:dyDescent="0.35">
      <c r="A204" s="67" t="s">
        <v>199</v>
      </c>
      <c r="B204" s="181" t="str">
        <f>(IF(F134="Saleable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04" s="181"/>
      <c r="D204" s="181"/>
      <c r="E204" s="181"/>
      <c r="F204" s="181"/>
      <c r="G204" s="181"/>
      <c r="H204" s="181"/>
    </row>
    <row r="205" spans="1:16" s="1" customFormat="1" x14ac:dyDescent="0.35">
      <c r="A205" s="67" t="s">
        <v>199</v>
      </c>
      <c r="B205" s="182" t="s">
        <v>135</v>
      </c>
      <c r="C205" s="182"/>
      <c r="D205" s="182"/>
      <c r="E205" s="182"/>
      <c r="F205" s="182"/>
      <c r="G205" s="182"/>
      <c r="H205" s="182"/>
    </row>
    <row r="206" spans="1:16" s="1" customFormat="1" x14ac:dyDescent="0.35">
      <c r="A206" s="67" t="s">
        <v>199</v>
      </c>
      <c r="B206" s="182" t="s">
        <v>181</v>
      </c>
      <c r="C206" s="182"/>
      <c r="D206" s="182"/>
      <c r="E206" s="182"/>
      <c r="F206" s="182"/>
      <c r="G206" s="182"/>
      <c r="H206" s="182"/>
    </row>
    <row r="207" spans="1:16" s="1" customFormat="1" x14ac:dyDescent="0.35">
      <c r="A207" s="38" t="s">
        <v>199</v>
      </c>
      <c r="B207" s="173" t="s">
        <v>136</v>
      </c>
      <c r="C207" s="174"/>
      <c r="D207" s="174"/>
      <c r="E207" s="174"/>
      <c r="F207" s="174"/>
      <c r="G207" s="174"/>
      <c r="H207" s="175"/>
    </row>
    <row r="208" spans="1:16" s="1" customFormat="1" x14ac:dyDescent="0.35">
      <c r="A208" s="38" t="s">
        <v>199</v>
      </c>
      <c r="B208" s="173" t="s">
        <v>137</v>
      </c>
      <c r="C208" s="174"/>
      <c r="D208" s="174"/>
      <c r="E208" s="174"/>
      <c r="F208" s="174"/>
      <c r="G208" s="174"/>
      <c r="H208" s="175"/>
    </row>
    <row r="209" spans="1:8" s="1" customFormat="1" x14ac:dyDescent="0.35">
      <c r="A209" s="38" t="s">
        <v>199</v>
      </c>
      <c r="B209" s="69" t="s">
        <v>215</v>
      </c>
      <c r="C209" s="70"/>
      <c r="D209" s="70"/>
      <c r="E209" s="70"/>
      <c r="F209" s="70"/>
      <c r="G209" s="70"/>
      <c r="H209" s="71"/>
    </row>
    <row r="210" spans="1:8" s="1" customFormat="1" x14ac:dyDescent="0.35">
      <c r="A210" s="63" t="s">
        <v>199</v>
      </c>
      <c r="B210" s="69" t="s">
        <v>212</v>
      </c>
      <c r="C210" s="70"/>
      <c r="D210" s="70"/>
      <c r="E210" s="70"/>
      <c r="F210" s="70"/>
      <c r="G210" s="70"/>
      <c r="H210" s="71"/>
    </row>
    <row r="211" spans="1:8" s="1" customFormat="1" ht="33" customHeight="1" x14ac:dyDescent="0.35">
      <c r="A211" s="67" t="s">
        <v>199</v>
      </c>
      <c r="B211" s="184" t="s">
        <v>214</v>
      </c>
      <c r="C211" s="185"/>
      <c r="D211" s="185"/>
      <c r="E211" s="185"/>
      <c r="F211" s="185"/>
      <c r="G211" s="185"/>
      <c r="H211" s="186"/>
    </row>
    <row r="212" spans="1:8" x14ac:dyDescent="0.35">
      <c r="A212" s="133" t="s">
        <v>66</v>
      </c>
      <c r="B212" s="133"/>
      <c r="C212" s="133"/>
      <c r="D212" s="133"/>
      <c r="E212" s="133"/>
      <c r="F212" s="133"/>
      <c r="G212" s="133"/>
      <c r="H212" s="133"/>
    </row>
    <row r="213" spans="1:8" x14ac:dyDescent="0.35">
      <c r="A213" s="88" t="s">
        <v>67</v>
      </c>
      <c r="B213" s="88"/>
      <c r="C213" s="88"/>
      <c r="D213" s="88"/>
      <c r="E213" s="88"/>
      <c r="F213" s="88"/>
      <c r="G213" s="88"/>
      <c r="H213" s="88"/>
    </row>
    <row r="214" spans="1:8" ht="15.75" customHeight="1" x14ac:dyDescent="0.35">
      <c r="A214" s="137" t="s">
        <v>68</v>
      </c>
      <c r="B214" s="137"/>
      <c r="C214" s="137"/>
      <c r="D214" s="137"/>
      <c r="E214" s="137"/>
      <c r="F214" s="137"/>
      <c r="G214" s="137"/>
      <c r="H214" s="137"/>
    </row>
    <row r="215" spans="1:8" x14ac:dyDescent="0.35">
      <c r="A215" s="88" t="s">
        <v>69</v>
      </c>
      <c r="B215" s="88"/>
      <c r="C215" s="88"/>
      <c r="D215" s="88"/>
      <c r="E215" s="88"/>
      <c r="F215" s="88"/>
      <c r="G215" s="88"/>
      <c r="H215" s="88"/>
    </row>
    <row r="216" spans="1:8" x14ac:dyDescent="0.35">
      <c r="A216" s="88" t="s">
        <v>70</v>
      </c>
      <c r="B216" s="88"/>
      <c r="C216" s="88"/>
      <c r="D216" s="88"/>
      <c r="E216" s="88"/>
      <c r="F216" s="88"/>
      <c r="G216" s="88"/>
      <c r="H216" s="88"/>
    </row>
    <row r="217" spans="1:8" x14ac:dyDescent="0.35">
      <c r="A217" s="88" t="s">
        <v>138</v>
      </c>
      <c r="B217" s="88"/>
      <c r="C217" s="88"/>
      <c r="D217" s="88"/>
      <c r="E217" s="88"/>
      <c r="F217" s="88"/>
      <c r="G217" s="88"/>
      <c r="H217" s="88"/>
    </row>
    <row r="218" spans="1:8" ht="35.25" customHeight="1" x14ac:dyDescent="0.35">
      <c r="A218" s="112" t="s">
        <v>139</v>
      </c>
      <c r="B218" s="112"/>
      <c r="C218" s="112"/>
      <c r="D218" s="112"/>
      <c r="E218" s="112"/>
      <c r="F218" s="112"/>
      <c r="G218" s="112"/>
      <c r="H218" s="112"/>
    </row>
    <row r="219" spans="1:8" x14ac:dyDescent="0.35">
      <c r="A219" s="145" t="s">
        <v>83</v>
      </c>
      <c r="B219" s="145"/>
      <c r="C219" s="145" t="s">
        <v>217</v>
      </c>
      <c r="D219" s="145"/>
      <c r="E219" s="145" t="s">
        <v>116</v>
      </c>
      <c r="F219" s="145"/>
      <c r="G219" s="145" t="s">
        <v>216</v>
      </c>
      <c r="H219" s="145"/>
    </row>
    <row r="220" spans="1:8" x14ac:dyDescent="0.35">
      <c r="A220" s="144" t="s">
        <v>85</v>
      </c>
      <c r="B220" s="144"/>
      <c r="C220" s="144"/>
      <c r="D220" s="144"/>
      <c r="E220" s="144"/>
      <c r="F220" s="144"/>
      <c r="G220" s="144"/>
      <c r="H220" s="144"/>
    </row>
    <row r="221" spans="1:8" x14ac:dyDescent="0.35">
      <c r="A221" s="144"/>
      <c r="B221" s="144"/>
      <c r="C221" s="144"/>
      <c r="D221" s="144"/>
      <c r="E221" s="144"/>
      <c r="F221" s="144"/>
      <c r="G221" s="144"/>
      <c r="H221" s="144"/>
    </row>
    <row r="222" spans="1:8" x14ac:dyDescent="0.35">
      <c r="A222" s="144"/>
      <c r="B222" s="144"/>
      <c r="C222" s="144"/>
      <c r="D222" s="144"/>
      <c r="E222" s="144"/>
      <c r="F222" s="144"/>
      <c r="G222" s="144"/>
      <c r="H222" s="144"/>
    </row>
    <row r="223" spans="1:8" x14ac:dyDescent="0.35">
      <c r="A223" s="144"/>
      <c r="B223" s="144"/>
      <c r="C223" s="144"/>
      <c r="D223" s="144"/>
      <c r="E223" s="144"/>
      <c r="F223" s="144"/>
      <c r="G223" s="144"/>
      <c r="H223" s="144"/>
    </row>
    <row r="224" spans="1:8" x14ac:dyDescent="0.35">
      <c r="A224" s="11" t="s">
        <v>71</v>
      </c>
      <c r="B224" s="12"/>
      <c r="C224" s="12"/>
      <c r="D224" s="11" t="str">
        <f>E8</f>
        <v>Parasnath Nagari</v>
      </c>
      <c r="F224" s="12"/>
      <c r="G224" s="12"/>
      <c r="H224" s="12"/>
    </row>
    <row r="225" spans="1:8" x14ac:dyDescent="0.35">
      <c r="A225" s="12"/>
      <c r="B225" s="12"/>
      <c r="C225" s="12"/>
      <c r="D225" s="12"/>
      <c r="E225" s="12"/>
      <c r="F225" s="12"/>
      <c r="G225" s="12"/>
      <c r="H225" s="12"/>
    </row>
    <row r="226" spans="1:8" x14ac:dyDescent="0.35">
      <c r="A226" s="12"/>
      <c r="B226" s="12"/>
      <c r="C226" s="12"/>
      <c r="D226" s="12"/>
      <c r="E226" s="12"/>
      <c r="F226" s="12"/>
      <c r="G226" s="12"/>
      <c r="H226" s="12"/>
    </row>
    <row r="227" spans="1:8" ht="15" customHeight="1" x14ac:dyDescent="0.35"/>
    <row r="267" spans="1:8" x14ac:dyDescent="0.35">
      <c r="A267" s="11" t="s">
        <v>71</v>
      </c>
      <c r="B267" s="12"/>
      <c r="C267" s="12"/>
      <c r="D267" s="11" t="str">
        <f>E8</f>
        <v>Parasnath Nagari</v>
      </c>
      <c r="F267" s="12"/>
      <c r="G267" s="12"/>
      <c r="H267" s="12"/>
    </row>
    <row r="268" spans="1:8" x14ac:dyDescent="0.35">
      <c r="A268" s="12"/>
      <c r="B268" s="12"/>
      <c r="C268" s="12"/>
      <c r="D268" s="12"/>
      <c r="E268" s="12"/>
      <c r="F268" s="12"/>
      <c r="G268" s="12"/>
      <c r="H268" s="12"/>
    </row>
    <row r="269" spans="1:8" x14ac:dyDescent="0.35">
      <c r="A269" s="12"/>
      <c r="B269" s="12"/>
      <c r="C269" s="12"/>
      <c r="D269" s="12"/>
      <c r="E269" s="12"/>
      <c r="F269" s="12"/>
      <c r="G269" s="12"/>
      <c r="H269" s="12"/>
    </row>
    <row r="270" spans="1:8" ht="15" customHeight="1" x14ac:dyDescent="0.35"/>
    <row r="308" spans="1:1" x14ac:dyDescent="0.35">
      <c r="A308" s="14" t="s">
        <v>72</v>
      </c>
    </row>
  </sheetData>
  <mergeCells count="393">
    <mergeCell ref="B210:H210"/>
    <mergeCell ref="A181:B181"/>
    <mergeCell ref="A176:B176"/>
    <mergeCell ref="G176:H181"/>
    <mergeCell ref="A177:B177"/>
    <mergeCell ref="A178:B178"/>
    <mergeCell ref="B209:H209"/>
    <mergeCell ref="L173:M173"/>
    <mergeCell ref="A174:B174"/>
    <mergeCell ref="L174:M174"/>
    <mergeCell ref="G173:H174"/>
    <mergeCell ref="L192:M192"/>
    <mergeCell ref="A193:B193"/>
    <mergeCell ref="L193:M193"/>
    <mergeCell ref="G192:H193"/>
    <mergeCell ref="A182:H182"/>
    <mergeCell ref="A183:H183"/>
    <mergeCell ref="B207:H207"/>
    <mergeCell ref="B204:H204"/>
    <mergeCell ref="B202:H202"/>
    <mergeCell ref="B203:H203"/>
    <mergeCell ref="B205:H205"/>
    <mergeCell ref="B206:H206"/>
    <mergeCell ref="A187:B187"/>
    <mergeCell ref="A180:B180"/>
    <mergeCell ref="L159:M159"/>
    <mergeCell ref="G147:H159"/>
    <mergeCell ref="L162:M162"/>
    <mergeCell ref="L163:M163"/>
    <mergeCell ref="L164:M164"/>
    <mergeCell ref="L165:M165"/>
    <mergeCell ref="L154:M154"/>
    <mergeCell ref="A155:B155"/>
    <mergeCell ref="L155:M155"/>
    <mergeCell ref="A156:B156"/>
    <mergeCell ref="L156:M156"/>
    <mergeCell ref="A157:B157"/>
    <mergeCell ref="L157:M157"/>
    <mergeCell ref="A158:B158"/>
    <mergeCell ref="L158:M158"/>
    <mergeCell ref="A159:B159"/>
    <mergeCell ref="A150:B150"/>
    <mergeCell ref="L150:M150"/>
    <mergeCell ref="L151:M151"/>
    <mergeCell ref="A160:H160"/>
    <mergeCell ref="A161:H161"/>
    <mergeCell ref="A162:B162"/>
    <mergeCell ref="A171:H171"/>
    <mergeCell ref="A172:H172"/>
    <mergeCell ref="A173:B173"/>
    <mergeCell ref="L166:M166"/>
    <mergeCell ref="A167:B167"/>
    <mergeCell ref="L167:M167"/>
    <mergeCell ref="A168:B168"/>
    <mergeCell ref="L168:M168"/>
    <mergeCell ref="A169:H169"/>
    <mergeCell ref="G162:H168"/>
    <mergeCell ref="A163:B163"/>
    <mergeCell ref="A164:B164"/>
    <mergeCell ref="A165:B165"/>
    <mergeCell ref="A166:B166"/>
    <mergeCell ref="A179:B179"/>
    <mergeCell ref="B208:H208"/>
    <mergeCell ref="A147:B147"/>
    <mergeCell ref="A132:H132"/>
    <mergeCell ref="A152:B152"/>
    <mergeCell ref="L152:M152"/>
    <mergeCell ref="A153:B153"/>
    <mergeCell ref="L153:M153"/>
    <mergeCell ref="A154:B154"/>
    <mergeCell ref="A175:H175"/>
    <mergeCell ref="G170:H170"/>
    <mergeCell ref="L144:M144"/>
    <mergeCell ref="L143:M143"/>
    <mergeCell ref="L142:M142"/>
    <mergeCell ref="L141:M141"/>
    <mergeCell ref="L140:M140"/>
    <mergeCell ref="L147:M147"/>
    <mergeCell ref="A148:B148"/>
    <mergeCell ref="L148:M148"/>
    <mergeCell ref="A149:B149"/>
    <mergeCell ref="L149:M149"/>
    <mergeCell ref="L139:M139"/>
    <mergeCell ref="L138:M138"/>
    <mergeCell ref="A194:H194"/>
    <mergeCell ref="A78:B78"/>
    <mergeCell ref="C78:H78"/>
    <mergeCell ref="A73:B73"/>
    <mergeCell ref="A45:B45"/>
    <mergeCell ref="C45:E45"/>
    <mergeCell ref="G45:H45"/>
    <mergeCell ref="G47:H47"/>
    <mergeCell ref="D51:H51"/>
    <mergeCell ref="C47:E47"/>
    <mergeCell ref="A54:C56"/>
    <mergeCell ref="D54:H54"/>
    <mergeCell ref="D55:H55"/>
    <mergeCell ref="C46:E46"/>
    <mergeCell ref="A49:B49"/>
    <mergeCell ref="A72:B72"/>
    <mergeCell ref="A75:B75"/>
    <mergeCell ref="A51:C51"/>
    <mergeCell ref="A52:C52"/>
    <mergeCell ref="A59:C59"/>
    <mergeCell ref="D59:H59"/>
    <mergeCell ref="C66:H66"/>
    <mergeCell ref="E67:F67"/>
    <mergeCell ref="G46:H46"/>
    <mergeCell ref="A47:B48"/>
    <mergeCell ref="B134:B135"/>
    <mergeCell ref="A134:A135"/>
    <mergeCell ref="C134:C135"/>
    <mergeCell ref="C128:D128"/>
    <mergeCell ref="E128:F128"/>
    <mergeCell ref="G128:H128"/>
    <mergeCell ref="F113:H113"/>
    <mergeCell ref="A143:B143"/>
    <mergeCell ref="G138:H144"/>
    <mergeCell ref="A144:B144"/>
    <mergeCell ref="A138:B138"/>
    <mergeCell ref="A139:B139"/>
    <mergeCell ref="A140:B140"/>
    <mergeCell ref="A141:B141"/>
    <mergeCell ref="A142:B142"/>
    <mergeCell ref="C121:D121"/>
    <mergeCell ref="A137:H137"/>
    <mergeCell ref="E134:E135"/>
    <mergeCell ref="G134:H135"/>
    <mergeCell ref="A136:H136"/>
    <mergeCell ref="A117:E117"/>
    <mergeCell ref="A113:E113"/>
    <mergeCell ref="A115:E115"/>
    <mergeCell ref="A82:B82"/>
    <mergeCell ref="E82:F91"/>
    <mergeCell ref="G68:H77"/>
    <mergeCell ref="A76:B76"/>
    <mergeCell ref="A77:B77"/>
    <mergeCell ref="A127:B127"/>
    <mergeCell ref="A86:B86"/>
    <mergeCell ref="A87:B87"/>
    <mergeCell ref="A88:B88"/>
    <mergeCell ref="A69:B69"/>
    <mergeCell ref="A71:B71"/>
    <mergeCell ref="C94:H94"/>
    <mergeCell ref="A95:B95"/>
    <mergeCell ref="E95:F95"/>
    <mergeCell ref="G95:H95"/>
    <mergeCell ref="A96:B96"/>
    <mergeCell ref="G96:H105"/>
    <mergeCell ref="A80:B80"/>
    <mergeCell ref="C80:H80"/>
    <mergeCell ref="A81:B81"/>
    <mergeCell ref="E81:F81"/>
    <mergeCell ref="G81:H81"/>
    <mergeCell ref="A112:E112"/>
    <mergeCell ref="F112:H112"/>
    <mergeCell ref="A220:H223"/>
    <mergeCell ref="A219:B219"/>
    <mergeCell ref="E219:F219"/>
    <mergeCell ref="C219:D219"/>
    <mergeCell ref="G219:H219"/>
    <mergeCell ref="A120:H120"/>
    <mergeCell ref="A118:E118"/>
    <mergeCell ref="F118:H118"/>
    <mergeCell ref="A119:E119"/>
    <mergeCell ref="F119:H119"/>
    <mergeCell ref="A128:B128"/>
    <mergeCell ref="A122:B122"/>
    <mergeCell ref="A215:H215"/>
    <mergeCell ref="A126:H126"/>
    <mergeCell ref="A218:H218"/>
    <mergeCell ref="A216:H216"/>
    <mergeCell ref="A201:H201"/>
    <mergeCell ref="A121:B121"/>
    <mergeCell ref="A184:B184"/>
    <mergeCell ref="G184:H189"/>
    <mergeCell ref="A185:B185"/>
    <mergeCell ref="A151:B151"/>
    <mergeCell ref="A145:H145"/>
    <mergeCell ref="A146:H146"/>
    <mergeCell ref="A217:H217"/>
    <mergeCell ref="A214:H214"/>
    <mergeCell ref="A212:H212"/>
    <mergeCell ref="A213:H213"/>
    <mergeCell ref="E127:F127"/>
    <mergeCell ref="E121:F121"/>
    <mergeCell ref="A131:B131"/>
    <mergeCell ref="A195:B195"/>
    <mergeCell ref="G195:H200"/>
    <mergeCell ref="A196:B196"/>
    <mergeCell ref="A197:B197"/>
    <mergeCell ref="A198:B198"/>
    <mergeCell ref="A186:B186"/>
    <mergeCell ref="A199:B199"/>
    <mergeCell ref="A200:B200"/>
    <mergeCell ref="A190:H190"/>
    <mergeCell ref="A191:H191"/>
    <mergeCell ref="A192:B192"/>
    <mergeCell ref="A188:B188"/>
    <mergeCell ref="A189:B189"/>
    <mergeCell ref="G129:H129"/>
    <mergeCell ref="A123:B123"/>
    <mergeCell ref="E129:F129"/>
    <mergeCell ref="G122:H122"/>
    <mergeCell ref="C49:E49"/>
    <mergeCell ref="A46:B46"/>
    <mergeCell ref="A50:H50"/>
    <mergeCell ref="A60:C60"/>
    <mergeCell ref="A66:B6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40:D40"/>
    <mergeCell ref="E40:H40"/>
    <mergeCell ref="E41:H41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30:B30"/>
    <mergeCell ref="A29:B29"/>
    <mergeCell ref="C30:E30"/>
    <mergeCell ref="A31:B31"/>
    <mergeCell ref="C31:E31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F30:H30"/>
    <mergeCell ref="F31:H31"/>
    <mergeCell ref="A37:H37"/>
    <mergeCell ref="D52:H52"/>
    <mergeCell ref="G49:H49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C29:E29"/>
    <mergeCell ref="F32:H32"/>
    <mergeCell ref="F29:H29"/>
    <mergeCell ref="C48:H48"/>
    <mergeCell ref="F33:H33"/>
    <mergeCell ref="A35:B35"/>
    <mergeCell ref="E39:H39"/>
    <mergeCell ref="A39:D39"/>
    <mergeCell ref="A34:H34"/>
    <mergeCell ref="A33:B33"/>
    <mergeCell ref="C33:E33"/>
    <mergeCell ref="A38:D38"/>
    <mergeCell ref="E38:H38"/>
    <mergeCell ref="E42:H42"/>
    <mergeCell ref="E43:H43"/>
    <mergeCell ref="A41:D41"/>
    <mergeCell ref="A42:D42"/>
    <mergeCell ref="A43:D43"/>
    <mergeCell ref="A44:H44"/>
    <mergeCell ref="C35:H35"/>
    <mergeCell ref="A36:B36"/>
    <mergeCell ref="C36:H36"/>
    <mergeCell ref="D58:H58"/>
    <mergeCell ref="D53:H53"/>
    <mergeCell ref="A53:C53"/>
    <mergeCell ref="A74:B74"/>
    <mergeCell ref="A67:B67"/>
    <mergeCell ref="A70:B70"/>
    <mergeCell ref="A62:C62"/>
    <mergeCell ref="D62:H62"/>
    <mergeCell ref="A68:B68"/>
    <mergeCell ref="G67:H67"/>
    <mergeCell ref="E68:F77"/>
    <mergeCell ref="A64:B64"/>
    <mergeCell ref="C64:H64"/>
    <mergeCell ref="A61:C61"/>
    <mergeCell ref="D61:H61"/>
    <mergeCell ref="D60:H60"/>
    <mergeCell ref="A63:C63"/>
    <mergeCell ref="D63:H63"/>
    <mergeCell ref="D56:H56"/>
    <mergeCell ref="A57:C57"/>
    <mergeCell ref="A58:C58"/>
    <mergeCell ref="D57:H57"/>
    <mergeCell ref="C129:D129"/>
    <mergeCell ref="F109:H109"/>
    <mergeCell ref="A114:E114"/>
    <mergeCell ref="A99:B99"/>
    <mergeCell ref="A100:B100"/>
    <mergeCell ref="A101:B101"/>
    <mergeCell ref="A103:B103"/>
    <mergeCell ref="A104:B104"/>
    <mergeCell ref="A109:E109"/>
    <mergeCell ref="E96:F105"/>
    <mergeCell ref="F114:H114"/>
    <mergeCell ref="A97:B97"/>
    <mergeCell ref="A98:B98"/>
    <mergeCell ref="A105:B105"/>
    <mergeCell ref="A107:E107"/>
    <mergeCell ref="A102:B102"/>
    <mergeCell ref="F107:H107"/>
    <mergeCell ref="A90:B90"/>
    <mergeCell ref="A91:B91"/>
    <mergeCell ref="A92:B92"/>
    <mergeCell ref="C92:H92"/>
    <mergeCell ref="A106:H106"/>
    <mergeCell ref="D134:D135"/>
    <mergeCell ref="A110:E110"/>
    <mergeCell ref="A111:E111"/>
    <mergeCell ref="F111:H111"/>
    <mergeCell ref="F110:H110"/>
    <mergeCell ref="F116:H116"/>
    <mergeCell ref="F117:H117"/>
    <mergeCell ref="F115:H115"/>
    <mergeCell ref="A133:H133"/>
    <mergeCell ref="G121:H121"/>
    <mergeCell ref="A116:E116"/>
    <mergeCell ref="C122:D122"/>
    <mergeCell ref="E122:F122"/>
    <mergeCell ref="C130:D130"/>
    <mergeCell ref="E130:F130"/>
    <mergeCell ref="G130:H130"/>
    <mergeCell ref="C127:D127"/>
    <mergeCell ref="G127:H127"/>
    <mergeCell ref="A129:B129"/>
    <mergeCell ref="B211:H211"/>
    <mergeCell ref="A94:B94"/>
    <mergeCell ref="C123:D123"/>
    <mergeCell ref="C131:D131"/>
    <mergeCell ref="E131:F131"/>
    <mergeCell ref="G131:H131"/>
    <mergeCell ref="A130:B130"/>
    <mergeCell ref="G82:H91"/>
    <mergeCell ref="A83:B83"/>
    <mergeCell ref="A84:B84"/>
    <mergeCell ref="A85:B85"/>
    <mergeCell ref="F108:H108"/>
    <mergeCell ref="A108:E108"/>
    <mergeCell ref="E123:F123"/>
    <mergeCell ref="G123:H123"/>
    <mergeCell ref="A124:B124"/>
    <mergeCell ref="C124:D124"/>
    <mergeCell ref="E124:F124"/>
    <mergeCell ref="G124:H124"/>
    <mergeCell ref="A125:B125"/>
    <mergeCell ref="C125:D125"/>
    <mergeCell ref="E125:F125"/>
    <mergeCell ref="G125:H125"/>
    <mergeCell ref="A89:B89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3" max="16383" man="1"/>
    <brk id="200" max="16383" man="1"/>
    <brk id="223" max="16383" man="1"/>
    <brk id="265" max="16383" man="1"/>
    <brk id="30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5" sqref="B15"/>
    </sheetView>
  </sheetViews>
  <sheetFormatPr defaultColWidth="8.7265625" defaultRowHeight="14.5" x14ac:dyDescent="0.35"/>
  <cols>
    <col min="1" max="1" width="8.7265625" style="19"/>
    <col min="2" max="2" width="22.1796875" style="19" customWidth="1"/>
    <col min="3" max="3" width="37" style="19" customWidth="1"/>
    <col min="4" max="5" width="11.453125" style="19" customWidth="1"/>
    <col min="6" max="6" width="14" style="19" customWidth="1"/>
    <col min="7" max="7" width="20" style="19" customWidth="1"/>
    <col min="8" max="8" width="16.453125" style="19" customWidth="1"/>
    <col min="9" max="16384" width="8.7265625" style="19"/>
  </cols>
  <sheetData>
    <row r="1" spans="1:9" ht="15" customHeight="1" x14ac:dyDescent="0.35"/>
    <row r="2" spans="1:9" ht="15" customHeight="1" x14ac:dyDescent="0.35">
      <c r="A2" s="20"/>
      <c r="B2" s="20"/>
      <c r="C2" s="20"/>
      <c r="D2" s="20"/>
      <c r="E2" s="20"/>
      <c r="F2" s="20"/>
      <c r="G2" s="20"/>
      <c r="H2" s="20"/>
    </row>
    <row r="3" spans="1:9" ht="15.75" customHeight="1" x14ac:dyDescent="0.35">
      <c r="A3" s="20"/>
      <c r="B3" s="183" t="s">
        <v>117</v>
      </c>
      <c r="C3" s="183"/>
      <c r="D3" s="183"/>
      <c r="E3" s="183"/>
      <c r="F3" s="183"/>
      <c r="G3" s="183"/>
      <c r="H3" s="183"/>
    </row>
    <row r="4" spans="1:9" x14ac:dyDescent="0.35">
      <c r="A4" s="20"/>
      <c r="B4" s="21" t="s">
        <v>118</v>
      </c>
      <c r="C4" s="21" t="s">
        <v>119</v>
      </c>
      <c r="D4" s="21" t="s">
        <v>74</v>
      </c>
      <c r="E4" s="21" t="s">
        <v>120</v>
      </c>
      <c r="F4" s="21" t="s">
        <v>126</v>
      </c>
      <c r="G4" s="21" t="s">
        <v>127</v>
      </c>
      <c r="H4" s="21" t="s">
        <v>121</v>
      </c>
    </row>
    <row r="5" spans="1:9" ht="15" customHeight="1" x14ac:dyDescent="0.35">
      <c r="A5" s="20"/>
      <c r="B5" s="23" t="s">
        <v>122</v>
      </c>
      <c r="C5" s="24"/>
      <c r="D5" s="23"/>
      <c r="E5" s="23"/>
      <c r="F5" s="25">
        <f>E5*1.6</f>
        <v>0</v>
      </c>
      <c r="G5" s="25" t="e">
        <f>H5/F5</f>
        <v>#DIV/0!</v>
      </c>
      <c r="H5" s="26"/>
    </row>
    <row r="6" spans="1:9" x14ac:dyDescent="0.35">
      <c r="A6" s="20"/>
      <c r="B6" s="23" t="s">
        <v>122</v>
      </c>
      <c r="C6" s="27"/>
      <c r="D6" s="23"/>
      <c r="E6" s="23"/>
      <c r="F6" s="25">
        <f t="shared" ref="F6:F11" si="0">E6*1.6</f>
        <v>0</v>
      </c>
      <c r="G6" s="25" t="e">
        <f t="shared" ref="G6:G11" si="1">H6/F6</f>
        <v>#DIV/0!</v>
      </c>
      <c r="H6" s="26"/>
    </row>
    <row r="7" spans="1:9" ht="15" customHeight="1" x14ac:dyDescent="0.35">
      <c r="A7" s="20"/>
      <c r="B7" s="23" t="s">
        <v>122</v>
      </c>
      <c r="C7" s="24"/>
      <c r="D7" s="23"/>
      <c r="E7" s="23"/>
      <c r="F7" s="25">
        <f t="shared" si="0"/>
        <v>0</v>
      </c>
      <c r="G7" s="25" t="e">
        <f t="shared" si="1"/>
        <v>#DIV/0!</v>
      </c>
      <c r="H7" s="26"/>
    </row>
    <row r="8" spans="1:9" x14ac:dyDescent="0.35">
      <c r="A8" s="20"/>
      <c r="B8" s="23" t="s">
        <v>122</v>
      </c>
      <c r="C8" s="27"/>
      <c r="D8" s="23"/>
      <c r="E8" s="23"/>
      <c r="F8" s="25">
        <f t="shared" si="0"/>
        <v>0</v>
      </c>
      <c r="G8" s="25" t="e">
        <f t="shared" si="1"/>
        <v>#DIV/0!</v>
      </c>
      <c r="H8" s="26"/>
    </row>
    <row r="9" spans="1:9" ht="15" customHeight="1" x14ac:dyDescent="0.35">
      <c r="A9" s="20"/>
      <c r="B9" s="23" t="s">
        <v>122</v>
      </c>
      <c r="C9" s="27"/>
      <c r="D9" s="23"/>
      <c r="E9" s="23"/>
      <c r="F9" s="25">
        <f t="shared" si="0"/>
        <v>0</v>
      </c>
      <c r="G9" s="25" t="e">
        <f t="shared" si="1"/>
        <v>#DIV/0!</v>
      </c>
      <c r="H9" s="26"/>
    </row>
    <row r="10" spans="1:9" ht="15" customHeight="1" x14ac:dyDescent="0.35">
      <c r="A10" s="20"/>
      <c r="B10" s="23" t="s">
        <v>123</v>
      </c>
      <c r="C10" s="24"/>
      <c r="D10" s="23"/>
      <c r="E10" s="23"/>
      <c r="F10" s="25">
        <f t="shared" si="0"/>
        <v>0</v>
      </c>
      <c r="G10" s="25" t="e">
        <f t="shared" si="1"/>
        <v>#DIV/0!</v>
      </c>
      <c r="H10" s="26"/>
    </row>
    <row r="11" spans="1:9" ht="15" customHeight="1" x14ac:dyDescent="0.35">
      <c r="A11" s="20"/>
      <c r="B11" s="23" t="s">
        <v>123</v>
      </c>
      <c r="C11" s="24"/>
      <c r="D11" s="23"/>
      <c r="E11" s="23"/>
      <c r="F11" s="25">
        <f t="shared" si="0"/>
        <v>0</v>
      </c>
      <c r="G11" s="25" t="e">
        <f t="shared" si="1"/>
        <v>#DIV/0!</v>
      </c>
      <c r="H11" s="26"/>
    </row>
    <row r="12" spans="1:9" ht="15" customHeight="1" x14ac:dyDescent="0.35">
      <c r="A12" s="20"/>
      <c r="B12" s="28" t="s">
        <v>124</v>
      </c>
      <c r="C12" s="23"/>
      <c r="D12" s="23"/>
      <c r="E12" s="23"/>
      <c r="F12" s="23"/>
      <c r="G12" s="29" t="e">
        <f>AVERAGE(G5:G11)</f>
        <v>#DIV/0!</v>
      </c>
      <c r="H12" s="23"/>
    </row>
    <row r="13" spans="1:9" ht="15" customHeight="1" x14ac:dyDescent="0.35">
      <c r="B13" s="28" t="s">
        <v>125</v>
      </c>
      <c r="C13" s="23"/>
      <c r="D13" s="23"/>
      <c r="E13" s="23"/>
      <c r="F13" s="30"/>
      <c r="G13" s="28"/>
      <c r="H13" s="28"/>
      <c r="I13" s="22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4:Q22"/>
  <sheetViews>
    <sheetView zoomScaleNormal="100" workbookViewId="0">
      <selection activeCell="Q6" sqref="Q6"/>
    </sheetView>
  </sheetViews>
  <sheetFormatPr defaultRowHeight="14.5" x14ac:dyDescent="0.35"/>
  <cols>
    <col min="16" max="17" width="10" bestFit="1" customWidth="1"/>
  </cols>
  <sheetData>
    <row r="4" spans="15:17" x14ac:dyDescent="0.35">
      <c r="O4" t="s">
        <v>191</v>
      </c>
      <c r="P4">
        <f>2800*360</f>
        <v>1008000</v>
      </c>
      <c r="Q4">
        <f>3200*360</f>
        <v>1152000</v>
      </c>
    </row>
    <row r="5" spans="15:17" x14ac:dyDescent="0.35">
      <c r="O5" t="s">
        <v>176</v>
      </c>
      <c r="P5">
        <f>2800*610</f>
        <v>1708000</v>
      </c>
      <c r="Q5">
        <f>3200*610</f>
        <v>1952000</v>
      </c>
    </row>
    <row r="6" spans="15:17" x14ac:dyDescent="0.35">
      <c r="O6" t="s">
        <v>176</v>
      </c>
      <c r="P6">
        <f>2800*630</f>
        <v>1764000</v>
      </c>
      <c r="Q6">
        <f>3200*630</f>
        <v>2016000</v>
      </c>
    </row>
    <row r="7" spans="15:17" x14ac:dyDescent="0.35">
      <c r="O7" t="s">
        <v>180</v>
      </c>
      <c r="P7">
        <f>2800*750</f>
        <v>2100000</v>
      </c>
      <c r="Q7">
        <f>3200*750</f>
        <v>2400000</v>
      </c>
    </row>
    <row r="19" spans="2:2" ht="15.5" x14ac:dyDescent="0.35">
      <c r="B19" s="2">
        <v>360</v>
      </c>
    </row>
    <row r="20" spans="2:2" ht="15.5" x14ac:dyDescent="0.35">
      <c r="B20" s="2">
        <v>610</v>
      </c>
    </row>
    <row r="21" spans="2:2" ht="15.5" x14ac:dyDescent="0.35">
      <c r="B21" s="2">
        <v>630</v>
      </c>
    </row>
    <row r="22" spans="2:2" ht="15.5" x14ac:dyDescent="0.35">
      <c r="B22" s="2">
        <v>750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2025-07-21T12:37:26Z</cp:lastPrinted>
  <dcterms:created xsi:type="dcterms:W3CDTF">2019-07-16T09:29:46Z</dcterms:created>
  <dcterms:modified xsi:type="dcterms:W3CDTF">2025-07-21T12:39:01Z</dcterms:modified>
</cp:coreProperties>
</file>