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July 2025\AXIS\Update\Pranita\14996 - Birla Vanya Phase 2\"/>
    </mc:Choice>
  </mc:AlternateContent>
  <bookViews>
    <workbookView xWindow="0" yWindow="0" windowWidth="20490" windowHeight="7020" tabRatio="725"/>
  </bookViews>
  <sheets>
    <sheet name="Report" sheetId="1" r:id="rId1"/>
    <sheet name="AXIS" sheetId="7" r:id="rId2"/>
    <sheet name="Flat detail" sheetId="3" r:id="rId3"/>
    <sheet name="valuation" sheetId="5" r:id="rId4"/>
    <sheet name="Note" sheetId="4" r:id="rId5"/>
  </sheets>
  <definedNames>
    <definedName name="_xlnm.Print_Area" localSheetId="0">Report!$A$1:$H$357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1" l="1"/>
  <c r="E137" i="1"/>
  <c r="E138" i="1" s="1"/>
  <c r="G137" i="1"/>
  <c r="G138" i="1"/>
  <c r="C138" i="1"/>
  <c r="C131" i="1"/>
  <c r="E131" i="1"/>
  <c r="G131" i="1"/>
  <c r="D182" i="1"/>
  <c r="D176" i="1"/>
  <c r="J171" i="1"/>
  <c r="I171" i="1"/>
  <c r="K171" i="1" s="1"/>
  <c r="N145" i="1" l="1"/>
  <c r="N146" i="1" s="1"/>
  <c r="G145" i="1"/>
  <c r="D145" i="1"/>
  <c r="I144" i="1" s="1"/>
  <c r="O144" i="1"/>
  <c r="P144" i="1"/>
  <c r="E130" i="1" l="1"/>
  <c r="C130" i="1"/>
  <c r="F145" i="1"/>
  <c r="G130" i="1" s="1"/>
  <c r="J144" i="1"/>
  <c r="L144" i="1"/>
  <c r="O145" i="1"/>
  <c r="P145" i="1"/>
  <c r="P146" i="1" s="1"/>
  <c r="O146" i="1" l="1"/>
  <c r="L146" i="1" s="1"/>
  <c r="L145" i="1"/>
  <c r="C100" i="1"/>
  <c r="A207" i="1"/>
  <c r="A208" i="1" s="1"/>
  <c r="A209" i="1" s="1"/>
  <c r="A210" i="1" s="1"/>
  <c r="A211" i="1" s="1"/>
  <c r="A212" i="1" s="1"/>
  <c r="A213" i="1" s="1"/>
  <c r="A214" i="1" s="1"/>
  <c r="A215" i="1" s="1"/>
  <c r="A216" i="1" l="1"/>
  <c r="I174" i="1"/>
  <c r="I170" i="1"/>
  <c r="I153" i="1"/>
  <c r="I156" i="1"/>
  <c r="G158" i="1"/>
  <c r="C84" i="1"/>
  <c r="C68" i="1" l="1"/>
  <c r="C82" i="1" l="1"/>
  <c r="E3" i="1" l="1"/>
  <c r="D203" i="1" l="1"/>
  <c r="F203" i="1" s="1"/>
  <c r="D197" i="1"/>
  <c r="F197" i="1" s="1"/>
  <c r="D200" i="1"/>
  <c r="F200" i="1" s="1"/>
  <c r="D194" i="1"/>
  <c r="F194" i="1" s="1"/>
  <c r="D204" i="1"/>
  <c r="F204" i="1" s="1"/>
  <c r="D202" i="1"/>
  <c r="F202" i="1" s="1"/>
  <c r="N200" i="1"/>
  <c r="N201" i="1" s="1"/>
  <c r="N202" i="1" s="1"/>
  <c r="N203" i="1" s="1"/>
  <c r="G200" i="1"/>
  <c r="O198" i="1"/>
  <c r="D198" i="1"/>
  <c r="F198" i="1" s="1"/>
  <c r="D196" i="1"/>
  <c r="F196" i="1" s="1"/>
  <c r="N194" i="1"/>
  <c r="N195" i="1" s="1"/>
  <c r="N196" i="1" s="1"/>
  <c r="N197" i="1" s="1"/>
  <c r="D195" i="1"/>
  <c r="F195" i="1" s="1"/>
  <c r="G194" i="1"/>
  <c r="O192" i="1"/>
  <c r="D192" i="1"/>
  <c r="F192" i="1" s="1"/>
  <c r="P190" i="1"/>
  <c r="P191" i="1" s="1"/>
  <c r="O190" i="1"/>
  <c r="O191" i="1" s="1"/>
  <c r="N190" i="1"/>
  <c r="N191" i="1" s="1"/>
  <c r="G191" i="1"/>
  <c r="D191" i="1"/>
  <c r="F191" i="1" s="1"/>
  <c r="O189" i="1"/>
  <c r="G172" i="1"/>
  <c r="G182" i="1"/>
  <c r="G176" i="1"/>
  <c r="G164" i="1"/>
  <c r="D185" i="1"/>
  <c r="F185" i="1" s="1"/>
  <c r="D179" i="1"/>
  <c r="F179" i="1" s="1"/>
  <c r="D186" i="1"/>
  <c r="F186" i="1" s="1"/>
  <c r="D184" i="1"/>
  <c r="F184" i="1" s="1"/>
  <c r="N182" i="1"/>
  <c r="N183" i="1" s="1"/>
  <c r="N184" i="1" s="1"/>
  <c r="N185" i="1" s="1"/>
  <c r="F182" i="1"/>
  <c r="O180" i="1"/>
  <c r="D180" i="1"/>
  <c r="F180" i="1" s="1"/>
  <c r="D178" i="1"/>
  <c r="F178" i="1" s="1"/>
  <c r="N176" i="1"/>
  <c r="N177" i="1" s="1"/>
  <c r="N178" i="1" s="1"/>
  <c r="N179" i="1" s="1"/>
  <c r="D177" i="1"/>
  <c r="F177" i="1" s="1"/>
  <c r="F176" i="1"/>
  <c r="O174" i="1"/>
  <c r="D173" i="1"/>
  <c r="F173" i="1" s="1"/>
  <c r="P171" i="1"/>
  <c r="O171" i="1"/>
  <c r="O172" i="1" s="1"/>
  <c r="N171" i="1"/>
  <c r="N172" i="1" s="1"/>
  <c r="D172" i="1"/>
  <c r="E135" i="1" s="1"/>
  <c r="O170" i="1"/>
  <c r="D166" i="1"/>
  <c r="F166" i="1" s="1"/>
  <c r="D168" i="1"/>
  <c r="F168" i="1" s="1"/>
  <c r="D167" i="1"/>
  <c r="F167" i="1" s="1"/>
  <c r="N164" i="1"/>
  <c r="N165" i="1" s="1"/>
  <c r="N166" i="1" s="1"/>
  <c r="N167" i="1" s="1"/>
  <c r="D164" i="1"/>
  <c r="F164" i="1" s="1"/>
  <c r="O162" i="1"/>
  <c r="G155" i="1"/>
  <c r="D162" i="1"/>
  <c r="D161" i="1"/>
  <c r="D158" i="1"/>
  <c r="D160" i="1"/>
  <c r="D159" i="1"/>
  <c r="D156" i="1"/>
  <c r="D155" i="1"/>
  <c r="G50" i="1"/>
  <c r="C50" i="1"/>
  <c r="G47" i="1"/>
  <c r="O163" i="1"/>
  <c r="P198" i="1"/>
  <c r="O193" i="1"/>
  <c r="P170" i="1"/>
  <c r="P180" i="1"/>
  <c r="P174" i="1"/>
  <c r="O175" i="1"/>
  <c r="P192" i="1"/>
  <c r="O199" i="1"/>
  <c r="P162" i="1"/>
  <c r="O181" i="1"/>
  <c r="P189" i="1"/>
  <c r="F172" i="1" l="1"/>
  <c r="G135" i="1" s="1"/>
  <c r="C135" i="1"/>
  <c r="C134" i="1"/>
  <c r="E134" i="1"/>
  <c r="G136" i="1"/>
  <c r="C136" i="1"/>
  <c r="E136" i="1"/>
  <c r="L171" i="1"/>
  <c r="O200" i="1"/>
  <c r="O194" i="1"/>
  <c r="L191" i="1"/>
  <c r="L190" i="1"/>
  <c r="O182" i="1"/>
  <c r="O176" i="1"/>
  <c r="P172" i="1"/>
  <c r="L172" i="1" s="1"/>
  <c r="O164" i="1"/>
  <c r="P199" i="1"/>
  <c r="P181" i="1"/>
  <c r="P156" i="1"/>
  <c r="H67" i="1"/>
  <c r="P163" i="1"/>
  <c r="P193" i="1"/>
  <c r="P175" i="1"/>
  <c r="P200" i="1" l="1"/>
  <c r="P201" i="1" s="1"/>
  <c r="P202" i="1" s="1"/>
  <c r="P203" i="1" s="1"/>
  <c r="L199" i="1"/>
  <c r="P194" i="1"/>
  <c r="P195" i="1" s="1"/>
  <c r="P196" i="1" s="1"/>
  <c r="P197" i="1" s="1"/>
  <c r="L193" i="1"/>
  <c r="O201" i="1"/>
  <c r="O195" i="1"/>
  <c r="P182" i="1"/>
  <c r="P183" i="1" s="1"/>
  <c r="P184" i="1" s="1"/>
  <c r="P185" i="1" s="1"/>
  <c r="L181" i="1"/>
  <c r="P176" i="1"/>
  <c r="P177" i="1" s="1"/>
  <c r="P178" i="1" s="1"/>
  <c r="P179" i="1" s="1"/>
  <c r="L175" i="1"/>
  <c r="O177" i="1"/>
  <c r="O183" i="1"/>
  <c r="P164" i="1"/>
  <c r="P165" i="1" s="1"/>
  <c r="P166" i="1" s="1"/>
  <c r="P167" i="1" s="1"/>
  <c r="L163" i="1"/>
  <c r="O165" i="1"/>
  <c r="L200" i="1" l="1"/>
  <c r="L182" i="1"/>
  <c r="O196" i="1"/>
  <c r="L195" i="1"/>
  <c r="O202" i="1"/>
  <c r="L201" i="1"/>
  <c r="L194" i="1"/>
  <c r="O178" i="1"/>
  <c r="L177" i="1"/>
  <c r="L176" i="1"/>
  <c r="O184" i="1"/>
  <c r="L183" i="1"/>
  <c r="O166" i="1"/>
  <c r="L165" i="1"/>
  <c r="L164" i="1"/>
  <c r="D81" i="1"/>
  <c r="D80" i="1"/>
  <c r="D79" i="1"/>
  <c r="D78" i="1"/>
  <c r="D77" i="1"/>
  <c r="D76" i="1"/>
  <c r="D75" i="1"/>
  <c r="K79" i="1"/>
  <c r="K78" i="1"/>
  <c r="K74" i="1"/>
  <c r="K80" i="1"/>
  <c r="C73" i="1" s="1"/>
  <c r="D73" i="1" s="1"/>
  <c r="D74" i="1"/>
  <c r="K77" i="1"/>
  <c r="K75" i="1"/>
  <c r="D72" i="1" s="1"/>
  <c r="E12" i="7"/>
  <c r="C12" i="7"/>
  <c r="E27" i="7"/>
  <c r="C27" i="7"/>
  <c r="H99" i="1"/>
  <c r="D109" i="1" l="1"/>
  <c r="K104" i="1"/>
  <c r="K108" i="1"/>
  <c r="D104" i="1"/>
  <c r="D106" i="1"/>
  <c r="D110" i="1"/>
  <c r="K105" i="1"/>
  <c r="K109" i="1"/>
  <c r="D108" i="1"/>
  <c r="K107" i="1"/>
  <c r="D111" i="1"/>
  <c r="D107" i="1"/>
  <c r="K110" i="1"/>
  <c r="C103" i="1" s="1"/>
  <c r="D102" i="1"/>
  <c r="D105" i="1"/>
  <c r="O203" i="1"/>
  <c r="L203" i="1" s="1"/>
  <c r="L202" i="1"/>
  <c r="O197" i="1"/>
  <c r="L197" i="1" s="1"/>
  <c r="L196" i="1"/>
  <c r="L178" i="1"/>
  <c r="O179" i="1"/>
  <c r="L179" i="1" s="1"/>
  <c r="O185" i="1"/>
  <c r="L185" i="1" s="1"/>
  <c r="L184" i="1"/>
  <c r="O167" i="1"/>
  <c r="L167" i="1" s="1"/>
  <c r="L166" i="1"/>
  <c r="G72" i="1"/>
  <c r="I66" i="1"/>
  <c r="E72" i="1" s="1"/>
  <c r="F10" i="7"/>
  <c r="F8" i="7"/>
  <c r="F7" i="7"/>
  <c r="F5" i="7"/>
  <c r="F9" i="7" s="1"/>
  <c r="H83" i="1"/>
  <c r="G102" i="1" l="1"/>
  <c r="D103" i="1"/>
  <c r="I98" i="1" s="1"/>
  <c r="E102" i="1" s="1"/>
  <c r="D97" i="1"/>
  <c r="K96" i="1"/>
  <c r="K94" i="1"/>
  <c r="D91" i="1"/>
  <c r="D96" i="1"/>
  <c r="D94" i="1"/>
  <c r="D92" i="1"/>
  <c r="K95" i="1"/>
  <c r="K93" i="1"/>
  <c r="K90" i="1"/>
  <c r="D95" i="1"/>
  <c r="D93" i="1"/>
  <c r="K91" i="1"/>
  <c r="C88" i="1" s="1"/>
  <c r="D88" i="1" s="1"/>
  <c r="D90" i="1"/>
  <c r="F11" i="7"/>
  <c r="I11" i="7" s="1"/>
  <c r="I10" i="7"/>
  <c r="I9" i="7"/>
  <c r="I8" i="7"/>
  <c r="H7" i="7"/>
  <c r="I6" i="7"/>
  <c r="H6" i="7"/>
  <c r="I5" i="7"/>
  <c r="I4" i="7"/>
  <c r="E44" i="7"/>
  <c r="C44" i="7"/>
  <c r="F43" i="7"/>
  <c r="I43" i="7" s="1"/>
  <c r="F42" i="7"/>
  <c r="I42" i="7" s="1"/>
  <c r="F40" i="7"/>
  <c r="I40" i="7" s="1"/>
  <c r="F38" i="7"/>
  <c r="I38" i="7" s="1"/>
  <c r="F37" i="7"/>
  <c r="I37" i="7" s="1"/>
  <c r="I36" i="7"/>
  <c r="H36" i="7"/>
  <c r="B36" i="7" s="1"/>
  <c r="F35" i="7"/>
  <c r="F39" i="7" s="1"/>
  <c r="I39" i="7" s="1"/>
  <c r="I34" i="7"/>
  <c r="F26" i="7"/>
  <c r="I26" i="7" s="1"/>
  <c r="F25" i="7"/>
  <c r="I25" i="7" s="1"/>
  <c r="F22" i="7"/>
  <c r="I22" i="7" s="1"/>
  <c r="F23" i="7"/>
  <c r="I23" i="7" s="1"/>
  <c r="F20" i="7"/>
  <c r="I20" i="7" s="1"/>
  <c r="I19" i="7"/>
  <c r="H19" i="7"/>
  <c r="B19" i="7" s="1"/>
  <c r="F18" i="7"/>
  <c r="F21" i="7" s="1"/>
  <c r="I17" i="7"/>
  <c r="C89" i="1" l="1"/>
  <c r="G88" i="1" s="1"/>
  <c r="H40" i="7"/>
  <c r="F41" i="7"/>
  <c r="I41" i="7" s="1"/>
  <c r="I7" i="7"/>
  <c r="I12" i="7" s="1"/>
  <c r="H8" i="7"/>
  <c r="H35" i="7"/>
  <c r="I35" i="7"/>
  <c r="D35" i="7" s="1"/>
  <c r="D36" i="7" s="1"/>
  <c r="D37" i="7" s="1"/>
  <c r="D38" i="7" s="1"/>
  <c r="D39" i="7" s="1"/>
  <c r="D40" i="7" s="1"/>
  <c r="D41" i="7" s="1"/>
  <c r="D42" i="7" s="1"/>
  <c r="H11" i="7"/>
  <c r="H9" i="7"/>
  <c r="H5" i="7"/>
  <c r="H10" i="7"/>
  <c r="H43" i="7"/>
  <c r="H38" i="7"/>
  <c r="H39" i="7"/>
  <c r="H37" i="7"/>
  <c r="B37" i="7" s="1"/>
  <c r="H42" i="7"/>
  <c r="F24" i="7"/>
  <c r="H25" i="7"/>
  <c r="H21" i="7"/>
  <c r="I21" i="7"/>
  <c r="H23" i="7"/>
  <c r="H20" i="7"/>
  <c r="B20" i="7" s="1"/>
  <c r="H18" i="7"/>
  <c r="H22" i="7"/>
  <c r="I18" i="7"/>
  <c r="D18" i="7" s="1"/>
  <c r="D19" i="7" s="1"/>
  <c r="D20" i="7" s="1"/>
  <c r="H26" i="7"/>
  <c r="D89" i="1" l="1"/>
  <c r="I82" i="1" s="1"/>
  <c r="E88" i="1" s="1"/>
  <c r="B21" i="7"/>
  <c r="B22" i="7"/>
  <c r="B23" i="7" s="1"/>
  <c r="D21" i="7"/>
  <c r="D22" i="7" s="1"/>
  <c r="D23" i="7" s="1"/>
  <c r="H41" i="7"/>
  <c r="H44" i="7" s="1"/>
  <c r="B38" i="7"/>
  <c r="B39" i="7" s="1"/>
  <c r="B40" i="7" s="1"/>
  <c r="I44" i="7"/>
  <c r="H12" i="7"/>
  <c r="H24" i="7"/>
  <c r="I24" i="7"/>
  <c r="I27" i="7" s="1"/>
  <c r="B41" i="7" l="1"/>
  <c r="B42" i="7" s="1"/>
  <c r="D24" i="7"/>
  <c r="D25" i="7" s="1"/>
  <c r="B24" i="7"/>
  <c r="B25" i="7" s="1"/>
  <c r="H27" i="7"/>
  <c r="O156" i="1" l="1"/>
  <c r="C14" i="1" l="1"/>
  <c r="E41" i="1" l="1"/>
  <c r="E42" i="1" s="1"/>
  <c r="F162" i="1" l="1"/>
  <c r="I161" i="1" s="1"/>
  <c r="F161" i="1"/>
  <c r="F160" i="1"/>
  <c r="F159" i="1"/>
  <c r="F158" i="1"/>
  <c r="F156" i="1"/>
  <c r="F155" i="1"/>
  <c r="O153" i="1"/>
  <c r="O157" i="1"/>
  <c r="G134" i="1" l="1"/>
  <c r="N158" i="1"/>
  <c r="N159" i="1" s="1"/>
  <c r="N160" i="1" s="1"/>
  <c r="N161" i="1" s="1"/>
  <c r="O158" i="1"/>
  <c r="N154" i="1"/>
  <c r="N155" i="1" s="1"/>
  <c r="P153" i="1"/>
  <c r="P157" i="1"/>
  <c r="L157" i="1" l="1"/>
  <c r="P158" i="1"/>
  <c r="P159" i="1" s="1"/>
  <c r="P160" i="1" s="1"/>
  <c r="P161" i="1" s="1"/>
  <c r="O159" i="1"/>
  <c r="O154" i="1"/>
  <c r="E25" i="1"/>
  <c r="E23" i="1"/>
  <c r="L159" i="1" l="1"/>
  <c r="L158" i="1"/>
  <c r="O160" i="1"/>
  <c r="L160" i="1" s="1"/>
  <c r="P154" i="1"/>
  <c r="P155" i="1" s="1"/>
  <c r="O155" i="1"/>
  <c r="F6" i="5"/>
  <c r="G6" i="5" s="1"/>
  <c r="F7" i="5"/>
  <c r="G7" i="5" s="1"/>
  <c r="F8" i="5"/>
  <c r="G8" i="5" s="1"/>
  <c r="F9" i="5"/>
  <c r="G9" i="5" s="1"/>
  <c r="F10" i="5"/>
  <c r="G10" i="5" s="1"/>
  <c r="F11" i="5"/>
  <c r="G11" i="5" s="1"/>
  <c r="F5" i="5"/>
  <c r="G5" i="5" s="1"/>
  <c r="L155" i="1" l="1"/>
  <c r="L154" i="1"/>
  <c r="O161" i="1"/>
  <c r="L161" i="1" s="1"/>
  <c r="G12" i="5"/>
  <c r="D65" i="1" l="1"/>
  <c r="F112" i="1"/>
  <c r="E7" i="1" l="1"/>
  <c r="D232" i="1" l="1"/>
  <c r="F127" i="1"/>
  <c r="C47" i="1"/>
  <c r="D55"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comments1.xml><?xml version="1.0" encoding="utf-8"?>
<comments xmlns="http://schemas.openxmlformats.org/spreadsheetml/2006/main">
  <authors>
    <author xml:space="preserve"> </author>
  </authors>
  <commentList>
    <comment ref="F4" authorId="0" shapeId="0">
      <text>
        <r>
          <rPr>
            <sz val="10"/>
            <rFont val="Arial"/>
            <family val="2"/>
          </rPr>
          <t>No of habitable floors</t>
        </r>
      </text>
    </comment>
    <comment ref="F6" authorId="0" shapeId="0">
      <text>
        <r>
          <rPr>
            <sz val="10"/>
            <rFont val="Arial"/>
            <family val="2"/>
          </rPr>
          <t>No of RCC slabs including podiums</t>
        </r>
      </text>
    </comment>
    <comment ref="G6" authorId="0" shapeId="0">
      <text>
        <r>
          <rPr>
            <sz val="10"/>
            <rFont val="Arial"/>
            <family val="2"/>
          </rPr>
          <t>No of constructed RCC slabs including podium</t>
        </r>
      </text>
    </comment>
    <comment ref="F17" authorId="0" shapeId="0">
      <text>
        <r>
          <rPr>
            <sz val="10"/>
            <rFont val="Arial"/>
            <family val="2"/>
          </rPr>
          <t>No of habitable floors</t>
        </r>
      </text>
    </comment>
    <comment ref="F19" authorId="0" shapeId="0">
      <text>
        <r>
          <rPr>
            <sz val="10"/>
            <rFont val="Arial"/>
            <family val="2"/>
          </rPr>
          <t>No of RCC slabs including podiums</t>
        </r>
      </text>
    </comment>
    <comment ref="G19" authorId="0" shapeId="0">
      <text>
        <r>
          <rPr>
            <sz val="10"/>
            <rFont val="Arial"/>
            <family val="2"/>
          </rPr>
          <t>No of constructed RCC slabs including podium</t>
        </r>
      </text>
    </comment>
    <comment ref="F34" authorId="0" shapeId="0">
      <text>
        <r>
          <rPr>
            <sz val="10"/>
            <rFont val="Arial"/>
            <family val="2"/>
          </rPr>
          <t>No of habitable floors</t>
        </r>
      </text>
    </comment>
    <comment ref="F36" authorId="0" shapeId="0">
      <text>
        <r>
          <rPr>
            <sz val="10"/>
            <rFont val="Arial"/>
            <family val="2"/>
          </rPr>
          <t>No of RCC slabs including podiums</t>
        </r>
      </text>
    </comment>
    <comment ref="G36" authorId="0" shapeId="0">
      <text>
        <r>
          <rPr>
            <sz val="10"/>
            <rFont val="Arial"/>
            <family val="2"/>
          </rPr>
          <t>No of constructed RCC slabs including podium</t>
        </r>
      </text>
    </comment>
  </commentList>
</comments>
</file>

<file path=xl/sharedStrings.xml><?xml version="1.0" encoding="utf-8"?>
<sst xmlns="http://schemas.openxmlformats.org/spreadsheetml/2006/main" count="557" uniqueCount="297">
  <si>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</si>
  <si>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</si>
  <si>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</si>
  <si>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</si>
  <si>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</si>
  <si>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</si>
  <si>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</si>
  <si>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</si>
  <si>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</si>
  <si>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</si>
  <si>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</si>
  <si>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</si>
  <si>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</si>
  <si>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</si>
  <si>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</si>
  <si>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</si>
  <si>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</si>
  <si>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</si>
  <si>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</si>
  <si>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</si>
  <si>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</si>
  <si>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</si>
  <si>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</si>
  <si>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</si>
  <si>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</si>
  <si>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</si>
  <si>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</si>
  <si>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</si>
  <si>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</si>
  <si>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</si>
  <si>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</si>
  <si>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</si>
  <si>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</si>
  <si>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</si>
  <si>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</si>
  <si>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</si>
  <si>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</si>
  <si>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</si>
  <si>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</si>
  <si>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</si>
  <si>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</si>
  <si>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</si>
  <si>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</si>
  <si>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</si>
  <si>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</si>
  <si>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</si>
  <si>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</si>
  <si>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</si>
  <si>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</si>
  <si>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</si>
  <si>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</si>
  <si>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</si>
  <si>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</si>
  <si>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</si>
  <si>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</si>
  <si>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</si>
  <si>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</si>
  <si>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</si>
  <si>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</si>
  <si>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</si>
  <si>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</si>
  <si>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</si>
  <si>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</si>
  <si>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</si>
  <si>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</si>
  <si>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</si>
  <si>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</si>
  <si>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</si>
  <si>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</si>
  <si>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</si>
  <si>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</si>
  <si>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</si>
  <si>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</si>
  <si>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</si>
  <si>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</si>
  <si>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</si>
  <si>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</si>
  <si>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</si>
  <si>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</si>
  <si>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</si>
  <si>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</si>
  <si>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</si>
  <si>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</si>
  <si>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</si>
  <si>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</si>
  <si>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</si>
  <si>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</si>
  <si>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</si>
  <si>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</si>
  <si>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</si>
  <si>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</si>
  <si>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</si>
  <si>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</si>
  <si>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</si>
  <si>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</si>
  <si>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</si>
  <si>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</si>
  <si>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</si>
  <si>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</si>
  <si>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</si>
  <si>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</si>
  <si>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</si>
  <si>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</si>
  <si>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</si>
  <si>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</si>
  <si>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</si>
  <si>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</si>
  <si>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</si>
  <si>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</si>
  <si>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</si>
  <si>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</si>
  <si>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</si>
  <si>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</si>
  <si>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</si>
  <si>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</si>
  <si>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</si>
  <si>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</si>
  <si>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</si>
  <si>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</si>
  <si>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</si>
  <si>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</si>
  <si>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</si>
  <si>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</si>
  <si>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</si>
  <si>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Society Formation Charges</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</si>
  <si>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</si>
  <si>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</si>
  <si>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</si>
  <si>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</si>
  <si>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</si>
  <si>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</si>
  <si>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</si>
  <si>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</si>
  <si>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</si>
  <si>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</si>
  <si>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</si>
  <si>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</si>
  <si>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</si>
  <si>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</si>
  <si>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</si>
  <si>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</si>
  <si>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</si>
  <si>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</si>
  <si>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</si>
  <si>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</si>
  <si>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</si>
  <si>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</si>
  <si>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</si>
  <si>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</si>
  <si>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</si>
  <si>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t>,..,</t>
  </si>
  <si>
    <r>
      <t xml:space="preserve">Flat No.
</t>
    </r>
    <r>
      <rPr>
        <b/>
        <sz val="11"/>
        <color rgb="FF000000"/>
        <rFont val="Times New Roman"/>
        <family val="1"/>
      </rPr>
      <t>(Approved Plan)</t>
    </r>
  </si>
  <si>
    <t>Flat No.
(Sale Plan)</t>
  </si>
  <si>
    <t xml:space="preserve"> to </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</si>
  <si>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</si>
  <si>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</si>
  <si>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</si>
  <si>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</si>
  <si>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</si>
  <si>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</si>
  <si>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</si>
  <si>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Stage calculator as per Revised Valuation Manual</t>
  </si>
  <si>
    <t>Completed</t>
  </si>
  <si>
    <t>Net completed</t>
  </si>
  <si>
    <t>Recommended</t>
  </si>
  <si>
    <t>Net recommended</t>
  </si>
  <si>
    <t>No of floors in building</t>
  </si>
  <si>
    <t>No of constructed floors</t>
  </si>
  <si>
    <t>Completed (%)</t>
  </si>
  <si>
    <t>Recommended (%)</t>
  </si>
  <si>
    <t>Excavation</t>
  </si>
  <si>
    <t>RCC (Including podiums)</t>
  </si>
  <si>
    <t>Brickwork &amp; Internal Plaster</t>
  </si>
  <si>
    <t>Flooring &amp; Fitting</t>
  </si>
  <si>
    <t>External Plaster &amp; Plumbing</t>
  </si>
  <si>
    <t>Building Common Amenities</t>
  </si>
  <si>
    <t>Possession</t>
  </si>
  <si>
    <t>Final Stage (%)</t>
  </si>
  <si>
    <t>Ext. Plaster &amp; Plumbing</t>
  </si>
  <si>
    <t>Brickwork</t>
  </si>
  <si>
    <t>Internal Plaster</t>
  </si>
  <si>
    <t>Painting &amp; Wooden</t>
  </si>
  <si>
    <t>External Plaster &amp; Plumbing &amp; Painting</t>
  </si>
  <si>
    <t>ASMITA recommendation</t>
  </si>
  <si>
    <t>Actual Stage Provided by AXIS Bank</t>
  </si>
  <si>
    <t>Split % by Asmita ---OK By Ajinkya</t>
  </si>
  <si>
    <t>Slab/Floor</t>
  </si>
  <si>
    <t>Construction details:</t>
  </si>
  <si>
    <t>M/s. Century Textiles &amp; Industries Ltd</t>
  </si>
  <si>
    <t>Axis Goregaon</t>
  </si>
  <si>
    <t xml:space="preserve">Aruni - Tower C
Asita - Tower D
Aadhira - Tower E </t>
  </si>
  <si>
    <t>Birla Vanya Phase 2</t>
  </si>
  <si>
    <t>P51700029755</t>
  </si>
  <si>
    <t>CTS No</t>
  </si>
  <si>
    <t>1653, CS No. 1550 B &amp; D, S.No. 17, 18, 218</t>
  </si>
  <si>
    <t>Shahad</t>
  </si>
  <si>
    <t>Kalyan Murbad Road</t>
  </si>
  <si>
    <t>Kalyan</t>
  </si>
  <si>
    <t>Thane</t>
  </si>
  <si>
    <t>Century Rayon Chemical Plant</t>
  </si>
  <si>
    <t>1.7 Km from Shahad Railway Station</t>
  </si>
  <si>
    <t>Residential</t>
  </si>
  <si>
    <t>Balaji International Lodging</t>
  </si>
  <si>
    <t>Open Space</t>
  </si>
  <si>
    <t xml:space="preserve">03 Towers </t>
  </si>
  <si>
    <t>Stilt Floor for Parking</t>
  </si>
  <si>
    <t>1st Podium Floor for Parking</t>
  </si>
  <si>
    <t>2nd to 6th Podium Floor for Parking &amp; Residential</t>
  </si>
  <si>
    <t>2BHK</t>
  </si>
  <si>
    <t>4BHK</t>
  </si>
  <si>
    <t>1st, 3rd, 4th, 5th, 6th, 8th, 9th,  10th, 11th, 13th, 14th, 15th, 16th, 18th, 19th, 20th, 21st &amp; 23rd Floor</t>
  </si>
  <si>
    <t>2nd, 7th, 12th, 17th &amp; 22nd Floor (Part Refuge Area)</t>
  </si>
  <si>
    <t>2.5BHK</t>
  </si>
  <si>
    <t>Refuge Area</t>
  </si>
  <si>
    <t>Tower C (Aruni)</t>
  </si>
  <si>
    <t>Tower D (Asita)</t>
  </si>
  <si>
    <t>Tower E (Aadhira)</t>
  </si>
  <si>
    <t>Valid Up to:  Tower C, D, E = St + 6P + 1st to 23rd Floor</t>
  </si>
  <si>
    <t>Tower D = St + 6P + 1st to 32nd Floor</t>
  </si>
  <si>
    <t>Tower E = St + 6P + 1st to 32nd Floor</t>
  </si>
  <si>
    <t>Water Connection</t>
  </si>
  <si>
    <t>Corpus Fund</t>
  </si>
  <si>
    <t>Electricity Charges</t>
  </si>
  <si>
    <t>20000/-</t>
  </si>
  <si>
    <t>25000/-</t>
  </si>
  <si>
    <t>50/- from 2nd Floor</t>
  </si>
  <si>
    <t>500000/-</t>
  </si>
  <si>
    <t>We considered  Saleable area  as per our calculation.</t>
  </si>
  <si>
    <t>Maintenance Charges</t>
  </si>
  <si>
    <t>1,00,000/-</t>
  </si>
  <si>
    <t>Recommended rate should be considered as all inclusive rate if other charges are not mentioned. (Excluding GST &amp; other government Taxes)</t>
  </si>
  <si>
    <t>Tower D = St + 6P + 1st to 27th Floor</t>
  </si>
  <si>
    <t>Tower C &amp; E = St + 6P + 1st to 32nd Floor</t>
  </si>
  <si>
    <t>We have considered construction percent as per proposed no of floor.</t>
  </si>
  <si>
    <t>Details collected from Ms. Leena - 9920803392</t>
  </si>
  <si>
    <t>Latitude, Longitude</t>
  </si>
  <si>
    <t>Location Link</t>
  </si>
  <si>
    <t>KDMC/TPD/BP/KD/2018-19/35/106</t>
  </si>
  <si>
    <t>Site Meet Person Contact Details ( Name &amp; Contact No.)</t>
  </si>
  <si>
    <t>Mr Abhishek 8770244085</t>
  </si>
  <si>
    <t>Tower C = St + 6P + 1st to 32nd Floor</t>
  </si>
  <si>
    <t>60 Years After Completion</t>
  </si>
  <si>
    <t>We have updated Approved Plans OC for Tower C &amp; D (On 24/03/2025).</t>
  </si>
  <si>
    <t>Please provide latest approved CC &amp; approved plan for Tower E.</t>
  </si>
  <si>
    <t>KDMC/TPD/BP/KD/2018-19/35/205</t>
  </si>
  <si>
    <t>Tower C = St + 6P + 1st to 32nd Floor
Tower D = St + 6P + 1st to 27th Floor
Tower E = St + 6P + 1st to 23rd Floor</t>
  </si>
  <si>
    <t>1st, 3rd to 6th, 8th to 11th, 13th to 16th, 18th to 21st, 23rd to 26th, 28th to 32nd Floor</t>
  </si>
  <si>
    <t>2nd, 7th, 12th, 17th, 22nd &amp; 27th Floor (Part Refuge Area)</t>
  </si>
  <si>
    <t>1st, 3rd to 6th, 8th to 11th, 13th to 16th, 18th to 21st, 23rd to 26th &amp; 27th Floor</t>
  </si>
  <si>
    <t>P2</t>
  </si>
  <si>
    <t>P3</t>
  </si>
  <si>
    <t>8000 to 8200</t>
  </si>
  <si>
    <t xml:space="preserve">Akash Mote </t>
  </si>
  <si>
    <t>Verbal</t>
  </si>
  <si>
    <t>As per RERA - 30/06/2025</t>
  </si>
  <si>
    <t>Tower C &amp; D = All work Completed. OC received.
Tower E = All work completed. Please provide OC.</t>
  </si>
  <si>
    <t>Office No. 1031, Wing J, Akshar Business Park, Plot No. 03 Sector 25, Near APMC Market,
Vashi, Navi Mumbai, Maharashtra 400703 TEL: 022-46090378/79/80
 E mail : vsjcapf@gmail.com. Web site : www.vsjadon.com</t>
  </si>
  <si>
    <t>8200 to 8700</t>
  </si>
  <si>
    <t>BHARGAV</t>
  </si>
  <si>
    <t>For CASE C1505</t>
  </si>
  <si>
    <t>Recommended Rates / Other charges of the Property have been revised on 26/03/2025 &amp; 12/06/2025.</t>
  </si>
  <si>
    <t>KDMCC/PO/2024/APL/00039</t>
  </si>
  <si>
    <t>Ground Floor For Commercial, Mail Room, Panel Room &amp; Parking</t>
  </si>
  <si>
    <t>Double Ht. Veg Shop</t>
  </si>
  <si>
    <t>Double Height ATM</t>
  </si>
  <si>
    <t>Double Height Laundry Room</t>
  </si>
  <si>
    <t>G-2</t>
  </si>
  <si>
    <t>G-3</t>
  </si>
  <si>
    <t>G-5</t>
  </si>
  <si>
    <t>With reference to the approved plan, sale plan and index 2, we have observed that shop numbering was not provided in any of these documents; therefore, we have referred unit numbering for the ground floor in tower D from the Builder nomenclature letter which was provided by the bank officials on mail and the nomenclature letter &amp; IndeX II is attached below.</t>
  </si>
  <si>
    <t xml:space="preserve">Details of Commercial Units in Building   </t>
  </si>
  <si>
    <t>Approved Plans, OC</t>
  </si>
  <si>
    <t>Building Details Floor Wise</t>
  </si>
  <si>
    <t>Approved Floor plan No. 
(Tower E)</t>
  </si>
  <si>
    <t>Approved Floor plan No.
(Tower D)</t>
  </si>
  <si>
    <t xml:space="preserve">Details of Residential in Building   </t>
  </si>
  <si>
    <t>-</t>
  </si>
  <si>
    <t>Parking</t>
  </si>
  <si>
    <t>2nd to 6th Podium Floor for Residential &amp; Parking</t>
  </si>
  <si>
    <t>We considered Gross carpet area = Net carpet + Balcony Area</t>
  </si>
  <si>
    <t>Approved Floor plan No.
(Tower C)</t>
  </si>
  <si>
    <t>Pranita Mhatre</t>
  </si>
  <si>
    <t>Krishna</t>
  </si>
  <si>
    <t>O. Certificate No.: 
Approved upto :</t>
  </si>
  <si>
    <t>KDMCC/PO/2024/APL/00082
Tower C = Gr/St + P1 to P6 + 1st to 32nd Floor</t>
  </si>
  <si>
    <t>KDMCC/PO/2024/APL/00039
Tower D = St + 6P + 1st to 27th Floor</t>
  </si>
  <si>
    <t xml:space="preserve">O. Certificate No.: 
Approved upto : </t>
  </si>
  <si>
    <t>19.244355,73.153994</t>
  </si>
  <si>
    <t>https://maps.app.goo.gl/eACkoimUuqeUztYx9</t>
  </si>
  <si>
    <t>We have updated latest approved floor plans for Tower D (On 19/07/2025).</t>
  </si>
  <si>
    <t>Grand Total</t>
  </si>
  <si>
    <t>Flats - 424, Shop -1</t>
  </si>
  <si>
    <t>Commercial Area Details :(Shop)</t>
  </si>
  <si>
    <t>Residential Area Details : (Flat)</t>
  </si>
  <si>
    <t xml:space="preserve">Remark No. : 14
</t>
  </si>
  <si>
    <t>1st Podium Floor For Parking</t>
  </si>
  <si>
    <t>shop rate as per smit sir 19/07/2025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</si>
</sst>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b/>
      <sz val="11"/>
      <name val="Arial"/>
      <family val="2"/>
    </font>
    <font>
      <b/>
      <sz val="10"/>
      <name val="Arial"/>
      <family val="2"/>
    </font>
    <font>
      <b/>
      <sz val="10"/>
      <color theme="0"/>
      <name val="Arial"/>
      <family val="2"/>
    </font>
    <font>
      <b/>
      <sz val="15"/>
      <color rgb="FF000000"/>
      <name val="Calibri"/>
      <family val="2"/>
    </font>
    <font>
      <u/>
      <sz val="11"/>
      <color theme="10"/>
      <name val="Calibri"/>
      <family val="2"/>
    </font>
    <font>
      <sz val="11"/>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6"/>
        <bgColor indexed="22"/>
      </patternFill>
    </fill>
    <fill>
      <patternFill patternType="solid">
        <fgColor indexed="26"/>
        <bgColor indexed="9"/>
      </patternFill>
    </fill>
    <fill>
      <patternFill patternType="solid">
        <fgColor indexed="13"/>
        <bgColor indexed="34"/>
      </patternFill>
    </fill>
    <fill>
      <patternFill patternType="solid">
        <fgColor indexed="45"/>
        <bgColor indexed="29"/>
      </patternFill>
    </fill>
    <fill>
      <patternFill patternType="solid">
        <fgColor indexed="27"/>
        <bgColor indexed="41"/>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0" fontId="3" fillId="0" borderId="0"/>
    <xf numFmtId="0" fontId="4" fillId="0" borderId="0"/>
    <xf numFmtId="0" fontId="2" fillId="0" borderId="0"/>
    <xf numFmtId="0" fontId="4" fillId="0" borderId="0"/>
    <xf numFmtId="0" fontId="1" fillId="0" borderId="0"/>
    <xf numFmtId="164" fontId="4" fillId="0" borderId="0" applyFont="0" applyFill="0" applyBorder="0" applyAlignment="0" applyProtection="0"/>
    <xf numFmtId="0" fontId="18" fillId="0" borderId="0"/>
    <xf numFmtId="9" fontId="19" fillId="0" borderId="0" applyFont="0" applyFill="0" applyBorder="0" applyAlignment="0" applyProtection="0"/>
    <xf numFmtId="0" fontId="25" fillId="0" borderId="0" applyNumberFormat="0" applyFill="0" applyBorder="0" applyAlignment="0" applyProtection="0"/>
  </cellStyleXfs>
  <cellXfs count="239">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11" fillId="0" borderId="0" xfId="1" applyFont="1"/>
    <xf numFmtId="0" fontId="13" fillId="0" borderId="0" xfId="1" applyFont="1"/>
    <xf numFmtId="0" fontId="14" fillId="0" borderId="0" xfId="1" applyFont="1"/>
    <xf numFmtId="0" fontId="11" fillId="2" borderId="1" xfId="1" applyFont="1" applyFill="1" applyBorder="1" applyAlignment="1" applyProtection="1">
      <alignment vertical="top"/>
      <protection locked="0"/>
    </xf>
    <xf numFmtId="0" fontId="6" fillId="0" borderId="1" xfId="1" applyFont="1" applyBorder="1" applyAlignment="1" applyProtection="1">
      <alignment horizontal="center" vertical="top" wrapText="1"/>
      <protection locked="0"/>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Border="1" applyAlignment="1" applyProtection="1">
      <alignment horizontal="center" vertical="center" wrapText="1"/>
      <protection locked="0"/>
    </xf>
    <xf numFmtId="0" fontId="6" fillId="0" borderId="11" xfId="1" applyFont="1" applyBorder="1" applyProtection="1">
      <protection hidden="1"/>
    </xf>
    <xf numFmtId="0" fontId="6" fillId="0" borderId="12" xfId="1" applyFont="1" applyBorder="1" applyProtection="1">
      <protection hidden="1"/>
    </xf>
    <xf numFmtId="0" fontId="6" fillId="0" borderId="13" xfId="1" applyFont="1" applyBorder="1" applyProtection="1">
      <protection hidden="1"/>
    </xf>
    <xf numFmtId="0" fontId="6" fillId="0" borderId="13" xfId="1" applyFont="1" applyBorder="1"/>
    <xf numFmtId="9" fontId="15" fillId="0" borderId="0" xfId="0" applyNumberFormat="1" applyFont="1" applyProtection="1">
      <protection hidden="1"/>
    </xf>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9" fontId="7" fillId="0" borderId="19" xfId="8" applyFont="1" applyFill="1" applyBorder="1" applyAlignment="1" applyProtection="1">
      <alignment horizontal="center" vertical="top" wrapText="1"/>
      <protection locked="0"/>
    </xf>
    <xf numFmtId="1" fontId="6" fillId="0" borderId="0" xfId="1" applyNumberFormat="1" applyFont="1" applyAlignment="1">
      <alignment horizontal="center" vertical="center"/>
    </xf>
    <xf numFmtId="1" fontId="7" fillId="0" borderId="3" xfId="1" applyNumberFormat="1" applyFont="1" applyBorder="1" applyAlignment="1" applyProtection="1">
      <alignment horizontal="center" vertical="top" wrapText="1"/>
      <protection locked="0"/>
    </xf>
    <xf numFmtId="0" fontId="15" fillId="0" borderId="0" xfId="0" applyFont="1" applyProtection="1">
      <protection hidden="1"/>
    </xf>
    <xf numFmtId="167" fontId="6" fillId="0" borderId="0" xfId="1" applyNumberFormat="1" applyFont="1"/>
    <xf numFmtId="1" fontId="6" fillId="0" borderId="0" xfId="1" applyNumberFormat="1" applyFont="1"/>
    <xf numFmtId="1" fontId="7" fillId="0" borderId="1" xfId="0" applyNumberFormat="1" applyFont="1" applyBorder="1" applyAlignment="1" applyProtection="1">
      <alignment horizontal="center" vertical="center" wrapText="1"/>
      <protection locked="0"/>
    </xf>
    <xf numFmtId="0" fontId="22" fillId="4" borderId="25"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25" xfId="0" applyFont="1" applyFill="1" applyBorder="1" applyAlignment="1" applyProtection="1">
      <alignment horizontal="center" vertical="center" wrapText="1"/>
      <protection locked="0"/>
    </xf>
    <xf numFmtId="165" fontId="22" fillId="5" borderId="25" xfId="0" applyNumberFormat="1" applyFont="1" applyFill="1" applyBorder="1" applyAlignment="1">
      <alignment horizontal="center" vertical="center" wrapText="1"/>
    </xf>
    <xf numFmtId="0" fontId="22" fillId="6" borderId="25" xfId="0" applyFont="1" applyFill="1" applyBorder="1" applyAlignment="1" applyProtection="1">
      <alignment horizontal="center" vertical="center" wrapText="1"/>
      <protection locked="0"/>
    </xf>
    <xf numFmtId="0" fontId="22" fillId="7" borderId="25" xfId="0" applyFont="1" applyFill="1" applyBorder="1" applyAlignment="1" applyProtection="1">
      <alignment horizontal="center" vertical="center" wrapText="1"/>
      <protection locked="0"/>
    </xf>
    <xf numFmtId="0" fontId="22" fillId="0" borderId="25" xfId="0" applyFont="1" applyBorder="1" applyAlignment="1">
      <alignment horizontal="center" vertical="center" wrapText="1"/>
    </xf>
    <xf numFmtId="0" fontId="22" fillId="8" borderId="25" xfId="0" applyFont="1" applyFill="1" applyBorder="1" applyAlignment="1">
      <alignment horizontal="center" vertical="center" wrapText="1"/>
    </xf>
    <xf numFmtId="1" fontId="22" fillId="8" borderId="25" xfId="0" applyNumberFormat="1" applyFont="1" applyFill="1" applyBorder="1" applyAlignment="1">
      <alignment horizontal="center" vertical="center" wrapText="1"/>
    </xf>
    <xf numFmtId="0" fontId="15" fillId="0" borderId="13" xfId="0" applyFont="1" applyBorder="1" applyProtection="1">
      <protection hidden="1"/>
    </xf>
    <xf numFmtId="1" fontId="22" fillId="5" borderId="25" xfId="0" applyNumberFormat="1" applyFont="1" applyFill="1" applyBorder="1" applyAlignment="1">
      <alignment horizontal="center" vertical="center" wrapText="1"/>
    </xf>
    <xf numFmtId="0" fontId="22" fillId="4" borderId="25" xfId="0" applyFont="1" applyFill="1" applyBorder="1" applyAlignment="1">
      <alignment horizontal="left" vertical="top" wrapText="1"/>
    </xf>
    <xf numFmtId="0" fontId="22" fillId="5" borderId="25" xfId="0" applyFont="1" applyFill="1" applyBorder="1" applyAlignment="1">
      <alignment horizontal="center" vertical="top" wrapText="1"/>
    </xf>
    <xf numFmtId="0" fontId="22" fillId="5" borderId="25" xfId="0" applyFont="1" applyFill="1" applyBorder="1" applyAlignment="1" applyProtection="1">
      <alignment horizontal="center" vertical="top" wrapText="1"/>
      <protection locked="0"/>
    </xf>
    <xf numFmtId="165" fontId="22" fillId="5" borderId="25" xfId="0" applyNumberFormat="1" applyFont="1" applyFill="1" applyBorder="1" applyAlignment="1">
      <alignment horizontal="center" vertical="top" wrapText="1"/>
    </xf>
    <xf numFmtId="0" fontId="23" fillId="4" borderId="25" xfId="0" applyFont="1" applyFill="1" applyBorder="1" applyAlignment="1">
      <alignment horizontal="center" vertical="center" wrapText="1"/>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0" fillId="3" borderId="0" xfId="0" applyFill="1"/>
    <xf numFmtId="0" fontId="0" fillId="0" borderId="14" xfId="0" applyBorder="1"/>
    <xf numFmtId="0" fontId="0" fillId="0" borderId="15" xfId="0" applyBorder="1"/>
    <xf numFmtId="0" fontId="11" fillId="0" borderId="5" xfId="1" applyFont="1" applyBorder="1" applyAlignment="1" applyProtection="1">
      <alignment horizontal="center" vertical="top"/>
      <protection locked="0"/>
    </xf>
    <xf numFmtId="0" fontId="11"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9" fillId="0" borderId="0" xfId="0"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1" fillId="0" borderId="7" xfId="1" applyFont="1" applyBorder="1" applyAlignment="1" applyProtection="1">
      <alignment horizontal="center" wrapText="1"/>
      <protection locked="0"/>
    </xf>
    <xf numFmtId="9" fontId="6" fillId="2" borderId="1" xfId="1" applyNumberFormat="1" applyFont="1" applyFill="1" applyBorder="1" applyAlignment="1" applyProtection="1">
      <alignment horizontal="center" vertical="center" wrapText="1"/>
      <protection hidden="1"/>
    </xf>
    <xf numFmtId="9" fontId="6" fillId="2" borderId="7" xfId="1" applyNumberFormat="1" applyFont="1" applyFill="1" applyBorder="1" applyAlignment="1" applyProtection="1">
      <alignment horizontal="center" vertical="center" wrapText="1"/>
      <protection hidden="1"/>
    </xf>
    <xf numFmtId="0" fontId="6" fillId="0" borderId="0" xfId="1" applyFont="1" applyAlignment="1" applyProtection="1">
      <alignment horizontal="center" vertical="center"/>
      <protection hidden="1"/>
    </xf>
    <xf numFmtId="0" fontId="6" fillId="0" borderId="13" xfId="1" applyFont="1" applyBorder="1" applyAlignment="1" applyProtection="1">
      <alignment horizontal="center" vertical="center"/>
      <protection hidden="1"/>
    </xf>
    <xf numFmtId="0" fontId="11" fillId="0" borderId="3" xfId="1" applyFont="1" applyBorder="1" applyAlignment="1" applyProtection="1">
      <alignment horizontal="center" wrapText="1"/>
      <protection locked="0"/>
    </xf>
    <xf numFmtId="9" fontId="6" fillId="2" borderId="3" xfId="1" applyNumberFormat="1" applyFont="1" applyFill="1" applyBorder="1" applyAlignment="1" applyProtection="1">
      <alignment horizontal="center" vertical="center" wrapText="1"/>
      <protection hidden="1"/>
    </xf>
    <xf numFmtId="0" fontId="13" fillId="3" borderId="0" xfId="1" applyFont="1" applyFill="1"/>
    <xf numFmtId="14" fontId="13" fillId="3" borderId="0" xfId="1" applyNumberFormat="1" applyFont="1" applyFill="1"/>
    <xf numFmtId="0" fontId="26" fillId="0" borderId="0" xfId="1" applyFont="1"/>
    <xf numFmtId="14" fontId="26" fillId="0" borderId="0" xfId="1" applyNumberFormat="1" applyFont="1"/>
    <xf numFmtId="0" fontId="6" fillId="0" borderId="0" xfId="1" applyFont="1" applyAlignment="1">
      <alignment horizontal="center" vertical="center"/>
    </xf>
    <xf numFmtId="1" fontId="7" fillId="0" borderId="3" xfId="1" applyNumberFormat="1" applyFont="1" applyBorder="1" applyAlignment="1" applyProtection="1">
      <alignment horizontal="center" vertical="top" wrapText="1"/>
      <protection locked="0"/>
    </xf>
    <xf numFmtId="1" fontId="12" fillId="0" borderId="1" xfId="0" applyNumberFormat="1" applyFont="1" applyFill="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Fill="1" applyBorder="1" applyAlignment="1" applyProtection="1">
      <alignment horizontal="left" vertical="top"/>
      <protection locked="0"/>
    </xf>
    <xf numFmtId="2" fontId="6" fillId="0" borderId="0" xfId="1" applyNumberFormat="1" applyFont="1" applyAlignment="1">
      <alignment horizontal="center" vertical="center"/>
    </xf>
    <xf numFmtId="0" fontId="5" fillId="0" borderId="19" xfId="1" applyFont="1" applyBorder="1" applyAlignment="1" applyProtection="1">
      <alignment horizontal="left" vertical="top" wrapText="1"/>
      <protection locked="0"/>
    </xf>
    <xf numFmtId="1" fontId="5" fillId="0" borderId="9" xfId="1" applyNumberFormat="1" applyFont="1" applyBorder="1" applyAlignment="1" applyProtection="1">
      <alignment horizontal="center" vertical="center" wrapText="1"/>
      <protection locked="0"/>
    </xf>
    <xf numFmtId="1" fontId="5" fillId="0" borderId="10"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31" xfId="1" applyNumberFormat="1" applyFont="1" applyBorder="1" applyAlignment="1" applyProtection="1">
      <alignment horizontal="center" vertical="center" wrapText="1"/>
      <protection locked="0"/>
    </xf>
    <xf numFmtId="1" fontId="5" fillId="0" borderId="32"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2" fillId="0" borderId="9" xfId="0" applyNumberFormat="1" applyFont="1" applyFill="1" applyBorder="1" applyAlignment="1" applyProtection="1">
      <alignment vertical="top" wrapText="1"/>
      <protection locked="0"/>
    </xf>
    <xf numFmtId="1" fontId="12" fillId="0" borderId="24" xfId="0" applyNumberFormat="1" applyFont="1" applyFill="1" applyBorder="1" applyAlignment="1" applyProtection="1">
      <alignment vertical="top" wrapText="1"/>
      <protection locked="0"/>
    </xf>
    <xf numFmtId="1" fontId="12" fillId="0" borderId="10" xfId="0" applyNumberFormat="1" applyFont="1" applyFill="1" applyBorder="1" applyAlignment="1" applyProtection="1">
      <alignment vertical="top" wrapText="1"/>
      <protection locked="0"/>
    </xf>
    <xf numFmtId="0" fontId="7" fillId="0" borderId="0" xfId="1" applyFont="1" applyAlignment="1" applyProtection="1">
      <alignment horizontal="left" vertical="top" wrapText="1"/>
      <protection locked="0"/>
    </xf>
    <xf numFmtId="1" fontId="7" fillId="9" borderId="1" xfId="1" applyNumberFormat="1" applyFont="1" applyFill="1" applyBorder="1" applyAlignment="1" applyProtection="1">
      <alignment horizontal="center" vertical="center" wrapText="1"/>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top" wrapText="1"/>
      <protection locked="0"/>
    </xf>
    <xf numFmtId="1" fontId="7" fillId="0" borderId="22"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23" xfId="1" applyNumberFormat="1" applyFont="1" applyBorder="1" applyAlignment="1" applyProtection="1">
      <alignment horizontal="center" vertical="top" wrapText="1"/>
      <protection locked="0"/>
    </xf>
    <xf numFmtId="0" fontId="5" fillId="0" borderId="1"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protection locked="0"/>
    </xf>
    <xf numFmtId="0" fontId="11" fillId="0" borderId="1" xfId="1" applyFont="1" applyFill="1" applyBorder="1" applyAlignment="1" applyProtection="1">
      <alignment horizontal="left" vertical="top" wrapText="1"/>
      <protection locked="0"/>
    </xf>
    <xf numFmtId="167" fontId="11" fillId="0" borderId="1" xfId="1" applyNumberFormat="1" applyFont="1" applyFill="1" applyBorder="1" applyAlignment="1" applyProtection="1">
      <alignment horizontal="left" vertical="top" wrapText="1"/>
      <protection locked="0"/>
    </xf>
    <xf numFmtId="1" fontId="12"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33"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34" xfId="1" applyFont="1" applyBorder="1" applyAlignment="1" applyProtection="1">
      <alignment horizontal="center" vertical="center"/>
      <protection locked="0"/>
    </xf>
    <xf numFmtId="0" fontId="12" fillId="0" borderId="23" xfId="1" applyFont="1" applyBorder="1" applyAlignment="1" applyProtection="1">
      <alignment horizontal="center" vertical="center"/>
      <protection locked="0"/>
    </xf>
    <xf numFmtId="9" fontId="12" fillId="0" borderId="20" xfId="1" applyNumberFormat="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22" xfId="1" applyFont="1" applyBorder="1" applyAlignment="1" applyProtection="1">
      <alignment horizontal="center" vertical="center" wrapText="1"/>
      <protection locked="0"/>
    </xf>
    <xf numFmtId="0" fontId="12" fillId="0" borderId="23"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35" xfId="1" applyFont="1" applyBorder="1" applyAlignment="1" applyProtection="1">
      <alignment horizontal="center" vertical="center" wrapText="1"/>
      <protection locked="0"/>
    </xf>
    <xf numFmtId="0" fontId="12" fillId="0" borderId="36" xfId="1" applyFont="1" applyBorder="1" applyAlignment="1" applyProtection="1">
      <alignment horizontal="center" vertical="center" wrapText="1"/>
      <protection locked="0"/>
    </xf>
    <xf numFmtId="1" fontId="12" fillId="0" borderId="9" xfId="0" applyNumberFormat="1" applyFont="1" applyBorder="1" applyAlignment="1" applyProtection="1">
      <alignment vertical="top" wrapText="1"/>
      <protection locked="0"/>
    </xf>
    <xf numFmtId="1" fontId="12" fillId="0" borderId="24" xfId="0" applyNumberFormat="1" applyFont="1" applyBorder="1" applyAlignment="1" applyProtection="1">
      <alignment vertical="top" wrapText="1"/>
      <protection locked="0"/>
    </xf>
    <xf numFmtId="1" fontId="12" fillId="0" borderId="10"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2" borderId="1" xfId="1" applyNumberFormat="1" applyFont="1" applyFill="1" applyBorder="1" applyAlignment="1" applyProtection="1">
      <alignment horizontal="center" vertical="center" wrapText="1"/>
      <protection hidden="1"/>
    </xf>
    <xf numFmtId="9" fontId="6" fillId="2" borderId="7" xfId="1" applyNumberFormat="1" applyFont="1" applyFill="1" applyBorder="1" applyAlignment="1" applyProtection="1">
      <alignment horizontal="center" vertical="center" wrapText="1"/>
      <protection hidden="1"/>
    </xf>
    <xf numFmtId="9" fontId="6" fillId="2" borderId="5" xfId="1" applyNumberFormat="1" applyFont="1" applyFill="1" applyBorder="1" applyAlignment="1" applyProtection="1">
      <alignment horizontal="center" vertical="center" wrapText="1"/>
      <protection hidden="1"/>
    </xf>
    <xf numFmtId="9" fontId="6" fillId="2" borderId="8" xfId="1" applyNumberFormat="1" applyFont="1" applyFill="1" applyBorder="1" applyAlignment="1" applyProtection="1">
      <alignment horizontal="center" vertical="center" wrapText="1"/>
      <protection hidden="1"/>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7" fillId="0" borderId="28"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29" xfId="1" applyFont="1" applyBorder="1" applyAlignment="1" applyProtection="1">
      <alignment horizontal="left" vertical="top" wrapText="1"/>
      <protection locked="0"/>
    </xf>
    <xf numFmtId="0" fontId="5" fillId="0" borderId="4"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vertical="top"/>
      <protection locked="0"/>
    </xf>
    <xf numFmtId="0" fontId="11" fillId="2" borderId="1" xfId="1" applyFont="1" applyFill="1" applyBorder="1" applyAlignment="1" applyProtection="1">
      <alignment horizontal="left" vertical="top" wrapText="1"/>
      <protection locked="0"/>
    </xf>
    <xf numFmtId="167" fontId="11" fillId="0" borderId="1" xfId="1" applyNumberFormat="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165" fontId="5" fillId="0" borderId="1" xfId="1" applyNumberFormat="1" applyFont="1" applyBorder="1" applyAlignment="1" applyProtection="1">
      <alignment horizontal="left" vertical="top"/>
      <protection locked="0"/>
    </xf>
    <xf numFmtId="0" fontId="11" fillId="0" borderId="20" xfId="1" applyFont="1" applyBorder="1" applyAlignment="1" applyProtection="1">
      <alignment horizontal="left" vertical="top" wrapText="1"/>
      <protection locked="0"/>
    </xf>
    <xf numFmtId="0" fontId="11" fillId="0" borderId="30"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67" fontId="12" fillId="0" borderId="1" xfId="1" applyNumberFormat="1" applyFont="1" applyBorder="1" applyAlignment="1" applyProtection="1">
      <alignment horizontal="left" vertical="top" wrapText="1"/>
      <protection locked="0"/>
    </xf>
    <xf numFmtId="0" fontId="11" fillId="2" borderId="9" xfId="1" applyFont="1" applyFill="1" applyBorder="1" applyAlignment="1" applyProtection="1">
      <alignment horizontal="left" vertical="top" wrapText="1"/>
      <protection locked="0"/>
    </xf>
    <xf numFmtId="0" fontId="11" fillId="2" borderId="24"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2"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167"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6" fillId="0" borderId="9" xfId="1" applyFont="1" applyBorder="1" applyAlignment="1" applyProtection="1">
      <alignment horizontal="left" vertical="center"/>
      <protection locked="0"/>
    </xf>
    <xf numFmtId="0" fontId="6" fillId="0" borderId="24"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25" fillId="0" borderId="9" xfId="9" applyBorder="1" applyAlignment="1" applyProtection="1">
      <alignment horizontal="left" vertical="center"/>
      <protection locked="0"/>
    </xf>
    <xf numFmtId="9" fontId="6" fillId="2" borderId="3" xfId="1" applyNumberFormat="1" applyFont="1" applyFill="1" applyBorder="1" applyAlignment="1" applyProtection="1">
      <alignment horizontal="center" vertical="center" wrapText="1"/>
      <protection hidden="1"/>
    </xf>
    <xf numFmtId="0" fontId="6" fillId="0" borderId="3" xfId="1" applyFont="1" applyBorder="1" applyAlignment="1" applyProtection="1">
      <alignment horizontal="center" vertical="top" wrapText="1"/>
      <protection locked="0"/>
    </xf>
    <xf numFmtId="0" fontId="11" fillId="0" borderId="22"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3"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0" xfId="1" applyFont="1" applyBorder="1" applyAlignment="1" applyProtection="1">
      <alignment horizontal="left" vertical="top"/>
      <protection locked="0"/>
    </xf>
    <xf numFmtId="0" fontId="11" fillId="0" borderId="3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32"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7" fillId="0" borderId="37" xfId="1" applyFont="1" applyBorder="1" applyAlignment="1" applyProtection="1">
      <alignment horizontal="left" vertical="top" wrapText="1"/>
      <protection locked="0"/>
    </xf>
    <xf numFmtId="0" fontId="7" fillId="0" borderId="38" xfId="1" applyFont="1" applyBorder="1" applyAlignment="1" applyProtection="1">
      <alignment horizontal="left" vertical="top" wrapText="1"/>
      <protection locked="0"/>
    </xf>
    <xf numFmtId="0" fontId="7" fillId="0" borderId="39" xfId="1" applyFont="1" applyBorder="1" applyAlignment="1" applyProtection="1">
      <alignment horizontal="left" vertical="top" wrapText="1"/>
      <protection locked="0"/>
    </xf>
    <xf numFmtId="0" fontId="11" fillId="0" borderId="31"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32" xfId="1" applyFont="1" applyBorder="1" applyAlignment="1" applyProtection="1">
      <alignment horizontal="left" vertical="top"/>
      <protection locked="0"/>
    </xf>
    <xf numFmtId="0" fontId="11" fillId="0" borderId="19"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21" fillId="4" borderId="25"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4" fillId="3" borderId="26" xfId="0" applyFont="1" applyFill="1" applyBorder="1" applyAlignment="1">
      <alignment horizontal="center"/>
    </xf>
    <xf numFmtId="0" fontId="24" fillId="3" borderId="9" xfId="0" applyFont="1" applyFill="1" applyBorder="1" applyAlignment="1">
      <alignment horizontal="center"/>
    </xf>
    <xf numFmtId="0" fontId="24" fillId="3" borderId="24" xfId="0" applyFont="1" applyFill="1" applyBorder="1" applyAlignment="1">
      <alignment horizontal="center"/>
    </xf>
    <xf numFmtId="0" fontId="24" fillId="3" borderId="10" xfId="0" applyFont="1" applyFill="1" applyBorder="1" applyAlignment="1">
      <alignment horizontal="center"/>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em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16</xdr:col>
      <xdr:colOff>121699</xdr:colOff>
      <xdr:row>332</xdr:row>
      <xdr:rowOff>62273</xdr:rowOff>
    </xdr:from>
    <xdr:to>
      <xdr:col>26</xdr:col>
      <xdr:colOff>273416</xdr:colOff>
      <xdr:row>351</xdr:row>
      <xdr:rowOff>168089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915640" y="66927773"/>
          <a:ext cx="6202894" cy="393822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409575</xdr:colOff>
      <xdr:row>36</xdr:row>
      <xdr:rowOff>104775</xdr:rowOff>
    </xdr:from>
    <xdr:to>
      <xdr:col>19</xdr:col>
      <xdr:colOff>590550</xdr:colOff>
      <xdr:row>51</xdr:row>
      <xdr:rowOff>66225</xdr:rowOff>
    </xdr:to>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8475" y="8724900"/>
          <a:ext cx="4886325"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135</xdr:row>
      <xdr:rowOff>95250</xdr:rowOff>
    </xdr:from>
    <xdr:to>
      <xdr:col>22</xdr:col>
      <xdr:colOff>288925</xdr:colOff>
      <xdr:row>148</xdr:row>
      <xdr:rowOff>488686</xdr:rowOff>
    </xdr:to>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39175" y="25374600"/>
          <a:ext cx="4622800"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147206</xdr:colOff>
      <xdr:row>148</xdr:row>
      <xdr:rowOff>203490</xdr:rowOff>
    </xdr:from>
    <xdr:to>
      <xdr:col>30</xdr:col>
      <xdr:colOff>17352</xdr:colOff>
      <xdr:row>171</xdr:row>
      <xdr:rowOff>50223</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14661" y="29679035"/>
          <a:ext cx="8356055" cy="4766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605790</xdr:colOff>
      <xdr:row>232</xdr:row>
      <xdr:rowOff>133350</xdr:rowOff>
    </xdr:from>
    <xdr:to>
      <xdr:col>22</xdr:col>
      <xdr:colOff>299085</xdr:colOff>
      <xdr:row>264</xdr:row>
      <xdr:rowOff>9525</xdr:rowOff>
    </xdr:to>
    <xdr:grpSp>
      <xdr:nvGrpSpPr>
        <xdr:cNvPr id="4" name="Group 3">
          <a:extLst>
            <a:ext uri="{FF2B5EF4-FFF2-40B4-BE49-F238E27FC236}">
              <a16:creationId xmlns:a16="http://schemas.microsoft.com/office/drawing/2014/main" id="{AF9B6323-ABA3-401A-A3C0-1C8D12D441C2}"/>
            </a:ext>
          </a:extLst>
        </xdr:cNvPr>
        <xdr:cNvGrpSpPr/>
      </xdr:nvGrpSpPr>
      <xdr:grpSpPr>
        <a:xfrm>
          <a:off x="7519819" y="46312791"/>
          <a:ext cx="6203913" cy="6319558"/>
          <a:chOff x="-1018669" y="467639"/>
          <a:chExt cx="8895338" cy="8357053"/>
        </a:xfrm>
      </xdr:grpSpPr>
      <xdr:grpSp>
        <xdr:nvGrpSpPr>
          <xdr:cNvPr id="6" name="Group 5">
            <a:extLst>
              <a:ext uri="{FF2B5EF4-FFF2-40B4-BE49-F238E27FC236}">
                <a16:creationId xmlns:a16="http://schemas.microsoft.com/office/drawing/2014/main" id="{28A5A3B8-AF39-BB7B-9712-DC7D10FAFFB3}"/>
              </a:ext>
            </a:extLst>
          </xdr:cNvPr>
          <xdr:cNvGrpSpPr/>
        </xdr:nvGrpSpPr>
        <xdr:grpSpPr>
          <a:xfrm>
            <a:off x="296724" y="6304692"/>
            <a:ext cx="6394583" cy="2520000"/>
            <a:chOff x="463417" y="7344000"/>
            <a:chExt cx="6394583" cy="1800000"/>
          </a:xfrm>
        </xdr:grpSpPr>
        <xdr:pic>
          <xdr:nvPicPr>
            <xdr:cNvPr id="33" name="Picture 32">
              <a:extLst>
                <a:ext uri="{FF2B5EF4-FFF2-40B4-BE49-F238E27FC236}">
                  <a16:creationId xmlns:a16="http://schemas.microsoft.com/office/drawing/2014/main" id="{2678D840-5611-516E-428E-670F631E55A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3417" y="7344000"/>
              <a:ext cx="2388930"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CAC3693C-4FF3-C5A9-459A-299F8F2ECAF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79175" y="7344000"/>
              <a:ext cx="1354219"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76D9CB02-09DA-25A9-2B98-0C9BAE2D99D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6397"/>
            <a:stretch/>
          </xdr:blipFill>
          <xdr:spPr>
            <a:xfrm>
              <a:off x="4460222" y="7344000"/>
              <a:ext cx="2397778" cy="180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7BAAEBE9-C813-280C-91EF-ED2380861C09}"/>
              </a:ext>
            </a:extLst>
          </xdr:cNvPr>
          <xdr:cNvGrpSpPr/>
        </xdr:nvGrpSpPr>
        <xdr:grpSpPr>
          <a:xfrm>
            <a:off x="6015" y="3651077"/>
            <a:ext cx="6851985" cy="2520000"/>
            <a:chOff x="6015" y="2544358"/>
            <a:chExt cx="6851985" cy="2520000"/>
          </a:xfrm>
        </xdr:grpSpPr>
        <xdr:pic>
          <xdr:nvPicPr>
            <xdr:cNvPr id="31" name="Picture 30">
              <a:extLst>
                <a:ext uri="{FF2B5EF4-FFF2-40B4-BE49-F238E27FC236}">
                  <a16:creationId xmlns:a16="http://schemas.microsoft.com/office/drawing/2014/main" id="{E0CA1A77-C07B-A582-C683-25EF04FDA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15" y="2544358"/>
              <a:ext cx="3356889"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1846071B-438D-0FFB-1626-D4F6AB8C0FF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01111" y="2544358"/>
              <a:ext cx="3356889"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86F863CD-C395-309F-B4C6-451DB3F13DEE}"/>
              </a:ext>
            </a:extLst>
          </xdr:cNvPr>
          <xdr:cNvGrpSpPr/>
        </xdr:nvGrpSpPr>
        <xdr:grpSpPr>
          <a:xfrm>
            <a:off x="-1018669" y="467639"/>
            <a:ext cx="8895338" cy="3060000"/>
            <a:chOff x="-1054093" y="467639"/>
            <a:chExt cx="8895338" cy="3060000"/>
          </a:xfrm>
        </xdr:grpSpPr>
        <xdr:grpSp>
          <xdr:nvGrpSpPr>
            <xdr:cNvPr id="9" name="Group 8">
              <a:extLst>
                <a:ext uri="{FF2B5EF4-FFF2-40B4-BE49-F238E27FC236}">
                  <a16:creationId xmlns:a16="http://schemas.microsoft.com/office/drawing/2014/main" id="{4A1ABBD7-D4F1-C534-C3E1-BC99A19BE10C}"/>
                </a:ext>
              </a:extLst>
            </xdr:cNvPr>
            <xdr:cNvGrpSpPr/>
          </xdr:nvGrpSpPr>
          <xdr:grpSpPr>
            <a:xfrm>
              <a:off x="4961245" y="467639"/>
              <a:ext cx="2880000" cy="3060000"/>
              <a:chOff x="4070318" y="-7413"/>
              <a:chExt cx="1888031" cy="2520000"/>
            </a:xfrm>
          </xdr:grpSpPr>
          <xdr:pic>
            <xdr:nvPicPr>
              <xdr:cNvPr id="29" name="Picture 28">
                <a:extLst>
                  <a:ext uri="{FF2B5EF4-FFF2-40B4-BE49-F238E27FC236}">
                    <a16:creationId xmlns:a16="http://schemas.microsoft.com/office/drawing/2014/main" id="{9EC7C3DF-DEEE-BFBB-C2FC-4EC56A00233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70318" y="-7413"/>
                <a:ext cx="1888031" cy="2520000"/>
              </a:xfrm>
              <a:prstGeom prst="rect">
                <a:avLst/>
              </a:prstGeom>
              <a:ln>
                <a:solidFill>
                  <a:schemeClr val="tx1"/>
                </a:solidFill>
              </a:ln>
            </xdr:spPr>
          </xdr:pic>
          <xdr:sp macro="" textlink="">
            <xdr:nvSpPr>
              <xdr:cNvPr id="30" name="TextBox 12">
                <a:extLst>
                  <a:ext uri="{FF2B5EF4-FFF2-40B4-BE49-F238E27FC236}">
                    <a16:creationId xmlns:a16="http://schemas.microsoft.com/office/drawing/2014/main" id="{7B2B676F-DBCB-4D89-CAA0-A958E85B4A91}"/>
                  </a:ext>
                </a:extLst>
              </xdr:cNvPr>
              <xdr:cNvSpPr txBox="1"/>
            </xdr:nvSpPr>
            <xdr:spPr>
              <a:xfrm>
                <a:off x="4846320" y="18495"/>
                <a:ext cx="554960" cy="24622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E</a:t>
                </a:r>
                <a:endParaRPr lang="en-IN" sz="1000" b="1"/>
              </a:p>
            </xdr:txBody>
          </xdr:sp>
        </xdr:grpSp>
        <xdr:grpSp>
          <xdr:nvGrpSpPr>
            <xdr:cNvPr id="10" name="Group 9">
              <a:extLst>
                <a:ext uri="{FF2B5EF4-FFF2-40B4-BE49-F238E27FC236}">
                  <a16:creationId xmlns:a16="http://schemas.microsoft.com/office/drawing/2014/main" id="{F3F45D23-A271-8A49-EF03-73AACB317E1B}"/>
                </a:ext>
              </a:extLst>
            </xdr:cNvPr>
            <xdr:cNvGrpSpPr/>
          </xdr:nvGrpSpPr>
          <xdr:grpSpPr>
            <a:xfrm>
              <a:off x="1953576" y="467639"/>
              <a:ext cx="2880000" cy="3060000"/>
              <a:chOff x="2035159" y="-7413"/>
              <a:chExt cx="1888031" cy="2520000"/>
            </a:xfrm>
          </xdr:grpSpPr>
          <xdr:pic>
            <xdr:nvPicPr>
              <xdr:cNvPr id="27" name="Picture 26">
                <a:extLst>
                  <a:ext uri="{FF2B5EF4-FFF2-40B4-BE49-F238E27FC236}">
                    <a16:creationId xmlns:a16="http://schemas.microsoft.com/office/drawing/2014/main" id="{157E557C-D1FF-C8B9-E3D8-BB3912FC017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35159" y="-7413"/>
                <a:ext cx="1888031" cy="2520000"/>
              </a:xfrm>
              <a:prstGeom prst="rect">
                <a:avLst/>
              </a:prstGeom>
              <a:ln>
                <a:solidFill>
                  <a:schemeClr val="tx1"/>
                </a:solidFill>
              </a:ln>
            </xdr:spPr>
          </xdr:pic>
          <xdr:sp macro="" textlink="">
            <xdr:nvSpPr>
              <xdr:cNvPr id="28" name="TextBox 13">
                <a:extLst>
                  <a:ext uri="{FF2B5EF4-FFF2-40B4-BE49-F238E27FC236}">
                    <a16:creationId xmlns:a16="http://schemas.microsoft.com/office/drawing/2014/main" id="{88B991BD-AFC1-3D36-F2FA-9255F5DD4E71}"/>
                  </a:ext>
                </a:extLst>
              </xdr:cNvPr>
              <xdr:cNvSpPr txBox="1"/>
            </xdr:nvSpPr>
            <xdr:spPr>
              <a:xfrm>
                <a:off x="2701694" y="-7413"/>
                <a:ext cx="572593" cy="24622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D</a:t>
                </a:r>
                <a:endParaRPr lang="en-IN" sz="1000" b="1"/>
              </a:p>
            </xdr:txBody>
          </xdr:sp>
        </xdr:grpSp>
        <xdr:grpSp>
          <xdr:nvGrpSpPr>
            <xdr:cNvPr id="18" name="Group 17">
              <a:extLst>
                <a:ext uri="{FF2B5EF4-FFF2-40B4-BE49-F238E27FC236}">
                  <a16:creationId xmlns:a16="http://schemas.microsoft.com/office/drawing/2014/main" id="{4D2741F2-C01E-2838-0C04-FDF8B5CEF36C}"/>
                </a:ext>
              </a:extLst>
            </xdr:cNvPr>
            <xdr:cNvGrpSpPr/>
          </xdr:nvGrpSpPr>
          <xdr:grpSpPr>
            <a:xfrm>
              <a:off x="-1054093" y="467639"/>
              <a:ext cx="2880000" cy="3060000"/>
              <a:chOff x="0" y="0"/>
              <a:chExt cx="1888031" cy="2520000"/>
            </a:xfrm>
          </xdr:grpSpPr>
          <xdr:pic>
            <xdr:nvPicPr>
              <xdr:cNvPr id="25" name="Picture 24">
                <a:extLst>
                  <a:ext uri="{FF2B5EF4-FFF2-40B4-BE49-F238E27FC236}">
                    <a16:creationId xmlns:a16="http://schemas.microsoft.com/office/drawing/2014/main" id="{323A4178-3741-9BEA-9F15-5A788C98DC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888031" cy="2520000"/>
              </a:xfrm>
              <a:prstGeom prst="rect">
                <a:avLst/>
              </a:prstGeom>
              <a:ln>
                <a:solidFill>
                  <a:schemeClr val="tx1"/>
                </a:solidFill>
              </a:ln>
            </xdr:spPr>
          </xdr:pic>
          <xdr:sp macro="" textlink="">
            <xdr:nvSpPr>
              <xdr:cNvPr id="26" name="TextBox 14">
                <a:extLst>
                  <a:ext uri="{FF2B5EF4-FFF2-40B4-BE49-F238E27FC236}">
                    <a16:creationId xmlns:a16="http://schemas.microsoft.com/office/drawing/2014/main" id="{766E3EC0-3F59-D2CE-EF0A-9E313082F4C8}"/>
                  </a:ext>
                </a:extLst>
              </xdr:cNvPr>
              <xdr:cNvSpPr txBox="1"/>
            </xdr:nvSpPr>
            <xdr:spPr>
              <a:xfrm>
                <a:off x="537614" y="8710"/>
                <a:ext cx="559769" cy="24622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C</a:t>
                </a:r>
                <a:endParaRPr lang="en-IN" sz="1000" b="1"/>
              </a:p>
            </xdr:txBody>
          </xdr:sp>
        </xdr:grpSp>
      </xdr:grpSp>
    </xdr:grpSp>
    <xdr:clientData/>
  </xdr:twoCellAnchor>
  <xdr:twoCellAnchor>
    <xdr:from>
      <xdr:col>8</xdr:col>
      <xdr:colOff>886460</xdr:colOff>
      <xdr:row>274</xdr:row>
      <xdr:rowOff>55880</xdr:rowOff>
    </xdr:from>
    <xdr:to>
      <xdr:col>22</xdr:col>
      <xdr:colOff>417051</xdr:colOff>
      <xdr:row>311</xdr:row>
      <xdr:rowOff>28492</xdr:rowOff>
    </xdr:to>
    <xdr:grpSp>
      <xdr:nvGrpSpPr>
        <xdr:cNvPr id="36" name="Group 35">
          <a:extLst>
            <a:ext uri="{FF2B5EF4-FFF2-40B4-BE49-F238E27FC236}">
              <a16:creationId xmlns:a16="http://schemas.microsoft.com/office/drawing/2014/main" id="{00000000-0008-0000-0000-000005000000}"/>
            </a:ext>
          </a:extLst>
        </xdr:cNvPr>
        <xdr:cNvGrpSpPr/>
      </xdr:nvGrpSpPr>
      <xdr:grpSpPr>
        <a:xfrm>
          <a:off x="7800489" y="54695762"/>
          <a:ext cx="6041209" cy="7424524"/>
          <a:chOff x="139700" y="40963850"/>
          <a:chExt cx="6363191" cy="7249712"/>
        </a:xfrm>
      </xdr:grpSpPr>
      <xdr:pic>
        <xdr:nvPicPr>
          <xdr:cNvPr id="37" name="Picture 3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903550" y="46053562"/>
            <a:ext cx="2877333"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1544" y="40963850"/>
            <a:ext cx="2022891" cy="270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25558" y="43778706"/>
            <a:ext cx="2877333"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882629" y="43778706"/>
            <a:ext cx="1618313"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39700" y="43778706"/>
            <a:ext cx="1618313"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330772" y="40963850"/>
            <a:ext cx="2022891" cy="270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480000" y="40963850"/>
            <a:ext cx="2022891" cy="2700000"/>
          </a:xfrm>
          <a:prstGeom prst="rect">
            <a:avLst/>
          </a:prstGeom>
          <a:ln>
            <a:solidFill>
              <a:schemeClr val="tx1"/>
            </a:solidFill>
          </a:ln>
        </xdr:spPr>
      </xdr:pic>
      <xdr:sp macro="" textlink="">
        <xdr:nvSpPr>
          <xdr:cNvPr id="44" name="TextBox 43">
            <a:extLst>
              <a:ext uri="{FF2B5EF4-FFF2-40B4-BE49-F238E27FC236}">
                <a16:creationId xmlns:a16="http://schemas.microsoft.com/office/drawing/2014/main" id="{00000000-0008-0000-0000-000016000000}"/>
              </a:ext>
            </a:extLst>
          </xdr:cNvPr>
          <xdr:cNvSpPr txBox="1"/>
        </xdr:nvSpPr>
        <xdr:spPr>
          <a:xfrm>
            <a:off x="181544" y="40963850"/>
            <a:ext cx="7834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Tower C</a:t>
            </a:r>
          </a:p>
        </xdr:txBody>
      </xdr:sp>
      <xdr:sp macro="" textlink="">
        <xdr:nvSpPr>
          <xdr:cNvPr id="45" name="TextBox 44">
            <a:extLst>
              <a:ext uri="{FF2B5EF4-FFF2-40B4-BE49-F238E27FC236}">
                <a16:creationId xmlns:a16="http://schemas.microsoft.com/office/drawing/2014/main" id="{00000000-0008-0000-0000-000017000000}"/>
              </a:ext>
            </a:extLst>
          </xdr:cNvPr>
          <xdr:cNvSpPr txBox="1"/>
        </xdr:nvSpPr>
        <xdr:spPr>
          <a:xfrm>
            <a:off x="2889572" y="41008300"/>
            <a:ext cx="79816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Tower D</a:t>
            </a:r>
          </a:p>
        </xdr:txBody>
      </xdr:sp>
      <xdr:sp macro="" textlink="">
        <xdr:nvSpPr>
          <xdr:cNvPr id="46" name="TextBox 45">
            <a:extLst>
              <a:ext uri="{FF2B5EF4-FFF2-40B4-BE49-F238E27FC236}">
                <a16:creationId xmlns:a16="http://schemas.microsoft.com/office/drawing/2014/main" id="{00000000-0008-0000-0000-000018000000}"/>
              </a:ext>
            </a:extLst>
          </xdr:cNvPr>
          <xdr:cNvSpPr txBox="1"/>
        </xdr:nvSpPr>
        <xdr:spPr>
          <a:xfrm>
            <a:off x="5305500" y="41046400"/>
            <a:ext cx="7834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Tower E</a:t>
            </a:r>
          </a:p>
        </xdr:txBody>
      </xdr:sp>
    </xdr:grpSp>
    <xdr:clientData/>
  </xdr:twoCellAnchor>
  <xdr:twoCellAnchor>
    <xdr:from>
      <xdr:col>1</xdr:col>
      <xdr:colOff>514350</xdr:colOff>
      <xdr:row>275</xdr:row>
      <xdr:rowOff>19050</xdr:rowOff>
    </xdr:from>
    <xdr:to>
      <xdr:col>5</xdr:col>
      <xdr:colOff>569660</xdr:colOff>
      <xdr:row>315</xdr:row>
      <xdr:rowOff>5174</xdr:rowOff>
    </xdr:to>
    <xdr:grpSp>
      <xdr:nvGrpSpPr>
        <xdr:cNvPr id="67" name="Group 66"/>
        <xdr:cNvGrpSpPr/>
      </xdr:nvGrpSpPr>
      <xdr:grpSpPr>
        <a:xfrm>
          <a:off x="1276350" y="54860638"/>
          <a:ext cx="3349839" cy="8043154"/>
          <a:chOff x="1276350" y="55292625"/>
          <a:chExt cx="3341435" cy="7977599"/>
        </a:xfrm>
      </xdr:grpSpPr>
      <xdr:pic>
        <xdr:nvPicPr>
          <xdr:cNvPr id="65" name="Picture 64"/>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1619250" y="55292625"/>
            <a:ext cx="2731429" cy="3600000"/>
          </a:xfrm>
          <a:prstGeom prst="rect">
            <a:avLst/>
          </a:prstGeom>
          <a:ln>
            <a:solidFill>
              <a:sysClr val="windowText" lastClr="000000"/>
            </a:solidFill>
          </a:ln>
        </xdr:spPr>
      </xdr:pic>
      <xdr:pic>
        <xdr:nvPicPr>
          <xdr:cNvPr id="66" name="Picture 65"/>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6390" t="3277" r="4151" b="9981"/>
          <a:stretch/>
        </xdr:blipFill>
        <xdr:spPr>
          <a:xfrm>
            <a:off x="1276350" y="58950224"/>
            <a:ext cx="3341435" cy="4320000"/>
          </a:xfrm>
          <a:prstGeom prst="rect">
            <a:avLst/>
          </a:prstGeom>
          <a:ln>
            <a:solidFill>
              <a:sysClr val="windowText" lastClr="000000"/>
            </a:solidFill>
          </a:ln>
        </xdr:spPr>
      </xdr:pic>
    </xdr:grpSp>
    <xdr:clientData/>
  </xdr:twoCellAnchor>
  <xdr:twoCellAnchor>
    <xdr:from>
      <xdr:col>8</xdr:col>
      <xdr:colOff>692681</xdr:colOff>
      <xdr:row>229</xdr:row>
      <xdr:rowOff>84553</xdr:rowOff>
    </xdr:from>
    <xdr:to>
      <xdr:col>9</xdr:col>
      <xdr:colOff>148712</xdr:colOff>
      <xdr:row>230</xdr:row>
      <xdr:rowOff>163584</xdr:rowOff>
    </xdr:to>
    <xdr:sp macro="" textlink="">
      <xdr:nvSpPr>
        <xdr:cNvPr id="52" name="TextBox 51"/>
        <xdr:cNvSpPr txBox="1"/>
      </xdr:nvSpPr>
      <xdr:spPr>
        <a:xfrm>
          <a:off x="7588781" y="46566553"/>
          <a:ext cx="818106" cy="279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Tower B</a:t>
          </a:r>
        </a:p>
      </xdr:txBody>
    </xdr:sp>
    <xdr:clientData/>
  </xdr:twoCellAnchor>
  <xdr:twoCellAnchor>
    <xdr:from>
      <xdr:col>0</xdr:col>
      <xdr:colOff>76200</xdr:colOff>
      <xdr:row>233</xdr:row>
      <xdr:rowOff>28574</xdr:rowOff>
    </xdr:from>
    <xdr:to>
      <xdr:col>7</xdr:col>
      <xdr:colOff>1189965</xdr:colOff>
      <xdr:row>255</xdr:row>
      <xdr:rowOff>130394</xdr:rowOff>
    </xdr:to>
    <xdr:grpSp>
      <xdr:nvGrpSpPr>
        <xdr:cNvPr id="48" name="Group 47"/>
        <xdr:cNvGrpSpPr/>
      </xdr:nvGrpSpPr>
      <xdr:grpSpPr>
        <a:xfrm>
          <a:off x="76200" y="46409721"/>
          <a:ext cx="6739118" cy="4528144"/>
          <a:chOff x="76200" y="47110650"/>
          <a:chExt cx="6723990" cy="4492845"/>
        </a:xfrm>
      </xdr:grpSpPr>
      <xdr:grpSp>
        <xdr:nvGrpSpPr>
          <xdr:cNvPr id="53" name="Group 52"/>
          <xdr:cNvGrpSpPr/>
        </xdr:nvGrpSpPr>
        <xdr:grpSpPr>
          <a:xfrm>
            <a:off x="690353" y="50069711"/>
            <a:ext cx="5507866" cy="1533784"/>
            <a:chOff x="-287773" y="33063680"/>
            <a:chExt cx="6449079" cy="1620001"/>
          </a:xfrm>
        </xdr:grpSpPr>
        <xdr:pic>
          <xdr:nvPicPr>
            <xdr:cNvPr id="55" name="Picture 5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100945" y="33063681"/>
              <a:ext cx="2060361" cy="162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87773" y="33063681"/>
              <a:ext cx="2044700" cy="1619999"/>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855786" y="33063680"/>
              <a:ext cx="2158001" cy="1620000"/>
            </a:xfrm>
            <a:prstGeom prst="rect">
              <a:avLst/>
            </a:prstGeom>
            <a:ln>
              <a:solidFill>
                <a:schemeClr val="tx1"/>
              </a:solidFill>
            </a:ln>
          </xdr:spPr>
        </xdr:pic>
      </xdr:grpSp>
      <xdr:grpSp>
        <xdr:nvGrpSpPr>
          <xdr:cNvPr id="47" name="Group 46"/>
          <xdr:cNvGrpSpPr/>
        </xdr:nvGrpSpPr>
        <xdr:grpSpPr>
          <a:xfrm>
            <a:off x="76200" y="47110650"/>
            <a:ext cx="6723990" cy="2880001"/>
            <a:chOff x="47625" y="47701200"/>
            <a:chExt cx="6723990" cy="2880001"/>
          </a:xfrm>
        </xdr:grpSpPr>
        <xdr:pic>
          <xdr:nvPicPr>
            <xdr:cNvPr id="60" name="Picture 59" descr="insp-240613-860.jpg (959×1280)"/>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2330745" y="477012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insp-240613-871.jpg (959×1280)"/>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47625" y="477012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insp-240613-919.jpg (959×1280)"/>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4613865" y="47701201"/>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8</xdr:col>
      <xdr:colOff>0</xdr:colOff>
      <xdr:row>10</xdr:row>
      <xdr:rowOff>0</xdr:rowOff>
    </xdr:from>
    <xdr:to>
      <xdr:col>8</xdr:col>
      <xdr:colOff>571500</xdr:colOff>
      <xdr:row>10</xdr:row>
      <xdr:rowOff>457200</xdr:rowOff>
    </xdr:to>
    <xdr:sp macro="" textlink="">
      <xdr:nvSpPr>
        <xdr:cNvPr id="1025" name="Text Box 1"/>
        <xdr:cNvSpPr txBox="1">
          <a:spLocks noChangeArrowheads="1"/>
        </xdr:cNvSpPr>
      </xdr:nvSpPr>
      <xdr:spPr bwMode="auto">
        <a:xfrm>
          <a:off x="6896100" y="2390775"/>
          <a:ext cx="571500" cy="457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IN" sz="1100" b="0" i="0" u="none" strike="noStrike" baseline="0">
              <a:solidFill>
                <a:srgbClr val="000000"/>
              </a:solidFill>
              <a:latin typeface="Calibri"/>
              <a:cs typeface="Calibri"/>
            </a:rPr>
            <a:t>Birla Vanya Phase 2</a:t>
          </a:r>
        </a:p>
      </xdr:txBody>
    </xdr:sp>
    <xdr:clientData/>
  </xdr:twoCellAnchor>
  <xdr:twoCellAnchor>
    <xdr:from>
      <xdr:col>0</xdr:col>
      <xdr:colOff>661150</xdr:colOff>
      <xdr:row>318</xdr:row>
      <xdr:rowOff>78442</xdr:rowOff>
    </xdr:from>
    <xdr:to>
      <xdr:col>7</xdr:col>
      <xdr:colOff>582707</xdr:colOff>
      <xdr:row>355</xdr:row>
      <xdr:rowOff>79428</xdr:rowOff>
    </xdr:to>
    <xdr:grpSp>
      <xdr:nvGrpSpPr>
        <xdr:cNvPr id="14" name="Group 13"/>
        <xdr:cNvGrpSpPr/>
      </xdr:nvGrpSpPr>
      <xdr:grpSpPr>
        <a:xfrm>
          <a:off x="661150" y="63582177"/>
          <a:ext cx="5546910" cy="7464104"/>
          <a:chOff x="661150" y="64344978"/>
          <a:chExt cx="5514093" cy="7552950"/>
        </a:xfrm>
      </xdr:grpSpPr>
      <xdr:grpSp>
        <xdr:nvGrpSpPr>
          <xdr:cNvPr id="11" name="Group 10"/>
          <xdr:cNvGrpSpPr/>
        </xdr:nvGrpSpPr>
        <xdr:grpSpPr>
          <a:xfrm>
            <a:off x="661150" y="64344978"/>
            <a:ext cx="5514093" cy="7552950"/>
            <a:chOff x="661150" y="63918354"/>
            <a:chExt cx="5546910" cy="7464103"/>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915823" y="63918354"/>
              <a:ext cx="5025518" cy="295835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xdr:cNvPicPr>
          </xdr:nvPicPr>
          <xdr:blipFill>
            <a:blip xmlns:r="http://schemas.openxmlformats.org/officeDocument/2006/relationships" r:embed="rId29"/>
            <a:stretch>
              <a:fillRect/>
            </a:stretch>
          </xdr:blipFill>
          <xdr:spPr>
            <a:xfrm>
              <a:off x="661150" y="66977558"/>
              <a:ext cx="5546910" cy="4404899"/>
            </a:xfrm>
            <a:prstGeom prst="rect">
              <a:avLst/>
            </a:prstGeom>
            <a:ln>
              <a:solidFill>
                <a:srgbClr val="002060"/>
              </a:solidFill>
            </a:ln>
          </xdr:spPr>
        </xdr:pic>
      </xdr:grpSp>
      <xdr:sp macro="" textlink="">
        <xdr:nvSpPr>
          <xdr:cNvPr id="12" name="Rectangle 11"/>
          <xdr:cNvSpPr/>
        </xdr:nvSpPr>
        <xdr:spPr>
          <a:xfrm rot="20348135">
            <a:off x="3111850" y="68743286"/>
            <a:ext cx="1017396" cy="73583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4" name="Rectangle 53"/>
          <xdr:cNvSpPr/>
        </xdr:nvSpPr>
        <xdr:spPr>
          <a:xfrm rot="20345735">
            <a:off x="2253185" y="68345477"/>
            <a:ext cx="2468493" cy="35779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Birla Vanya Phase 2</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ACkoimUuqeUztYx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318"/>
  <sheetViews>
    <sheetView tabSelected="1" view="pageBreakPreview" topLeftCell="A117" zoomScale="85" zoomScaleNormal="100" zoomScaleSheetLayoutView="85" workbookViewId="0">
      <selection activeCell="Q132" sqref="Q132"/>
    </sheetView>
  </sheetViews>
  <sheetFormatPr defaultColWidth="9.140625" defaultRowHeight="15.75" x14ac:dyDescent="0.25"/>
  <cols>
    <col min="1" max="1" width="11.42578125" style="17" customWidth="1"/>
    <col min="2" max="2" width="12" style="17" customWidth="1"/>
    <col min="3" max="3" width="12.7109375" style="17" customWidth="1"/>
    <col min="4" max="4" width="12.85546875" style="17" customWidth="1"/>
    <col min="5" max="7" width="11.7109375" style="17" customWidth="1"/>
    <col min="8" max="8" width="19.28515625" style="17" customWidth="1"/>
    <col min="9" max="9" width="20.42578125" style="8" customWidth="1"/>
    <col min="10" max="10" width="11.42578125" style="8" customWidth="1"/>
    <col min="11" max="11" width="11.28515625" style="8" bestFit="1" customWidth="1"/>
    <col min="12" max="12" width="12.85546875" style="8" hidden="1" customWidth="1"/>
    <col min="13" max="14" width="9.140625" style="8" hidden="1" customWidth="1"/>
    <col min="15" max="15" width="10.7109375" style="8" hidden="1" customWidth="1"/>
    <col min="16" max="16" width="13.42578125" style="8" hidden="1" customWidth="1"/>
    <col min="17" max="247" width="9.140625" style="8"/>
    <col min="248" max="248" width="8.7109375" style="8" customWidth="1"/>
    <col min="249" max="249" width="9.85546875" style="8" customWidth="1"/>
    <col min="250" max="250" width="14.42578125" style="8" customWidth="1"/>
    <col min="251" max="251" width="7.28515625" style="8" customWidth="1"/>
    <col min="252" max="252" width="5.5703125" style="8" customWidth="1"/>
    <col min="253" max="253" width="9" style="8" customWidth="1"/>
    <col min="254" max="255" width="9.85546875" style="8" customWidth="1"/>
    <col min="256" max="256" width="11.140625" style="8" customWidth="1"/>
    <col min="257" max="257" width="2.85546875" style="8" customWidth="1"/>
    <col min="258" max="258" width="3.5703125" style="8" customWidth="1"/>
    <col min="259" max="503" width="9.140625" style="8"/>
    <col min="504" max="504" width="8.7109375" style="8" customWidth="1"/>
    <col min="505" max="505" width="9.85546875" style="8" customWidth="1"/>
    <col min="506" max="506" width="14.42578125" style="8" customWidth="1"/>
    <col min="507" max="507" width="7.28515625" style="8" customWidth="1"/>
    <col min="508" max="508" width="5.5703125" style="8" customWidth="1"/>
    <col min="509" max="509" width="9" style="8" customWidth="1"/>
    <col min="510" max="511" width="9.85546875" style="8" customWidth="1"/>
    <col min="512" max="512" width="11.140625" style="8" customWidth="1"/>
    <col min="513" max="513" width="2.85546875" style="8" customWidth="1"/>
    <col min="514" max="514" width="3.5703125" style="8" customWidth="1"/>
    <col min="515" max="759" width="9.140625" style="8"/>
    <col min="760" max="760" width="8.7109375" style="8" customWidth="1"/>
    <col min="761" max="761" width="9.85546875" style="8" customWidth="1"/>
    <col min="762" max="762" width="14.42578125" style="8" customWidth="1"/>
    <col min="763" max="763" width="7.28515625" style="8" customWidth="1"/>
    <col min="764" max="764" width="5.5703125" style="8" customWidth="1"/>
    <col min="765" max="765" width="9" style="8" customWidth="1"/>
    <col min="766" max="767" width="9.85546875" style="8" customWidth="1"/>
    <col min="768" max="768" width="11.140625" style="8" customWidth="1"/>
    <col min="769" max="769" width="2.85546875" style="8" customWidth="1"/>
    <col min="770" max="770" width="3.5703125" style="8" customWidth="1"/>
    <col min="771" max="1015" width="9.140625" style="8"/>
    <col min="1016" max="1016" width="8.7109375" style="8" customWidth="1"/>
    <col min="1017" max="1017" width="9.85546875" style="8" customWidth="1"/>
    <col min="1018" max="1018" width="14.42578125" style="8" customWidth="1"/>
    <col min="1019" max="1019" width="7.28515625" style="8" customWidth="1"/>
    <col min="1020" max="1020" width="5.5703125" style="8" customWidth="1"/>
    <col min="1021" max="1021" width="9" style="8" customWidth="1"/>
    <col min="1022" max="1023" width="9.85546875" style="8" customWidth="1"/>
    <col min="1024" max="1024" width="11.140625" style="8" customWidth="1"/>
    <col min="1025" max="1025" width="2.85546875" style="8" customWidth="1"/>
    <col min="1026" max="1026" width="3.5703125" style="8" customWidth="1"/>
    <col min="1027" max="1271" width="9.140625" style="8"/>
    <col min="1272" max="1272" width="8.7109375" style="8" customWidth="1"/>
    <col min="1273" max="1273" width="9.85546875" style="8" customWidth="1"/>
    <col min="1274" max="1274" width="14.42578125" style="8" customWidth="1"/>
    <col min="1275" max="1275" width="7.28515625" style="8" customWidth="1"/>
    <col min="1276" max="1276" width="5.5703125" style="8" customWidth="1"/>
    <col min="1277" max="1277" width="9" style="8" customWidth="1"/>
    <col min="1278" max="1279" width="9.85546875" style="8" customWidth="1"/>
    <col min="1280" max="1280" width="11.140625" style="8" customWidth="1"/>
    <col min="1281" max="1281" width="2.85546875" style="8" customWidth="1"/>
    <col min="1282" max="1282" width="3.5703125" style="8" customWidth="1"/>
    <col min="1283" max="1527" width="9.140625" style="8"/>
    <col min="1528" max="1528" width="8.7109375" style="8" customWidth="1"/>
    <col min="1529" max="1529" width="9.85546875" style="8" customWidth="1"/>
    <col min="1530" max="1530" width="14.42578125" style="8" customWidth="1"/>
    <col min="1531" max="1531" width="7.28515625" style="8" customWidth="1"/>
    <col min="1532" max="1532" width="5.5703125" style="8" customWidth="1"/>
    <col min="1533" max="1533" width="9" style="8" customWidth="1"/>
    <col min="1534" max="1535" width="9.85546875" style="8" customWidth="1"/>
    <col min="1536" max="1536" width="11.140625" style="8" customWidth="1"/>
    <col min="1537" max="1537" width="2.85546875" style="8" customWidth="1"/>
    <col min="1538" max="1538" width="3.5703125" style="8" customWidth="1"/>
    <col min="1539" max="1783" width="9.140625" style="8"/>
    <col min="1784" max="1784" width="8.7109375" style="8" customWidth="1"/>
    <col min="1785" max="1785" width="9.85546875" style="8" customWidth="1"/>
    <col min="1786" max="1786" width="14.42578125" style="8" customWidth="1"/>
    <col min="1787" max="1787" width="7.28515625" style="8" customWidth="1"/>
    <col min="1788" max="1788" width="5.5703125" style="8" customWidth="1"/>
    <col min="1789" max="1789" width="9" style="8" customWidth="1"/>
    <col min="1790" max="1791" width="9.85546875" style="8" customWidth="1"/>
    <col min="1792" max="1792" width="11.140625" style="8" customWidth="1"/>
    <col min="1793" max="1793" width="2.85546875" style="8" customWidth="1"/>
    <col min="1794" max="1794" width="3.5703125" style="8" customWidth="1"/>
    <col min="1795" max="2039" width="9.140625" style="8"/>
    <col min="2040" max="2040" width="8.7109375" style="8" customWidth="1"/>
    <col min="2041" max="2041" width="9.85546875" style="8" customWidth="1"/>
    <col min="2042" max="2042" width="14.42578125" style="8" customWidth="1"/>
    <col min="2043" max="2043" width="7.28515625" style="8" customWidth="1"/>
    <col min="2044" max="2044" width="5.5703125" style="8" customWidth="1"/>
    <col min="2045" max="2045" width="9" style="8" customWidth="1"/>
    <col min="2046" max="2047" width="9.85546875" style="8" customWidth="1"/>
    <col min="2048" max="2048" width="11.140625" style="8" customWidth="1"/>
    <col min="2049" max="2049" width="2.85546875" style="8" customWidth="1"/>
    <col min="2050" max="2050" width="3.5703125" style="8" customWidth="1"/>
    <col min="2051" max="2295" width="9.140625" style="8"/>
    <col min="2296" max="2296" width="8.7109375" style="8" customWidth="1"/>
    <col min="2297" max="2297" width="9.85546875" style="8" customWidth="1"/>
    <col min="2298" max="2298" width="14.42578125" style="8" customWidth="1"/>
    <col min="2299" max="2299" width="7.28515625" style="8" customWidth="1"/>
    <col min="2300" max="2300" width="5.5703125" style="8" customWidth="1"/>
    <col min="2301" max="2301" width="9" style="8" customWidth="1"/>
    <col min="2302" max="2303" width="9.85546875" style="8" customWidth="1"/>
    <col min="2304" max="2304" width="11.140625" style="8" customWidth="1"/>
    <col min="2305" max="2305" width="2.85546875" style="8" customWidth="1"/>
    <col min="2306" max="2306" width="3.5703125" style="8" customWidth="1"/>
    <col min="2307" max="2551" width="9.140625" style="8"/>
    <col min="2552" max="2552" width="8.7109375" style="8" customWidth="1"/>
    <col min="2553" max="2553" width="9.85546875" style="8" customWidth="1"/>
    <col min="2554" max="2554" width="14.42578125" style="8" customWidth="1"/>
    <col min="2555" max="2555" width="7.28515625" style="8" customWidth="1"/>
    <col min="2556" max="2556" width="5.5703125" style="8" customWidth="1"/>
    <col min="2557" max="2557" width="9" style="8" customWidth="1"/>
    <col min="2558" max="2559" width="9.85546875" style="8" customWidth="1"/>
    <col min="2560" max="2560" width="11.140625" style="8" customWidth="1"/>
    <col min="2561" max="2561" width="2.85546875" style="8" customWidth="1"/>
    <col min="2562" max="2562" width="3.5703125" style="8" customWidth="1"/>
    <col min="2563" max="2807" width="9.140625" style="8"/>
    <col min="2808" max="2808" width="8.7109375" style="8" customWidth="1"/>
    <col min="2809" max="2809" width="9.85546875" style="8" customWidth="1"/>
    <col min="2810" max="2810" width="14.42578125" style="8" customWidth="1"/>
    <col min="2811" max="2811" width="7.28515625" style="8" customWidth="1"/>
    <col min="2812" max="2812" width="5.5703125" style="8" customWidth="1"/>
    <col min="2813" max="2813" width="9" style="8" customWidth="1"/>
    <col min="2814" max="2815" width="9.85546875" style="8" customWidth="1"/>
    <col min="2816" max="2816" width="11.140625" style="8" customWidth="1"/>
    <col min="2817" max="2817" width="2.85546875" style="8" customWidth="1"/>
    <col min="2818" max="2818" width="3.5703125" style="8" customWidth="1"/>
    <col min="2819" max="3063" width="9.140625" style="8"/>
    <col min="3064" max="3064" width="8.7109375" style="8" customWidth="1"/>
    <col min="3065" max="3065" width="9.85546875" style="8" customWidth="1"/>
    <col min="3066" max="3066" width="14.42578125" style="8" customWidth="1"/>
    <col min="3067" max="3067" width="7.28515625" style="8" customWidth="1"/>
    <col min="3068" max="3068" width="5.5703125" style="8" customWidth="1"/>
    <col min="3069" max="3069" width="9" style="8" customWidth="1"/>
    <col min="3070" max="3071" width="9.85546875" style="8" customWidth="1"/>
    <col min="3072" max="3072" width="11.140625" style="8" customWidth="1"/>
    <col min="3073" max="3073" width="2.85546875" style="8" customWidth="1"/>
    <col min="3074" max="3074" width="3.5703125" style="8" customWidth="1"/>
    <col min="3075" max="3319" width="9.140625" style="8"/>
    <col min="3320" max="3320" width="8.7109375" style="8" customWidth="1"/>
    <col min="3321" max="3321" width="9.85546875" style="8" customWidth="1"/>
    <col min="3322" max="3322" width="14.42578125" style="8" customWidth="1"/>
    <col min="3323" max="3323" width="7.28515625" style="8" customWidth="1"/>
    <col min="3324" max="3324" width="5.5703125" style="8" customWidth="1"/>
    <col min="3325" max="3325" width="9" style="8" customWidth="1"/>
    <col min="3326" max="3327" width="9.85546875" style="8" customWidth="1"/>
    <col min="3328" max="3328" width="11.140625" style="8" customWidth="1"/>
    <col min="3329" max="3329" width="2.85546875" style="8" customWidth="1"/>
    <col min="3330" max="3330" width="3.5703125" style="8" customWidth="1"/>
    <col min="3331" max="3575" width="9.140625" style="8"/>
    <col min="3576" max="3576" width="8.7109375" style="8" customWidth="1"/>
    <col min="3577" max="3577" width="9.85546875" style="8" customWidth="1"/>
    <col min="3578" max="3578" width="14.42578125" style="8" customWidth="1"/>
    <col min="3579" max="3579" width="7.28515625" style="8" customWidth="1"/>
    <col min="3580" max="3580" width="5.5703125" style="8" customWidth="1"/>
    <col min="3581" max="3581" width="9" style="8" customWidth="1"/>
    <col min="3582" max="3583" width="9.85546875" style="8" customWidth="1"/>
    <col min="3584" max="3584" width="11.140625" style="8" customWidth="1"/>
    <col min="3585" max="3585" width="2.85546875" style="8" customWidth="1"/>
    <col min="3586" max="3586" width="3.5703125" style="8" customWidth="1"/>
    <col min="3587" max="3831" width="9.140625" style="8"/>
    <col min="3832" max="3832" width="8.7109375" style="8" customWidth="1"/>
    <col min="3833" max="3833" width="9.85546875" style="8" customWidth="1"/>
    <col min="3834" max="3834" width="14.42578125" style="8" customWidth="1"/>
    <col min="3835" max="3835" width="7.28515625" style="8" customWidth="1"/>
    <col min="3836" max="3836" width="5.5703125" style="8" customWidth="1"/>
    <col min="3837" max="3837" width="9" style="8" customWidth="1"/>
    <col min="3838" max="3839" width="9.85546875" style="8" customWidth="1"/>
    <col min="3840" max="3840" width="11.140625" style="8" customWidth="1"/>
    <col min="3841" max="3841" width="2.85546875" style="8" customWidth="1"/>
    <col min="3842" max="3842" width="3.5703125" style="8" customWidth="1"/>
    <col min="3843" max="4087" width="9.140625" style="8"/>
    <col min="4088" max="4088" width="8.7109375" style="8" customWidth="1"/>
    <col min="4089" max="4089" width="9.85546875" style="8" customWidth="1"/>
    <col min="4090" max="4090" width="14.42578125" style="8" customWidth="1"/>
    <col min="4091" max="4091" width="7.28515625" style="8" customWidth="1"/>
    <col min="4092" max="4092" width="5.5703125" style="8" customWidth="1"/>
    <col min="4093" max="4093" width="9" style="8" customWidth="1"/>
    <col min="4094" max="4095" width="9.85546875" style="8" customWidth="1"/>
    <col min="4096" max="4096" width="11.140625" style="8" customWidth="1"/>
    <col min="4097" max="4097" width="2.85546875" style="8" customWidth="1"/>
    <col min="4098" max="4098" width="3.5703125" style="8" customWidth="1"/>
    <col min="4099" max="4343" width="9.140625" style="8"/>
    <col min="4344" max="4344" width="8.7109375" style="8" customWidth="1"/>
    <col min="4345" max="4345" width="9.85546875" style="8" customWidth="1"/>
    <col min="4346" max="4346" width="14.42578125" style="8" customWidth="1"/>
    <col min="4347" max="4347" width="7.28515625" style="8" customWidth="1"/>
    <col min="4348" max="4348" width="5.5703125" style="8" customWidth="1"/>
    <col min="4349" max="4349" width="9" style="8" customWidth="1"/>
    <col min="4350" max="4351" width="9.85546875" style="8" customWidth="1"/>
    <col min="4352" max="4352" width="11.140625" style="8" customWidth="1"/>
    <col min="4353" max="4353" width="2.85546875" style="8" customWidth="1"/>
    <col min="4354" max="4354" width="3.5703125" style="8" customWidth="1"/>
    <col min="4355" max="4599" width="9.140625" style="8"/>
    <col min="4600" max="4600" width="8.7109375" style="8" customWidth="1"/>
    <col min="4601" max="4601" width="9.85546875" style="8" customWidth="1"/>
    <col min="4602" max="4602" width="14.42578125" style="8" customWidth="1"/>
    <col min="4603" max="4603" width="7.28515625" style="8" customWidth="1"/>
    <col min="4604" max="4604" width="5.5703125" style="8" customWidth="1"/>
    <col min="4605" max="4605" width="9" style="8" customWidth="1"/>
    <col min="4606" max="4607" width="9.85546875" style="8" customWidth="1"/>
    <col min="4608" max="4608" width="11.140625" style="8" customWidth="1"/>
    <col min="4609" max="4609" width="2.85546875" style="8" customWidth="1"/>
    <col min="4610" max="4610" width="3.5703125" style="8" customWidth="1"/>
    <col min="4611" max="4855" width="9.140625" style="8"/>
    <col min="4856" max="4856" width="8.7109375" style="8" customWidth="1"/>
    <col min="4857" max="4857" width="9.85546875" style="8" customWidth="1"/>
    <col min="4858" max="4858" width="14.42578125" style="8" customWidth="1"/>
    <col min="4859" max="4859" width="7.28515625" style="8" customWidth="1"/>
    <col min="4860" max="4860" width="5.5703125" style="8" customWidth="1"/>
    <col min="4861" max="4861" width="9" style="8" customWidth="1"/>
    <col min="4862" max="4863" width="9.85546875" style="8" customWidth="1"/>
    <col min="4864" max="4864" width="11.140625" style="8" customWidth="1"/>
    <col min="4865" max="4865" width="2.85546875" style="8" customWidth="1"/>
    <col min="4866" max="4866" width="3.5703125" style="8" customWidth="1"/>
    <col min="4867" max="5111" width="9.140625" style="8"/>
    <col min="5112" max="5112" width="8.7109375" style="8" customWidth="1"/>
    <col min="5113" max="5113" width="9.85546875" style="8" customWidth="1"/>
    <col min="5114" max="5114" width="14.42578125" style="8" customWidth="1"/>
    <col min="5115" max="5115" width="7.28515625" style="8" customWidth="1"/>
    <col min="5116" max="5116" width="5.5703125" style="8" customWidth="1"/>
    <col min="5117" max="5117" width="9" style="8" customWidth="1"/>
    <col min="5118" max="5119" width="9.85546875" style="8" customWidth="1"/>
    <col min="5120" max="5120" width="11.140625" style="8" customWidth="1"/>
    <col min="5121" max="5121" width="2.85546875" style="8" customWidth="1"/>
    <col min="5122" max="5122" width="3.5703125" style="8" customWidth="1"/>
    <col min="5123" max="5367" width="9.140625" style="8"/>
    <col min="5368" max="5368" width="8.7109375" style="8" customWidth="1"/>
    <col min="5369" max="5369" width="9.85546875" style="8" customWidth="1"/>
    <col min="5370" max="5370" width="14.42578125" style="8" customWidth="1"/>
    <col min="5371" max="5371" width="7.28515625" style="8" customWidth="1"/>
    <col min="5372" max="5372" width="5.5703125" style="8" customWidth="1"/>
    <col min="5373" max="5373" width="9" style="8" customWidth="1"/>
    <col min="5374" max="5375" width="9.85546875" style="8" customWidth="1"/>
    <col min="5376" max="5376" width="11.140625" style="8" customWidth="1"/>
    <col min="5377" max="5377" width="2.85546875" style="8" customWidth="1"/>
    <col min="5378" max="5378" width="3.5703125" style="8" customWidth="1"/>
    <col min="5379" max="5623" width="9.140625" style="8"/>
    <col min="5624" max="5624" width="8.7109375" style="8" customWidth="1"/>
    <col min="5625" max="5625" width="9.85546875" style="8" customWidth="1"/>
    <col min="5626" max="5626" width="14.42578125" style="8" customWidth="1"/>
    <col min="5627" max="5627" width="7.28515625" style="8" customWidth="1"/>
    <col min="5628" max="5628" width="5.5703125" style="8" customWidth="1"/>
    <col min="5629" max="5629" width="9" style="8" customWidth="1"/>
    <col min="5630" max="5631" width="9.85546875" style="8" customWidth="1"/>
    <col min="5632" max="5632" width="11.140625" style="8" customWidth="1"/>
    <col min="5633" max="5633" width="2.85546875" style="8" customWidth="1"/>
    <col min="5634" max="5634" width="3.5703125" style="8" customWidth="1"/>
    <col min="5635" max="5879" width="9.140625" style="8"/>
    <col min="5880" max="5880" width="8.7109375" style="8" customWidth="1"/>
    <col min="5881" max="5881" width="9.85546875" style="8" customWidth="1"/>
    <col min="5882" max="5882" width="14.42578125" style="8" customWidth="1"/>
    <col min="5883" max="5883" width="7.28515625" style="8" customWidth="1"/>
    <col min="5884" max="5884" width="5.5703125" style="8" customWidth="1"/>
    <col min="5885" max="5885" width="9" style="8" customWidth="1"/>
    <col min="5886" max="5887" width="9.85546875" style="8" customWidth="1"/>
    <col min="5888" max="5888" width="11.140625" style="8" customWidth="1"/>
    <col min="5889" max="5889" width="2.85546875" style="8" customWidth="1"/>
    <col min="5890" max="5890" width="3.5703125" style="8" customWidth="1"/>
    <col min="5891" max="6135" width="9.140625" style="8"/>
    <col min="6136" max="6136" width="8.7109375" style="8" customWidth="1"/>
    <col min="6137" max="6137" width="9.85546875" style="8" customWidth="1"/>
    <col min="6138" max="6138" width="14.42578125" style="8" customWidth="1"/>
    <col min="6139" max="6139" width="7.28515625" style="8" customWidth="1"/>
    <col min="6140" max="6140" width="5.5703125" style="8" customWidth="1"/>
    <col min="6141" max="6141" width="9" style="8" customWidth="1"/>
    <col min="6142" max="6143" width="9.85546875" style="8" customWidth="1"/>
    <col min="6144" max="6144" width="11.140625" style="8" customWidth="1"/>
    <col min="6145" max="6145" width="2.85546875" style="8" customWidth="1"/>
    <col min="6146" max="6146" width="3.5703125" style="8" customWidth="1"/>
    <col min="6147" max="6391" width="9.140625" style="8"/>
    <col min="6392" max="6392" width="8.7109375" style="8" customWidth="1"/>
    <col min="6393" max="6393" width="9.85546875" style="8" customWidth="1"/>
    <col min="6394" max="6394" width="14.42578125" style="8" customWidth="1"/>
    <col min="6395" max="6395" width="7.28515625" style="8" customWidth="1"/>
    <col min="6396" max="6396" width="5.5703125" style="8" customWidth="1"/>
    <col min="6397" max="6397" width="9" style="8" customWidth="1"/>
    <col min="6398" max="6399" width="9.85546875" style="8" customWidth="1"/>
    <col min="6400" max="6400" width="11.140625" style="8" customWidth="1"/>
    <col min="6401" max="6401" width="2.85546875" style="8" customWidth="1"/>
    <col min="6402" max="6402" width="3.5703125" style="8" customWidth="1"/>
    <col min="6403" max="6647" width="9.140625" style="8"/>
    <col min="6648" max="6648" width="8.7109375" style="8" customWidth="1"/>
    <col min="6649" max="6649" width="9.85546875" style="8" customWidth="1"/>
    <col min="6650" max="6650" width="14.42578125" style="8" customWidth="1"/>
    <col min="6651" max="6651" width="7.28515625" style="8" customWidth="1"/>
    <col min="6652" max="6652" width="5.5703125" style="8" customWidth="1"/>
    <col min="6653" max="6653" width="9" style="8" customWidth="1"/>
    <col min="6654" max="6655" width="9.85546875" style="8" customWidth="1"/>
    <col min="6656" max="6656" width="11.140625" style="8" customWidth="1"/>
    <col min="6657" max="6657" width="2.85546875" style="8" customWidth="1"/>
    <col min="6658" max="6658" width="3.5703125" style="8" customWidth="1"/>
    <col min="6659" max="6903" width="9.140625" style="8"/>
    <col min="6904" max="6904" width="8.7109375" style="8" customWidth="1"/>
    <col min="6905" max="6905" width="9.85546875" style="8" customWidth="1"/>
    <col min="6906" max="6906" width="14.42578125" style="8" customWidth="1"/>
    <col min="6907" max="6907" width="7.28515625" style="8" customWidth="1"/>
    <col min="6908" max="6908" width="5.5703125" style="8" customWidth="1"/>
    <col min="6909" max="6909" width="9" style="8" customWidth="1"/>
    <col min="6910" max="6911" width="9.85546875" style="8" customWidth="1"/>
    <col min="6912" max="6912" width="11.140625" style="8" customWidth="1"/>
    <col min="6913" max="6913" width="2.85546875" style="8" customWidth="1"/>
    <col min="6914" max="6914" width="3.5703125" style="8" customWidth="1"/>
    <col min="6915" max="7159" width="9.140625" style="8"/>
    <col min="7160" max="7160" width="8.7109375" style="8" customWidth="1"/>
    <col min="7161" max="7161" width="9.85546875" style="8" customWidth="1"/>
    <col min="7162" max="7162" width="14.42578125" style="8" customWidth="1"/>
    <col min="7163" max="7163" width="7.28515625" style="8" customWidth="1"/>
    <col min="7164" max="7164" width="5.5703125" style="8" customWidth="1"/>
    <col min="7165" max="7165" width="9" style="8" customWidth="1"/>
    <col min="7166" max="7167" width="9.85546875" style="8" customWidth="1"/>
    <col min="7168" max="7168" width="11.140625" style="8" customWidth="1"/>
    <col min="7169" max="7169" width="2.85546875" style="8" customWidth="1"/>
    <col min="7170" max="7170" width="3.5703125" style="8" customWidth="1"/>
    <col min="7171" max="7415" width="9.140625" style="8"/>
    <col min="7416" max="7416" width="8.7109375" style="8" customWidth="1"/>
    <col min="7417" max="7417" width="9.85546875" style="8" customWidth="1"/>
    <col min="7418" max="7418" width="14.42578125" style="8" customWidth="1"/>
    <col min="7419" max="7419" width="7.28515625" style="8" customWidth="1"/>
    <col min="7420" max="7420" width="5.5703125" style="8" customWidth="1"/>
    <col min="7421" max="7421" width="9" style="8" customWidth="1"/>
    <col min="7422" max="7423" width="9.85546875" style="8" customWidth="1"/>
    <col min="7424" max="7424" width="11.140625" style="8" customWidth="1"/>
    <col min="7425" max="7425" width="2.85546875" style="8" customWidth="1"/>
    <col min="7426" max="7426" width="3.5703125" style="8" customWidth="1"/>
    <col min="7427" max="7671" width="9.140625" style="8"/>
    <col min="7672" max="7672" width="8.7109375" style="8" customWidth="1"/>
    <col min="7673" max="7673" width="9.85546875" style="8" customWidth="1"/>
    <col min="7674" max="7674" width="14.42578125" style="8" customWidth="1"/>
    <col min="7675" max="7675" width="7.28515625" style="8" customWidth="1"/>
    <col min="7676" max="7676" width="5.5703125" style="8" customWidth="1"/>
    <col min="7677" max="7677" width="9" style="8" customWidth="1"/>
    <col min="7678" max="7679" width="9.85546875" style="8" customWidth="1"/>
    <col min="7680" max="7680" width="11.140625" style="8" customWidth="1"/>
    <col min="7681" max="7681" width="2.85546875" style="8" customWidth="1"/>
    <col min="7682" max="7682" width="3.5703125" style="8" customWidth="1"/>
    <col min="7683" max="7927" width="9.140625" style="8"/>
    <col min="7928" max="7928" width="8.7109375" style="8" customWidth="1"/>
    <col min="7929" max="7929" width="9.85546875" style="8" customWidth="1"/>
    <col min="7930" max="7930" width="14.42578125" style="8" customWidth="1"/>
    <col min="7931" max="7931" width="7.28515625" style="8" customWidth="1"/>
    <col min="7932" max="7932" width="5.5703125" style="8" customWidth="1"/>
    <col min="7933" max="7933" width="9" style="8" customWidth="1"/>
    <col min="7934" max="7935" width="9.85546875" style="8" customWidth="1"/>
    <col min="7936" max="7936" width="11.140625" style="8" customWidth="1"/>
    <col min="7937" max="7937" width="2.85546875" style="8" customWidth="1"/>
    <col min="7938" max="7938" width="3.5703125" style="8" customWidth="1"/>
    <col min="7939" max="8183" width="9.140625" style="8"/>
    <col min="8184" max="8184" width="8.7109375" style="8" customWidth="1"/>
    <col min="8185" max="8185" width="9.85546875" style="8" customWidth="1"/>
    <col min="8186" max="8186" width="14.42578125" style="8" customWidth="1"/>
    <col min="8187" max="8187" width="7.28515625" style="8" customWidth="1"/>
    <col min="8188" max="8188" width="5.5703125" style="8" customWidth="1"/>
    <col min="8189" max="8189" width="9" style="8" customWidth="1"/>
    <col min="8190" max="8191" width="9.85546875" style="8" customWidth="1"/>
    <col min="8192" max="8192" width="11.140625" style="8" customWidth="1"/>
    <col min="8193" max="8193" width="2.85546875" style="8" customWidth="1"/>
    <col min="8194" max="8194" width="3.5703125" style="8" customWidth="1"/>
    <col min="8195" max="8439" width="9.140625" style="8"/>
    <col min="8440" max="8440" width="8.7109375" style="8" customWidth="1"/>
    <col min="8441" max="8441" width="9.85546875" style="8" customWidth="1"/>
    <col min="8442" max="8442" width="14.42578125" style="8" customWidth="1"/>
    <col min="8443" max="8443" width="7.28515625" style="8" customWidth="1"/>
    <col min="8444" max="8444" width="5.5703125" style="8" customWidth="1"/>
    <col min="8445" max="8445" width="9" style="8" customWidth="1"/>
    <col min="8446" max="8447" width="9.85546875" style="8" customWidth="1"/>
    <col min="8448" max="8448" width="11.140625" style="8" customWidth="1"/>
    <col min="8449" max="8449" width="2.85546875" style="8" customWidth="1"/>
    <col min="8450" max="8450" width="3.5703125" style="8" customWidth="1"/>
    <col min="8451" max="8695" width="9.140625" style="8"/>
    <col min="8696" max="8696" width="8.7109375" style="8" customWidth="1"/>
    <col min="8697" max="8697" width="9.85546875" style="8" customWidth="1"/>
    <col min="8698" max="8698" width="14.42578125" style="8" customWidth="1"/>
    <col min="8699" max="8699" width="7.28515625" style="8" customWidth="1"/>
    <col min="8700" max="8700" width="5.5703125" style="8" customWidth="1"/>
    <col min="8701" max="8701" width="9" style="8" customWidth="1"/>
    <col min="8702" max="8703" width="9.85546875" style="8" customWidth="1"/>
    <col min="8704" max="8704" width="11.140625" style="8" customWidth="1"/>
    <col min="8705" max="8705" width="2.85546875" style="8" customWidth="1"/>
    <col min="8706" max="8706" width="3.5703125" style="8" customWidth="1"/>
    <col min="8707" max="8951" width="9.140625" style="8"/>
    <col min="8952" max="8952" width="8.7109375" style="8" customWidth="1"/>
    <col min="8953" max="8953" width="9.85546875" style="8" customWidth="1"/>
    <col min="8954" max="8954" width="14.42578125" style="8" customWidth="1"/>
    <col min="8955" max="8955" width="7.28515625" style="8" customWidth="1"/>
    <col min="8956" max="8956" width="5.5703125" style="8" customWidth="1"/>
    <col min="8957" max="8957" width="9" style="8" customWidth="1"/>
    <col min="8958" max="8959" width="9.85546875" style="8" customWidth="1"/>
    <col min="8960" max="8960" width="11.140625" style="8" customWidth="1"/>
    <col min="8961" max="8961" width="2.85546875" style="8" customWidth="1"/>
    <col min="8962" max="8962" width="3.5703125" style="8" customWidth="1"/>
    <col min="8963" max="9207" width="9.140625" style="8"/>
    <col min="9208" max="9208" width="8.7109375" style="8" customWidth="1"/>
    <col min="9209" max="9209" width="9.85546875" style="8" customWidth="1"/>
    <col min="9210" max="9210" width="14.42578125" style="8" customWidth="1"/>
    <col min="9211" max="9211" width="7.28515625" style="8" customWidth="1"/>
    <col min="9212" max="9212" width="5.5703125" style="8" customWidth="1"/>
    <col min="9213" max="9213" width="9" style="8" customWidth="1"/>
    <col min="9214" max="9215" width="9.85546875" style="8" customWidth="1"/>
    <col min="9216" max="9216" width="11.140625" style="8" customWidth="1"/>
    <col min="9217" max="9217" width="2.85546875" style="8" customWidth="1"/>
    <col min="9218" max="9218" width="3.5703125" style="8" customWidth="1"/>
    <col min="9219" max="9463" width="9.140625" style="8"/>
    <col min="9464" max="9464" width="8.7109375" style="8" customWidth="1"/>
    <col min="9465" max="9465" width="9.85546875" style="8" customWidth="1"/>
    <col min="9466" max="9466" width="14.42578125" style="8" customWidth="1"/>
    <col min="9467" max="9467" width="7.28515625" style="8" customWidth="1"/>
    <col min="9468" max="9468" width="5.5703125" style="8" customWidth="1"/>
    <col min="9469" max="9469" width="9" style="8" customWidth="1"/>
    <col min="9470" max="9471" width="9.85546875" style="8" customWidth="1"/>
    <col min="9472" max="9472" width="11.140625" style="8" customWidth="1"/>
    <col min="9473" max="9473" width="2.85546875" style="8" customWidth="1"/>
    <col min="9474" max="9474" width="3.5703125" style="8" customWidth="1"/>
    <col min="9475" max="9719" width="9.140625" style="8"/>
    <col min="9720" max="9720" width="8.7109375" style="8" customWidth="1"/>
    <col min="9721" max="9721" width="9.85546875" style="8" customWidth="1"/>
    <col min="9722" max="9722" width="14.42578125" style="8" customWidth="1"/>
    <col min="9723" max="9723" width="7.28515625" style="8" customWidth="1"/>
    <col min="9724" max="9724" width="5.5703125" style="8" customWidth="1"/>
    <col min="9725" max="9725" width="9" style="8" customWidth="1"/>
    <col min="9726" max="9727" width="9.85546875" style="8" customWidth="1"/>
    <col min="9728" max="9728" width="11.140625" style="8" customWidth="1"/>
    <col min="9729" max="9729" width="2.85546875" style="8" customWidth="1"/>
    <col min="9730" max="9730" width="3.5703125" style="8" customWidth="1"/>
    <col min="9731" max="9975" width="9.140625" style="8"/>
    <col min="9976" max="9976" width="8.7109375" style="8" customWidth="1"/>
    <col min="9977" max="9977" width="9.85546875" style="8" customWidth="1"/>
    <col min="9978" max="9978" width="14.42578125" style="8" customWidth="1"/>
    <col min="9979" max="9979" width="7.28515625" style="8" customWidth="1"/>
    <col min="9980" max="9980" width="5.5703125" style="8" customWidth="1"/>
    <col min="9981" max="9981" width="9" style="8" customWidth="1"/>
    <col min="9982" max="9983" width="9.85546875" style="8" customWidth="1"/>
    <col min="9984" max="9984" width="11.140625" style="8" customWidth="1"/>
    <col min="9985" max="9985" width="2.85546875" style="8" customWidth="1"/>
    <col min="9986" max="9986" width="3.5703125" style="8" customWidth="1"/>
    <col min="9987" max="10231" width="9.140625" style="8"/>
    <col min="10232" max="10232" width="8.7109375" style="8" customWidth="1"/>
    <col min="10233" max="10233" width="9.85546875" style="8" customWidth="1"/>
    <col min="10234" max="10234" width="14.42578125" style="8" customWidth="1"/>
    <col min="10235" max="10235" width="7.28515625" style="8" customWidth="1"/>
    <col min="10236" max="10236" width="5.5703125" style="8" customWidth="1"/>
    <col min="10237" max="10237" width="9" style="8" customWidth="1"/>
    <col min="10238" max="10239" width="9.85546875" style="8" customWidth="1"/>
    <col min="10240" max="10240" width="11.140625" style="8" customWidth="1"/>
    <col min="10241" max="10241" width="2.85546875" style="8" customWidth="1"/>
    <col min="10242" max="10242" width="3.5703125" style="8" customWidth="1"/>
    <col min="10243" max="10487" width="9.140625" style="8"/>
    <col min="10488" max="10488" width="8.7109375" style="8" customWidth="1"/>
    <col min="10489" max="10489" width="9.85546875" style="8" customWidth="1"/>
    <col min="10490" max="10490" width="14.42578125" style="8" customWidth="1"/>
    <col min="10491" max="10491" width="7.28515625" style="8" customWidth="1"/>
    <col min="10492" max="10492" width="5.5703125" style="8" customWidth="1"/>
    <col min="10493" max="10493" width="9" style="8" customWidth="1"/>
    <col min="10494" max="10495" width="9.85546875" style="8" customWidth="1"/>
    <col min="10496" max="10496" width="11.140625" style="8" customWidth="1"/>
    <col min="10497" max="10497" width="2.85546875" style="8" customWidth="1"/>
    <col min="10498" max="10498" width="3.5703125" style="8" customWidth="1"/>
    <col min="10499" max="10743" width="9.140625" style="8"/>
    <col min="10744" max="10744" width="8.7109375" style="8" customWidth="1"/>
    <col min="10745" max="10745" width="9.85546875" style="8" customWidth="1"/>
    <col min="10746" max="10746" width="14.42578125" style="8" customWidth="1"/>
    <col min="10747" max="10747" width="7.28515625" style="8" customWidth="1"/>
    <col min="10748" max="10748" width="5.5703125" style="8" customWidth="1"/>
    <col min="10749" max="10749" width="9" style="8" customWidth="1"/>
    <col min="10750" max="10751" width="9.85546875" style="8" customWidth="1"/>
    <col min="10752" max="10752" width="11.140625" style="8" customWidth="1"/>
    <col min="10753" max="10753" width="2.85546875" style="8" customWidth="1"/>
    <col min="10754" max="10754" width="3.5703125" style="8" customWidth="1"/>
    <col min="10755" max="10999" width="9.140625" style="8"/>
    <col min="11000" max="11000" width="8.7109375" style="8" customWidth="1"/>
    <col min="11001" max="11001" width="9.85546875" style="8" customWidth="1"/>
    <col min="11002" max="11002" width="14.42578125" style="8" customWidth="1"/>
    <col min="11003" max="11003" width="7.28515625" style="8" customWidth="1"/>
    <col min="11004" max="11004" width="5.5703125" style="8" customWidth="1"/>
    <col min="11005" max="11005" width="9" style="8" customWidth="1"/>
    <col min="11006" max="11007" width="9.85546875" style="8" customWidth="1"/>
    <col min="11008" max="11008" width="11.140625" style="8" customWidth="1"/>
    <col min="11009" max="11009" width="2.85546875" style="8" customWidth="1"/>
    <col min="11010" max="11010" width="3.5703125" style="8" customWidth="1"/>
    <col min="11011" max="11255" width="9.140625" style="8"/>
    <col min="11256" max="11256" width="8.7109375" style="8" customWidth="1"/>
    <col min="11257" max="11257" width="9.85546875" style="8" customWidth="1"/>
    <col min="11258" max="11258" width="14.42578125" style="8" customWidth="1"/>
    <col min="11259" max="11259" width="7.28515625" style="8" customWidth="1"/>
    <col min="11260" max="11260" width="5.5703125" style="8" customWidth="1"/>
    <col min="11261" max="11261" width="9" style="8" customWidth="1"/>
    <col min="11262" max="11263" width="9.85546875" style="8" customWidth="1"/>
    <col min="11264" max="11264" width="11.140625" style="8" customWidth="1"/>
    <col min="11265" max="11265" width="2.85546875" style="8" customWidth="1"/>
    <col min="11266" max="11266" width="3.5703125" style="8" customWidth="1"/>
    <col min="11267" max="11511" width="9.140625" style="8"/>
    <col min="11512" max="11512" width="8.7109375" style="8" customWidth="1"/>
    <col min="11513" max="11513" width="9.85546875" style="8" customWidth="1"/>
    <col min="11514" max="11514" width="14.42578125" style="8" customWidth="1"/>
    <col min="11515" max="11515" width="7.28515625" style="8" customWidth="1"/>
    <col min="11516" max="11516" width="5.5703125" style="8" customWidth="1"/>
    <col min="11517" max="11517" width="9" style="8" customWidth="1"/>
    <col min="11518" max="11519" width="9.85546875" style="8" customWidth="1"/>
    <col min="11520" max="11520" width="11.140625" style="8" customWidth="1"/>
    <col min="11521" max="11521" width="2.85546875" style="8" customWidth="1"/>
    <col min="11522" max="11522" width="3.5703125" style="8" customWidth="1"/>
    <col min="11523" max="11767" width="9.140625" style="8"/>
    <col min="11768" max="11768" width="8.7109375" style="8" customWidth="1"/>
    <col min="11769" max="11769" width="9.85546875" style="8" customWidth="1"/>
    <col min="11770" max="11770" width="14.42578125" style="8" customWidth="1"/>
    <col min="11771" max="11771" width="7.28515625" style="8" customWidth="1"/>
    <col min="11772" max="11772" width="5.5703125" style="8" customWidth="1"/>
    <col min="11773" max="11773" width="9" style="8" customWidth="1"/>
    <col min="11774" max="11775" width="9.85546875" style="8" customWidth="1"/>
    <col min="11776" max="11776" width="11.140625" style="8" customWidth="1"/>
    <col min="11777" max="11777" width="2.85546875" style="8" customWidth="1"/>
    <col min="11778" max="11778" width="3.5703125" style="8" customWidth="1"/>
    <col min="11779" max="12023" width="9.140625" style="8"/>
    <col min="12024" max="12024" width="8.7109375" style="8" customWidth="1"/>
    <col min="12025" max="12025" width="9.85546875" style="8" customWidth="1"/>
    <col min="12026" max="12026" width="14.42578125" style="8" customWidth="1"/>
    <col min="12027" max="12027" width="7.28515625" style="8" customWidth="1"/>
    <col min="12028" max="12028" width="5.5703125" style="8" customWidth="1"/>
    <col min="12029" max="12029" width="9" style="8" customWidth="1"/>
    <col min="12030" max="12031" width="9.85546875" style="8" customWidth="1"/>
    <col min="12032" max="12032" width="11.140625" style="8" customWidth="1"/>
    <col min="12033" max="12033" width="2.85546875" style="8" customWidth="1"/>
    <col min="12034" max="12034" width="3.5703125" style="8" customWidth="1"/>
    <col min="12035" max="12279" width="9.140625" style="8"/>
    <col min="12280" max="12280" width="8.7109375" style="8" customWidth="1"/>
    <col min="12281" max="12281" width="9.85546875" style="8" customWidth="1"/>
    <col min="12282" max="12282" width="14.42578125" style="8" customWidth="1"/>
    <col min="12283" max="12283" width="7.28515625" style="8" customWidth="1"/>
    <col min="12284" max="12284" width="5.5703125" style="8" customWidth="1"/>
    <col min="12285" max="12285" width="9" style="8" customWidth="1"/>
    <col min="12286" max="12287" width="9.85546875" style="8" customWidth="1"/>
    <col min="12288" max="12288" width="11.140625" style="8" customWidth="1"/>
    <col min="12289" max="12289" width="2.85546875" style="8" customWidth="1"/>
    <col min="12290" max="12290" width="3.5703125" style="8" customWidth="1"/>
    <col min="12291" max="12535" width="9.140625" style="8"/>
    <col min="12536" max="12536" width="8.7109375" style="8" customWidth="1"/>
    <col min="12537" max="12537" width="9.85546875" style="8" customWidth="1"/>
    <col min="12538" max="12538" width="14.42578125" style="8" customWidth="1"/>
    <col min="12539" max="12539" width="7.28515625" style="8" customWidth="1"/>
    <col min="12540" max="12540" width="5.5703125" style="8" customWidth="1"/>
    <col min="12541" max="12541" width="9" style="8" customWidth="1"/>
    <col min="12542" max="12543" width="9.85546875" style="8" customWidth="1"/>
    <col min="12544" max="12544" width="11.140625" style="8" customWidth="1"/>
    <col min="12545" max="12545" width="2.85546875" style="8" customWidth="1"/>
    <col min="12546" max="12546" width="3.5703125" style="8" customWidth="1"/>
    <col min="12547" max="12791" width="9.140625" style="8"/>
    <col min="12792" max="12792" width="8.7109375" style="8" customWidth="1"/>
    <col min="12793" max="12793" width="9.85546875" style="8" customWidth="1"/>
    <col min="12794" max="12794" width="14.42578125" style="8" customWidth="1"/>
    <col min="12795" max="12795" width="7.28515625" style="8" customWidth="1"/>
    <col min="12796" max="12796" width="5.5703125" style="8" customWidth="1"/>
    <col min="12797" max="12797" width="9" style="8" customWidth="1"/>
    <col min="12798" max="12799" width="9.85546875" style="8" customWidth="1"/>
    <col min="12800" max="12800" width="11.140625" style="8" customWidth="1"/>
    <col min="12801" max="12801" width="2.85546875" style="8" customWidth="1"/>
    <col min="12802" max="12802" width="3.5703125" style="8" customWidth="1"/>
    <col min="12803" max="13047" width="9.140625" style="8"/>
    <col min="13048" max="13048" width="8.7109375" style="8" customWidth="1"/>
    <col min="13049" max="13049" width="9.85546875" style="8" customWidth="1"/>
    <col min="13050" max="13050" width="14.42578125" style="8" customWidth="1"/>
    <col min="13051" max="13051" width="7.28515625" style="8" customWidth="1"/>
    <col min="13052" max="13052" width="5.5703125" style="8" customWidth="1"/>
    <col min="13053" max="13053" width="9" style="8" customWidth="1"/>
    <col min="13054" max="13055" width="9.85546875" style="8" customWidth="1"/>
    <col min="13056" max="13056" width="11.140625" style="8" customWidth="1"/>
    <col min="13057" max="13057" width="2.85546875" style="8" customWidth="1"/>
    <col min="13058" max="13058" width="3.5703125" style="8" customWidth="1"/>
    <col min="13059" max="13303" width="9.140625" style="8"/>
    <col min="13304" max="13304" width="8.7109375" style="8" customWidth="1"/>
    <col min="13305" max="13305" width="9.85546875" style="8" customWidth="1"/>
    <col min="13306" max="13306" width="14.42578125" style="8" customWidth="1"/>
    <col min="13307" max="13307" width="7.28515625" style="8" customWidth="1"/>
    <col min="13308" max="13308" width="5.5703125" style="8" customWidth="1"/>
    <col min="13309" max="13309" width="9" style="8" customWidth="1"/>
    <col min="13310" max="13311" width="9.85546875" style="8" customWidth="1"/>
    <col min="13312" max="13312" width="11.140625" style="8" customWidth="1"/>
    <col min="13313" max="13313" width="2.85546875" style="8" customWidth="1"/>
    <col min="13314" max="13314" width="3.5703125" style="8" customWidth="1"/>
    <col min="13315" max="13559" width="9.140625" style="8"/>
    <col min="13560" max="13560" width="8.7109375" style="8" customWidth="1"/>
    <col min="13561" max="13561" width="9.85546875" style="8" customWidth="1"/>
    <col min="13562" max="13562" width="14.42578125" style="8" customWidth="1"/>
    <col min="13563" max="13563" width="7.28515625" style="8" customWidth="1"/>
    <col min="13564" max="13564" width="5.5703125" style="8" customWidth="1"/>
    <col min="13565" max="13565" width="9" style="8" customWidth="1"/>
    <col min="13566" max="13567" width="9.85546875" style="8" customWidth="1"/>
    <col min="13568" max="13568" width="11.140625" style="8" customWidth="1"/>
    <col min="13569" max="13569" width="2.85546875" style="8" customWidth="1"/>
    <col min="13570" max="13570" width="3.5703125" style="8" customWidth="1"/>
    <col min="13571" max="13815" width="9.140625" style="8"/>
    <col min="13816" max="13816" width="8.7109375" style="8" customWidth="1"/>
    <col min="13817" max="13817" width="9.85546875" style="8" customWidth="1"/>
    <col min="13818" max="13818" width="14.42578125" style="8" customWidth="1"/>
    <col min="13819" max="13819" width="7.28515625" style="8" customWidth="1"/>
    <col min="13820" max="13820" width="5.5703125" style="8" customWidth="1"/>
    <col min="13821" max="13821" width="9" style="8" customWidth="1"/>
    <col min="13822" max="13823" width="9.85546875" style="8" customWidth="1"/>
    <col min="13824" max="13824" width="11.140625" style="8" customWidth="1"/>
    <col min="13825" max="13825" width="2.85546875" style="8" customWidth="1"/>
    <col min="13826" max="13826" width="3.5703125" style="8" customWidth="1"/>
    <col min="13827" max="14071" width="9.140625" style="8"/>
    <col min="14072" max="14072" width="8.7109375" style="8" customWidth="1"/>
    <col min="14073" max="14073" width="9.85546875" style="8" customWidth="1"/>
    <col min="14074" max="14074" width="14.42578125" style="8" customWidth="1"/>
    <col min="14075" max="14075" width="7.28515625" style="8" customWidth="1"/>
    <col min="14076" max="14076" width="5.5703125" style="8" customWidth="1"/>
    <col min="14077" max="14077" width="9" style="8" customWidth="1"/>
    <col min="14078" max="14079" width="9.85546875" style="8" customWidth="1"/>
    <col min="14080" max="14080" width="11.140625" style="8" customWidth="1"/>
    <col min="14081" max="14081" width="2.85546875" style="8" customWidth="1"/>
    <col min="14082" max="14082" width="3.5703125" style="8" customWidth="1"/>
    <col min="14083" max="14327" width="9.140625" style="8"/>
    <col min="14328" max="14328" width="8.7109375" style="8" customWidth="1"/>
    <col min="14329" max="14329" width="9.85546875" style="8" customWidth="1"/>
    <col min="14330" max="14330" width="14.42578125" style="8" customWidth="1"/>
    <col min="14331" max="14331" width="7.28515625" style="8" customWidth="1"/>
    <col min="14332" max="14332" width="5.5703125" style="8" customWidth="1"/>
    <col min="14333" max="14333" width="9" style="8" customWidth="1"/>
    <col min="14334" max="14335" width="9.85546875" style="8" customWidth="1"/>
    <col min="14336" max="14336" width="11.140625" style="8" customWidth="1"/>
    <col min="14337" max="14337" width="2.85546875" style="8" customWidth="1"/>
    <col min="14338" max="14338" width="3.5703125" style="8" customWidth="1"/>
    <col min="14339" max="14583" width="9.140625" style="8"/>
    <col min="14584" max="14584" width="8.7109375" style="8" customWidth="1"/>
    <col min="14585" max="14585" width="9.85546875" style="8" customWidth="1"/>
    <col min="14586" max="14586" width="14.42578125" style="8" customWidth="1"/>
    <col min="14587" max="14587" width="7.28515625" style="8" customWidth="1"/>
    <col min="14588" max="14588" width="5.5703125" style="8" customWidth="1"/>
    <col min="14589" max="14589" width="9" style="8" customWidth="1"/>
    <col min="14590" max="14591" width="9.85546875" style="8" customWidth="1"/>
    <col min="14592" max="14592" width="11.140625" style="8" customWidth="1"/>
    <col min="14593" max="14593" width="2.85546875" style="8" customWidth="1"/>
    <col min="14594" max="14594" width="3.5703125" style="8" customWidth="1"/>
    <col min="14595" max="14839" width="9.140625" style="8"/>
    <col min="14840" max="14840" width="8.7109375" style="8" customWidth="1"/>
    <col min="14841" max="14841" width="9.85546875" style="8" customWidth="1"/>
    <col min="14842" max="14842" width="14.42578125" style="8" customWidth="1"/>
    <col min="14843" max="14843" width="7.28515625" style="8" customWidth="1"/>
    <col min="14844" max="14844" width="5.5703125" style="8" customWidth="1"/>
    <col min="14845" max="14845" width="9" style="8" customWidth="1"/>
    <col min="14846" max="14847" width="9.85546875" style="8" customWidth="1"/>
    <col min="14848" max="14848" width="11.140625" style="8" customWidth="1"/>
    <col min="14849" max="14849" width="2.85546875" style="8" customWidth="1"/>
    <col min="14850" max="14850" width="3.5703125" style="8" customWidth="1"/>
    <col min="14851" max="15095" width="9.140625" style="8"/>
    <col min="15096" max="15096" width="8.7109375" style="8" customWidth="1"/>
    <col min="15097" max="15097" width="9.85546875" style="8" customWidth="1"/>
    <col min="15098" max="15098" width="14.42578125" style="8" customWidth="1"/>
    <col min="15099" max="15099" width="7.28515625" style="8" customWidth="1"/>
    <col min="15100" max="15100" width="5.5703125" style="8" customWidth="1"/>
    <col min="15101" max="15101" width="9" style="8" customWidth="1"/>
    <col min="15102" max="15103" width="9.85546875" style="8" customWidth="1"/>
    <col min="15104" max="15104" width="11.140625" style="8" customWidth="1"/>
    <col min="15105" max="15105" width="2.85546875" style="8" customWidth="1"/>
    <col min="15106" max="15106" width="3.5703125" style="8" customWidth="1"/>
    <col min="15107" max="15351" width="9.140625" style="8"/>
    <col min="15352" max="15352" width="8.7109375" style="8" customWidth="1"/>
    <col min="15353" max="15353" width="9.85546875" style="8" customWidth="1"/>
    <col min="15354" max="15354" width="14.42578125" style="8" customWidth="1"/>
    <col min="15355" max="15355" width="7.28515625" style="8" customWidth="1"/>
    <col min="15356" max="15356" width="5.5703125" style="8" customWidth="1"/>
    <col min="15357" max="15357" width="9" style="8" customWidth="1"/>
    <col min="15358" max="15359" width="9.85546875" style="8" customWidth="1"/>
    <col min="15360" max="15360" width="11.140625" style="8" customWidth="1"/>
    <col min="15361" max="15361" width="2.85546875" style="8" customWidth="1"/>
    <col min="15362" max="15362" width="3.5703125" style="8" customWidth="1"/>
    <col min="15363" max="15607" width="9.140625" style="8"/>
    <col min="15608" max="15608" width="8.7109375" style="8" customWidth="1"/>
    <col min="15609" max="15609" width="9.85546875" style="8" customWidth="1"/>
    <col min="15610" max="15610" width="14.42578125" style="8" customWidth="1"/>
    <col min="15611" max="15611" width="7.28515625" style="8" customWidth="1"/>
    <col min="15612" max="15612" width="5.5703125" style="8" customWidth="1"/>
    <col min="15613" max="15613" width="9" style="8" customWidth="1"/>
    <col min="15614" max="15615" width="9.85546875" style="8" customWidth="1"/>
    <col min="15616" max="15616" width="11.140625" style="8" customWidth="1"/>
    <col min="15617" max="15617" width="2.85546875" style="8" customWidth="1"/>
    <col min="15618" max="15618" width="3.5703125" style="8" customWidth="1"/>
    <col min="15619" max="15863" width="9.140625" style="8"/>
    <col min="15864" max="15864" width="8.7109375" style="8" customWidth="1"/>
    <col min="15865" max="15865" width="9.85546875" style="8" customWidth="1"/>
    <col min="15866" max="15866" width="14.42578125" style="8" customWidth="1"/>
    <col min="15867" max="15867" width="7.28515625" style="8" customWidth="1"/>
    <col min="15868" max="15868" width="5.5703125" style="8" customWidth="1"/>
    <col min="15869" max="15869" width="9" style="8" customWidth="1"/>
    <col min="15870" max="15871" width="9.85546875" style="8" customWidth="1"/>
    <col min="15872" max="15872" width="11.140625" style="8" customWidth="1"/>
    <col min="15873" max="15873" width="2.85546875" style="8" customWidth="1"/>
    <col min="15874" max="15874" width="3.5703125" style="8" customWidth="1"/>
    <col min="15875" max="16119" width="9.140625" style="8"/>
    <col min="16120" max="16120" width="8.7109375" style="8" customWidth="1"/>
    <col min="16121" max="16121" width="9.85546875" style="8" customWidth="1"/>
    <col min="16122" max="16122" width="14.42578125" style="8" customWidth="1"/>
    <col min="16123" max="16123" width="7.28515625" style="8" customWidth="1"/>
    <col min="16124" max="16124" width="5.5703125" style="8" customWidth="1"/>
    <col min="16125" max="16125" width="9" style="8" customWidth="1"/>
    <col min="16126" max="16127" width="9.85546875" style="8" customWidth="1"/>
    <col min="16128" max="16128" width="11.140625" style="8" customWidth="1"/>
    <col min="16129" max="16129" width="2.85546875" style="8" customWidth="1"/>
    <col min="16130" max="16130" width="3.5703125" style="8" customWidth="1"/>
    <col min="16131" max="16384" width="9.140625" style="8"/>
  </cols>
  <sheetData>
    <row r="1" spans="1:8" ht="46.5" customHeight="1" x14ac:dyDescent="0.25">
      <c r="A1" s="196" t="s">
        <v>256</v>
      </c>
      <c r="B1" s="196"/>
      <c r="C1" s="196"/>
      <c r="D1" s="196"/>
      <c r="E1" s="196"/>
      <c r="F1" s="196"/>
      <c r="G1" s="196"/>
      <c r="H1" s="196"/>
    </row>
    <row r="2" spans="1:8" ht="16.5" customHeight="1" x14ac:dyDescent="0.25">
      <c r="A2" s="126" t="s">
        <v>0</v>
      </c>
      <c r="B2" s="126"/>
      <c r="C2" s="126"/>
      <c r="D2" s="126"/>
      <c r="E2" s="126"/>
      <c r="F2" s="126"/>
      <c r="G2" s="126"/>
      <c r="H2" s="126"/>
    </row>
    <row r="3" spans="1:8" x14ac:dyDescent="0.25">
      <c r="A3" s="152" t="s">
        <v>1</v>
      </c>
      <c r="B3" s="152"/>
      <c r="C3" s="152"/>
      <c r="D3" s="152"/>
      <c r="E3" s="197" t="str">
        <f ca="1">TEXT(TODAY(),"DD/MM/YYYY")</f>
        <v>19/07/2025</v>
      </c>
      <c r="F3" s="197"/>
      <c r="G3" s="197"/>
      <c r="H3" s="197"/>
    </row>
    <row r="4" spans="1:8" ht="15" customHeight="1" x14ac:dyDescent="0.25">
      <c r="A4" s="152" t="s">
        <v>2</v>
      </c>
      <c r="B4" s="152"/>
      <c r="C4" s="152"/>
      <c r="D4" s="152"/>
      <c r="E4" s="198" t="s">
        <v>189</v>
      </c>
      <c r="F4" s="198"/>
      <c r="G4" s="198"/>
      <c r="H4" s="198"/>
    </row>
    <row r="5" spans="1:8" x14ac:dyDescent="0.25">
      <c r="A5" s="152" t="s">
        <v>3</v>
      </c>
      <c r="B5" s="152"/>
      <c r="C5" s="152"/>
      <c r="D5" s="152"/>
      <c r="E5" s="197">
        <v>45852</v>
      </c>
      <c r="F5" s="197"/>
      <c r="G5" s="197"/>
      <c r="H5" s="197"/>
    </row>
    <row r="6" spans="1:8" ht="16.5" customHeight="1" x14ac:dyDescent="0.25">
      <c r="A6" s="152" t="s">
        <v>4</v>
      </c>
      <c r="B6" s="152"/>
      <c r="C6" s="152"/>
      <c r="D6" s="152"/>
      <c r="E6" s="169" t="s">
        <v>188</v>
      </c>
      <c r="F6" s="169"/>
      <c r="G6" s="169"/>
      <c r="H6" s="169"/>
    </row>
    <row r="7" spans="1:8" ht="15" customHeight="1" x14ac:dyDescent="0.25">
      <c r="A7" s="152" t="s">
        <v>5</v>
      </c>
      <c r="B7" s="152"/>
      <c r="C7" s="152"/>
      <c r="D7" s="152"/>
      <c r="E7" s="169" t="str">
        <f>E6</f>
        <v>M/s. Century Textiles &amp; Industries Ltd</v>
      </c>
      <c r="F7" s="169"/>
      <c r="G7" s="169"/>
      <c r="H7" s="169"/>
    </row>
    <row r="8" spans="1:8" x14ac:dyDescent="0.25">
      <c r="A8" s="152" t="s">
        <v>6</v>
      </c>
      <c r="B8" s="152"/>
      <c r="C8" s="152"/>
      <c r="D8" s="152"/>
      <c r="E8" s="193" t="s">
        <v>191</v>
      </c>
      <c r="F8" s="152"/>
      <c r="G8" s="152"/>
      <c r="H8" s="152"/>
    </row>
    <row r="9" spans="1:8" x14ac:dyDescent="0.25">
      <c r="A9" s="152" t="s">
        <v>154</v>
      </c>
      <c r="B9" s="152"/>
      <c r="C9" s="152"/>
      <c r="D9" s="152"/>
      <c r="E9" s="152">
        <v>2262874100</v>
      </c>
      <c r="F9" s="152"/>
      <c r="G9" s="152"/>
      <c r="H9" s="152"/>
    </row>
    <row r="10" spans="1:8" x14ac:dyDescent="0.25">
      <c r="A10" s="152" t="s">
        <v>238</v>
      </c>
      <c r="B10" s="152"/>
      <c r="C10" s="152"/>
      <c r="D10" s="152"/>
      <c r="E10" s="152" t="s">
        <v>239</v>
      </c>
      <c r="F10" s="152"/>
      <c r="G10" s="152"/>
      <c r="H10" s="152"/>
    </row>
    <row r="11" spans="1:8" ht="47.45" customHeight="1" x14ac:dyDescent="0.25">
      <c r="A11" s="186" t="s">
        <v>7</v>
      </c>
      <c r="B11" s="186"/>
      <c r="C11" s="186"/>
      <c r="D11" s="186"/>
      <c r="E11" s="185" t="s">
        <v>190</v>
      </c>
      <c r="F11" s="186"/>
      <c r="G11" s="186"/>
      <c r="H11" s="186"/>
    </row>
    <row r="12" spans="1:8" x14ac:dyDescent="0.25">
      <c r="A12" s="152" t="s">
        <v>8</v>
      </c>
      <c r="B12" s="152"/>
      <c r="C12" s="152"/>
      <c r="D12" s="152"/>
      <c r="E12" s="185" t="s">
        <v>271</v>
      </c>
      <c r="F12" s="185"/>
      <c r="G12" s="185"/>
      <c r="H12" s="185"/>
    </row>
    <row r="13" spans="1:8" x14ac:dyDescent="0.25">
      <c r="A13" s="152" t="s">
        <v>9</v>
      </c>
      <c r="B13" s="152"/>
      <c r="C13" s="152"/>
      <c r="D13" s="152"/>
      <c r="E13" s="185" t="s">
        <v>192</v>
      </c>
      <c r="F13" s="186"/>
      <c r="G13" s="186"/>
      <c r="H13" s="186"/>
    </row>
    <row r="14" spans="1:8" ht="33" customHeight="1" x14ac:dyDescent="0.25">
      <c r="A14" s="169" t="s">
        <v>10</v>
      </c>
      <c r="B14" s="169"/>
      <c r="C14" s="185" t="str">
        <f>CONCATENATE((IF(OR(E8="",E8="NA"),"",E8)),", ",(IF(OR(A15="",A15="NA"),"",A15)),".",(IF(OR(C15="",C15="NA"),"",C15)),", near ",(IF(OR(C19="",C19="NA"),"",C19)),", ",(IF(OR(C16="",C16="NA"),"",C16)),", ",(IF(OR(G16="",G16="NA"),"",G16)),", ",(IF(OR(C17="",C17="NA"),"",C17)),", ",(IF(OR(C18="",C18="NA"),"",C18)),", ",(IF(OR(G17="",G17="NA"),"",G17)),".")</f>
        <v>Birla Vanya Phase 2, CTS No.1653, CS No. 1550 B &amp; D, S.No. 17, 18, 218, near Century Rayon Chemical Plant, Kalyan Murbad Road, Shahad, Kalyan, Kalyan, Thane.</v>
      </c>
      <c r="D14" s="185"/>
      <c r="E14" s="185"/>
      <c r="F14" s="185"/>
      <c r="G14" s="185"/>
      <c r="H14" s="185"/>
    </row>
    <row r="15" spans="1:8" x14ac:dyDescent="0.25">
      <c r="A15" s="185" t="s">
        <v>193</v>
      </c>
      <c r="B15" s="185"/>
      <c r="C15" s="185" t="s">
        <v>194</v>
      </c>
      <c r="D15" s="185"/>
      <c r="E15" s="185"/>
      <c r="F15" s="185"/>
      <c r="G15" s="185"/>
      <c r="H15" s="185"/>
    </row>
    <row r="16" spans="1:8" ht="15.75" customHeight="1" x14ac:dyDescent="0.25">
      <c r="A16" s="169" t="s">
        <v>11</v>
      </c>
      <c r="B16" s="169"/>
      <c r="C16" s="186" t="s">
        <v>196</v>
      </c>
      <c r="D16" s="186"/>
      <c r="E16" s="185" t="s">
        <v>97</v>
      </c>
      <c r="F16" s="185"/>
      <c r="G16" s="185" t="s">
        <v>195</v>
      </c>
      <c r="H16" s="185"/>
    </row>
    <row r="17" spans="1:8" x14ac:dyDescent="0.25">
      <c r="A17" s="152" t="s">
        <v>13</v>
      </c>
      <c r="B17" s="152"/>
      <c r="C17" s="185" t="s">
        <v>197</v>
      </c>
      <c r="D17" s="185"/>
      <c r="E17" s="185" t="s">
        <v>12</v>
      </c>
      <c r="F17" s="185"/>
      <c r="G17" s="199" t="s">
        <v>198</v>
      </c>
      <c r="H17" s="199"/>
    </row>
    <row r="18" spans="1:8" x14ac:dyDescent="0.25">
      <c r="A18" s="152" t="s">
        <v>98</v>
      </c>
      <c r="B18" s="152"/>
      <c r="C18" s="185" t="s">
        <v>197</v>
      </c>
      <c r="D18" s="185"/>
      <c r="E18" s="185" t="s">
        <v>14</v>
      </c>
      <c r="F18" s="185"/>
      <c r="G18" s="185">
        <v>421103</v>
      </c>
      <c r="H18" s="185"/>
    </row>
    <row r="19" spans="1:8" ht="32.25" customHeight="1" x14ac:dyDescent="0.25">
      <c r="A19" s="152" t="s">
        <v>155</v>
      </c>
      <c r="B19" s="152"/>
      <c r="C19" s="173" t="s">
        <v>199</v>
      </c>
      <c r="D19" s="173"/>
      <c r="E19" s="185" t="s">
        <v>15</v>
      </c>
      <c r="F19" s="185"/>
      <c r="G19" s="185" t="s">
        <v>200</v>
      </c>
      <c r="H19" s="185"/>
    </row>
    <row r="20" spans="1:8" ht="15" customHeight="1" x14ac:dyDescent="0.25">
      <c r="A20" s="169" t="s">
        <v>102</v>
      </c>
      <c r="B20" s="169"/>
      <c r="C20" s="169"/>
      <c r="D20" s="169"/>
      <c r="E20" s="186" t="s">
        <v>16</v>
      </c>
      <c r="F20" s="186"/>
      <c r="G20" s="186"/>
      <c r="H20" s="186"/>
    </row>
    <row r="21" spans="1:8" ht="18.75" customHeight="1" x14ac:dyDescent="0.25">
      <c r="A21" s="169"/>
      <c r="B21" s="169"/>
      <c r="C21" s="169"/>
      <c r="D21" s="169"/>
      <c r="E21" s="186"/>
      <c r="F21" s="186"/>
      <c r="G21" s="186"/>
      <c r="H21" s="186"/>
    </row>
    <row r="22" spans="1:8" ht="15" customHeight="1" x14ac:dyDescent="0.25">
      <c r="A22" s="169" t="s">
        <v>17</v>
      </c>
      <c r="B22" s="169"/>
      <c r="C22" s="169"/>
      <c r="D22" s="169"/>
      <c r="E22" s="185" t="s">
        <v>18</v>
      </c>
      <c r="F22" s="185"/>
      <c r="G22" s="185"/>
      <c r="H22" s="185"/>
    </row>
    <row r="23" spans="1:8" ht="15" customHeight="1" x14ac:dyDescent="0.25">
      <c r="A23" s="152" t="s">
        <v>19</v>
      </c>
      <c r="B23" s="152"/>
      <c r="C23" s="152"/>
      <c r="D23" s="152"/>
      <c r="E23" s="185" t="str">
        <f>IF(AND(G17="Mumbai"),"Upper Class","Middle Class")</f>
        <v>Middle Class</v>
      </c>
      <c r="F23" s="185"/>
      <c r="G23" s="185"/>
      <c r="H23" s="185"/>
    </row>
    <row r="24" spans="1:8" x14ac:dyDescent="0.25">
      <c r="A24" s="152" t="s">
        <v>20</v>
      </c>
      <c r="B24" s="152"/>
      <c r="C24" s="152"/>
      <c r="D24" s="152"/>
      <c r="E24" s="185" t="s">
        <v>21</v>
      </c>
      <c r="F24" s="185"/>
      <c r="G24" s="185"/>
      <c r="H24" s="185"/>
    </row>
    <row r="25" spans="1:8" ht="15.75" customHeight="1" x14ac:dyDescent="0.25">
      <c r="A25" s="152" t="s">
        <v>22</v>
      </c>
      <c r="B25" s="152"/>
      <c r="C25" s="152"/>
      <c r="D25" s="152"/>
      <c r="E25" s="185" t="str">
        <f>IF(AND(G17="Mumbai"),"Developed","Developing")</f>
        <v>Developing</v>
      </c>
      <c r="F25" s="185"/>
      <c r="G25" s="185"/>
      <c r="H25" s="185"/>
    </row>
    <row r="26" spans="1:8" x14ac:dyDescent="0.25">
      <c r="A26" s="152" t="s">
        <v>23</v>
      </c>
      <c r="B26" s="152"/>
      <c r="C26" s="152"/>
      <c r="D26" s="152"/>
      <c r="E26" s="185" t="s">
        <v>24</v>
      </c>
      <c r="F26" s="185"/>
      <c r="G26" s="185"/>
      <c r="H26" s="185"/>
    </row>
    <row r="27" spans="1:8" x14ac:dyDescent="0.25">
      <c r="A27" s="152" t="s">
        <v>109</v>
      </c>
      <c r="B27" s="152"/>
      <c r="C27" s="152"/>
      <c r="D27" s="152"/>
      <c r="E27" s="185" t="s">
        <v>110</v>
      </c>
      <c r="F27" s="185"/>
      <c r="G27" s="185"/>
      <c r="H27" s="185"/>
    </row>
    <row r="28" spans="1:8" ht="15" customHeight="1" x14ac:dyDescent="0.25">
      <c r="A28" s="169" t="s">
        <v>33</v>
      </c>
      <c r="B28" s="169"/>
      <c r="C28" s="169"/>
      <c r="D28" s="169"/>
      <c r="E28" s="198" t="s">
        <v>201</v>
      </c>
      <c r="F28" s="198"/>
      <c r="G28" s="198"/>
      <c r="H28" s="198"/>
    </row>
    <row r="29" spans="1:8" x14ac:dyDescent="0.25">
      <c r="A29" s="169" t="s">
        <v>121</v>
      </c>
      <c r="B29" s="169"/>
      <c r="C29" s="169"/>
      <c r="D29" s="169"/>
      <c r="E29" s="169" t="s">
        <v>34</v>
      </c>
      <c r="F29" s="169"/>
      <c r="G29" s="169"/>
      <c r="H29" s="169"/>
    </row>
    <row r="30" spans="1:8" s="11" customFormat="1" x14ac:dyDescent="0.25">
      <c r="A30" s="202" t="s">
        <v>122</v>
      </c>
      <c r="B30" s="202"/>
      <c r="C30" s="201" t="s">
        <v>29</v>
      </c>
      <c r="D30" s="201"/>
      <c r="E30" s="201"/>
      <c r="F30" s="201" t="s">
        <v>31</v>
      </c>
      <c r="G30" s="201"/>
      <c r="H30" s="201"/>
    </row>
    <row r="31" spans="1:8" s="11" customFormat="1" x14ac:dyDescent="0.25">
      <c r="A31" s="200" t="s">
        <v>25</v>
      </c>
      <c r="B31" s="200" t="s">
        <v>30</v>
      </c>
      <c r="C31" s="160" t="s">
        <v>30</v>
      </c>
      <c r="D31" s="160"/>
      <c r="E31" s="160"/>
      <c r="F31" s="160" t="s">
        <v>202</v>
      </c>
      <c r="G31" s="160"/>
      <c r="H31" s="160"/>
    </row>
    <row r="32" spans="1:8" x14ac:dyDescent="0.25">
      <c r="A32" s="200" t="s">
        <v>26</v>
      </c>
      <c r="B32" s="200" t="s">
        <v>30</v>
      </c>
      <c r="C32" s="160" t="s">
        <v>30</v>
      </c>
      <c r="D32" s="160"/>
      <c r="E32" s="160"/>
      <c r="F32" s="160" t="s">
        <v>203</v>
      </c>
      <c r="G32" s="160"/>
      <c r="H32" s="160"/>
    </row>
    <row r="33" spans="1:8" s="11" customFormat="1" x14ac:dyDescent="0.25">
      <c r="A33" s="200" t="s">
        <v>28</v>
      </c>
      <c r="B33" s="200" t="s">
        <v>30</v>
      </c>
      <c r="C33" s="160" t="s">
        <v>30</v>
      </c>
      <c r="D33" s="160"/>
      <c r="E33" s="160"/>
      <c r="F33" s="160" t="s">
        <v>203</v>
      </c>
      <c r="G33" s="160"/>
      <c r="H33" s="160"/>
    </row>
    <row r="34" spans="1:8" x14ac:dyDescent="0.25">
      <c r="A34" s="200" t="s">
        <v>27</v>
      </c>
      <c r="B34" s="200" t="s">
        <v>30</v>
      </c>
      <c r="C34" s="160" t="s">
        <v>30</v>
      </c>
      <c r="D34" s="160"/>
      <c r="E34" s="160"/>
      <c r="F34" s="160" t="s">
        <v>11</v>
      </c>
      <c r="G34" s="160"/>
      <c r="H34" s="160"/>
    </row>
    <row r="35" spans="1:8" x14ac:dyDescent="0.25">
      <c r="A35" s="152" t="s">
        <v>32</v>
      </c>
      <c r="B35" s="152"/>
      <c r="C35" s="152"/>
      <c r="D35" s="152"/>
      <c r="E35" s="152"/>
      <c r="F35" s="152"/>
      <c r="G35" s="152"/>
      <c r="H35" s="152"/>
    </row>
    <row r="36" spans="1:8" ht="15.75" customHeight="1" x14ac:dyDescent="0.25">
      <c r="A36" s="193" t="s">
        <v>235</v>
      </c>
      <c r="B36" s="193"/>
      <c r="C36" s="204" t="s">
        <v>287</v>
      </c>
      <c r="D36" s="205"/>
      <c r="E36" s="205"/>
      <c r="F36" s="205"/>
      <c r="G36" s="205"/>
      <c r="H36" s="206"/>
    </row>
    <row r="37" spans="1:8" ht="15.75" customHeight="1" x14ac:dyDescent="0.25">
      <c r="A37" s="193" t="s">
        <v>236</v>
      </c>
      <c r="B37" s="193"/>
      <c r="C37" s="207" t="s">
        <v>288</v>
      </c>
      <c r="D37" s="205"/>
      <c r="E37" s="205"/>
      <c r="F37" s="205"/>
      <c r="G37" s="205"/>
      <c r="H37" s="206"/>
    </row>
    <row r="38" spans="1:8" x14ac:dyDescent="0.25">
      <c r="A38" s="193" t="s">
        <v>35</v>
      </c>
      <c r="B38" s="193"/>
      <c r="C38" s="193"/>
      <c r="D38" s="193"/>
      <c r="E38" s="193"/>
      <c r="F38" s="193"/>
      <c r="G38" s="193"/>
      <c r="H38" s="193"/>
    </row>
    <row r="39" spans="1:8" x14ac:dyDescent="0.25">
      <c r="A39" s="152" t="s">
        <v>36</v>
      </c>
      <c r="B39" s="152"/>
      <c r="C39" s="152"/>
      <c r="D39" s="152"/>
      <c r="E39" s="203">
        <v>47014.3</v>
      </c>
      <c r="F39" s="203"/>
      <c r="G39" s="203"/>
      <c r="H39" s="203"/>
    </row>
    <row r="40" spans="1:8" x14ac:dyDescent="0.25">
      <c r="A40" s="152" t="s">
        <v>37</v>
      </c>
      <c r="B40" s="152"/>
      <c r="C40" s="152"/>
      <c r="D40" s="152"/>
      <c r="E40" s="177">
        <v>1</v>
      </c>
      <c r="F40" s="177"/>
      <c r="G40" s="177"/>
      <c r="H40" s="177"/>
    </row>
    <row r="41" spans="1:8" x14ac:dyDescent="0.25">
      <c r="A41" s="152" t="s">
        <v>38</v>
      </c>
      <c r="B41" s="152"/>
      <c r="C41" s="152"/>
      <c r="D41" s="152"/>
      <c r="E41" s="177">
        <f>E43/E39-E40</f>
        <v>0</v>
      </c>
      <c r="F41" s="177"/>
      <c r="G41" s="177"/>
      <c r="H41" s="177"/>
    </row>
    <row r="42" spans="1:8" x14ac:dyDescent="0.25">
      <c r="A42" s="152" t="s">
        <v>39</v>
      </c>
      <c r="B42" s="152"/>
      <c r="C42" s="152"/>
      <c r="D42" s="152"/>
      <c r="E42" s="177">
        <f>E40+E41</f>
        <v>1</v>
      </c>
      <c r="F42" s="177"/>
      <c r="G42" s="177"/>
      <c r="H42" s="177"/>
    </row>
    <row r="43" spans="1:8" x14ac:dyDescent="0.25">
      <c r="A43" s="152" t="s">
        <v>120</v>
      </c>
      <c r="B43" s="152"/>
      <c r="C43" s="152"/>
      <c r="D43" s="152"/>
      <c r="E43" s="195">
        <v>47014.3</v>
      </c>
      <c r="F43" s="195"/>
      <c r="G43" s="195"/>
      <c r="H43" s="195"/>
    </row>
    <row r="44" spans="1:8" x14ac:dyDescent="0.25">
      <c r="A44" s="186" t="s">
        <v>40</v>
      </c>
      <c r="B44" s="186"/>
      <c r="C44" s="186"/>
      <c r="D44" s="186"/>
      <c r="E44" s="186" t="s">
        <v>204</v>
      </c>
      <c r="F44" s="186"/>
      <c r="G44" s="186"/>
      <c r="H44" s="186"/>
    </row>
    <row r="45" spans="1:8" x14ac:dyDescent="0.25">
      <c r="A45" s="193" t="s">
        <v>41</v>
      </c>
      <c r="B45" s="193"/>
      <c r="C45" s="193"/>
      <c r="D45" s="193"/>
      <c r="E45" s="193"/>
      <c r="F45" s="193"/>
      <c r="G45" s="193"/>
      <c r="H45" s="193"/>
    </row>
    <row r="46" spans="1:8" x14ac:dyDescent="0.25">
      <c r="A46" s="169" t="s">
        <v>42</v>
      </c>
      <c r="B46" s="169"/>
      <c r="C46" s="173" t="s">
        <v>237</v>
      </c>
      <c r="D46" s="173"/>
      <c r="E46" s="173"/>
      <c r="F46" s="67" t="s">
        <v>43</v>
      </c>
      <c r="G46" s="174">
        <v>44358</v>
      </c>
      <c r="H46" s="174"/>
    </row>
    <row r="47" spans="1:8" ht="32.25" customHeight="1" x14ac:dyDescent="0.25">
      <c r="A47" s="169" t="s">
        <v>273</v>
      </c>
      <c r="B47" s="152"/>
      <c r="C47" s="173" t="str">
        <f>C46</f>
        <v>KDMC/TPD/BP/KD/2018-19/35/106</v>
      </c>
      <c r="D47" s="173"/>
      <c r="E47" s="173"/>
      <c r="F47" s="67" t="s">
        <v>43</v>
      </c>
      <c r="G47" s="174">
        <f>G46</f>
        <v>44358</v>
      </c>
      <c r="H47" s="174"/>
    </row>
    <row r="48" spans="1:8" ht="32.25" customHeight="1" x14ac:dyDescent="0.25">
      <c r="A48" s="169" t="s">
        <v>280</v>
      </c>
      <c r="B48" s="152"/>
      <c r="C48" s="173" t="s">
        <v>244</v>
      </c>
      <c r="D48" s="173"/>
      <c r="E48" s="173"/>
      <c r="F48" s="67" t="s">
        <v>43</v>
      </c>
      <c r="G48" s="174">
        <v>44405</v>
      </c>
      <c r="H48" s="174"/>
    </row>
    <row r="49" spans="1:13" ht="33" customHeight="1" x14ac:dyDescent="0.25">
      <c r="A49" s="118" t="s">
        <v>274</v>
      </c>
      <c r="B49" s="119"/>
      <c r="C49" s="120" t="s">
        <v>261</v>
      </c>
      <c r="D49" s="120"/>
      <c r="E49" s="120"/>
      <c r="F49" s="88" t="s">
        <v>43</v>
      </c>
      <c r="G49" s="121">
        <v>45415</v>
      </c>
      <c r="H49" s="121"/>
    </row>
    <row r="50" spans="1:13" s="10" customFormat="1" x14ac:dyDescent="0.25">
      <c r="A50" s="185" t="s">
        <v>44</v>
      </c>
      <c r="B50" s="185"/>
      <c r="C50" s="173" t="str">
        <f>C46</f>
        <v>KDMC/TPD/BP/KD/2018-19/35/106</v>
      </c>
      <c r="D50" s="170"/>
      <c r="E50" s="170"/>
      <c r="F50" s="13" t="s">
        <v>43</v>
      </c>
      <c r="G50" s="174">
        <f>G46</f>
        <v>44358</v>
      </c>
      <c r="H50" s="174"/>
    </row>
    <row r="51" spans="1:13" s="10" customFormat="1" x14ac:dyDescent="0.25">
      <c r="A51" s="185"/>
      <c r="B51" s="185"/>
      <c r="C51" s="188" t="s">
        <v>217</v>
      </c>
      <c r="D51" s="189"/>
      <c r="E51" s="189"/>
      <c r="F51" s="189"/>
      <c r="G51" s="189"/>
      <c r="H51" s="190"/>
    </row>
    <row r="52" spans="1:13" ht="48.75" customHeight="1" x14ac:dyDescent="0.25">
      <c r="A52" s="181" t="s">
        <v>283</v>
      </c>
      <c r="B52" s="181"/>
      <c r="C52" s="182" t="s">
        <v>284</v>
      </c>
      <c r="D52" s="183"/>
      <c r="E52" s="183" t="s">
        <v>45</v>
      </c>
      <c r="F52" s="68" t="s">
        <v>43</v>
      </c>
      <c r="G52" s="187">
        <v>45621</v>
      </c>
      <c r="H52" s="187"/>
    </row>
    <row r="53" spans="1:13" ht="36.75" customHeight="1" x14ac:dyDescent="0.25">
      <c r="A53" s="181" t="s">
        <v>286</v>
      </c>
      <c r="B53" s="181"/>
      <c r="C53" s="182" t="s">
        <v>285</v>
      </c>
      <c r="D53" s="183"/>
      <c r="E53" s="183" t="s">
        <v>45</v>
      </c>
      <c r="F53" s="68" t="s">
        <v>43</v>
      </c>
      <c r="G53" s="187">
        <v>45415</v>
      </c>
      <c r="H53" s="187"/>
    </row>
    <row r="54" spans="1:13" x14ac:dyDescent="0.25">
      <c r="A54" s="184" t="s">
        <v>47</v>
      </c>
      <c r="B54" s="184"/>
      <c r="C54" s="184"/>
      <c r="D54" s="184"/>
      <c r="E54" s="184"/>
      <c r="F54" s="184"/>
      <c r="G54" s="184"/>
      <c r="H54" s="184"/>
    </row>
    <row r="55" spans="1:13" x14ac:dyDescent="0.25">
      <c r="A55" s="185" t="s">
        <v>119</v>
      </c>
      <c r="B55" s="185"/>
      <c r="C55" s="185"/>
      <c r="D55" s="186">
        <f>E43</f>
        <v>47014.3</v>
      </c>
      <c r="E55" s="186"/>
      <c r="F55" s="186"/>
      <c r="G55" s="186"/>
      <c r="H55" s="186"/>
    </row>
    <row r="56" spans="1:13" x14ac:dyDescent="0.25">
      <c r="A56" s="185" t="s">
        <v>48</v>
      </c>
      <c r="B56" s="186"/>
      <c r="C56" s="186"/>
      <c r="D56" s="186" t="s">
        <v>291</v>
      </c>
      <c r="E56" s="186"/>
      <c r="F56" s="186"/>
      <c r="G56" s="186"/>
      <c r="H56" s="186"/>
      <c r="I56" s="43"/>
    </row>
    <row r="57" spans="1:13" ht="51" customHeight="1" x14ac:dyDescent="0.25">
      <c r="A57" s="178" t="s">
        <v>49</v>
      </c>
      <c r="B57" s="179"/>
      <c r="C57" s="180"/>
      <c r="D57" s="175" t="s">
        <v>245</v>
      </c>
      <c r="E57" s="176"/>
      <c r="F57" s="176"/>
      <c r="G57" s="176"/>
      <c r="H57" s="176"/>
    </row>
    <row r="58" spans="1:13" ht="15.75" customHeight="1" x14ac:dyDescent="0.25">
      <c r="A58" s="178" t="s">
        <v>117</v>
      </c>
      <c r="B58" s="179"/>
      <c r="C58" s="180"/>
      <c r="D58" s="213" t="s">
        <v>232</v>
      </c>
      <c r="E58" s="214"/>
      <c r="F58" s="214"/>
      <c r="G58" s="214"/>
      <c r="H58" s="215"/>
    </row>
    <row r="59" spans="1:13" ht="15.75" hidden="1" customHeight="1" x14ac:dyDescent="0.25">
      <c r="A59" s="216"/>
      <c r="B59" s="217"/>
      <c r="C59" s="218"/>
      <c r="D59" s="225" t="s">
        <v>218</v>
      </c>
      <c r="E59" s="226"/>
      <c r="F59" s="226"/>
      <c r="G59" s="226"/>
      <c r="H59" s="227"/>
    </row>
    <row r="60" spans="1:13" ht="15.75" hidden="1" customHeight="1" x14ac:dyDescent="0.25">
      <c r="A60" s="216"/>
      <c r="B60" s="217"/>
      <c r="C60" s="218"/>
      <c r="D60" s="210" t="s">
        <v>219</v>
      </c>
      <c r="E60" s="211"/>
      <c r="F60" s="211"/>
      <c r="G60" s="211"/>
      <c r="H60" s="212"/>
    </row>
    <row r="61" spans="1:13" ht="15.75" customHeight="1" x14ac:dyDescent="0.25">
      <c r="A61" s="219"/>
      <c r="B61" s="220"/>
      <c r="C61" s="221"/>
      <c r="D61" s="213" t="s">
        <v>231</v>
      </c>
      <c r="E61" s="214"/>
      <c r="F61" s="214"/>
      <c r="G61" s="214"/>
      <c r="H61" s="215"/>
    </row>
    <row r="62" spans="1:13" ht="15.75" customHeight="1" x14ac:dyDescent="0.25">
      <c r="A62" s="152" t="s">
        <v>46</v>
      </c>
      <c r="B62" s="152"/>
      <c r="C62" s="152"/>
      <c r="D62" s="228" t="s">
        <v>162</v>
      </c>
      <c r="E62" s="228"/>
      <c r="F62" s="228"/>
      <c r="G62" s="228"/>
      <c r="H62" s="228"/>
      <c r="I62" s="90" t="s">
        <v>254</v>
      </c>
      <c r="J62" s="90"/>
      <c r="K62" s="90"/>
      <c r="L62" s="90"/>
      <c r="M62" s="90"/>
    </row>
    <row r="63" spans="1:13" ht="15.75" customHeight="1" x14ac:dyDescent="0.25">
      <c r="A63" s="152" t="s">
        <v>115</v>
      </c>
      <c r="B63" s="152"/>
      <c r="C63" s="152"/>
      <c r="D63" s="169" t="s">
        <v>241</v>
      </c>
      <c r="E63" s="169"/>
      <c r="F63" s="169"/>
      <c r="G63" s="169"/>
      <c r="H63" s="169"/>
      <c r="I63" s="42"/>
    </row>
    <row r="64" spans="1:13" ht="15.75" customHeight="1" x14ac:dyDescent="0.25">
      <c r="A64" s="152" t="s">
        <v>116</v>
      </c>
      <c r="B64" s="152"/>
      <c r="C64" s="152"/>
      <c r="D64" s="169" t="s">
        <v>24</v>
      </c>
      <c r="E64" s="169"/>
      <c r="F64" s="169"/>
      <c r="G64" s="169"/>
      <c r="H64" s="169"/>
      <c r="J64" s="19"/>
      <c r="K64" s="19"/>
    </row>
    <row r="65" spans="1:11" ht="15.75" customHeight="1" thickBot="1" x14ac:dyDescent="0.3">
      <c r="A65" s="229" t="s">
        <v>114</v>
      </c>
      <c r="B65" s="229"/>
      <c r="C65" s="229"/>
      <c r="D65" s="175" t="str">
        <f>(IF(E72&gt;95%,"Nothing",IF(E72&gt;0%,"Cement, Aggregate, Steel, etc",IF(E72=0%,"Work not yet Started"))))</f>
        <v>Nothing</v>
      </c>
      <c r="E65" s="175"/>
      <c r="F65" s="175"/>
      <c r="G65" s="175"/>
      <c r="H65" s="175"/>
      <c r="J65" s="19"/>
      <c r="K65" s="19"/>
    </row>
    <row r="66" spans="1:11" ht="15.75" customHeight="1" x14ac:dyDescent="0.25">
      <c r="A66" s="153" t="s">
        <v>187</v>
      </c>
      <c r="B66" s="154"/>
      <c r="C66" s="155" t="s">
        <v>240</v>
      </c>
      <c r="D66" s="156"/>
      <c r="E66" s="156"/>
      <c r="F66" s="156"/>
      <c r="G66" s="156"/>
      <c r="H66" s="157"/>
      <c r="I66" s="21" t="str">
        <f ca="1">(IF(C72=0,"Work not yet Started.",IF(D72=50%,"Excavation work in process",IF(D72=100%,"Excavation work completed, ","0")))&amp;(IF(C73=0%,"",IF(D73=25%,"Footing work is process",IF(D73=50%,"Footing work Completed",IF(D73=75%,"Plinth work is process",IF(D73=100%,"Plinth work completed","0"))))))&amp;(IF(C74&gt;0,", RCC upto "&amp;C74&amp;" Slab completed",""))&amp;(IF(C75&gt;0,", Brickwork upto "&amp;C75&amp;" Floor completed"," "))&amp;(IF(C76&gt;0,", Internal Plaster upto "&amp;C76&amp;" Floor completed"," "))&amp;(IF(C77&gt;0,", External Plaster upto "&amp;C77&amp;" Floor completed"," "))&amp;(IF(C78&gt;0,", Flooring upto "&amp;C78&amp;" Floor completed"," "))&amp;(IF(C79&gt;0,", Painting upto "&amp;C79&amp;" Floor completed"," "))&amp;(IF(C80&gt;0,", Finishing upto "&amp;C80&amp;" Floor completed"," ")))</f>
        <v>Excavation work completed, Plinth work completed, RCC upto 39 Slab completed, Brickwork upto 32 Floor completed, Internal Plaster upto 32 Floor completed, External Plaster upto 32 Floor completed, Flooring upto 32 Floor completed, Painting upto 32 Floor completed, Finishing upto 32 Floor completed</v>
      </c>
      <c r="J66" s="21"/>
      <c r="K66" s="22"/>
    </row>
    <row r="67" spans="1:11" x14ac:dyDescent="0.25">
      <c r="A67" s="158" t="s">
        <v>96</v>
      </c>
      <c r="B67" s="159"/>
      <c r="C67" s="160">
        <v>1</v>
      </c>
      <c r="D67" s="160"/>
      <c r="E67" s="61" t="s">
        <v>95</v>
      </c>
      <c r="F67" s="61">
        <v>6</v>
      </c>
      <c r="G67" s="62" t="s">
        <v>108</v>
      </c>
      <c r="H67" s="66">
        <f ca="1">--TRIM(RIGHT(SUBSTITUTE(LEFT(C66,_xlfn.AGGREGATE(16,6,FIND({0,1,2,3,4,5,6,7,8,9},C66,ROW(INDIRECT("1:"&amp;LEN(C66)))),1))," ",REPT(" ",LEN(C66))),LEN(C66)))</f>
        <v>32</v>
      </c>
      <c r="I67" s="19" t="s">
        <v>132</v>
      </c>
      <c r="J67" s="19"/>
      <c r="K67" s="23"/>
    </row>
    <row r="68" spans="1:11" x14ac:dyDescent="0.25">
      <c r="A68" s="161" t="s">
        <v>118</v>
      </c>
      <c r="B68" s="162"/>
      <c r="C68" s="163" t="str">
        <f>I71</f>
        <v>All work Completed. OC Received.</v>
      </c>
      <c r="D68" s="163"/>
      <c r="E68" s="163"/>
      <c r="F68" s="163"/>
      <c r="G68" s="163"/>
      <c r="H68" s="164"/>
      <c r="I68" s="19" t="s">
        <v>147</v>
      </c>
      <c r="J68" s="19"/>
      <c r="K68" s="23"/>
    </row>
    <row r="69" spans="1:11" s="2" customFormat="1" x14ac:dyDescent="0.25">
      <c r="A69" s="127" t="s">
        <v>113</v>
      </c>
      <c r="B69" s="128"/>
      <c r="C69" s="131">
        <v>1</v>
      </c>
      <c r="D69" s="132"/>
      <c r="E69" s="135" t="s">
        <v>112</v>
      </c>
      <c r="F69" s="132"/>
      <c r="G69" s="131">
        <v>1</v>
      </c>
      <c r="H69" s="136"/>
      <c r="I69" s="76"/>
      <c r="J69" s="76"/>
      <c r="K69" s="77"/>
    </row>
    <row r="70" spans="1:11" s="2" customFormat="1" ht="16.5" thickBot="1" x14ac:dyDescent="0.3">
      <c r="A70" s="129"/>
      <c r="B70" s="130"/>
      <c r="C70" s="133"/>
      <c r="D70" s="134"/>
      <c r="E70" s="133"/>
      <c r="F70" s="134"/>
      <c r="G70" s="133"/>
      <c r="H70" s="137"/>
      <c r="I70" s="76"/>
      <c r="J70" s="76"/>
      <c r="K70" s="77"/>
    </row>
    <row r="71" spans="1:11" hidden="1" x14ac:dyDescent="0.25">
      <c r="A71" s="141" t="s">
        <v>50</v>
      </c>
      <c r="B71" s="142"/>
      <c r="C71" s="14" t="s">
        <v>186</v>
      </c>
      <c r="D71" s="14" t="s">
        <v>111</v>
      </c>
      <c r="E71" s="142" t="s">
        <v>113</v>
      </c>
      <c r="F71" s="142"/>
      <c r="G71" s="142" t="s">
        <v>112</v>
      </c>
      <c r="H71" s="165"/>
      <c r="I71" s="19" t="s">
        <v>133</v>
      </c>
      <c r="K71" s="24"/>
    </row>
    <row r="72" spans="1:11" hidden="1" x14ac:dyDescent="0.25">
      <c r="A72" s="142" t="s">
        <v>170</v>
      </c>
      <c r="B72" s="142"/>
      <c r="C72" s="71">
        <v>32</v>
      </c>
      <c r="D72" s="74">
        <f ca="1">((100/H67)*C72)/100</f>
        <v>1</v>
      </c>
      <c r="E72" s="143" t="str">
        <f>(IF(C68=I68,"100%",IF(C68=I71,"100%",(((C73/H67*10)+(40/(C67+F67+H67)*C74)+(7.5/(H67)*C75)+(7.5/(H67)*C76)+(10/H67*C77)+(10/H67*C78)+(5/H67*C79)+(5/H67*C80)+(5/H67*C81))/100))))</f>
        <v>100%</v>
      </c>
      <c r="F72" s="143"/>
      <c r="G72" s="143">
        <f ca="1">((((C72/H67)*20)+((C73/H67)*25)+(30/(H67+F67+C67)*C74)+(5/H67*C75)+(5/H67*C76)+(5/H67*C77)+(5/H67*C78)+(0/H67*C79)+(0/H67*C80)+(5/H67*C81))/100)</f>
        <v>1</v>
      </c>
      <c r="H72" s="143"/>
      <c r="I72" s="19"/>
      <c r="K72" s="24"/>
    </row>
    <row r="73" spans="1:11" hidden="1" x14ac:dyDescent="0.25">
      <c r="A73" s="142" t="s">
        <v>51</v>
      </c>
      <c r="B73" s="142"/>
      <c r="C73" s="71">
        <f ca="1">K80</f>
        <v>32</v>
      </c>
      <c r="D73" s="74">
        <f ca="1">((100/H67)*C73)/100</f>
        <v>1</v>
      </c>
      <c r="E73" s="143"/>
      <c r="F73" s="143"/>
      <c r="G73" s="143"/>
      <c r="H73" s="143"/>
      <c r="K73" s="24"/>
    </row>
    <row r="74" spans="1:11" ht="15.75" hidden="1" customHeight="1" x14ac:dyDescent="0.25">
      <c r="A74" s="148" t="s">
        <v>171</v>
      </c>
      <c r="B74" s="148"/>
      <c r="C74" s="72">
        <v>39</v>
      </c>
      <c r="D74" s="74">
        <f ca="1">((100/(C67+F67+H67))*C74)/100</f>
        <v>1.0000000000000002</v>
      </c>
      <c r="E74" s="143"/>
      <c r="F74" s="143"/>
      <c r="G74" s="143"/>
      <c r="H74" s="143"/>
      <c r="I74" s="41" t="s">
        <v>126</v>
      </c>
      <c r="J74" s="25"/>
      <c r="K74" s="54">
        <f ca="1">H67*50%</f>
        <v>16</v>
      </c>
    </row>
    <row r="75" spans="1:11" ht="15.75" hidden="1" customHeight="1" x14ac:dyDescent="0.25">
      <c r="A75" s="142" t="s">
        <v>179</v>
      </c>
      <c r="B75" s="142" t="s">
        <v>172</v>
      </c>
      <c r="C75" s="72">
        <v>32</v>
      </c>
      <c r="D75" s="74">
        <f ca="1">((100/H67)*C75)/100</f>
        <v>1</v>
      </c>
      <c r="E75" s="143"/>
      <c r="F75" s="143"/>
      <c r="G75" s="143"/>
      <c r="H75" s="143"/>
      <c r="I75" s="41" t="s">
        <v>127</v>
      </c>
      <c r="J75" s="25"/>
      <c r="K75" s="54">
        <f ca="1">H67</f>
        <v>32</v>
      </c>
    </row>
    <row r="76" spans="1:11" ht="15.75" hidden="1" customHeight="1" x14ac:dyDescent="0.25">
      <c r="A76" s="142" t="s">
        <v>180</v>
      </c>
      <c r="B76" s="142" t="s">
        <v>172</v>
      </c>
      <c r="C76" s="72">
        <v>32</v>
      </c>
      <c r="D76" s="74">
        <f ca="1">((100/H67)*C76)/100</f>
        <v>1</v>
      </c>
      <c r="E76" s="143"/>
      <c r="F76" s="143"/>
      <c r="G76" s="143"/>
      <c r="H76" s="143"/>
      <c r="I76" s="41"/>
      <c r="J76" s="25"/>
      <c r="K76" s="54"/>
    </row>
    <row r="77" spans="1:11" ht="15" hidden="1" customHeight="1" x14ac:dyDescent="0.25">
      <c r="A77" s="142" t="s">
        <v>178</v>
      </c>
      <c r="B77" s="142" t="s">
        <v>174</v>
      </c>
      <c r="C77" s="72">
        <v>32</v>
      </c>
      <c r="D77" s="74">
        <f ca="1">((100/(H67))*C77)/100</f>
        <v>1</v>
      </c>
      <c r="E77" s="143"/>
      <c r="F77" s="143"/>
      <c r="G77" s="143"/>
      <c r="H77" s="143"/>
      <c r="I77" s="41" t="s">
        <v>128</v>
      </c>
      <c r="J77" s="25"/>
      <c r="K77" s="54">
        <f ca="1">H67*25%</f>
        <v>8</v>
      </c>
    </row>
    <row r="78" spans="1:11" ht="15.75" hidden="1" customHeight="1" x14ac:dyDescent="0.25">
      <c r="A78" s="142" t="s">
        <v>173</v>
      </c>
      <c r="B78" s="142" t="s">
        <v>173</v>
      </c>
      <c r="C78" s="72">
        <v>32</v>
      </c>
      <c r="D78" s="74">
        <f ca="1">((100/H67)*C78)/100</f>
        <v>1</v>
      </c>
      <c r="E78" s="143"/>
      <c r="F78" s="143"/>
      <c r="G78" s="143"/>
      <c r="H78" s="143"/>
      <c r="I78" s="41" t="s">
        <v>129</v>
      </c>
      <c r="J78" s="25"/>
      <c r="K78" s="54">
        <f ca="1">H67*50%</f>
        <v>16</v>
      </c>
    </row>
    <row r="79" spans="1:11" hidden="1" x14ac:dyDescent="0.25">
      <c r="A79" s="142" t="s">
        <v>181</v>
      </c>
      <c r="B79" s="142"/>
      <c r="C79" s="71">
        <v>32</v>
      </c>
      <c r="D79" s="74">
        <f ca="1">((100/H67)*C79)/100</f>
        <v>1</v>
      </c>
      <c r="E79" s="143"/>
      <c r="F79" s="143"/>
      <c r="G79" s="143"/>
      <c r="H79" s="143"/>
      <c r="I79" s="41" t="s">
        <v>130</v>
      </c>
      <c r="J79" s="25"/>
      <c r="K79" s="54">
        <f ca="1">H67*75%</f>
        <v>24</v>
      </c>
    </row>
    <row r="80" spans="1:11" hidden="1" x14ac:dyDescent="0.25">
      <c r="A80" s="142" t="s">
        <v>175</v>
      </c>
      <c r="B80" s="142" t="s">
        <v>175</v>
      </c>
      <c r="C80" s="71">
        <v>32</v>
      </c>
      <c r="D80" s="74">
        <f ca="1">((100/(H67))*C80)/100</f>
        <v>1</v>
      </c>
      <c r="E80" s="143"/>
      <c r="F80" s="143"/>
      <c r="G80" s="143"/>
      <c r="H80" s="143"/>
      <c r="I80" s="41" t="s">
        <v>131</v>
      </c>
      <c r="J80" s="25"/>
      <c r="K80" s="54">
        <f ca="1">H67</f>
        <v>32</v>
      </c>
    </row>
    <row r="81" spans="1:11" ht="16.5" hidden="1" thickBot="1" x14ac:dyDescent="0.3">
      <c r="A81" s="209" t="s">
        <v>176</v>
      </c>
      <c r="B81" s="209"/>
      <c r="C81" s="78">
        <v>32</v>
      </c>
      <c r="D81" s="79">
        <f ca="1">((100/(H67))*C81)/100</f>
        <v>1</v>
      </c>
      <c r="E81" s="208"/>
      <c r="F81" s="208"/>
      <c r="G81" s="208"/>
      <c r="H81" s="208"/>
      <c r="I81" s="64"/>
      <c r="J81" s="64"/>
      <c r="K81" s="65"/>
    </row>
    <row r="82" spans="1:11" ht="15.75" customHeight="1" x14ac:dyDescent="0.25">
      <c r="A82" s="222" t="s">
        <v>187</v>
      </c>
      <c r="B82" s="223"/>
      <c r="C82" s="223" t="str">
        <f>D61</f>
        <v>Tower D = St + 6P + 1st to 27th Floor</v>
      </c>
      <c r="D82" s="223"/>
      <c r="E82" s="223"/>
      <c r="F82" s="223"/>
      <c r="G82" s="223"/>
      <c r="H82" s="224"/>
      <c r="I82" s="21" t="str">
        <f ca="1">(IF(C88=0,"Work not yet Started.",IF(D88=50%,"Excavation work in process",IF(D88=100%,"Excavation work completed, ","0")))&amp;(IF(C89=0%,"",IF(D89=25%,"Footing work is process",IF(D89=50%,"Footing work Completed",IF(D89=75%,"Plinth work is process",IF(D89=100%,"Plinth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Excavation work completed, Plinth work completed, RCC upto 34 Slab completed, Brickwork upto 27 Floor completed, Internal Plaster upto 27 Floor completed, External Plaster upto 27 Floor completed, Flooring upto 27 Floor completed, Painting upto 27 Floor completed, Finishing upto 27 Floor completed</v>
      </c>
      <c r="J82" s="21"/>
      <c r="K82" s="22"/>
    </row>
    <row r="83" spans="1:11" x14ac:dyDescent="0.25">
      <c r="A83" s="158" t="s">
        <v>96</v>
      </c>
      <c r="B83" s="159"/>
      <c r="C83" s="160">
        <v>1</v>
      </c>
      <c r="D83" s="160"/>
      <c r="E83" s="61" t="s">
        <v>95</v>
      </c>
      <c r="F83" s="61">
        <v>6</v>
      </c>
      <c r="G83" s="62" t="s">
        <v>108</v>
      </c>
      <c r="H83" s="66">
        <f ca="1">--TRIM(RIGHT(SUBSTITUTE(LEFT(C82,_xlfn.AGGREGATE(16,6,FIND({0,1,2,3,4,5,6,7,8,9},C82,ROW(INDIRECT("1:"&amp;LEN(C82)))),1))," ",REPT(" ",LEN(C82))),LEN(C82)))</f>
        <v>27</v>
      </c>
      <c r="I83" s="19" t="s">
        <v>132</v>
      </c>
      <c r="J83" s="19"/>
      <c r="K83" s="23"/>
    </row>
    <row r="84" spans="1:11" x14ac:dyDescent="0.25">
      <c r="A84" s="161" t="s">
        <v>118</v>
      </c>
      <c r="B84" s="162"/>
      <c r="C84" s="163" t="str">
        <f>I87</f>
        <v>All work Completed. OC Received.</v>
      </c>
      <c r="D84" s="163"/>
      <c r="E84" s="163"/>
      <c r="F84" s="163"/>
      <c r="G84" s="163"/>
      <c r="H84" s="164"/>
      <c r="I84" s="19" t="s">
        <v>147</v>
      </c>
      <c r="J84" s="19"/>
      <c r="K84" s="23"/>
    </row>
    <row r="85" spans="1:11" s="2" customFormat="1" x14ac:dyDescent="0.25">
      <c r="A85" s="127" t="s">
        <v>113</v>
      </c>
      <c r="B85" s="128"/>
      <c r="C85" s="131">
        <v>1</v>
      </c>
      <c r="D85" s="132"/>
      <c r="E85" s="135" t="s">
        <v>112</v>
      </c>
      <c r="F85" s="132"/>
      <c r="G85" s="131">
        <v>1</v>
      </c>
      <c r="H85" s="136"/>
      <c r="I85" s="76"/>
      <c r="J85" s="76"/>
      <c r="K85" s="77"/>
    </row>
    <row r="86" spans="1:11" s="2" customFormat="1" ht="16.5" thickBot="1" x14ac:dyDescent="0.3">
      <c r="A86" s="129"/>
      <c r="B86" s="130"/>
      <c r="C86" s="133"/>
      <c r="D86" s="134"/>
      <c r="E86" s="133"/>
      <c r="F86" s="134"/>
      <c r="G86" s="133"/>
      <c r="H86" s="137"/>
      <c r="I86" s="76"/>
      <c r="J86" s="76"/>
      <c r="K86" s="77"/>
    </row>
    <row r="87" spans="1:11" hidden="1" x14ac:dyDescent="0.25">
      <c r="A87" s="141" t="s">
        <v>50</v>
      </c>
      <c r="B87" s="142"/>
      <c r="C87" s="14" t="s">
        <v>186</v>
      </c>
      <c r="D87" s="14" t="s">
        <v>111</v>
      </c>
      <c r="E87" s="142" t="s">
        <v>113</v>
      </c>
      <c r="F87" s="142"/>
      <c r="G87" s="142" t="s">
        <v>112</v>
      </c>
      <c r="H87" s="165"/>
      <c r="I87" s="19" t="s">
        <v>133</v>
      </c>
      <c r="K87" s="24"/>
    </row>
    <row r="88" spans="1:11" hidden="1" x14ac:dyDescent="0.25">
      <c r="A88" s="141" t="s">
        <v>170</v>
      </c>
      <c r="B88" s="142"/>
      <c r="C88" s="71">
        <f ca="1">K91</f>
        <v>27</v>
      </c>
      <c r="D88" s="74">
        <f ca="1">((100/H83)*C88)/100</f>
        <v>1</v>
      </c>
      <c r="E88" s="143" t="str">
        <f>(IF(C84=I84,"100%",IF(C84=I87,"100%",(((C89/H83*10)+(40/(C83+F83+H83)*C90)+(7.5/(H83)*C91)+(7.5/(H83)*C92)+(10/H83*C93)+(10/H83*C94)+(5/H83*C95)+(5/H83*C96)+(5/H83*C97))/100))))</f>
        <v>100%</v>
      </c>
      <c r="F88" s="143"/>
      <c r="G88" s="143">
        <f ca="1">((((C88/H83)*20)+((C89/H83)*25)+(30/(H83+F83+C83)*C90)+(5/H83*C91)+(5/H83*C92)+(5/H83*C93)+(5/H83*C94)+(0/H83*C95)+(0/H83*C96)+(5/H83*C97))/100)</f>
        <v>1</v>
      </c>
      <c r="H88" s="145"/>
      <c r="I88" s="19"/>
      <c r="K88" s="24"/>
    </row>
    <row r="89" spans="1:11" hidden="1" x14ac:dyDescent="0.25">
      <c r="A89" s="141" t="s">
        <v>51</v>
      </c>
      <c r="B89" s="142"/>
      <c r="C89" s="71">
        <f ca="1">K96</f>
        <v>27</v>
      </c>
      <c r="D89" s="74">
        <f ca="1">((100/H83)*C89)/100</f>
        <v>1</v>
      </c>
      <c r="E89" s="143"/>
      <c r="F89" s="143"/>
      <c r="G89" s="143"/>
      <c r="H89" s="145"/>
      <c r="K89" s="24"/>
    </row>
    <row r="90" spans="1:11" ht="15.75" hidden="1" customHeight="1" x14ac:dyDescent="0.25">
      <c r="A90" s="147" t="s">
        <v>171</v>
      </c>
      <c r="B90" s="148"/>
      <c r="C90" s="72">
        <v>34</v>
      </c>
      <c r="D90" s="74">
        <f ca="1">((100/(C83+F83+H83))*C90)/100</f>
        <v>1</v>
      </c>
      <c r="E90" s="143"/>
      <c r="F90" s="143"/>
      <c r="G90" s="143"/>
      <c r="H90" s="145"/>
      <c r="I90" s="41" t="s">
        <v>126</v>
      </c>
      <c r="J90" s="25"/>
      <c r="K90" s="54">
        <f ca="1">H83*50%</f>
        <v>13.5</v>
      </c>
    </row>
    <row r="91" spans="1:11" ht="15.75" hidden="1" customHeight="1" x14ac:dyDescent="0.25">
      <c r="A91" s="141" t="s">
        <v>179</v>
      </c>
      <c r="B91" s="142" t="s">
        <v>172</v>
      </c>
      <c r="C91" s="72">
        <v>27</v>
      </c>
      <c r="D91" s="74">
        <f ca="1">((100/H83)*C91)/100</f>
        <v>1</v>
      </c>
      <c r="E91" s="143"/>
      <c r="F91" s="143"/>
      <c r="G91" s="143"/>
      <c r="H91" s="145"/>
      <c r="I91" s="41" t="s">
        <v>127</v>
      </c>
      <c r="J91" s="25"/>
      <c r="K91" s="54">
        <f ca="1">H83</f>
        <v>27</v>
      </c>
    </row>
    <row r="92" spans="1:11" ht="15.75" hidden="1" customHeight="1" x14ac:dyDescent="0.25">
      <c r="A92" s="141" t="s">
        <v>180</v>
      </c>
      <c r="B92" s="142" t="s">
        <v>172</v>
      </c>
      <c r="C92" s="72">
        <v>27</v>
      </c>
      <c r="D92" s="74">
        <f ca="1">((100/H83)*C92)/100</f>
        <v>1</v>
      </c>
      <c r="E92" s="143"/>
      <c r="F92" s="143"/>
      <c r="G92" s="143"/>
      <c r="H92" s="145"/>
      <c r="I92" s="41"/>
      <c r="J92" s="25"/>
      <c r="K92" s="54"/>
    </row>
    <row r="93" spans="1:11" ht="15" hidden="1" customHeight="1" x14ac:dyDescent="0.25">
      <c r="A93" s="141" t="s">
        <v>178</v>
      </c>
      <c r="B93" s="142" t="s">
        <v>174</v>
      </c>
      <c r="C93" s="72">
        <v>27</v>
      </c>
      <c r="D93" s="74">
        <f ca="1">((100/(H83))*C93)/100</f>
        <v>1</v>
      </c>
      <c r="E93" s="143"/>
      <c r="F93" s="143"/>
      <c r="G93" s="143"/>
      <c r="H93" s="145"/>
      <c r="I93" s="41" t="s">
        <v>128</v>
      </c>
      <c r="J93" s="25"/>
      <c r="K93" s="54">
        <f ca="1">H83*25%</f>
        <v>6.75</v>
      </c>
    </row>
    <row r="94" spans="1:11" ht="15.75" hidden="1" customHeight="1" x14ac:dyDescent="0.25">
      <c r="A94" s="141" t="s">
        <v>173</v>
      </c>
      <c r="B94" s="142" t="s">
        <v>173</v>
      </c>
      <c r="C94" s="71">
        <v>27</v>
      </c>
      <c r="D94" s="74">
        <f ca="1">((100/H83)*C94)/100</f>
        <v>1</v>
      </c>
      <c r="E94" s="143"/>
      <c r="F94" s="143"/>
      <c r="G94" s="143"/>
      <c r="H94" s="145"/>
      <c r="I94" s="41" t="s">
        <v>129</v>
      </c>
      <c r="J94" s="25"/>
      <c r="K94" s="54">
        <f ca="1">H83*50%</f>
        <v>13.5</v>
      </c>
    </row>
    <row r="95" spans="1:11" hidden="1" x14ac:dyDescent="0.25">
      <c r="A95" s="141" t="s">
        <v>181</v>
      </c>
      <c r="B95" s="142"/>
      <c r="C95" s="71">
        <v>27</v>
      </c>
      <c r="D95" s="74">
        <f ca="1">((100/H83)*C95)/100</f>
        <v>1</v>
      </c>
      <c r="E95" s="143"/>
      <c r="F95" s="143"/>
      <c r="G95" s="143"/>
      <c r="H95" s="145"/>
      <c r="I95" s="41" t="s">
        <v>130</v>
      </c>
      <c r="J95" s="25"/>
      <c r="K95" s="54">
        <f ca="1">H83*75%</f>
        <v>20.25</v>
      </c>
    </row>
    <row r="96" spans="1:11" hidden="1" x14ac:dyDescent="0.25">
      <c r="A96" s="141" t="s">
        <v>175</v>
      </c>
      <c r="B96" s="142" t="s">
        <v>175</v>
      </c>
      <c r="C96" s="71">
        <v>27</v>
      </c>
      <c r="D96" s="74">
        <f ca="1">((100/(H83))*C96)/100</f>
        <v>1</v>
      </c>
      <c r="E96" s="143"/>
      <c r="F96" s="143"/>
      <c r="G96" s="143"/>
      <c r="H96" s="145"/>
      <c r="I96" s="41" t="s">
        <v>131</v>
      </c>
      <c r="J96" s="25"/>
      <c r="K96" s="54">
        <f ca="1">H83</f>
        <v>27</v>
      </c>
    </row>
    <row r="97" spans="1:11" ht="16.5" hidden="1" thickBot="1" x14ac:dyDescent="0.3">
      <c r="A97" s="149" t="s">
        <v>176</v>
      </c>
      <c r="B97" s="150"/>
      <c r="C97" s="73">
        <v>27</v>
      </c>
      <c r="D97" s="75">
        <f ca="1">((100/(H83))*C97)/100</f>
        <v>1</v>
      </c>
      <c r="E97" s="144"/>
      <c r="F97" s="144"/>
      <c r="G97" s="144"/>
      <c r="H97" s="146"/>
      <c r="I97" s="64"/>
      <c r="J97" s="64"/>
      <c r="K97" s="65"/>
    </row>
    <row r="98" spans="1:11" ht="15.75" customHeight="1" x14ac:dyDescent="0.25">
      <c r="A98" s="153" t="s">
        <v>187</v>
      </c>
      <c r="B98" s="154"/>
      <c r="C98" s="155" t="s">
        <v>219</v>
      </c>
      <c r="D98" s="156"/>
      <c r="E98" s="156"/>
      <c r="F98" s="156"/>
      <c r="G98" s="156"/>
      <c r="H98" s="157"/>
      <c r="I98" s="21" t="str">
        <f ca="1">(IF(C102=0,"Work not yet Started.",IF(D102=50%,"Excavation work in process",IF(D102=100%,"Excavation work completed, ","0")))&amp;(IF(C103=0%,"",IF(D103=25%,"Footing work is process",IF(D103=50%,"Footing work Completed",IF(D103=75%,"Plinth work is process",IF(D103=100%,"Plinth work completed","0"))))))&amp;(IF(C104&gt;0,", RCC upto "&amp;C104&amp;" Slab completed",""))&amp;(IF(C105&gt;0,", Brickwork upto "&amp;C105&amp;" Floor completed"," "))&amp;(IF(C106&gt;0,", Internal Plaster upto "&amp;C106&amp;" Floor completed"," "))&amp;(IF(C107&gt;0,", External Plaster upto "&amp;C107&amp;" Floor completed"," "))&amp;(IF(C108&gt;0,", Flooring upto "&amp;C108&amp;" Floor completed"," "))&amp;(IF(C109&gt;0,", Painting upto "&amp;C109&amp;" Floor completed"," "))&amp;(IF(C110&gt;0,", Finishing upto "&amp;C110&amp;" Floor completed"," ")))</f>
        <v>Excavation work completed, Plinth work completed, RCC upto 39 Slab completed, Brickwork upto 32 Floor completed, Internal Plaster upto 32 Floor completed, External Plaster upto 32 Floor completed, Flooring upto 32 Floor completed, Painting upto 32 Floor completed, Finishing upto 32 Floor completed</v>
      </c>
      <c r="J98" s="21"/>
      <c r="K98" s="22"/>
    </row>
    <row r="99" spans="1:11" x14ac:dyDescent="0.25">
      <c r="A99" s="158" t="s">
        <v>96</v>
      </c>
      <c r="B99" s="159"/>
      <c r="C99" s="160">
        <v>1</v>
      </c>
      <c r="D99" s="160"/>
      <c r="E99" s="61" t="s">
        <v>95</v>
      </c>
      <c r="F99" s="61">
        <v>6</v>
      </c>
      <c r="G99" s="62" t="s">
        <v>108</v>
      </c>
      <c r="H99" s="66">
        <f ca="1">--TRIM(RIGHT(SUBSTITUTE(LEFT(C98,_xlfn.AGGREGATE(16,6,FIND({0,1,2,3,4,5,6,7,8,9},C98,ROW(INDIRECT("1:"&amp;LEN(C98)))),1))," ",REPT(" ",LEN(C98))),LEN(C98)))</f>
        <v>32</v>
      </c>
      <c r="I99" s="19" t="s">
        <v>132</v>
      </c>
      <c r="J99" s="19"/>
      <c r="K99" s="23"/>
    </row>
    <row r="100" spans="1:11" x14ac:dyDescent="0.25">
      <c r="A100" s="161" t="s">
        <v>118</v>
      </c>
      <c r="B100" s="162"/>
      <c r="C100" s="163" t="str">
        <f>I100</f>
        <v>All work Completed. Provide OC.</v>
      </c>
      <c r="D100" s="163"/>
      <c r="E100" s="163"/>
      <c r="F100" s="163"/>
      <c r="G100" s="163"/>
      <c r="H100" s="164"/>
      <c r="I100" s="19" t="s">
        <v>147</v>
      </c>
      <c r="J100" s="19"/>
      <c r="K100" s="23"/>
    </row>
    <row r="101" spans="1:11" x14ac:dyDescent="0.25">
      <c r="A101" s="141" t="s">
        <v>50</v>
      </c>
      <c r="B101" s="142"/>
      <c r="C101" s="14" t="s">
        <v>186</v>
      </c>
      <c r="D101" s="14" t="s">
        <v>111</v>
      </c>
      <c r="E101" s="142" t="s">
        <v>113</v>
      </c>
      <c r="F101" s="142"/>
      <c r="G101" s="142" t="s">
        <v>112</v>
      </c>
      <c r="H101" s="165"/>
      <c r="I101" s="19" t="s">
        <v>133</v>
      </c>
      <c r="K101" s="24"/>
    </row>
    <row r="102" spans="1:11" x14ac:dyDescent="0.25">
      <c r="A102" s="141" t="s">
        <v>170</v>
      </c>
      <c r="B102" s="142"/>
      <c r="C102" s="71">
        <v>32</v>
      </c>
      <c r="D102" s="74">
        <f ca="1">((100/H99)*C102)/100</f>
        <v>1</v>
      </c>
      <c r="E102" s="143" t="str">
        <f>(IF(C100=I100,"100%",IF(C100=I101,"100%",(((C103/H99*10)+(40/(C99+F99+H99)*C104)+(7.5/(H99)*C105)+(7.5/(H99)*C106)+(10/H99*C107)+(10/H99*C108)+(5/H99*C109)+(5/H99*C110)+(5/H99*C111))/100))))</f>
        <v>100%</v>
      </c>
      <c r="F102" s="143"/>
      <c r="G102" s="143">
        <f ca="1">((((C102/H99)*20)+((C103/H99)*25)+(30/(H99+F99+C99)*C104)+(5/H99*C105)+(5/H99*C106)+(5/H99*C107)+(5/H99*C108)+(0/H99*C109)+(0/H99*C110)+(5/H99*C111))/100)</f>
        <v>1</v>
      </c>
      <c r="H102" s="145"/>
      <c r="I102" s="19"/>
      <c r="K102" s="24"/>
    </row>
    <row r="103" spans="1:11" x14ac:dyDescent="0.25">
      <c r="A103" s="141" t="s">
        <v>51</v>
      </c>
      <c r="B103" s="142"/>
      <c r="C103" s="71">
        <f ca="1">K110</f>
        <v>32</v>
      </c>
      <c r="D103" s="74">
        <f ca="1">((100/H99)*C103)/100</f>
        <v>1</v>
      </c>
      <c r="E103" s="143"/>
      <c r="F103" s="143"/>
      <c r="G103" s="143"/>
      <c r="H103" s="145"/>
      <c r="K103" s="24"/>
    </row>
    <row r="104" spans="1:11" ht="15.75" customHeight="1" x14ac:dyDescent="0.25">
      <c r="A104" s="147" t="s">
        <v>171</v>
      </c>
      <c r="B104" s="148"/>
      <c r="C104" s="72">
        <v>39</v>
      </c>
      <c r="D104" s="74">
        <f ca="1">((100/(C99+F99+H99))*C104)/100</f>
        <v>1.0000000000000002</v>
      </c>
      <c r="E104" s="143"/>
      <c r="F104" s="143"/>
      <c r="G104" s="143"/>
      <c r="H104" s="145"/>
      <c r="I104" s="41" t="s">
        <v>126</v>
      </c>
      <c r="J104" s="25"/>
      <c r="K104" s="54">
        <f ca="1">H99*50%</f>
        <v>16</v>
      </c>
    </row>
    <row r="105" spans="1:11" ht="15.75" customHeight="1" x14ac:dyDescent="0.25">
      <c r="A105" s="141" t="s">
        <v>179</v>
      </c>
      <c r="B105" s="142" t="s">
        <v>172</v>
      </c>
      <c r="C105" s="72">
        <v>32</v>
      </c>
      <c r="D105" s="74">
        <f ca="1">((100/H99)*C105)/100</f>
        <v>1</v>
      </c>
      <c r="E105" s="143"/>
      <c r="F105" s="143"/>
      <c r="G105" s="143"/>
      <c r="H105" s="145"/>
      <c r="I105" s="41" t="s">
        <v>127</v>
      </c>
      <c r="J105" s="25"/>
      <c r="K105" s="54">
        <f ca="1">H99</f>
        <v>32</v>
      </c>
    </row>
    <row r="106" spans="1:11" ht="15.75" customHeight="1" x14ac:dyDescent="0.25">
      <c r="A106" s="141" t="s">
        <v>180</v>
      </c>
      <c r="B106" s="142" t="s">
        <v>172</v>
      </c>
      <c r="C106" s="72">
        <v>32</v>
      </c>
      <c r="D106" s="74">
        <f ca="1">((100/H99)*C106)/100</f>
        <v>1</v>
      </c>
      <c r="E106" s="143"/>
      <c r="F106" s="143"/>
      <c r="G106" s="143"/>
      <c r="H106" s="145"/>
      <c r="I106" s="41"/>
      <c r="J106" s="25"/>
      <c r="K106" s="54"/>
    </row>
    <row r="107" spans="1:11" ht="15" customHeight="1" x14ac:dyDescent="0.25">
      <c r="A107" s="141" t="s">
        <v>178</v>
      </c>
      <c r="B107" s="142" t="s">
        <v>174</v>
      </c>
      <c r="C107" s="72">
        <v>32</v>
      </c>
      <c r="D107" s="74">
        <f ca="1">((100/(H99))*C107)/100</f>
        <v>1</v>
      </c>
      <c r="E107" s="143"/>
      <c r="F107" s="143"/>
      <c r="G107" s="143"/>
      <c r="H107" s="145"/>
      <c r="I107" s="41" t="s">
        <v>128</v>
      </c>
      <c r="J107" s="25"/>
      <c r="K107" s="54">
        <f ca="1">H99*25%</f>
        <v>8</v>
      </c>
    </row>
    <row r="108" spans="1:11" ht="15.75" customHeight="1" x14ac:dyDescent="0.25">
      <c r="A108" s="141" t="s">
        <v>173</v>
      </c>
      <c r="B108" s="142" t="s">
        <v>173</v>
      </c>
      <c r="C108" s="72">
        <v>32</v>
      </c>
      <c r="D108" s="74">
        <f ca="1">((100/H99)*C108)/100</f>
        <v>1</v>
      </c>
      <c r="E108" s="143"/>
      <c r="F108" s="143"/>
      <c r="G108" s="143"/>
      <c r="H108" s="145"/>
      <c r="I108" s="41" t="s">
        <v>129</v>
      </c>
      <c r="J108" s="25"/>
      <c r="K108" s="54">
        <f ca="1">H99*50%</f>
        <v>16</v>
      </c>
    </row>
    <row r="109" spans="1:11" x14ac:dyDescent="0.25">
      <c r="A109" s="141" t="s">
        <v>181</v>
      </c>
      <c r="B109" s="142"/>
      <c r="C109" s="71">
        <v>32</v>
      </c>
      <c r="D109" s="74">
        <f ca="1">((100/H99)*C109)/100</f>
        <v>1</v>
      </c>
      <c r="E109" s="143"/>
      <c r="F109" s="143"/>
      <c r="G109" s="143"/>
      <c r="H109" s="145"/>
      <c r="I109" s="41" t="s">
        <v>130</v>
      </c>
      <c r="J109" s="25"/>
      <c r="K109" s="54">
        <f ca="1">H99*75%</f>
        <v>24</v>
      </c>
    </row>
    <row r="110" spans="1:11" x14ac:dyDescent="0.25">
      <c r="A110" s="141" t="s">
        <v>175</v>
      </c>
      <c r="B110" s="142" t="s">
        <v>175</v>
      </c>
      <c r="C110" s="71">
        <v>32</v>
      </c>
      <c r="D110" s="74">
        <f ca="1">((100/(H99))*C110)/100</f>
        <v>1</v>
      </c>
      <c r="E110" s="143"/>
      <c r="F110" s="143"/>
      <c r="G110" s="143"/>
      <c r="H110" s="145"/>
      <c r="I110" s="41" t="s">
        <v>131</v>
      </c>
      <c r="J110" s="25"/>
      <c r="K110" s="54">
        <f ca="1">H99</f>
        <v>32</v>
      </c>
    </row>
    <row r="111" spans="1:11" ht="16.5" thickBot="1" x14ac:dyDescent="0.3">
      <c r="A111" s="149" t="s">
        <v>176</v>
      </c>
      <c r="B111" s="150"/>
      <c r="C111" s="73">
        <v>32</v>
      </c>
      <c r="D111" s="75">
        <f ca="1">((100/(H99))*C111)/100</f>
        <v>1</v>
      </c>
      <c r="E111" s="144"/>
      <c r="F111" s="144"/>
      <c r="G111" s="144"/>
      <c r="H111" s="146"/>
      <c r="I111" s="64"/>
      <c r="J111" s="64"/>
      <c r="K111" s="65"/>
    </row>
    <row r="112" spans="1:11" x14ac:dyDescent="0.25">
      <c r="A112" s="210" t="s">
        <v>148</v>
      </c>
      <c r="B112" s="211"/>
      <c r="C112" s="211"/>
      <c r="D112" s="211"/>
      <c r="E112" s="212"/>
      <c r="F112" s="210" t="str">
        <f>(IF(E72="100%","Yes",IF(E72&gt;0%,"Under Construction",IF(E72=0%,"Work not yet Started"))))</f>
        <v>Yes</v>
      </c>
      <c r="G112" s="211"/>
      <c r="H112" s="212"/>
    </row>
    <row r="113" spans="1:19" x14ac:dyDescent="0.25">
      <c r="A113" s="152" t="s">
        <v>52</v>
      </c>
      <c r="B113" s="152"/>
      <c r="C113" s="152"/>
      <c r="D113" s="152"/>
      <c r="E113" s="152"/>
      <c r="F113" s="152"/>
      <c r="G113" s="152"/>
      <c r="H113" s="152"/>
    </row>
    <row r="114" spans="1:19" ht="15" customHeight="1" x14ac:dyDescent="0.25">
      <c r="A114" s="162" t="s">
        <v>99</v>
      </c>
      <c r="B114" s="162"/>
      <c r="C114" s="163" t="s">
        <v>100</v>
      </c>
      <c r="D114" s="163"/>
      <c r="E114" s="163"/>
      <c r="F114" s="163"/>
      <c r="G114" s="163"/>
      <c r="H114" s="163"/>
    </row>
    <row r="115" spans="1:19" x14ac:dyDescent="0.25">
      <c r="A115" s="193" t="s">
        <v>53</v>
      </c>
      <c r="B115" s="193"/>
      <c r="C115" s="193"/>
      <c r="D115" s="193"/>
      <c r="E115" s="193"/>
      <c r="F115" s="193"/>
      <c r="G115" s="193"/>
      <c r="H115" s="193"/>
    </row>
    <row r="116" spans="1:19" x14ac:dyDescent="0.25">
      <c r="A116" s="152" t="s">
        <v>101</v>
      </c>
      <c r="B116" s="152"/>
      <c r="C116" s="152"/>
      <c r="D116" s="152"/>
      <c r="E116" s="152"/>
      <c r="F116" s="170">
        <v>8700</v>
      </c>
      <c r="G116" s="170"/>
      <c r="H116" s="170"/>
      <c r="I116" s="80" t="s">
        <v>251</v>
      </c>
      <c r="J116" s="80" t="s">
        <v>252</v>
      </c>
      <c r="K116" s="81">
        <v>45742</v>
      </c>
      <c r="L116" s="80"/>
      <c r="M116" s="80"/>
      <c r="N116" s="80"/>
      <c r="O116" s="80"/>
      <c r="P116" s="80"/>
      <c r="Q116" s="80" t="s">
        <v>253</v>
      </c>
    </row>
    <row r="117" spans="1:19" x14ac:dyDescent="0.25">
      <c r="A117" s="152" t="s">
        <v>106</v>
      </c>
      <c r="B117" s="152"/>
      <c r="C117" s="152"/>
      <c r="D117" s="152"/>
      <c r="E117" s="152"/>
      <c r="F117" s="170">
        <v>26000</v>
      </c>
      <c r="G117" s="170"/>
      <c r="H117" s="170"/>
      <c r="I117" s="8" t="s">
        <v>296</v>
      </c>
    </row>
    <row r="118" spans="1:19" hidden="1" x14ac:dyDescent="0.25">
      <c r="A118" s="152" t="s">
        <v>107</v>
      </c>
      <c r="B118" s="152"/>
      <c r="C118" s="152"/>
      <c r="D118" s="152"/>
      <c r="E118" s="152"/>
      <c r="F118" s="170"/>
      <c r="G118" s="170"/>
      <c r="H118" s="170"/>
    </row>
    <row r="119" spans="1:19" s="12" customFormat="1" x14ac:dyDescent="0.25">
      <c r="A119" s="152" t="s">
        <v>123</v>
      </c>
      <c r="B119" s="152"/>
      <c r="C119" s="152"/>
      <c r="D119" s="152"/>
      <c r="E119" s="152"/>
      <c r="F119" s="170" t="s">
        <v>225</v>
      </c>
      <c r="G119" s="170"/>
      <c r="H119" s="170"/>
      <c r="I119" s="82" t="s">
        <v>257</v>
      </c>
      <c r="J119" s="82" t="s">
        <v>258</v>
      </c>
      <c r="K119" s="83">
        <v>45820</v>
      </c>
      <c r="L119" s="82"/>
      <c r="M119" s="82"/>
      <c r="N119" s="82"/>
      <c r="O119" s="82"/>
      <c r="P119" s="82"/>
      <c r="Q119" s="82" t="s">
        <v>253</v>
      </c>
      <c r="R119" s="82" t="s">
        <v>259</v>
      </c>
      <c r="S119" s="82"/>
    </row>
    <row r="120" spans="1:19" s="12" customFormat="1" x14ac:dyDescent="0.25">
      <c r="A120" s="152" t="s">
        <v>228</v>
      </c>
      <c r="B120" s="152"/>
      <c r="C120" s="152"/>
      <c r="D120" s="152"/>
      <c r="E120" s="152"/>
      <c r="F120" s="170" t="s">
        <v>229</v>
      </c>
      <c r="G120" s="170"/>
      <c r="H120" s="170"/>
    </row>
    <row r="121" spans="1:19" s="12" customFormat="1" x14ac:dyDescent="0.25">
      <c r="A121" s="152" t="s">
        <v>220</v>
      </c>
      <c r="B121" s="152"/>
      <c r="C121" s="152"/>
      <c r="D121" s="152"/>
      <c r="E121" s="152"/>
      <c r="F121" s="170" t="s">
        <v>223</v>
      </c>
      <c r="G121" s="170"/>
      <c r="H121" s="170"/>
    </row>
    <row r="122" spans="1:19" s="12" customFormat="1" x14ac:dyDescent="0.25">
      <c r="A122" s="152" t="s">
        <v>221</v>
      </c>
      <c r="B122" s="152"/>
      <c r="C122" s="152"/>
      <c r="D122" s="152"/>
      <c r="E122" s="152"/>
      <c r="F122" s="170" t="s">
        <v>223</v>
      </c>
      <c r="G122" s="170"/>
      <c r="H122" s="170"/>
    </row>
    <row r="123" spans="1:19" s="12" customFormat="1" x14ac:dyDescent="0.25">
      <c r="A123" s="152" t="s">
        <v>222</v>
      </c>
      <c r="B123" s="152"/>
      <c r="C123" s="152"/>
      <c r="D123" s="152"/>
      <c r="E123" s="152"/>
      <c r="F123" s="170" t="s">
        <v>224</v>
      </c>
      <c r="G123" s="170"/>
      <c r="H123" s="170"/>
    </row>
    <row r="124" spans="1:19" s="12" customFormat="1" hidden="1" x14ac:dyDescent="0.25">
      <c r="A124" s="152" t="s">
        <v>124</v>
      </c>
      <c r="B124" s="152"/>
      <c r="C124" s="152"/>
      <c r="D124" s="152"/>
      <c r="E124" s="152"/>
      <c r="F124" s="170" t="s">
        <v>30</v>
      </c>
      <c r="G124" s="170"/>
      <c r="H124" s="170"/>
    </row>
    <row r="125" spans="1:19" s="12" customFormat="1" hidden="1" x14ac:dyDescent="0.25">
      <c r="A125" s="152" t="s">
        <v>125</v>
      </c>
      <c r="B125" s="152"/>
      <c r="C125" s="152"/>
      <c r="D125" s="152"/>
      <c r="E125" s="152"/>
      <c r="F125" s="170" t="s">
        <v>30</v>
      </c>
      <c r="G125" s="170"/>
      <c r="H125" s="170"/>
    </row>
    <row r="126" spans="1:19" x14ac:dyDescent="0.25">
      <c r="A126" s="152" t="s">
        <v>54</v>
      </c>
      <c r="B126" s="152"/>
      <c r="C126" s="152"/>
      <c r="D126" s="152"/>
      <c r="E126" s="152"/>
      <c r="F126" s="173" t="s">
        <v>226</v>
      </c>
      <c r="G126" s="173"/>
      <c r="H126" s="173"/>
    </row>
    <row r="127" spans="1:19" s="9" customFormat="1" x14ac:dyDescent="0.25">
      <c r="A127" s="193" t="s">
        <v>55</v>
      </c>
      <c r="B127" s="193"/>
      <c r="C127" s="193"/>
      <c r="D127" s="193"/>
      <c r="E127" s="193"/>
      <c r="F127" s="170">
        <f>F116*0.8</f>
        <v>6960</v>
      </c>
      <c r="G127" s="170"/>
      <c r="H127" s="170"/>
    </row>
    <row r="128" spans="1:19" s="1" customFormat="1" x14ac:dyDescent="0.25">
      <c r="A128" s="100" t="s">
        <v>292</v>
      </c>
      <c r="B128" s="100"/>
      <c r="C128" s="100"/>
      <c r="D128" s="100"/>
      <c r="E128" s="100"/>
      <c r="F128" s="100"/>
      <c r="G128" s="100"/>
      <c r="H128" s="100"/>
    </row>
    <row r="129" spans="1:16" s="1" customFormat="1" ht="15.75" customHeight="1" x14ac:dyDescent="0.25">
      <c r="A129" s="122" t="s">
        <v>56</v>
      </c>
      <c r="B129" s="122"/>
      <c r="C129" s="101" t="s">
        <v>104</v>
      </c>
      <c r="D129" s="101"/>
      <c r="E129" s="103" t="s">
        <v>57</v>
      </c>
      <c r="F129" s="103"/>
      <c r="G129" s="104" t="s">
        <v>58</v>
      </c>
      <c r="H129" s="104"/>
    </row>
    <row r="130" spans="1:16" s="1" customFormat="1" x14ac:dyDescent="0.25">
      <c r="A130" s="123" t="s">
        <v>215</v>
      </c>
      <c r="B130" s="123"/>
      <c r="C130" s="124">
        <f>COUNT(D145)</f>
        <v>1</v>
      </c>
      <c r="D130" s="124"/>
      <c r="E130" s="125">
        <f>SUM(D145)</f>
        <v>138.41158499999997</v>
      </c>
      <c r="F130" s="125"/>
      <c r="G130" s="125">
        <f>SUM(F145)</f>
        <v>207.61737749999998</v>
      </c>
      <c r="H130" s="125"/>
    </row>
    <row r="131" spans="1:16" s="1" customFormat="1" x14ac:dyDescent="0.25">
      <c r="A131" s="100" t="s">
        <v>60</v>
      </c>
      <c r="B131" s="100"/>
      <c r="C131" s="101">
        <f t="shared" ref="C131:G131" si="0">SUM(C130)</f>
        <v>1</v>
      </c>
      <c r="D131" s="101"/>
      <c r="E131" s="102">
        <f t="shared" si="0"/>
        <v>138.41158499999997</v>
      </c>
      <c r="F131" s="103"/>
      <c r="G131" s="104">
        <f t="shared" si="0"/>
        <v>207.61737749999998</v>
      </c>
      <c r="H131" s="104"/>
    </row>
    <row r="132" spans="1:16" s="1" customFormat="1" ht="15.75" customHeight="1" x14ac:dyDescent="0.25">
      <c r="A132" s="100" t="s">
        <v>293</v>
      </c>
      <c r="B132" s="100"/>
      <c r="C132" s="100"/>
      <c r="D132" s="100"/>
      <c r="E132" s="100"/>
      <c r="F132" s="100"/>
      <c r="G132" s="100"/>
      <c r="H132" s="100"/>
    </row>
    <row r="133" spans="1:16" s="1" customFormat="1" x14ac:dyDescent="0.25">
      <c r="A133" s="122" t="s">
        <v>56</v>
      </c>
      <c r="B133" s="122"/>
      <c r="C133" s="101" t="s">
        <v>104</v>
      </c>
      <c r="D133" s="101"/>
      <c r="E133" s="103" t="s">
        <v>57</v>
      </c>
      <c r="F133" s="103"/>
      <c r="G133" s="104" t="s">
        <v>58</v>
      </c>
      <c r="H133" s="104"/>
    </row>
    <row r="134" spans="1:16" s="1" customFormat="1" x14ac:dyDescent="0.25">
      <c r="A134" s="123" t="s">
        <v>214</v>
      </c>
      <c r="B134" s="123"/>
      <c r="C134" s="124">
        <f>COUNT(D155:D156)*5+COUNT(D158:D162)*26+COUNT(D164)*6+COUNT(D166:D168)*6</f>
        <v>164</v>
      </c>
      <c r="D134" s="124"/>
      <c r="E134" s="125">
        <f>SUM(D155:D156)*5+SUM(D158:D162)*26+SUM(D164)*6+SUM(D166:D168)*6</f>
        <v>147532.02984</v>
      </c>
      <c r="F134" s="125"/>
      <c r="G134" s="125">
        <f>SUM(F155:F156)*5+SUM(F158:F162)*26+SUM(F164)*6+SUM(F166:F168)*6</f>
        <v>221298.04476000002</v>
      </c>
      <c r="H134" s="125"/>
    </row>
    <row r="135" spans="1:16" s="1" customFormat="1" x14ac:dyDescent="0.25">
      <c r="A135" s="123" t="s">
        <v>215</v>
      </c>
      <c r="B135" s="123"/>
      <c r="C135" s="124">
        <f>COUNT(D172:D173)*5+COUNT(D176:D180)*22+COUNT(D182)*5+COUNT(D184:D186)*5</f>
        <v>140</v>
      </c>
      <c r="D135" s="124"/>
      <c r="E135" s="125">
        <f>SUM(D172:D173)*5+SUM(D176:D180)*22+SUM(D182)*5+SUM(D184:D186)*5</f>
        <v>125583.80328000001</v>
      </c>
      <c r="F135" s="125"/>
      <c r="G135" s="125">
        <f>SUM(F172:F173)*5+SUM(F176:F180)*22+SUM(F182)*5+SUM(F184:F186)*5</f>
        <v>188375.70492000002</v>
      </c>
      <c r="H135" s="125"/>
    </row>
    <row r="136" spans="1:16" s="69" customFormat="1" x14ac:dyDescent="0.25">
      <c r="A136" s="151" t="s">
        <v>216</v>
      </c>
      <c r="B136" s="151"/>
      <c r="C136" s="124">
        <f>COUNT(D191:D192)*5+COUNT(D194:D198)*18+COUNT(D200)*5+COUNT(D202:D204)*5</f>
        <v>120</v>
      </c>
      <c r="D136" s="124"/>
      <c r="E136" s="125">
        <f>SUM(D191:D192)*5+SUM(D194:D198)*18+SUM(D200)*5+SUM(D202:D204)*5</f>
        <v>107610.07607999998</v>
      </c>
      <c r="F136" s="125"/>
      <c r="G136" s="125">
        <f>SUM(F191:F192)*5+SUM(F194:F198)*18+SUM(F200)*5+SUM(F202:F204)*5</f>
        <v>161415.11411999998</v>
      </c>
      <c r="H136" s="125"/>
    </row>
    <row r="137" spans="1:16" s="9" customFormat="1" x14ac:dyDescent="0.25">
      <c r="A137" s="100" t="s">
        <v>60</v>
      </c>
      <c r="B137" s="100"/>
      <c r="C137" s="101">
        <f t="shared" ref="C137:G137" si="1">SUM(C134:D136)</f>
        <v>424</v>
      </c>
      <c r="D137" s="101"/>
      <c r="E137" s="102">
        <f t="shared" si="1"/>
        <v>380725.90919999999</v>
      </c>
      <c r="F137" s="103"/>
      <c r="G137" s="104">
        <f t="shared" si="1"/>
        <v>571088.86379999993</v>
      </c>
      <c r="H137" s="104"/>
    </row>
    <row r="138" spans="1:16" s="9" customFormat="1" x14ac:dyDescent="0.25">
      <c r="A138" s="100" t="s">
        <v>290</v>
      </c>
      <c r="B138" s="100"/>
      <c r="C138" s="101">
        <f>C131+C137</f>
        <v>425</v>
      </c>
      <c r="D138" s="101"/>
      <c r="E138" s="102">
        <f>E131+E137</f>
        <v>380864.32078499999</v>
      </c>
      <c r="F138" s="103"/>
      <c r="G138" s="104">
        <f>G131+G137</f>
        <v>571296.48117749998</v>
      </c>
      <c r="H138" s="104"/>
    </row>
    <row r="139" spans="1:16" x14ac:dyDescent="0.25">
      <c r="A139" s="126" t="s">
        <v>272</v>
      </c>
      <c r="B139" s="126"/>
      <c r="C139" s="126"/>
      <c r="D139" s="126"/>
      <c r="E139" s="126"/>
      <c r="F139" s="126"/>
      <c r="G139" s="126"/>
      <c r="H139" s="126"/>
    </row>
    <row r="140" spans="1:16" s="84" customFormat="1" x14ac:dyDescent="0.25">
      <c r="A140" s="126" t="s">
        <v>270</v>
      </c>
      <c r="B140" s="126"/>
      <c r="C140" s="126"/>
      <c r="D140" s="126"/>
      <c r="E140" s="126"/>
      <c r="F140" s="126"/>
      <c r="G140" s="126"/>
      <c r="H140" s="126"/>
      <c r="I140" s="39"/>
      <c r="L140" s="110"/>
      <c r="M140" s="110"/>
    </row>
    <row r="141" spans="1:16" ht="47.25" x14ac:dyDescent="0.25">
      <c r="A141" s="112" t="s">
        <v>151</v>
      </c>
      <c r="B141" s="112" t="s">
        <v>152</v>
      </c>
      <c r="C141" s="114" t="s">
        <v>61</v>
      </c>
      <c r="D141" s="114" t="s">
        <v>62</v>
      </c>
      <c r="E141" s="114" t="s">
        <v>63</v>
      </c>
      <c r="F141" s="85" t="s">
        <v>149</v>
      </c>
      <c r="G141" s="112" t="s">
        <v>64</v>
      </c>
      <c r="H141" s="116"/>
      <c r="I141" s="39"/>
    </row>
    <row r="142" spans="1:16" s="84" customFormat="1" x14ac:dyDescent="0.25">
      <c r="A142" s="113"/>
      <c r="B142" s="113"/>
      <c r="C142" s="115"/>
      <c r="D142" s="115"/>
      <c r="E142" s="115"/>
      <c r="F142" s="38">
        <v>0.5</v>
      </c>
      <c r="G142" s="113"/>
      <c r="H142" s="117"/>
      <c r="I142" s="39"/>
    </row>
    <row r="143" spans="1:16" s="84" customFormat="1" x14ac:dyDescent="0.25">
      <c r="A143" s="109" t="s">
        <v>215</v>
      </c>
      <c r="B143" s="109"/>
      <c r="C143" s="109"/>
      <c r="D143" s="109"/>
      <c r="E143" s="109"/>
      <c r="F143" s="109"/>
      <c r="G143" s="109"/>
      <c r="H143" s="109"/>
      <c r="I143" s="39"/>
      <c r="L143" s="110"/>
      <c r="M143" s="110"/>
    </row>
    <row r="144" spans="1:16" s="84" customFormat="1" x14ac:dyDescent="0.25">
      <c r="A144" s="111" t="s">
        <v>262</v>
      </c>
      <c r="B144" s="111"/>
      <c r="C144" s="111"/>
      <c r="D144" s="111"/>
      <c r="E144" s="111"/>
      <c r="F144" s="111"/>
      <c r="G144" s="111"/>
      <c r="H144" s="111"/>
      <c r="I144" s="39">
        <f>D145*1.5</f>
        <v>207.61737749999998</v>
      </c>
      <c r="J144" s="39">
        <f>5384480/F145</f>
        <v>25934.630640443382</v>
      </c>
      <c r="L144" s="84" t="e">
        <f ca="1">O144&amp;""&amp;M144&amp;""&amp;P144</f>
        <v>#REF!</v>
      </c>
      <c r="M144" s="84" t="s">
        <v>150</v>
      </c>
      <c r="N144" s="39">
        <v>1</v>
      </c>
      <c r="O144" s="84" t="e">
        <f ca="1">(SUMPRODUCT(MID(0&amp;#REF!, LARGE(INDEX(ISNUMBER(--MID(#REF!, ROW(INDIRECT("1:"&amp;LEN(#REF!))), 1)) * ROW(INDIRECT("1:"&amp;LEN(#REF!))), 0), ROW(INDIRECT("1:"&amp;LEN(#REF!))))+1, 1) * 10^ROW(INDIRECT("1:"&amp;LEN(#REF!)))/10))*N144*100+1</f>
        <v>#REF!</v>
      </c>
      <c r="P144" s="84" t="e">
        <f ca="1">(SUMPRODUCT(MID(0&amp;#REF!, LARGE(INDEX(ISNUMBER(--MID(#REF!, ROW(INDIRECT("1:"&amp;LEN(#REF!))), 1)) * ROW(INDIRECT("1:"&amp;LEN(#REF!))), 0), ROW(INDIRECT("1:"&amp;LEN(#REF!))))+1, 1) * 10^ROW(INDIRECT("1:"&amp;LEN(#REF!)))/10))*N144*100+1</f>
        <v>#REF!</v>
      </c>
    </row>
    <row r="145" spans="1:16" s="84" customFormat="1" ht="32.25" customHeight="1" x14ac:dyDescent="0.25">
      <c r="A145" s="91" t="s">
        <v>266</v>
      </c>
      <c r="B145" s="92"/>
      <c r="C145" s="20" t="s">
        <v>263</v>
      </c>
      <c r="D145" s="20">
        <f>(3.175*4.05)*10.764</f>
        <v>138.41158499999997</v>
      </c>
      <c r="E145" s="20">
        <v>0</v>
      </c>
      <c r="F145" s="20">
        <f>D145*(($F$142)+1)+E145</f>
        <v>207.61737749999998</v>
      </c>
      <c r="G145" s="94" t="str">
        <f>A144</f>
        <v>Ground Floor For Commercial, Mail Room, Panel Room &amp; Parking</v>
      </c>
      <c r="H145" s="95"/>
      <c r="I145" s="39"/>
      <c r="L145" s="84" t="e">
        <f t="shared" ref="L145:L146" ca="1" si="2">O145&amp;""&amp;M145&amp;""&amp;P145</f>
        <v>#REF!</v>
      </c>
      <c r="M145" s="84" t="s">
        <v>150</v>
      </c>
      <c r="N145" s="39">
        <f t="shared" ref="N145:P145" si="3">N144+1</f>
        <v>2</v>
      </c>
      <c r="O145" s="84" t="e">
        <f t="shared" ca="1" si="3"/>
        <v>#REF!</v>
      </c>
      <c r="P145" s="84" t="e">
        <f t="shared" ca="1" si="3"/>
        <v>#REF!</v>
      </c>
    </row>
    <row r="146" spans="1:16" s="84" customFormat="1" x14ac:dyDescent="0.25">
      <c r="A146" s="91" t="s">
        <v>267</v>
      </c>
      <c r="B146" s="92"/>
      <c r="C146" s="91" t="s">
        <v>265</v>
      </c>
      <c r="D146" s="93"/>
      <c r="E146" s="93"/>
      <c r="F146" s="92"/>
      <c r="G146" s="96"/>
      <c r="H146" s="97"/>
      <c r="I146" s="39"/>
      <c r="L146" s="84" t="e">
        <f t="shared" ca="1" si="2"/>
        <v>#REF!</v>
      </c>
      <c r="M146" s="84" t="s">
        <v>150</v>
      </c>
      <c r="N146" s="39">
        <f t="shared" ref="N146:P146" si="4">N145+1</f>
        <v>3</v>
      </c>
      <c r="O146" s="84" t="e">
        <f t="shared" ca="1" si="4"/>
        <v>#REF!</v>
      </c>
      <c r="P146" s="84" t="e">
        <f t="shared" ca="1" si="4"/>
        <v>#REF!</v>
      </c>
    </row>
    <row r="147" spans="1:16" x14ac:dyDescent="0.25">
      <c r="A147" s="91" t="s">
        <v>268</v>
      </c>
      <c r="B147" s="92"/>
      <c r="C147" s="91" t="s">
        <v>264</v>
      </c>
      <c r="D147" s="93"/>
      <c r="E147" s="93"/>
      <c r="F147" s="92"/>
      <c r="G147" s="98"/>
      <c r="H147" s="99"/>
    </row>
    <row r="148" spans="1:16" x14ac:dyDescent="0.25">
      <c r="A148" s="126" t="s">
        <v>275</v>
      </c>
      <c r="B148" s="126"/>
      <c r="C148" s="126"/>
      <c r="D148" s="126"/>
      <c r="E148" s="126"/>
      <c r="F148" s="126"/>
      <c r="G148" s="126"/>
      <c r="H148" s="126"/>
      <c r="I148" s="39"/>
    </row>
    <row r="149" spans="1:16" s="2" customFormat="1" ht="47.25" x14ac:dyDescent="0.25">
      <c r="A149" s="112" t="s">
        <v>151</v>
      </c>
      <c r="B149" s="112" t="s">
        <v>152</v>
      </c>
      <c r="C149" s="114" t="s">
        <v>61</v>
      </c>
      <c r="D149" s="114" t="s">
        <v>62</v>
      </c>
      <c r="E149" s="114" t="s">
        <v>63</v>
      </c>
      <c r="F149" s="40" t="s">
        <v>149</v>
      </c>
      <c r="G149" s="112" t="s">
        <v>64</v>
      </c>
      <c r="H149" s="116"/>
      <c r="I149" s="39"/>
    </row>
    <row r="150" spans="1:16" s="2" customFormat="1" x14ac:dyDescent="0.25">
      <c r="A150" s="113"/>
      <c r="B150" s="113"/>
      <c r="C150" s="115"/>
      <c r="D150" s="115"/>
      <c r="E150" s="115"/>
      <c r="F150" s="38">
        <v>0.5</v>
      </c>
      <c r="G150" s="113"/>
      <c r="H150" s="117"/>
      <c r="I150" s="39"/>
      <c r="L150" s="110"/>
      <c r="M150" s="110"/>
    </row>
    <row r="151" spans="1:16" s="2" customFormat="1" x14ac:dyDescent="0.25">
      <c r="A151" s="109" t="s">
        <v>214</v>
      </c>
      <c r="B151" s="109"/>
      <c r="C151" s="109"/>
      <c r="D151" s="109"/>
      <c r="E151" s="109"/>
      <c r="F151" s="109"/>
      <c r="G151" s="109"/>
      <c r="H151" s="109"/>
      <c r="I151" s="39"/>
      <c r="L151" s="110"/>
      <c r="M151" s="110"/>
    </row>
    <row r="152" spans="1:16" s="2" customFormat="1" x14ac:dyDescent="0.25">
      <c r="A152" s="111" t="s">
        <v>205</v>
      </c>
      <c r="B152" s="111"/>
      <c r="C152" s="111"/>
      <c r="D152" s="111"/>
      <c r="E152" s="111"/>
      <c r="F152" s="111"/>
      <c r="G152" s="111"/>
      <c r="H152" s="111"/>
      <c r="I152" s="39"/>
      <c r="L152" s="110"/>
      <c r="M152" s="110"/>
    </row>
    <row r="153" spans="1:16" s="2" customFormat="1" ht="15.6" customHeight="1" x14ac:dyDescent="0.25">
      <c r="A153" s="111" t="s">
        <v>206</v>
      </c>
      <c r="B153" s="111"/>
      <c r="C153" s="111"/>
      <c r="D153" s="111"/>
      <c r="E153" s="111"/>
      <c r="F153" s="111"/>
      <c r="G153" s="111"/>
      <c r="H153" s="111"/>
      <c r="I153" s="39">
        <f>5</f>
        <v>5</v>
      </c>
      <c r="O153" s="2" t="str">
        <f>MID(A154,1,3)</f>
        <v>2nd</v>
      </c>
      <c r="P153" s="2">
        <f ca="1">--TRIM(RIGHT(SUBSTITUTE(LEFT(A154,_xlfn.AGGREGATE(14,6,FIND({0,1,2,3,4,5,6,7,8,9},A154,ROW(INDIRECT("1:"&amp;LEN(A154)))),1))," ",REPT(" ",LEN(A154))),LEN(A154)))</f>
        <v>6</v>
      </c>
    </row>
    <row r="154" spans="1:16" s="2" customFormat="1" ht="15.6" customHeight="1" x14ac:dyDescent="0.25">
      <c r="A154" s="111" t="s">
        <v>207</v>
      </c>
      <c r="B154" s="111"/>
      <c r="C154" s="111"/>
      <c r="D154" s="111"/>
      <c r="E154" s="111"/>
      <c r="F154" s="111"/>
      <c r="G154" s="111"/>
      <c r="H154" s="111"/>
      <c r="I154" s="39"/>
      <c r="L154" s="2" t="e">
        <f t="shared" ref="L154:L155" si="5">O154&amp;""&amp;M154&amp;""&amp;P154</f>
        <v>#REF!</v>
      </c>
      <c r="M154" s="2" t="s">
        <v>153</v>
      </c>
      <c r="N154" s="39" t="e">
        <f>#REF!+1</f>
        <v>#REF!</v>
      </c>
      <c r="O154" s="2" t="e">
        <f>#REF!+1</f>
        <v>#REF!</v>
      </c>
      <c r="P154" s="2" t="e">
        <f>#REF!+1</f>
        <v>#REF!</v>
      </c>
    </row>
    <row r="155" spans="1:16" s="2" customFormat="1" ht="15.6" customHeight="1" x14ac:dyDescent="0.25">
      <c r="A155" s="91" t="s">
        <v>249</v>
      </c>
      <c r="B155" s="92"/>
      <c r="C155" s="20" t="s">
        <v>208</v>
      </c>
      <c r="D155" s="20">
        <f>(59.45+1.98)*10.764</f>
        <v>661.23251999999991</v>
      </c>
      <c r="E155" s="20">
        <v>0</v>
      </c>
      <c r="F155" s="20">
        <f>D155*(($F$150)+1)+E155</f>
        <v>991.84877999999981</v>
      </c>
      <c r="G155" s="94" t="str">
        <f>A154</f>
        <v>2nd to 6th Podium Floor for Parking &amp; Residential</v>
      </c>
      <c r="H155" s="95"/>
      <c r="I155" s="39"/>
      <c r="L155" s="2" t="e">
        <f t="shared" si="5"/>
        <v>#REF!</v>
      </c>
      <c r="M155" s="2" t="s">
        <v>153</v>
      </c>
      <c r="N155" s="39" t="e">
        <f t="shared" ref="N155:P155" si="6">N154+1</f>
        <v>#REF!</v>
      </c>
      <c r="O155" s="2" t="e">
        <f t="shared" si="6"/>
        <v>#REF!</v>
      </c>
      <c r="P155" s="2" t="e">
        <f t="shared" si="6"/>
        <v>#REF!</v>
      </c>
    </row>
    <row r="156" spans="1:16" s="2" customFormat="1" x14ac:dyDescent="0.25">
      <c r="A156" s="91" t="s">
        <v>250</v>
      </c>
      <c r="B156" s="92"/>
      <c r="C156" s="20" t="s">
        <v>208</v>
      </c>
      <c r="D156" s="20">
        <f>(59.45+1.98)*10.764</f>
        <v>661.23251999999991</v>
      </c>
      <c r="E156" s="20">
        <v>0</v>
      </c>
      <c r="F156" s="20">
        <f>D156*(($F$150)+1)+E156</f>
        <v>991.84877999999981</v>
      </c>
      <c r="G156" s="98"/>
      <c r="H156" s="99"/>
      <c r="I156" s="39">
        <f>1+4+4+4+4+4+5</f>
        <v>26</v>
      </c>
      <c r="O156" s="2" t="str">
        <f>LEFT(A157,SUM(LEN(A157)-LEN(SUBSTITUTE(A157,{"0","1","2","3"},""))))</f>
        <v>1st, 3rd to 6th,</v>
      </c>
      <c r="P156" s="2">
        <f ca="1">--TRIM(RIGHT(SUBSTITUTE(LEFT(A157,_xlfn.AGGREGATE(16,6,FIND({0,1,2,3,4,5,6,7,8,9},A157,ROW(INDIRECT("1:"&amp;LEN(A157)))),1))," ",REPT(" ",LEN(A157))),LEN(A157)))</f>
        <v>32</v>
      </c>
    </row>
    <row r="157" spans="1:16" s="2" customFormat="1" ht="15.6" customHeight="1" x14ac:dyDescent="0.25">
      <c r="A157" s="166" t="s">
        <v>246</v>
      </c>
      <c r="B157" s="167"/>
      <c r="C157" s="167"/>
      <c r="D157" s="167"/>
      <c r="E157" s="167"/>
      <c r="F157" s="167"/>
      <c r="G157" s="167"/>
      <c r="H157" s="168"/>
      <c r="I157" s="39"/>
      <c r="L157" s="2" t="str">
        <f ca="1">O157&amp;""&amp;M157&amp;""&amp;P157</f>
        <v>13601,..,3201</v>
      </c>
      <c r="M157" s="2" t="s">
        <v>150</v>
      </c>
      <c r="N157" s="39">
        <v>1</v>
      </c>
      <c r="O157" s="2">
        <f ca="1">(SUMPRODUCT(MID(0&amp;O156, LARGE(INDEX(ISNUMBER(--MID(O156, ROW(INDIRECT("1:"&amp;LEN(O156))), 1)) * ROW(INDIRECT("1:"&amp;LEN(O156))), 0), ROW(INDIRECT("1:"&amp;LEN(O156))))+1, 1) * 10^ROW(INDIRECT("1:"&amp;LEN(O156)))/10))*N157*100+1</f>
        <v>13601</v>
      </c>
      <c r="P157" s="2">
        <f ca="1">(SUMPRODUCT(MID(0&amp;P156, LARGE(INDEX(ISNUMBER(--MID(P156, ROW(INDIRECT("1:"&amp;LEN(P156))), 1)) * ROW(INDIRECT("1:"&amp;LEN(P156))), 0), ROW(INDIRECT("1:"&amp;LEN(P156))))+1, 1) * 10^ROW(INDIRECT("1:"&amp;LEN(P156)))/10))*N157*100+1</f>
        <v>3201</v>
      </c>
    </row>
    <row r="158" spans="1:16" s="2" customFormat="1" ht="15.6" customHeight="1" x14ac:dyDescent="0.25">
      <c r="A158" s="91">
        <v>1</v>
      </c>
      <c r="B158" s="92"/>
      <c r="C158" s="20" t="s">
        <v>141</v>
      </c>
      <c r="D158" s="20">
        <f>(82.66+3.29)*10.764</f>
        <v>925.16579999999999</v>
      </c>
      <c r="E158" s="20">
        <v>0</v>
      </c>
      <c r="F158" s="20">
        <f>D158*(($F$150)+1)+E158</f>
        <v>1387.7487000000001</v>
      </c>
      <c r="G158" s="94" t="str">
        <f>A157</f>
        <v>1st, 3rd to 6th, 8th to 11th, 13th to 16th, 18th to 21st, 23rd to 26th, 28th to 32nd Floor</v>
      </c>
      <c r="H158" s="95"/>
      <c r="I158" s="39"/>
      <c r="L158" s="2" t="str">
        <f t="shared" ref="L158:L161" ca="1" si="7">O158&amp;""&amp;M158&amp;""&amp;P158</f>
        <v>13602,..,3202</v>
      </c>
      <c r="M158" s="2" t="s">
        <v>150</v>
      </c>
      <c r="N158" s="39">
        <f t="shared" ref="N158:P161" si="8">N157+1</f>
        <v>2</v>
      </c>
      <c r="O158" s="2">
        <f t="shared" ca="1" si="8"/>
        <v>13602</v>
      </c>
      <c r="P158" s="2">
        <f t="shared" ca="1" si="8"/>
        <v>3202</v>
      </c>
    </row>
    <row r="159" spans="1:16" s="2" customFormat="1" ht="15.6" customHeight="1" x14ac:dyDescent="0.25">
      <c r="A159" s="91">
        <v>2</v>
      </c>
      <c r="B159" s="92"/>
      <c r="C159" s="20" t="s">
        <v>208</v>
      </c>
      <c r="D159" s="20">
        <f>(59.45+1.98)*10.764</f>
        <v>661.23251999999991</v>
      </c>
      <c r="E159" s="20">
        <v>0</v>
      </c>
      <c r="F159" s="20">
        <f>D159*(($F$150)+1)+E159</f>
        <v>991.84877999999981</v>
      </c>
      <c r="G159" s="96"/>
      <c r="H159" s="97"/>
      <c r="I159" s="39"/>
      <c r="L159" s="2" t="str">
        <f t="shared" ca="1" si="7"/>
        <v>13603,..,3203</v>
      </c>
      <c r="M159" s="2" t="s">
        <v>150</v>
      </c>
      <c r="N159" s="39">
        <f t="shared" si="8"/>
        <v>3</v>
      </c>
      <c r="O159" s="2">
        <f t="shared" ca="1" si="8"/>
        <v>13603</v>
      </c>
      <c r="P159" s="2">
        <f t="shared" ca="1" si="8"/>
        <v>3203</v>
      </c>
    </row>
    <row r="160" spans="1:16" s="2" customFormat="1" ht="15.6" customHeight="1" x14ac:dyDescent="0.25">
      <c r="A160" s="91">
        <v>3</v>
      </c>
      <c r="B160" s="92"/>
      <c r="C160" s="20" t="s">
        <v>208</v>
      </c>
      <c r="D160" s="20">
        <f>(59.45+1.98)*10.764</f>
        <v>661.23251999999991</v>
      </c>
      <c r="E160" s="20">
        <v>0</v>
      </c>
      <c r="F160" s="20">
        <f>D160*(($F$150)+1)+E160</f>
        <v>991.84877999999981</v>
      </c>
      <c r="G160" s="96"/>
      <c r="H160" s="97"/>
      <c r="I160" s="39"/>
      <c r="L160" s="2" t="str">
        <f t="shared" ca="1" si="7"/>
        <v>13604,..,3204</v>
      </c>
      <c r="M160" s="2" t="s">
        <v>150</v>
      </c>
      <c r="N160" s="39">
        <f t="shared" si="8"/>
        <v>4</v>
      </c>
      <c r="O160" s="2">
        <f t="shared" ca="1" si="8"/>
        <v>13604</v>
      </c>
      <c r="P160" s="2">
        <f t="shared" ca="1" si="8"/>
        <v>3204</v>
      </c>
    </row>
    <row r="161" spans="1:16" s="2" customFormat="1" ht="15.6" customHeight="1" x14ac:dyDescent="0.25">
      <c r="A161" s="91">
        <v>4</v>
      </c>
      <c r="B161" s="92"/>
      <c r="C161" s="20" t="s">
        <v>141</v>
      </c>
      <c r="D161" s="20">
        <f>(82.37+3.29)*10.764</f>
        <v>922.04424000000006</v>
      </c>
      <c r="E161" s="20">
        <v>0</v>
      </c>
      <c r="F161" s="20">
        <f>D161*(($F$150)+1)+E161</f>
        <v>1383.06636</v>
      </c>
      <c r="G161" s="96"/>
      <c r="H161" s="97"/>
      <c r="I161" s="39">
        <f>3*24*F162</f>
        <v>141989.21567999996</v>
      </c>
      <c r="L161" s="2" t="str">
        <f t="shared" ca="1" si="7"/>
        <v>13605,..,3205</v>
      </c>
      <c r="M161" s="2" t="s">
        <v>150</v>
      </c>
      <c r="N161" s="39">
        <f t="shared" si="8"/>
        <v>5</v>
      </c>
      <c r="O161" s="2">
        <f t="shared" ca="1" si="8"/>
        <v>13605</v>
      </c>
      <c r="P161" s="2">
        <f t="shared" ca="1" si="8"/>
        <v>3205</v>
      </c>
    </row>
    <row r="162" spans="1:16" s="2" customFormat="1" ht="15.75" customHeight="1" x14ac:dyDescent="0.25">
      <c r="A162" s="91">
        <v>5</v>
      </c>
      <c r="B162" s="92"/>
      <c r="C162" s="20" t="s">
        <v>209</v>
      </c>
      <c r="D162" s="20">
        <f>(118.82+3.32)*10.764</f>
        <v>1314.7149599999998</v>
      </c>
      <c r="E162" s="20">
        <v>0</v>
      </c>
      <c r="F162" s="20">
        <f>D162*(($F$150)+1)+E162</f>
        <v>1972.0724399999997</v>
      </c>
      <c r="G162" s="98"/>
      <c r="H162" s="99"/>
      <c r="I162" s="39">
        <v>6</v>
      </c>
      <c r="O162" s="2" t="str">
        <f>LEFT(A163,SUM(LEN(A163)-LEN(SUBSTITUTE(A163,{"0","1","2","3"},""))))</f>
        <v>2nd, 7t</v>
      </c>
      <c r="P162" s="2">
        <f ca="1">--TRIM(RIGHT(SUBSTITUTE(LEFT(A163,_xlfn.AGGREGATE(16,6,FIND({0,1,2,3,4,5,6,7,8,9},A163,ROW(INDIRECT("1:"&amp;LEN(A163)))),1))," ",REPT(" ",LEN(A163))),LEN(A163)))</f>
        <v>27</v>
      </c>
    </row>
    <row r="163" spans="1:16" s="2" customFormat="1" ht="15.6" customHeight="1" x14ac:dyDescent="0.25">
      <c r="A163" s="166" t="s">
        <v>247</v>
      </c>
      <c r="B163" s="167"/>
      <c r="C163" s="167"/>
      <c r="D163" s="167"/>
      <c r="E163" s="167"/>
      <c r="F163" s="167"/>
      <c r="G163" s="167"/>
      <c r="H163" s="168"/>
      <c r="I163" s="39"/>
      <c r="L163" s="2" t="str">
        <f ca="1">O163&amp;""&amp;M163&amp;""&amp;P163</f>
        <v>2701,..,2701</v>
      </c>
      <c r="M163" s="2" t="s">
        <v>150</v>
      </c>
      <c r="N163" s="39">
        <v>1</v>
      </c>
      <c r="O163" s="2">
        <f ca="1">(SUMPRODUCT(MID(0&amp;O162, LARGE(INDEX(ISNUMBER(--MID(O162, ROW(INDIRECT("1:"&amp;LEN(O162))), 1)) * ROW(INDIRECT("1:"&amp;LEN(O162))), 0), ROW(INDIRECT("1:"&amp;LEN(O162))))+1, 1) * 10^ROW(INDIRECT("1:"&amp;LEN(O162)))/10))*N163*100+1</f>
        <v>2701</v>
      </c>
      <c r="P163" s="2">
        <f ca="1">(SUMPRODUCT(MID(0&amp;P162, LARGE(INDEX(ISNUMBER(--MID(P162, ROW(INDIRECT("1:"&amp;LEN(P162))), 1)) * ROW(INDIRECT("1:"&amp;LEN(P162))), 0), ROW(INDIRECT("1:"&amp;LEN(P162))))+1, 1) * 10^ROW(INDIRECT("1:"&amp;LEN(P162)))/10))*N163*100+1</f>
        <v>2701</v>
      </c>
    </row>
    <row r="164" spans="1:16" s="2" customFormat="1" ht="15.6" customHeight="1" x14ac:dyDescent="0.25">
      <c r="A164" s="91">
        <v>1</v>
      </c>
      <c r="B164" s="92"/>
      <c r="C164" s="20" t="s">
        <v>141</v>
      </c>
      <c r="D164" s="20">
        <f>(82.66+3.29)*10.764</f>
        <v>925.16579999999999</v>
      </c>
      <c r="E164" s="20">
        <v>0</v>
      </c>
      <c r="F164" s="20">
        <f>D164*(($F$150)+1)+E164</f>
        <v>1387.7487000000001</v>
      </c>
      <c r="G164" s="94" t="str">
        <f>A163</f>
        <v>2nd, 7th, 12th, 17th, 22nd &amp; 27th Floor (Part Refuge Area)</v>
      </c>
      <c r="H164" s="95"/>
      <c r="I164" s="39"/>
      <c r="L164" s="2" t="str">
        <f t="shared" ref="L164:L167" ca="1" si="9">O164&amp;""&amp;M164&amp;""&amp;P164</f>
        <v>2702,..,2702</v>
      </c>
      <c r="M164" s="2" t="s">
        <v>150</v>
      </c>
      <c r="N164" s="39">
        <f t="shared" ref="N164:P164" si="10">N163+1</f>
        <v>2</v>
      </c>
      <c r="O164" s="2">
        <f t="shared" ca="1" si="10"/>
        <v>2702</v>
      </c>
      <c r="P164" s="2">
        <f t="shared" ca="1" si="10"/>
        <v>2702</v>
      </c>
    </row>
    <row r="165" spans="1:16" s="2" customFormat="1" ht="15.6" customHeight="1" x14ac:dyDescent="0.25">
      <c r="A165" s="91">
        <v>2</v>
      </c>
      <c r="B165" s="92"/>
      <c r="C165" s="91" t="s">
        <v>213</v>
      </c>
      <c r="D165" s="93"/>
      <c r="E165" s="93"/>
      <c r="F165" s="92"/>
      <c r="G165" s="96"/>
      <c r="H165" s="97"/>
      <c r="I165" s="39"/>
      <c r="L165" s="2" t="str">
        <f t="shared" ca="1" si="9"/>
        <v>2703,..,2703</v>
      </c>
      <c r="M165" s="2" t="s">
        <v>150</v>
      </c>
      <c r="N165" s="39">
        <f t="shared" ref="N165:P165" si="11">N164+1</f>
        <v>3</v>
      </c>
      <c r="O165" s="2">
        <f t="shared" ca="1" si="11"/>
        <v>2703</v>
      </c>
      <c r="P165" s="2">
        <f t="shared" ca="1" si="11"/>
        <v>2703</v>
      </c>
    </row>
    <row r="166" spans="1:16" s="2" customFormat="1" ht="15.6" customHeight="1" x14ac:dyDescent="0.25">
      <c r="A166" s="91">
        <v>3</v>
      </c>
      <c r="B166" s="92"/>
      <c r="C166" s="20" t="s">
        <v>212</v>
      </c>
      <c r="D166" s="20">
        <f>(78.81+4.09)*10.764</f>
        <v>892.3356</v>
      </c>
      <c r="E166" s="20">
        <v>0</v>
      </c>
      <c r="F166" s="20">
        <f>D166*(($F$150)+1)+E166</f>
        <v>1338.5034000000001</v>
      </c>
      <c r="G166" s="96"/>
      <c r="H166" s="97"/>
      <c r="I166" s="39"/>
      <c r="L166" s="2" t="str">
        <f t="shared" ca="1" si="9"/>
        <v>2704,..,2704</v>
      </c>
      <c r="M166" s="2" t="s">
        <v>150</v>
      </c>
      <c r="N166" s="39">
        <f t="shared" ref="N166:P166" si="12">N165+1</f>
        <v>4</v>
      </c>
      <c r="O166" s="2">
        <f t="shared" ca="1" si="12"/>
        <v>2704</v>
      </c>
      <c r="P166" s="2">
        <f t="shared" ca="1" si="12"/>
        <v>2704</v>
      </c>
    </row>
    <row r="167" spans="1:16" s="2" customFormat="1" ht="15.6" customHeight="1" x14ac:dyDescent="0.25">
      <c r="A167" s="91">
        <v>4</v>
      </c>
      <c r="B167" s="92"/>
      <c r="C167" s="20" t="s">
        <v>141</v>
      </c>
      <c r="D167" s="20">
        <f>(82.37+3.29)*10.764</f>
        <v>922.04424000000006</v>
      </c>
      <c r="E167" s="20">
        <v>0</v>
      </c>
      <c r="F167" s="20">
        <f>D167*(($F$150)+1)+E167</f>
        <v>1383.06636</v>
      </c>
      <c r="G167" s="96"/>
      <c r="H167" s="97"/>
      <c r="I167" s="39"/>
      <c r="L167" s="2" t="str">
        <f t="shared" ca="1" si="9"/>
        <v>2705,..,2705</v>
      </c>
      <c r="M167" s="2" t="s">
        <v>150</v>
      </c>
      <c r="N167" s="39">
        <f t="shared" ref="N167:P167" si="13">N166+1</f>
        <v>5</v>
      </c>
      <c r="O167" s="2">
        <f t="shared" ca="1" si="13"/>
        <v>2705</v>
      </c>
      <c r="P167" s="2">
        <f t="shared" ca="1" si="13"/>
        <v>2705</v>
      </c>
    </row>
    <row r="168" spans="1:16" s="2" customFormat="1" x14ac:dyDescent="0.25">
      <c r="A168" s="91">
        <v>5</v>
      </c>
      <c r="B168" s="92"/>
      <c r="C168" s="20" t="s">
        <v>209</v>
      </c>
      <c r="D168" s="20">
        <f>(118.82+3.32)*10.764</f>
        <v>1314.7149599999998</v>
      </c>
      <c r="E168" s="20">
        <v>0</v>
      </c>
      <c r="F168" s="20">
        <f>D168*(($F$150)+1)+E168</f>
        <v>1972.0724399999997</v>
      </c>
      <c r="G168" s="98"/>
      <c r="H168" s="99"/>
      <c r="I168" s="39"/>
      <c r="L168" s="110"/>
      <c r="M168" s="110"/>
    </row>
    <row r="169" spans="1:16" s="2" customFormat="1" x14ac:dyDescent="0.25">
      <c r="A169" s="109" t="s">
        <v>215</v>
      </c>
      <c r="B169" s="109"/>
      <c r="C169" s="109"/>
      <c r="D169" s="109"/>
      <c r="E169" s="109"/>
      <c r="F169" s="109"/>
      <c r="G169" s="109"/>
      <c r="H169" s="109"/>
      <c r="I169" s="39"/>
      <c r="L169" s="110"/>
      <c r="M169" s="110"/>
    </row>
    <row r="170" spans="1:16" s="2" customFormat="1" ht="15.6" customHeight="1" x14ac:dyDescent="0.25">
      <c r="A170" s="111" t="s">
        <v>295</v>
      </c>
      <c r="B170" s="111"/>
      <c r="C170" s="111"/>
      <c r="D170" s="111"/>
      <c r="E170" s="111"/>
      <c r="F170" s="111"/>
      <c r="G170" s="111"/>
      <c r="H170" s="111"/>
      <c r="I170" s="39">
        <f>5</f>
        <v>5</v>
      </c>
      <c r="O170" s="2" t="str">
        <f>MID(A171,1,3)</f>
        <v>2nd</v>
      </c>
      <c r="P170" s="2">
        <f ca="1">--TRIM(RIGHT(SUBSTITUTE(LEFT(A171,_xlfn.AGGREGATE(14,6,FIND({0,1,2,3,4,5,6,7,8,9},A171,ROW(INDIRECT("1:"&amp;LEN(A171)))),1))," ",REPT(" ",LEN(A171))),LEN(A171)))</f>
        <v>6</v>
      </c>
    </row>
    <row r="171" spans="1:16" s="2" customFormat="1" ht="15.6" customHeight="1" x14ac:dyDescent="0.25">
      <c r="A171" s="111" t="s">
        <v>278</v>
      </c>
      <c r="B171" s="111"/>
      <c r="C171" s="111"/>
      <c r="D171" s="111"/>
      <c r="E171" s="111"/>
      <c r="F171" s="111"/>
      <c r="G171" s="111"/>
      <c r="H171" s="111"/>
      <c r="I171" s="39">
        <f>3*6+2.565*2.1+3.465*2.75+3.09*3.55+1.55*1.75+2.125*1.23+3.45*1.1+1*1.1+(1.9*0.9)</f>
        <v>55.816000000000003</v>
      </c>
      <c r="J171" s="2">
        <f>2.3</f>
        <v>2.2999999999999998</v>
      </c>
      <c r="K171" s="89">
        <f>I171+J171</f>
        <v>58.116</v>
      </c>
      <c r="L171" s="2" t="e">
        <f t="shared" ref="L171:L172" si="14">O171&amp;""&amp;M171&amp;""&amp;P171</f>
        <v>#REF!</v>
      </c>
      <c r="M171" s="2" t="s">
        <v>153</v>
      </c>
      <c r="N171" s="39" t="e">
        <f>#REF!+1</f>
        <v>#REF!</v>
      </c>
      <c r="O171" s="2" t="e">
        <f>#REF!+1</f>
        <v>#REF!</v>
      </c>
      <c r="P171" s="2" t="e">
        <f>#REF!+1</f>
        <v>#REF!</v>
      </c>
    </row>
    <row r="172" spans="1:16" s="2" customFormat="1" ht="15.6" customHeight="1" x14ac:dyDescent="0.25">
      <c r="A172" s="91">
        <v>2</v>
      </c>
      <c r="B172" s="92"/>
      <c r="C172" s="20" t="s">
        <v>208</v>
      </c>
      <c r="D172" s="20">
        <f>(59.45+1.98)*10.764</f>
        <v>661.23251999999991</v>
      </c>
      <c r="E172" s="20">
        <v>0</v>
      </c>
      <c r="F172" s="20">
        <f>D172*(($F$150)+1)+E172</f>
        <v>991.84877999999981</v>
      </c>
      <c r="G172" s="94" t="str">
        <f>A171</f>
        <v>2nd to 6th Podium Floor for Residential &amp; Parking</v>
      </c>
      <c r="H172" s="95"/>
      <c r="I172" s="39"/>
      <c r="L172" s="2" t="e">
        <f t="shared" si="14"/>
        <v>#REF!</v>
      </c>
      <c r="M172" s="2" t="s">
        <v>153</v>
      </c>
      <c r="N172" s="39" t="e">
        <f t="shared" ref="N172:P172" si="15">N171+1</f>
        <v>#REF!</v>
      </c>
      <c r="O172" s="2" t="e">
        <f t="shared" si="15"/>
        <v>#REF!</v>
      </c>
      <c r="P172" s="2" t="e">
        <f t="shared" si="15"/>
        <v>#REF!</v>
      </c>
    </row>
    <row r="173" spans="1:16" s="87" customFormat="1" ht="15.6" customHeight="1" x14ac:dyDescent="0.25">
      <c r="A173" s="91">
        <v>3</v>
      </c>
      <c r="B173" s="92"/>
      <c r="C173" s="20" t="s">
        <v>208</v>
      </c>
      <c r="D173" s="20">
        <f>(59.45+1.98)*10.764</f>
        <v>661.23251999999991</v>
      </c>
      <c r="E173" s="20">
        <v>0</v>
      </c>
      <c r="F173" s="20">
        <f>D173*(($F$150)+1)+E173</f>
        <v>991.84877999999981</v>
      </c>
      <c r="G173" s="96"/>
      <c r="H173" s="97"/>
      <c r="I173" s="39"/>
      <c r="N173" s="39"/>
    </row>
    <row r="174" spans="1:16" s="2" customFormat="1" ht="15.75" customHeight="1" x14ac:dyDescent="0.25">
      <c r="A174" s="91" t="s">
        <v>276</v>
      </c>
      <c r="B174" s="92"/>
      <c r="C174" s="91" t="s">
        <v>277</v>
      </c>
      <c r="D174" s="93"/>
      <c r="E174" s="93"/>
      <c r="F174" s="92"/>
      <c r="G174" s="98"/>
      <c r="H174" s="99"/>
      <c r="I174" s="39">
        <f>1+4+4+4+4+4+1</f>
        <v>22</v>
      </c>
      <c r="O174" s="2" t="str">
        <f>LEFT(A175,SUM(LEN(A175)-LEN(SUBSTITUTE(A175,{"0","1","2","3"},""))))</f>
        <v>1st, 3rd to 6t</v>
      </c>
      <c r="P174" s="2">
        <f ca="1">--TRIM(RIGHT(SUBSTITUTE(LEFT(A175,_xlfn.AGGREGATE(16,6,FIND({0,1,2,3,4,5,6,7,8,9},A175,ROW(INDIRECT("1:"&amp;LEN(A175)))),1))," ",REPT(" ",LEN(A175))),LEN(A175)))</f>
        <v>27</v>
      </c>
    </row>
    <row r="175" spans="1:16" s="2" customFormat="1" ht="15.6" customHeight="1" x14ac:dyDescent="0.25">
      <c r="A175" s="166" t="s">
        <v>248</v>
      </c>
      <c r="B175" s="167"/>
      <c r="C175" s="167"/>
      <c r="D175" s="167"/>
      <c r="E175" s="167"/>
      <c r="F175" s="167"/>
      <c r="G175" s="167"/>
      <c r="H175" s="168"/>
      <c r="I175" s="39"/>
      <c r="L175" s="2" t="str">
        <f ca="1">O175&amp;""&amp;M175&amp;""&amp;P175</f>
        <v>13601,..,2701</v>
      </c>
      <c r="M175" s="2" t="s">
        <v>150</v>
      </c>
      <c r="N175" s="39">
        <v>1</v>
      </c>
      <c r="O175" s="2">
        <f ca="1">(SUMPRODUCT(MID(0&amp;O174, LARGE(INDEX(ISNUMBER(--MID(O174, ROW(INDIRECT("1:"&amp;LEN(O174))), 1)) * ROW(INDIRECT("1:"&amp;LEN(O174))), 0), ROW(INDIRECT("1:"&amp;LEN(O174))))+1, 1) * 10^ROW(INDIRECT("1:"&amp;LEN(O174)))/10))*N175*100+1</f>
        <v>13601</v>
      </c>
      <c r="P175" s="2">
        <f ca="1">(SUMPRODUCT(MID(0&amp;P174, LARGE(INDEX(ISNUMBER(--MID(P174, ROW(INDIRECT("1:"&amp;LEN(P174))), 1)) * ROW(INDIRECT("1:"&amp;LEN(P174))), 0), ROW(INDIRECT("1:"&amp;LEN(P174))))+1, 1) * 10^ROW(INDIRECT("1:"&amp;LEN(P174)))/10))*N175*100+1</f>
        <v>2701</v>
      </c>
    </row>
    <row r="176" spans="1:16" s="2" customFormat="1" ht="15.6" customHeight="1" x14ac:dyDescent="0.25">
      <c r="A176" s="91">
        <v>1</v>
      </c>
      <c r="B176" s="92"/>
      <c r="C176" s="20" t="s">
        <v>141</v>
      </c>
      <c r="D176" s="20">
        <f>(82.68+3.29)*10.764</f>
        <v>925.38108000000011</v>
      </c>
      <c r="E176" s="20">
        <v>0</v>
      </c>
      <c r="F176" s="20">
        <f>D176*(($F$150)+1)+E176</f>
        <v>1388.0716200000002</v>
      </c>
      <c r="G176" s="94" t="str">
        <f>A175</f>
        <v>1st, 3rd to 6th, 8th to 11th, 13th to 16th, 18th to 21st, 23rd to 26th &amp; 27th Floor</v>
      </c>
      <c r="H176" s="95"/>
      <c r="I176" s="39"/>
      <c r="L176" s="2" t="str">
        <f t="shared" ref="L176:L179" ca="1" si="16">O176&amp;""&amp;M176&amp;""&amp;P176</f>
        <v>13602,..,2702</v>
      </c>
      <c r="M176" s="2" t="s">
        <v>150</v>
      </c>
      <c r="N176" s="39">
        <f t="shared" ref="N176:P176" si="17">N175+1</f>
        <v>2</v>
      </c>
      <c r="O176" s="2">
        <f t="shared" ca="1" si="17"/>
        <v>13602</v>
      </c>
      <c r="P176" s="2">
        <f t="shared" ca="1" si="17"/>
        <v>2702</v>
      </c>
    </row>
    <row r="177" spans="1:16" s="2" customFormat="1" ht="15.6" customHeight="1" x14ac:dyDescent="0.25">
      <c r="A177" s="91">
        <v>2</v>
      </c>
      <c r="B177" s="92"/>
      <c r="C177" s="20" t="s">
        <v>208</v>
      </c>
      <c r="D177" s="20">
        <f>(59.45+1.98)*10.764</f>
        <v>661.23251999999991</v>
      </c>
      <c r="E177" s="20">
        <v>0</v>
      </c>
      <c r="F177" s="20">
        <f>D177*(($F$150)+1)+E177</f>
        <v>991.84877999999981</v>
      </c>
      <c r="G177" s="96"/>
      <c r="H177" s="97"/>
      <c r="I177" s="39"/>
      <c r="L177" s="2" t="str">
        <f t="shared" ca="1" si="16"/>
        <v>13603,..,2703</v>
      </c>
      <c r="M177" s="2" t="s">
        <v>150</v>
      </c>
      <c r="N177" s="39">
        <f t="shared" ref="N177:P177" si="18">N176+1</f>
        <v>3</v>
      </c>
      <c r="O177" s="2">
        <f t="shared" ca="1" si="18"/>
        <v>13603</v>
      </c>
      <c r="P177" s="2">
        <f t="shared" ca="1" si="18"/>
        <v>2703</v>
      </c>
    </row>
    <row r="178" spans="1:16" s="2" customFormat="1" ht="15.6" customHeight="1" x14ac:dyDescent="0.25">
      <c r="A178" s="91">
        <v>3</v>
      </c>
      <c r="B178" s="92"/>
      <c r="C178" s="20" t="s">
        <v>208</v>
      </c>
      <c r="D178" s="20">
        <f>(59.45+1.98)*10.764</f>
        <v>661.23251999999991</v>
      </c>
      <c r="E178" s="20">
        <v>0</v>
      </c>
      <c r="F178" s="20">
        <f>D178*(($F$150)+1)+E178</f>
        <v>991.84877999999981</v>
      </c>
      <c r="G178" s="96"/>
      <c r="H178" s="97"/>
      <c r="I178" s="39"/>
      <c r="L178" s="2" t="str">
        <f t="shared" ca="1" si="16"/>
        <v>13604,..,2704</v>
      </c>
      <c r="M178" s="2" t="s">
        <v>150</v>
      </c>
      <c r="N178" s="39">
        <f t="shared" ref="N178:P178" si="19">N177+1</f>
        <v>4</v>
      </c>
      <c r="O178" s="2">
        <f t="shared" ca="1" si="19"/>
        <v>13604</v>
      </c>
      <c r="P178" s="2">
        <f t="shared" ca="1" si="19"/>
        <v>2704</v>
      </c>
    </row>
    <row r="179" spans="1:16" s="2" customFormat="1" ht="15.6" customHeight="1" x14ac:dyDescent="0.25">
      <c r="A179" s="91">
        <v>4</v>
      </c>
      <c r="B179" s="92"/>
      <c r="C179" s="20" t="s">
        <v>141</v>
      </c>
      <c r="D179" s="20">
        <f>(82.5+3.29)*10.764</f>
        <v>923.44356000000005</v>
      </c>
      <c r="E179" s="20">
        <v>0</v>
      </c>
      <c r="F179" s="20">
        <f>D179*(($F$150)+1)+E179</f>
        <v>1385.16534</v>
      </c>
      <c r="G179" s="96"/>
      <c r="H179" s="97"/>
      <c r="I179" s="39"/>
      <c r="L179" s="2" t="str">
        <f t="shared" ca="1" si="16"/>
        <v>13605,..,2705</v>
      </c>
      <c r="M179" s="2" t="s">
        <v>150</v>
      </c>
      <c r="N179" s="39">
        <f t="shared" ref="N179:P179" si="20">N178+1</f>
        <v>5</v>
      </c>
      <c r="O179" s="2">
        <f t="shared" ca="1" si="20"/>
        <v>13605</v>
      </c>
      <c r="P179" s="2">
        <f t="shared" ca="1" si="20"/>
        <v>2705</v>
      </c>
    </row>
    <row r="180" spans="1:16" s="2" customFormat="1" ht="15.75" customHeight="1" x14ac:dyDescent="0.25">
      <c r="A180" s="91">
        <v>5</v>
      </c>
      <c r="B180" s="92"/>
      <c r="C180" s="20" t="s">
        <v>209</v>
      </c>
      <c r="D180" s="20">
        <f>(118.82+3.32)*10.764</f>
        <v>1314.7149599999998</v>
      </c>
      <c r="E180" s="20">
        <v>0</v>
      </c>
      <c r="F180" s="20">
        <f>D180*(($F$150)+1)+E180</f>
        <v>1972.0724399999997</v>
      </c>
      <c r="G180" s="98"/>
      <c r="H180" s="99"/>
      <c r="I180" s="39">
        <v>5</v>
      </c>
      <c r="O180" s="2" t="str">
        <f>LEFT(A181,SUM(LEN(A181)-LEN(SUBSTITUTE(A181,{"0","1","2","3"},""))))</f>
        <v>2nd, 7</v>
      </c>
      <c r="P180" s="2">
        <f ca="1">--TRIM(RIGHT(SUBSTITUTE(LEFT(A181,_xlfn.AGGREGATE(16,6,FIND({0,1,2,3,4,5,6,7,8,9},A181,ROW(INDIRECT("1:"&amp;LEN(A181)))),1))," ",REPT(" ",LEN(A181))),LEN(A181)))</f>
        <v>22</v>
      </c>
    </row>
    <row r="181" spans="1:16" s="2" customFormat="1" ht="15.6" customHeight="1" x14ac:dyDescent="0.25">
      <c r="A181" s="166" t="s">
        <v>211</v>
      </c>
      <c r="B181" s="167"/>
      <c r="C181" s="167"/>
      <c r="D181" s="167"/>
      <c r="E181" s="167"/>
      <c r="F181" s="167"/>
      <c r="G181" s="167"/>
      <c r="H181" s="168"/>
      <c r="I181" s="39"/>
      <c r="L181" s="2" t="str">
        <f ca="1">O181&amp;""&amp;M181&amp;""&amp;P181</f>
        <v>2701,..,2201</v>
      </c>
      <c r="M181" s="2" t="s">
        <v>150</v>
      </c>
      <c r="N181" s="39">
        <v>1</v>
      </c>
      <c r="O181" s="2">
        <f ca="1">(SUMPRODUCT(MID(0&amp;O180, LARGE(INDEX(ISNUMBER(--MID(O180, ROW(INDIRECT("1:"&amp;LEN(O180))), 1)) * ROW(INDIRECT("1:"&amp;LEN(O180))), 0), ROW(INDIRECT("1:"&amp;LEN(O180))))+1, 1) * 10^ROW(INDIRECT("1:"&amp;LEN(O180)))/10))*N181*100+1</f>
        <v>2701</v>
      </c>
      <c r="P181" s="2">
        <f ca="1">(SUMPRODUCT(MID(0&amp;P180, LARGE(INDEX(ISNUMBER(--MID(P180, ROW(INDIRECT("1:"&amp;LEN(P180))), 1)) * ROW(INDIRECT("1:"&amp;LEN(P180))), 0), ROW(INDIRECT("1:"&amp;LEN(P180))))+1, 1) * 10^ROW(INDIRECT("1:"&amp;LEN(P180)))/10))*N181*100+1</f>
        <v>2201</v>
      </c>
    </row>
    <row r="182" spans="1:16" s="2" customFormat="1" ht="15.6" customHeight="1" x14ac:dyDescent="0.25">
      <c r="A182" s="91">
        <v>1</v>
      </c>
      <c r="B182" s="92"/>
      <c r="C182" s="20" t="s">
        <v>141</v>
      </c>
      <c r="D182" s="20">
        <f>(82.68+3.29)*10.764</f>
        <v>925.38108000000011</v>
      </c>
      <c r="E182" s="20">
        <v>0</v>
      </c>
      <c r="F182" s="20">
        <f>D182*(($F$150)+1)+E182</f>
        <v>1388.0716200000002</v>
      </c>
      <c r="G182" s="94" t="str">
        <f>A181</f>
        <v>2nd, 7th, 12th, 17th &amp; 22nd Floor (Part Refuge Area)</v>
      </c>
      <c r="H182" s="95"/>
      <c r="I182" s="39"/>
      <c r="L182" s="2" t="str">
        <f t="shared" ref="L182:L185" ca="1" si="21">O182&amp;""&amp;M182&amp;""&amp;P182</f>
        <v>2702,..,2202</v>
      </c>
      <c r="M182" s="2" t="s">
        <v>150</v>
      </c>
      <c r="N182" s="39">
        <f t="shared" ref="N182:P182" si="22">N181+1</f>
        <v>2</v>
      </c>
      <c r="O182" s="2">
        <f t="shared" ca="1" si="22"/>
        <v>2702</v>
      </c>
      <c r="P182" s="2">
        <f t="shared" ca="1" si="22"/>
        <v>2202</v>
      </c>
    </row>
    <row r="183" spans="1:16" s="2" customFormat="1" ht="15.6" customHeight="1" x14ac:dyDescent="0.25">
      <c r="A183" s="91">
        <v>2</v>
      </c>
      <c r="B183" s="92"/>
      <c r="C183" s="91" t="s">
        <v>213</v>
      </c>
      <c r="D183" s="93"/>
      <c r="E183" s="93"/>
      <c r="F183" s="92"/>
      <c r="G183" s="96"/>
      <c r="H183" s="97"/>
      <c r="I183" s="39"/>
      <c r="L183" s="2" t="str">
        <f t="shared" ca="1" si="21"/>
        <v>2703,..,2203</v>
      </c>
      <c r="M183" s="2" t="s">
        <v>150</v>
      </c>
      <c r="N183" s="39">
        <f t="shared" ref="N183:P183" si="23">N182+1</f>
        <v>3</v>
      </c>
      <c r="O183" s="2">
        <f t="shared" ca="1" si="23"/>
        <v>2703</v>
      </c>
      <c r="P183" s="2">
        <f t="shared" ca="1" si="23"/>
        <v>2203</v>
      </c>
    </row>
    <row r="184" spans="1:16" s="2" customFormat="1" ht="15.6" customHeight="1" x14ac:dyDescent="0.25">
      <c r="A184" s="91">
        <v>3</v>
      </c>
      <c r="B184" s="92"/>
      <c r="C184" s="20" t="s">
        <v>212</v>
      </c>
      <c r="D184" s="20">
        <f>(78.81+4.09)*10.764</f>
        <v>892.3356</v>
      </c>
      <c r="E184" s="20">
        <v>0</v>
      </c>
      <c r="F184" s="20">
        <f>D184*(($F$150)+1)+E184</f>
        <v>1338.5034000000001</v>
      </c>
      <c r="G184" s="96"/>
      <c r="H184" s="97"/>
      <c r="I184" s="39"/>
      <c r="L184" s="2" t="str">
        <f t="shared" ca="1" si="21"/>
        <v>2704,..,2204</v>
      </c>
      <c r="M184" s="2" t="s">
        <v>150</v>
      </c>
      <c r="N184" s="39">
        <f t="shared" ref="N184:P184" si="24">N183+1</f>
        <v>4</v>
      </c>
      <c r="O184" s="2">
        <f t="shared" ca="1" si="24"/>
        <v>2704</v>
      </c>
      <c r="P184" s="2">
        <f t="shared" ca="1" si="24"/>
        <v>2204</v>
      </c>
    </row>
    <row r="185" spans="1:16" s="2" customFormat="1" ht="15.6" customHeight="1" x14ac:dyDescent="0.25">
      <c r="A185" s="91">
        <v>4</v>
      </c>
      <c r="B185" s="92"/>
      <c r="C185" s="20" t="s">
        <v>141</v>
      </c>
      <c r="D185" s="20">
        <f>(82.5+3.29)*10.764</f>
        <v>923.44356000000005</v>
      </c>
      <c r="E185" s="20">
        <v>0</v>
      </c>
      <c r="F185" s="20">
        <f>D185*(($F$150)+1)+E185</f>
        <v>1385.16534</v>
      </c>
      <c r="G185" s="96"/>
      <c r="H185" s="97"/>
      <c r="I185" s="39"/>
      <c r="L185" s="2" t="str">
        <f t="shared" ca="1" si="21"/>
        <v>2705,..,2205</v>
      </c>
      <c r="M185" s="2" t="s">
        <v>150</v>
      </c>
      <c r="N185" s="39">
        <f t="shared" ref="N185:P185" si="25">N184+1</f>
        <v>5</v>
      </c>
      <c r="O185" s="2">
        <f t="shared" ca="1" si="25"/>
        <v>2705</v>
      </c>
      <c r="P185" s="2">
        <f t="shared" ca="1" si="25"/>
        <v>2205</v>
      </c>
    </row>
    <row r="186" spans="1:16" s="2" customFormat="1" x14ac:dyDescent="0.25">
      <c r="A186" s="91">
        <v>5</v>
      </c>
      <c r="B186" s="92"/>
      <c r="C186" s="20" t="s">
        <v>209</v>
      </c>
      <c r="D186" s="20">
        <f>(118.82+3.32)*10.764</f>
        <v>1314.7149599999998</v>
      </c>
      <c r="E186" s="20">
        <v>0</v>
      </c>
      <c r="F186" s="20">
        <f>D186*(($F$150)+1)+E186</f>
        <v>1972.0724399999997</v>
      </c>
      <c r="G186" s="98"/>
      <c r="H186" s="99"/>
      <c r="I186" s="39"/>
      <c r="L186" s="110"/>
      <c r="M186" s="110"/>
    </row>
    <row r="187" spans="1:16" s="2" customFormat="1" x14ac:dyDescent="0.25">
      <c r="A187" s="109" t="s">
        <v>216</v>
      </c>
      <c r="B187" s="109"/>
      <c r="C187" s="109"/>
      <c r="D187" s="109"/>
      <c r="E187" s="109"/>
      <c r="F187" s="109"/>
      <c r="G187" s="109"/>
      <c r="H187" s="109"/>
      <c r="I187" s="39"/>
      <c r="L187" s="110"/>
      <c r="M187" s="110"/>
    </row>
    <row r="188" spans="1:16" s="2" customFormat="1" x14ac:dyDescent="0.25">
      <c r="A188" s="111" t="s">
        <v>205</v>
      </c>
      <c r="B188" s="111"/>
      <c r="C188" s="111"/>
      <c r="D188" s="111"/>
      <c r="E188" s="111"/>
      <c r="F188" s="111"/>
      <c r="G188" s="111"/>
      <c r="H188" s="111"/>
      <c r="I188" s="39"/>
      <c r="L188" s="110"/>
      <c r="M188" s="110"/>
    </row>
    <row r="189" spans="1:16" s="2" customFormat="1" ht="15.6" customHeight="1" x14ac:dyDescent="0.25">
      <c r="A189" s="111" t="s">
        <v>206</v>
      </c>
      <c r="B189" s="111"/>
      <c r="C189" s="111"/>
      <c r="D189" s="111"/>
      <c r="E189" s="111"/>
      <c r="F189" s="111"/>
      <c r="G189" s="111"/>
      <c r="H189" s="111"/>
      <c r="I189" s="39"/>
      <c r="O189" s="2" t="str">
        <f>MID(A190,1,3)</f>
        <v>2nd</v>
      </c>
      <c r="P189" s="2">
        <f ca="1">--TRIM(RIGHT(SUBSTITUTE(LEFT(A190,_xlfn.AGGREGATE(14,6,FIND({0,1,2,3,4,5,6,7,8,9},A190,ROW(INDIRECT("1:"&amp;LEN(A190)))),1))," ",REPT(" ",LEN(A190))),LEN(A190)))</f>
        <v>6</v>
      </c>
    </row>
    <row r="190" spans="1:16" s="2" customFormat="1" ht="15.6" customHeight="1" x14ac:dyDescent="0.25">
      <c r="A190" s="111" t="s">
        <v>207</v>
      </c>
      <c r="B190" s="111"/>
      <c r="C190" s="111"/>
      <c r="D190" s="111"/>
      <c r="E190" s="111"/>
      <c r="F190" s="111"/>
      <c r="G190" s="111"/>
      <c r="H190" s="111"/>
      <c r="I190" s="39"/>
      <c r="L190" s="2" t="e">
        <f t="shared" ref="L190:L191" si="26">O190&amp;""&amp;M190&amp;""&amp;P190</f>
        <v>#REF!</v>
      </c>
      <c r="M190" s="2" t="s">
        <v>153</v>
      </c>
      <c r="N190" s="39" t="e">
        <f>#REF!+1</f>
        <v>#REF!</v>
      </c>
      <c r="O190" s="2" t="e">
        <f>#REF!+1</f>
        <v>#REF!</v>
      </c>
      <c r="P190" s="2" t="e">
        <f>#REF!+1</f>
        <v>#REF!</v>
      </c>
    </row>
    <row r="191" spans="1:16" s="2" customFormat="1" ht="15.6" customHeight="1" x14ac:dyDescent="0.25">
      <c r="A191" s="91">
        <v>2</v>
      </c>
      <c r="B191" s="92"/>
      <c r="C191" s="20" t="s">
        <v>208</v>
      </c>
      <c r="D191" s="20">
        <f>(59.45+1.98)*10.764</f>
        <v>661.23251999999991</v>
      </c>
      <c r="E191" s="20">
        <v>0</v>
      </c>
      <c r="F191" s="20">
        <f>D191*(($F$150)+1)+E191</f>
        <v>991.84877999999981</v>
      </c>
      <c r="G191" s="94" t="str">
        <f>A190</f>
        <v>2nd to 6th Podium Floor for Parking &amp; Residential</v>
      </c>
      <c r="H191" s="95"/>
      <c r="I191" s="39"/>
      <c r="L191" s="2" t="e">
        <f t="shared" si="26"/>
        <v>#REF!</v>
      </c>
      <c r="M191" s="2" t="s">
        <v>153</v>
      </c>
      <c r="N191" s="39" t="e">
        <f t="shared" ref="N191:P191" si="27">N190+1</f>
        <v>#REF!</v>
      </c>
      <c r="O191" s="2" t="e">
        <f t="shared" si="27"/>
        <v>#REF!</v>
      </c>
      <c r="P191" s="2" t="e">
        <f t="shared" si="27"/>
        <v>#REF!</v>
      </c>
    </row>
    <row r="192" spans="1:16" s="2" customFormat="1" ht="15.75" customHeight="1" x14ac:dyDescent="0.25">
      <c r="A192" s="91">
        <v>3</v>
      </c>
      <c r="B192" s="92"/>
      <c r="C192" s="20" t="s">
        <v>208</v>
      </c>
      <c r="D192" s="20">
        <f>(59.45+1.98)*10.764</f>
        <v>661.23251999999991</v>
      </c>
      <c r="E192" s="20">
        <v>0</v>
      </c>
      <c r="F192" s="20">
        <f>D192*(($F$150)+1)+E192</f>
        <v>991.84877999999981</v>
      </c>
      <c r="G192" s="98"/>
      <c r="H192" s="99"/>
      <c r="I192" s="39"/>
      <c r="O192" s="2" t="str">
        <f>LEFT(A193,SUM(LEN(A193)-LEN(SUBSTITUTE(A193,{"0","1","2","3"},""))))</f>
        <v>1st, 3rd, 4th, 5th,</v>
      </c>
      <c r="P192" s="2">
        <f ca="1">--TRIM(RIGHT(SUBSTITUTE(LEFT(A193,_xlfn.AGGREGATE(16,6,FIND({0,1,2,3,4,5,6,7,8,9},A193,ROW(INDIRECT("1:"&amp;LEN(A193)))),1))," ",REPT(" ",LEN(A193))),LEN(A193)))</f>
        <v>23</v>
      </c>
    </row>
    <row r="193" spans="1:16" s="2" customFormat="1" ht="15.6" customHeight="1" x14ac:dyDescent="0.25">
      <c r="A193" s="166" t="s">
        <v>210</v>
      </c>
      <c r="B193" s="167"/>
      <c r="C193" s="167"/>
      <c r="D193" s="167"/>
      <c r="E193" s="167"/>
      <c r="F193" s="167"/>
      <c r="G193" s="167"/>
      <c r="H193" s="168"/>
      <c r="I193" s="39"/>
      <c r="L193" s="2" t="str">
        <f ca="1">O193&amp;""&amp;M193&amp;""&amp;P193</f>
        <v>134501,..,2301</v>
      </c>
      <c r="M193" s="2" t="s">
        <v>150</v>
      </c>
      <c r="N193" s="39">
        <v>1</v>
      </c>
      <c r="O193" s="2">
        <f ca="1">(SUMPRODUCT(MID(0&amp;O192, LARGE(INDEX(ISNUMBER(--MID(O192, ROW(INDIRECT("1:"&amp;LEN(O192))), 1)) * ROW(INDIRECT("1:"&amp;LEN(O192))), 0), ROW(INDIRECT("1:"&amp;LEN(O192))))+1, 1) * 10^ROW(INDIRECT("1:"&amp;LEN(O192)))/10))*N193*100+1</f>
        <v>134501</v>
      </c>
      <c r="P193" s="2">
        <f ca="1">(SUMPRODUCT(MID(0&amp;P192, LARGE(INDEX(ISNUMBER(--MID(P192, ROW(INDIRECT("1:"&amp;LEN(P192))), 1)) * ROW(INDIRECT("1:"&amp;LEN(P192))), 0), ROW(INDIRECT("1:"&amp;LEN(P192))))+1, 1) * 10^ROW(INDIRECT("1:"&amp;LEN(P192)))/10))*N193*100+1</f>
        <v>2301</v>
      </c>
    </row>
    <row r="194" spans="1:16" s="2" customFormat="1" ht="15.6" customHeight="1" x14ac:dyDescent="0.25">
      <c r="A194" s="91">
        <v>1</v>
      </c>
      <c r="B194" s="92"/>
      <c r="C194" s="20" t="s">
        <v>141</v>
      </c>
      <c r="D194" s="20">
        <f>(82.53+3.29)*10.764</f>
        <v>923.76648</v>
      </c>
      <c r="E194" s="20">
        <v>0</v>
      </c>
      <c r="F194" s="20">
        <f>D194*(($F$150)+1)+E194</f>
        <v>1385.6497199999999</v>
      </c>
      <c r="G194" s="94" t="str">
        <f>A193</f>
        <v>1st, 3rd, 4th, 5th, 6th, 8th, 9th,  10th, 11th, 13th, 14th, 15th, 16th, 18th, 19th, 20th, 21st &amp; 23rd Floor</v>
      </c>
      <c r="H194" s="95"/>
      <c r="I194" s="39"/>
      <c r="L194" s="2" t="str">
        <f t="shared" ref="L194:L197" ca="1" si="28">O194&amp;""&amp;M194&amp;""&amp;P194</f>
        <v>134502,..,2302</v>
      </c>
      <c r="M194" s="2" t="s">
        <v>150</v>
      </c>
      <c r="N194" s="39">
        <f t="shared" ref="N194:P194" si="29">N193+1</f>
        <v>2</v>
      </c>
      <c r="O194" s="2">
        <f t="shared" ca="1" si="29"/>
        <v>134502</v>
      </c>
      <c r="P194" s="2">
        <f t="shared" ca="1" si="29"/>
        <v>2302</v>
      </c>
    </row>
    <row r="195" spans="1:16" s="2" customFormat="1" ht="15.6" customHeight="1" x14ac:dyDescent="0.25">
      <c r="A195" s="91">
        <v>2</v>
      </c>
      <c r="B195" s="92"/>
      <c r="C195" s="20" t="s">
        <v>208</v>
      </c>
      <c r="D195" s="20">
        <f>(59.45+1.98)*10.764</f>
        <v>661.23251999999991</v>
      </c>
      <c r="E195" s="20">
        <v>0</v>
      </c>
      <c r="F195" s="20">
        <f>D195*(($F$150)+1)+E195</f>
        <v>991.84877999999981</v>
      </c>
      <c r="G195" s="96"/>
      <c r="H195" s="97"/>
      <c r="I195" s="39"/>
      <c r="L195" s="2" t="str">
        <f t="shared" ca="1" si="28"/>
        <v>134503,..,2303</v>
      </c>
      <c r="M195" s="2" t="s">
        <v>150</v>
      </c>
      <c r="N195" s="39">
        <f t="shared" ref="N195:P195" si="30">N194+1</f>
        <v>3</v>
      </c>
      <c r="O195" s="2">
        <f t="shared" ca="1" si="30"/>
        <v>134503</v>
      </c>
      <c r="P195" s="2">
        <f t="shared" ca="1" si="30"/>
        <v>2303</v>
      </c>
    </row>
    <row r="196" spans="1:16" s="2" customFormat="1" ht="15.6" customHeight="1" x14ac:dyDescent="0.25">
      <c r="A196" s="91">
        <v>3</v>
      </c>
      <c r="B196" s="92"/>
      <c r="C196" s="20" t="s">
        <v>208</v>
      </c>
      <c r="D196" s="20">
        <f>(59.45+1.98)*10.764</f>
        <v>661.23251999999991</v>
      </c>
      <c r="E196" s="20">
        <v>0</v>
      </c>
      <c r="F196" s="20">
        <f>D196*(($F$150)+1)+E196</f>
        <v>991.84877999999981</v>
      </c>
      <c r="G196" s="96"/>
      <c r="H196" s="97"/>
      <c r="I196" s="39"/>
      <c r="L196" s="2" t="str">
        <f t="shared" ca="1" si="28"/>
        <v>134504,..,2304</v>
      </c>
      <c r="M196" s="2" t="s">
        <v>150</v>
      </c>
      <c r="N196" s="39">
        <f t="shared" ref="N196:P196" si="31">N195+1</f>
        <v>4</v>
      </c>
      <c r="O196" s="2">
        <f t="shared" ca="1" si="31"/>
        <v>134504</v>
      </c>
      <c r="P196" s="2">
        <f t="shared" ca="1" si="31"/>
        <v>2304</v>
      </c>
    </row>
    <row r="197" spans="1:16" s="2" customFormat="1" ht="15.6" customHeight="1" x14ac:dyDescent="0.25">
      <c r="A197" s="91">
        <v>4</v>
      </c>
      <c r="B197" s="92"/>
      <c r="C197" s="20" t="s">
        <v>141</v>
      </c>
      <c r="D197" s="20">
        <f>(82.53+3.29)*10.764</f>
        <v>923.76648</v>
      </c>
      <c r="E197" s="20">
        <v>0</v>
      </c>
      <c r="F197" s="20">
        <f>D197*(($F$150)+1)+E197</f>
        <v>1385.6497199999999</v>
      </c>
      <c r="G197" s="96"/>
      <c r="H197" s="97"/>
      <c r="I197" s="39"/>
      <c r="L197" s="2" t="str">
        <f t="shared" ca="1" si="28"/>
        <v>134505,..,2305</v>
      </c>
      <c r="M197" s="2" t="s">
        <v>150</v>
      </c>
      <c r="N197" s="39">
        <f t="shared" ref="N197:P197" si="32">N196+1</f>
        <v>5</v>
      </c>
      <c r="O197" s="2">
        <f t="shared" ca="1" si="32"/>
        <v>134505</v>
      </c>
      <c r="P197" s="2">
        <f t="shared" ca="1" si="32"/>
        <v>2305</v>
      </c>
    </row>
    <row r="198" spans="1:16" s="2" customFormat="1" ht="15.75" customHeight="1" x14ac:dyDescent="0.25">
      <c r="A198" s="91">
        <v>5</v>
      </c>
      <c r="B198" s="92"/>
      <c r="C198" s="20" t="s">
        <v>209</v>
      </c>
      <c r="D198" s="20">
        <f>(118.82+3.32)*10.764</f>
        <v>1314.7149599999998</v>
      </c>
      <c r="E198" s="20">
        <v>0</v>
      </c>
      <c r="F198" s="20">
        <f>D198*(($F$150)+1)+E198</f>
        <v>1972.0724399999997</v>
      </c>
      <c r="G198" s="98"/>
      <c r="H198" s="99"/>
      <c r="I198" s="39"/>
      <c r="O198" s="2" t="str">
        <f>LEFT(A199,SUM(LEN(A199)-LEN(SUBSTITUTE(A199,{"0","1","2","3"},""))))</f>
        <v>2nd, 7</v>
      </c>
      <c r="P198" s="2">
        <f ca="1">--TRIM(RIGHT(SUBSTITUTE(LEFT(A199,_xlfn.AGGREGATE(16,6,FIND({0,1,2,3,4,5,6,7,8,9},A199,ROW(INDIRECT("1:"&amp;LEN(A199)))),1))," ",REPT(" ",LEN(A199))),LEN(A199)))</f>
        <v>22</v>
      </c>
    </row>
    <row r="199" spans="1:16" s="2" customFormat="1" ht="15.6" customHeight="1" x14ac:dyDescent="0.25">
      <c r="A199" s="166" t="s">
        <v>211</v>
      </c>
      <c r="B199" s="167"/>
      <c r="C199" s="167"/>
      <c r="D199" s="167"/>
      <c r="E199" s="167"/>
      <c r="F199" s="167"/>
      <c r="G199" s="167"/>
      <c r="H199" s="168"/>
      <c r="I199" s="39"/>
      <c r="L199" s="2" t="str">
        <f ca="1">O199&amp;""&amp;M199&amp;""&amp;P199</f>
        <v>2701,..,2201</v>
      </c>
      <c r="M199" s="2" t="s">
        <v>150</v>
      </c>
      <c r="N199" s="39">
        <v>1</v>
      </c>
      <c r="O199" s="2">
        <f ca="1">(SUMPRODUCT(MID(0&amp;O198, LARGE(INDEX(ISNUMBER(--MID(O198, ROW(INDIRECT("1:"&amp;LEN(O198))), 1)) * ROW(INDIRECT("1:"&amp;LEN(O198))), 0), ROW(INDIRECT("1:"&amp;LEN(O198))))+1, 1) * 10^ROW(INDIRECT("1:"&amp;LEN(O198)))/10))*N199*100+1</f>
        <v>2701</v>
      </c>
      <c r="P199" s="2">
        <f ca="1">(SUMPRODUCT(MID(0&amp;P198, LARGE(INDEX(ISNUMBER(--MID(P198, ROW(INDIRECT("1:"&amp;LEN(P198))), 1)) * ROW(INDIRECT("1:"&amp;LEN(P198))), 0), ROW(INDIRECT("1:"&amp;LEN(P198))))+1, 1) * 10^ROW(INDIRECT("1:"&amp;LEN(P198)))/10))*N199*100+1</f>
        <v>2201</v>
      </c>
    </row>
    <row r="200" spans="1:16" s="2" customFormat="1" ht="15.6" customHeight="1" x14ac:dyDescent="0.25">
      <c r="A200" s="91">
        <v>1</v>
      </c>
      <c r="B200" s="92"/>
      <c r="C200" s="20" t="s">
        <v>141</v>
      </c>
      <c r="D200" s="20">
        <f>(82.53+3.29)*10.764</f>
        <v>923.76648</v>
      </c>
      <c r="E200" s="20">
        <v>0</v>
      </c>
      <c r="F200" s="20">
        <f>D200*(($F$150)+1)+E200</f>
        <v>1385.6497199999999</v>
      </c>
      <c r="G200" s="94" t="str">
        <f>A199</f>
        <v>2nd, 7th, 12th, 17th &amp; 22nd Floor (Part Refuge Area)</v>
      </c>
      <c r="H200" s="95"/>
      <c r="I200" s="39"/>
      <c r="L200" s="2" t="str">
        <f t="shared" ref="L200:L203" ca="1" si="33">O200&amp;""&amp;M200&amp;""&amp;P200</f>
        <v>2702,..,2202</v>
      </c>
      <c r="M200" s="2" t="s">
        <v>150</v>
      </c>
      <c r="N200" s="39">
        <f t="shared" ref="N200:P200" si="34">N199+1</f>
        <v>2</v>
      </c>
      <c r="O200" s="2">
        <f t="shared" ca="1" si="34"/>
        <v>2702</v>
      </c>
      <c r="P200" s="2">
        <f t="shared" ca="1" si="34"/>
        <v>2202</v>
      </c>
    </row>
    <row r="201" spans="1:16" s="2" customFormat="1" ht="15.6" customHeight="1" x14ac:dyDescent="0.25">
      <c r="A201" s="91">
        <v>2</v>
      </c>
      <c r="B201" s="92"/>
      <c r="C201" s="91" t="s">
        <v>213</v>
      </c>
      <c r="D201" s="93"/>
      <c r="E201" s="93"/>
      <c r="F201" s="92"/>
      <c r="G201" s="96"/>
      <c r="H201" s="97"/>
      <c r="I201" s="39"/>
      <c r="L201" s="2" t="str">
        <f t="shared" ca="1" si="33"/>
        <v>2703,..,2203</v>
      </c>
      <c r="M201" s="2" t="s">
        <v>150</v>
      </c>
      <c r="N201" s="39">
        <f t="shared" ref="N201:P201" si="35">N200+1</f>
        <v>3</v>
      </c>
      <c r="O201" s="2">
        <f t="shared" ca="1" si="35"/>
        <v>2703</v>
      </c>
      <c r="P201" s="2">
        <f t="shared" ca="1" si="35"/>
        <v>2203</v>
      </c>
    </row>
    <row r="202" spans="1:16" s="2" customFormat="1" ht="15.6" customHeight="1" x14ac:dyDescent="0.25">
      <c r="A202" s="91">
        <v>3</v>
      </c>
      <c r="B202" s="92"/>
      <c r="C202" s="20" t="s">
        <v>212</v>
      </c>
      <c r="D202" s="20">
        <f>(78.81+4.09)*10.764</f>
        <v>892.3356</v>
      </c>
      <c r="E202" s="20">
        <v>0</v>
      </c>
      <c r="F202" s="20">
        <f>D202*(($F$150)+1)+E202</f>
        <v>1338.5034000000001</v>
      </c>
      <c r="G202" s="96"/>
      <c r="H202" s="97"/>
      <c r="I202" s="39"/>
      <c r="L202" s="2" t="str">
        <f t="shared" ca="1" si="33"/>
        <v>2704,..,2204</v>
      </c>
      <c r="M202" s="2" t="s">
        <v>150</v>
      </c>
      <c r="N202" s="39">
        <f t="shared" ref="N202:P202" si="36">N201+1</f>
        <v>4</v>
      </c>
      <c r="O202" s="2">
        <f t="shared" ca="1" si="36"/>
        <v>2704</v>
      </c>
      <c r="P202" s="2">
        <f t="shared" ca="1" si="36"/>
        <v>2204</v>
      </c>
    </row>
    <row r="203" spans="1:16" s="2" customFormat="1" ht="15.6" customHeight="1" x14ac:dyDescent="0.25">
      <c r="A203" s="91">
        <v>4</v>
      </c>
      <c r="B203" s="92"/>
      <c r="C203" s="20" t="s">
        <v>141</v>
      </c>
      <c r="D203" s="20">
        <f>(82.53+3.29)*10.764</f>
        <v>923.76648</v>
      </c>
      <c r="E203" s="20">
        <v>0</v>
      </c>
      <c r="F203" s="20">
        <f>D203*(($F$150)+1)+E203</f>
        <v>1385.6497199999999</v>
      </c>
      <c r="G203" s="96"/>
      <c r="H203" s="97"/>
      <c r="I203" s="39"/>
      <c r="L203" s="2" t="str">
        <f t="shared" ca="1" si="33"/>
        <v>2705,..,2205</v>
      </c>
      <c r="M203" s="2" t="s">
        <v>150</v>
      </c>
      <c r="N203" s="39">
        <f t="shared" ref="N203:P203" si="37">N202+1</f>
        <v>5</v>
      </c>
      <c r="O203" s="2">
        <f t="shared" ca="1" si="37"/>
        <v>2705</v>
      </c>
      <c r="P203" s="2">
        <f t="shared" ca="1" si="37"/>
        <v>2205</v>
      </c>
    </row>
    <row r="204" spans="1:16" s="1" customFormat="1" x14ac:dyDescent="0.25">
      <c r="A204" s="91">
        <v>5</v>
      </c>
      <c r="B204" s="92"/>
      <c r="C204" s="20" t="s">
        <v>209</v>
      </c>
      <c r="D204" s="20">
        <f>(118.82+3.32)*10.764</f>
        <v>1314.7149599999998</v>
      </c>
      <c r="E204" s="20">
        <v>0</v>
      </c>
      <c r="F204" s="20">
        <f>D204*(($F$150)+1)+E204</f>
        <v>1972.0724399999997</v>
      </c>
      <c r="G204" s="98"/>
      <c r="H204" s="99"/>
    </row>
    <row r="205" spans="1:16" s="1" customFormat="1" x14ac:dyDescent="0.25">
      <c r="A205" s="171" t="s">
        <v>72</v>
      </c>
      <c r="B205" s="171"/>
      <c r="C205" s="171"/>
      <c r="D205" s="171"/>
      <c r="E205" s="171"/>
      <c r="F205" s="171"/>
      <c r="G205" s="171"/>
      <c r="H205" s="171"/>
    </row>
    <row r="206" spans="1:16" s="1" customFormat="1" ht="33" customHeight="1" x14ac:dyDescent="0.25">
      <c r="A206" s="44">
        <v>1</v>
      </c>
      <c r="B206" s="138" t="s">
        <v>255</v>
      </c>
      <c r="C206" s="139"/>
      <c r="D206" s="139"/>
      <c r="E206" s="139"/>
      <c r="F206" s="139"/>
      <c r="G206" s="139"/>
      <c r="H206" s="140"/>
    </row>
    <row r="207" spans="1:16" s="1" customFormat="1" x14ac:dyDescent="0.25">
      <c r="A207" s="70">
        <f>A206+1</f>
        <v>2</v>
      </c>
      <c r="B207" s="138" t="s">
        <v>227</v>
      </c>
      <c r="C207" s="139"/>
      <c r="D207" s="139"/>
      <c r="E207" s="139"/>
      <c r="F207" s="139"/>
      <c r="G207" s="139"/>
      <c r="H207" s="140"/>
    </row>
    <row r="208" spans="1:16" s="1" customFormat="1" x14ac:dyDescent="0.25">
      <c r="A208" s="70">
        <f t="shared" ref="A208:A216" si="38">A207+1</f>
        <v>3</v>
      </c>
      <c r="B208" s="138" t="s">
        <v>156</v>
      </c>
      <c r="C208" s="139"/>
      <c r="D208" s="139"/>
      <c r="E208" s="139"/>
      <c r="F208" s="139"/>
      <c r="G208" s="139"/>
      <c r="H208" s="140"/>
    </row>
    <row r="209" spans="1:8" s="1" customFormat="1" x14ac:dyDescent="0.25">
      <c r="A209" s="70">
        <f t="shared" si="38"/>
        <v>4</v>
      </c>
      <c r="B209" s="138" t="s">
        <v>279</v>
      </c>
      <c r="C209" s="139"/>
      <c r="D209" s="139"/>
      <c r="E209" s="139"/>
      <c r="F209" s="139"/>
      <c r="G209" s="139"/>
      <c r="H209" s="140"/>
    </row>
    <row r="210" spans="1:8" s="1" customFormat="1" x14ac:dyDescent="0.25">
      <c r="A210" s="70">
        <f t="shared" si="38"/>
        <v>5</v>
      </c>
      <c r="B210" s="138" t="s">
        <v>157</v>
      </c>
      <c r="C210" s="139"/>
      <c r="D210" s="139"/>
      <c r="E210" s="139"/>
      <c r="F210" s="139"/>
      <c r="G210" s="139"/>
      <c r="H210" s="140"/>
    </row>
    <row r="211" spans="1:8" s="1" customFormat="1" ht="33" customHeight="1" x14ac:dyDescent="0.25">
      <c r="A211" s="70">
        <f t="shared" si="38"/>
        <v>6</v>
      </c>
      <c r="B211" s="138" t="s">
        <v>230</v>
      </c>
      <c r="C211" s="139"/>
      <c r="D211" s="139"/>
      <c r="E211" s="139"/>
      <c r="F211" s="139"/>
      <c r="G211" s="139"/>
      <c r="H211" s="140"/>
    </row>
    <row r="212" spans="1:8" s="1" customFormat="1" x14ac:dyDescent="0.25">
      <c r="A212" s="70">
        <f t="shared" si="38"/>
        <v>7</v>
      </c>
      <c r="B212" s="138" t="s">
        <v>158</v>
      </c>
      <c r="C212" s="139"/>
      <c r="D212" s="139"/>
      <c r="E212" s="139"/>
      <c r="F212" s="139"/>
      <c r="G212" s="139"/>
      <c r="H212" s="140"/>
    </row>
    <row r="213" spans="1:8" s="1" customFormat="1" x14ac:dyDescent="0.25">
      <c r="A213" s="70">
        <f t="shared" si="38"/>
        <v>8</v>
      </c>
      <c r="B213" s="138" t="s">
        <v>234</v>
      </c>
      <c r="C213" s="139"/>
      <c r="D213" s="139"/>
      <c r="E213" s="139"/>
      <c r="F213" s="139"/>
      <c r="G213" s="139"/>
      <c r="H213" s="140"/>
    </row>
    <row r="214" spans="1:8" s="1" customFormat="1" x14ac:dyDescent="0.25">
      <c r="A214" s="70">
        <f t="shared" si="38"/>
        <v>9</v>
      </c>
      <c r="B214" s="138" t="s">
        <v>233</v>
      </c>
      <c r="C214" s="139"/>
      <c r="D214" s="139"/>
      <c r="E214" s="139"/>
      <c r="F214" s="139"/>
      <c r="G214" s="139"/>
      <c r="H214" s="140"/>
    </row>
    <row r="215" spans="1:8" s="1" customFormat="1" x14ac:dyDescent="0.25">
      <c r="A215" s="70">
        <f t="shared" si="38"/>
        <v>10</v>
      </c>
      <c r="B215" s="138" t="s">
        <v>243</v>
      </c>
      <c r="C215" s="139"/>
      <c r="D215" s="139"/>
      <c r="E215" s="139"/>
      <c r="F215" s="139"/>
      <c r="G215" s="139"/>
      <c r="H215" s="140"/>
    </row>
    <row r="216" spans="1:8" s="1" customFormat="1" x14ac:dyDescent="0.25">
      <c r="A216" s="70">
        <f t="shared" si="38"/>
        <v>11</v>
      </c>
      <c r="B216" s="138" t="s">
        <v>242</v>
      </c>
      <c r="C216" s="139"/>
      <c r="D216" s="139"/>
      <c r="E216" s="139"/>
      <c r="F216" s="139"/>
      <c r="G216" s="139"/>
      <c r="H216" s="140"/>
    </row>
    <row r="217" spans="1:8" s="1" customFormat="1" ht="29.25" customHeight="1" x14ac:dyDescent="0.25">
      <c r="A217" s="86">
        <v>12</v>
      </c>
      <c r="B217" s="105" t="s">
        <v>260</v>
      </c>
      <c r="C217" s="106"/>
      <c r="D217" s="106"/>
      <c r="E217" s="106"/>
      <c r="F217" s="106"/>
      <c r="G217" s="106"/>
      <c r="H217" s="107"/>
    </row>
    <row r="218" spans="1:8" s="1" customFormat="1" x14ac:dyDescent="0.25">
      <c r="A218" s="86">
        <v>13</v>
      </c>
      <c r="B218" s="105" t="s">
        <v>289</v>
      </c>
      <c r="C218" s="106"/>
      <c r="D218" s="106"/>
      <c r="E218" s="106"/>
      <c r="F218" s="106"/>
      <c r="G218" s="106"/>
      <c r="H218" s="107"/>
    </row>
    <row r="219" spans="1:8" ht="69" customHeight="1" x14ac:dyDescent="0.25">
      <c r="A219" s="86">
        <v>14</v>
      </c>
      <c r="B219" s="105" t="s">
        <v>269</v>
      </c>
      <c r="C219" s="106"/>
      <c r="D219" s="106"/>
      <c r="E219" s="106"/>
      <c r="F219" s="106"/>
      <c r="G219" s="106"/>
      <c r="H219" s="107"/>
    </row>
    <row r="220" spans="1:8" x14ac:dyDescent="0.25">
      <c r="A220" s="172" t="s">
        <v>65</v>
      </c>
      <c r="B220" s="172"/>
      <c r="C220" s="172"/>
      <c r="D220" s="172"/>
      <c r="E220" s="172"/>
      <c r="F220" s="172"/>
      <c r="G220" s="172"/>
      <c r="H220" s="172"/>
    </row>
    <row r="221" spans="1:8" ht="15.75" customHeight="1" x14ac:dyDescent="0.25">
      <c r="A221" s="152" t="s">
        <v>66</v>
      </c>
      <c r="B221" s="152"/>
      <c r="C221" s="152"/>
      <c r="D221" s="152"/>
      <c r="E221" s="152"/>
      <c r="F221" s="152"/>
      <c r="G221" s="152"/>
      <c r="H221" s="152"/>
    </row>
    <row r="222" spans="1:8" x14ac:dyDescent="0.25">
      <c r="A222" s="194" t="s">
        <v>67</v>
      </c>
      <c r="B222" s="194"/>
      <c r="C222" s="194"/>
      <c r="D222" s="194"/>
      <c r="E222" s="194"/>
      <c r="F222" s="194"/>
      <c r="G222" s="194"/>
      <c r="H222" s="194"/>
    </row>
    <row r="223" spans="1:8" x14ac:dyDescent="0.25">
      <c r="A223" s="152" t="s">
        <v>68</v>
      </c>
      <c r="B223" s="152"/>
      <c r="C223" s="152"/>
      <c r="D223" s="152"/>
      <c r="E223" s="152"/>
      <c r="F223" s="152"/>
      <c r="G223" s="152"/>
      <c r="H223" s="152"/>
    </row>
    <row r="224" spans="1:8" x14ac:dyDescent="0.25">
      <c r="A224" s="152" t="s">
        <v>69</v>
      </c>
      <c r="B224" s="152"/>
      <c r="C224" s="152"/>
      <c r="D224" s="152"/>
      <c r="E224" s="152"/>
      <c r="F224" s="152"/>
      <c r="G224" s="152"/>
      <c r="H224" s="152"/>
    </row>
    <row r="225" spans="1:8" x14ac:dyDescent="0.25">
      <c r="A225" s="152" t="s">
        <v>159</v>
      </c>
      <c r="B225" s="152"/>
      <c r="C225" s="152"/>
      <c r="D225" s="152"/>
      <c r="E225" s="152"/>
      <c r="F225" s="152"/>
      <c r="G225" s="152"/>
      <c r="H225" s="152"/>
    </row>
    <row r="226" spans="1:8" x14ac:dyDescent="0.25">
      <c r="A226" s="169" t="s">
        <v>160</v>
      </c>
      <c r="B226" s="169"/>
      <c r="C226" s="169"/>
      <c r="D226" s="169"/>
      <c r="E226" s="169"/>
      <c r="F226" s="169"/>
      <c r="G226" s="169"/>
      <c r="H226" s="169"/>
    </row>
    <row r="227" spans="1:8" x14ac:dyDescent="0.25">
      <c r="A227" s="192" t="s">
        <v>103</v>
      </c>
      <c r="B227" s="192"/>
      <c r="C227" s="192" t="s">
        <v>282</v>
      </c>
      <c r="D227" s="192"/>
      <c r="E227" s="192" t="s">
        <v>134</v>
      </c>
      <c r="F227" s="192"/>
      <c r="G227" s="192" t="s">
        <v>281</v>
      </c>
      <c r="H227" s="192"/>
    </row>
    <row r="228" spans="1:8" x14ac:dyDescent="0.25">
      <c r="A228" s="191" t="s">
        <v>105</v>
      </c>
      <c r="B228" s="191"/>
      <c r="C228" s="191"/>
      <c r="D228" s="191"/>
      <c r="E228" s="191"/>
      <c r="F228" s="191"/>
      <c r="G228" s="191"/>
      <c r="H228" s="191"/>
    </row>
    <row r="229" spans="1:8" x14ac:dyDescent="0.25">
      <c r="A229" s="191"/>
      <c r="B229" s="191"/>
      <c r="C229" s="191"/>
      <c r="D229" s="191"/>
      <c r="E229" s="191"/>
      <c r="F229" s="191"/>
      <c r="G229" s="191"/>
      <c r="H229" s="191"/>
    </row>
    <row r="230" spans="1:8" x14ac:dyDescent="0.25">
      <c r="A230" s="191"/>
      <c r="B230" s="191"/>
      <c r="C230" s="191"/>
      <c r="D230" s="191"/>
      <c r="E230" s="191"/>
      <c r="F230" s="191"/>
      <c r="G230" s="191"/>
      <c r="H230" s="191"/>
    </row>
    <row r="231" spans="1:8" x14ac:dyDescent="0.25">
      <c r="A231" s="191"/>
      <c r="B231" s="191"/>
      <c r="C231" s="191"/>
      <c r="D231" s="191"/>
      <c r="E231" s="191"/>
      <c r="F231" s="191"/>
      <c r="G231" s="191"/>
      <c r="H231" s="191"/>
    </row>
    <row r="232" spans="1:8" x14ac:dyDescent="0.25">
      <c r="A232" s="15" t="s">
        <v>70</v>
      </c>
      <c r="B232" s="16"/>
      <c r="C232" s="16"/>
      <c r="D232" s="15" t="str">
        <f>E8</f>
        <v>Birla Vanya Phase 2</v>
      </c>
      <c r="F232" s="16"/>
      <c r="G232" s="16"/>
      <c r="H232" s="16"/>
    </row>
    <row r="233" spans="1:8" x14ac:dyDescent="0.25">
      <c r="A233" s="16"/>
      <c r="B233" s="16"/>
      <c r="C233" s="16"/>
      <c r="D233" s="16"/>
      <c r="E233" s="16"/>
      <c r="F233" s="16"/>
      <c r="G233" s="16"/>
      <c r="H233" s="16"/>
    </row>
    <row r="234" spans="1:8" ht="15" customHeight="1" x14ac:dyDescent="0.25">
      <c r="A234" s="16"/>
      <c r="B234" s="16"/>
      <c r="C234" s="16"/>
      <c r="D234" s="16"/>
      <c r="E234" s="16"/>
      <c r="F234" s="16"/>
      <c r="G234" s="16"/>
      <c r="H234" s="16"/>
    </row>
    <row r="274" spans="1:8" ht="15.75" customHeight="1" x14ac:dyDescent="0.25"/>
    <row r="275" spans="1:8" x14ac:dyDescent="0.25">
      <c r="A275" s="108" t="s">
        <v>294</v>
      </c>
      <c r="B275" s="108"/>
      <c r="C275" s="16"/>
      <c r="D275" s="15"/>
      <c r="F275" s="16"/>
      <c r="G275" s="16"/>
      <c r="H275" s="16"/>
    </row>
    <row r="276" spans="1:8" x14ac:dyDescent="0.25">
      <c r="A276" s="16"/>
      <c r="B276" s="16"/>
      <c r="C276" s="16"/>
      <c r="D276" s="16"/>
      <c r="E276" s="16"/>
      <c r="F276" s="16"/>
      <c r="G276" s="16"/>
      <c r="H276" s="16"/>
    </row>
    <row r="277" spans="1:8" ht="15" customHeight="1" x14ac:dyDescent="0.25">
      <c r="A277" s="16"/>
      <c r="B277" s="16"/>
      <c r="C277" s="16"/>
      <c r="D277" s="16"/>
      <c r="E277" s="16"/>
      <c r="F277" s="16"/>
      <c r="G277" s="16"/>
      <c r="H277" s="16"/>
    </row>
    <row r="318" spans="1:1" x14ac:dyDescent="0.25">
      <c r="A318" s="18" t="s">
        <v>71</v>
      </c>
    </row>
  </sheetData>
  <mergeCells count="406">
    <mergeCell ref="A48:B48"/>
    <mergeCell ref="C48:E48"/>
    <mergeCell ref="G48:H48"/>
    <mergeCell ref="A53:B53"/>
    <mergeCell ref="C53:E53"/>
    <mergeCell ref="G53:H53"/>
    <mergeCell ref="B215:H215"/>
    <mergeCell ref="A10:D10"/>
    <mergeCell ref="E10:H10"/>
    <mergeCell ref="B214:H214"/>
    <mergeCell ref="A88:B88"/>
    <mergeCell ref="E88:F97"/>
    <mergeCell ref="G88:H97"/>
    <mergeCell ref="A89:B89"/>
    <mergeCell ref="A90:B90"/>
    <mergeCell ref="A91:B91"/>
    <mergeCell ref="A92:B92"/>
    <mergeCell ref="A93:B93"/>
    <mergeCell ref="A94:B94"/>
    <mergeCell ref="A95:B95"/>
    <mergeCell ref="A96:B96"/>
    <mergeCell ref="A97:B97"/>
    <mergeCell ref="A162:B162"/>
    <mergeCell ref="A161:B161"/>
    <mergeCell ref="B208:H208"/>
    <mergeCell ref="B210:H210"/>
    <mergeCell ref="A171:H171"/>
    <mergeCell ref="D61:H61"/>
    <mergeCell ref="A58:C61"/>
    <mergeCell ref="A82:B82"/>
    <mergeCell ref="C82:H82"/>
    <mergeCell ref="A83:B83"/>
    <mergeCell ref="C83:D83"/>
    <mergeCell ref="A84:B84"/>
    <mergeCell ref="C84:H84"/>
    <mergeCell ref="A87:B87"/>
    <mergeCell ref="E87:F87"/>
    <mergeCell ref="G87:H87"/>
    <mergeCell ref="D58:H58"/>
    <mergeCell ref="D59:H59"/>
    <mergeCell ref="D60:H60"/>
    <mergeCell ref="A62:C62"/>
    <mergeCell ref="A63:C63"/>
    <mergeCell ref="D62:H62"/>
    <mergeCell ref="A65:C65"/>
    <mergeCell ref="D65:H65"/>
    <mergeCell ref="A72:B72"/>
    <mergeCell ref="G71:H71"/>
    <mergeCell ref="A68:B68"/>
    <mergeCell ref="A66:B66"/>
    <mergeCell ref="C66:H66"/>
    <mergeCell ref="A69:B70"/>
    <mergeCell ref="C69:D70"/>
    <mergeCell ref="E69:F70"/>
    <mergeCell ref="G69:H70"/>
    <mergeCell ref="A76:B76"/>
    <mergeCell ref="A77:B77"/>
    <mergeCell ref="B209:H209"/>
    <mergeCell ref="A64:C64"/>
    <mergeCell ref="D64:H64"/>
    <mergeCell ref="C68:H68"/>
    <mergeCell ref="E72:F81"/>
    <mergeCell ref="G72:H81"/>
    <mergeCell ref="A80:B80"/>
    <mergeCell ref="A81:B81"/>
    <mergeCell ref="A201:B201"/>
    <mergeCell ref="F124:H124"/>
    <mergeCell ref="A121:E121"/>
    <mergeCell ref="F121:H121"/>
    <mergeCell ref="A112:E112"/>
    <mergeCell ref="F112:H112"/>
    <mergeCell ref="A173:B173"/>
    <mergeCell ref="A175:H175"/>
    <mergeCell ref="A176:B176"/>
    <mergeCell ref="G182:H186"/>
    <mergeCell ref="A199:H199"/>
    <mergeCell ref="A172:B172"/>
    <mergeCell ref="A133:B133"/>
    <mergeCell ref="C67:D67"/>
    <mergeCell ref="A35:H35"/>
    <mergeCell ref="A34:B34"/>
    <mergeCell ref="A29:D29"/>
    <mergeCell ref="E29:H29"/>
    <mergeCell ref="A38:H38"/>
    <mergeCell ref="A39:D39"/>
    <mergeCell ref="E39:H39"/>
    <mergeCell ref="F31:H31"/>
    <mergeCell ref="F32:H32"/>
    <mergeCell ref="C30:E30"/>
    <mergeCell ref="C36:H36"/>
    <mergeCell ref="A37:B37"/>
    <mergeCell ref="C37:H37"/>
    <mergeCell ref="F33:H33"/>
    <mergeCell ref="F34:H34"/>
    <mergeCell ref="A36:B36"/>
    <mergeCell ref="A23:D23"/>
    <mergeCell ref="E23:H23"/>
    <mergeCell ref="A27:D27"/>
    <mergeCell ref="E27:H27"/>
    <mergeCell ref="A24:D24"/>
    <mergeCell ref="A33:B33"/>
    <mergeCell ref="C33:E33"/>
    <mergeCell ref="C34:E34"/>
    <mergeCell ref="A20:D21"/>
    <mergeCell ref="E20:H21"/>
    <mergeCell ref="F30:H30"/>
    <mergeCell ref="A31:B31"/>
    <mergeCell ref="A30:B30"/>
    <mergeCell ref="C31:E31"/>
    <mergeCell ref="A32:B32"/>
    <mergeCell ref="C32:E32"/>
    <mergeCell ref="A25:D25"/>
    <mergeCell ref="E25:H25"/>
    <mergeCell ref="E24:H24"/>
    <mergeCell ref="A26:D26"/>
    <mergeCell ref="E26:H26"/>
    <mergeCell ref="A28:D28"/>
    <mergeCell ref="E28:H28"/>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H1"/>
    <mergeCell ref="A2:H2"/>
    <mergeCell ref="A3:D3"/>
    <mergeCell ref="E3:H3"/>
    <mergeCell ref="A4:D4"/>
    <mergeCell ref="A8:D8"/>
    <mergeCell ref="E8:H8"/>
    <mergeCell ref="A9:D9"/>
    <mergeCell ref="E9:H9"/>
    <mergeCell ref="E4:H4"/>
    <mergeCell ref="A41:D41"/>
    <mergeCell ref="E41:H41"/>
    <mergeCell ref="E42:H42"/>
    <mergeCell ref="E43:H43"/>
    <mergeCell ref="E44:H44"/>
    <mergeCell ref="A42:D42"/>
    <mergeCell ref="A43:D43"/>
    <mergeCell ref="A44:D44"/>
    <mergeCell ref="A45:H45"/>
    <mergeCell ref="G50:H50"/>
    <mergeCell ref="D55:H55"/>
    <mergeCell ref="C50:E50"/>
    <mergeCell ref="A118:E118"/>
    <mergeCell ref="A115:H115"/>
    <mergeCell ref="A152:H152"/>
    <mergeCell ref="G134:H134"/>
    <mergeCell ref="C133:D133"/>
    <mergeCell ref="E133:F133"/>
    <mergeCell ref="G133:H133"/>
    <mergeCell ref="A73:B73"/>
    <mergeCell ref="A75:B75"/>
    <mergeCell ref="E71:F71"/>
    <mergeCell ref="A71:B71"/>
    <mergeCell ref="A79:B79"/>
    <mergeCell ref="C134:D134"/>
    <mergeCell ref="E134:F134"/>
    <mergeCell ref="B149:B150"/>
    <mergeCell ref="F125:H125"/>
    <mergeCell ref="F123:H123"/>
    <mergeCell ref="A116:E116"/>
    <mergeCell ref="A78:B78"/>
    <mergeCell ref="A74:B74"/>
    <mergeCell ref="A67:B67"/>
    <mergeCell ref="A228:H231"/>
    <mergeCell ref="A227:B227"/>
    <mergeCell ref="E227:F227"/>
    <mergeCell ref="C227:D227"/>
    <mergeCell ref="G227:H227"/>
    <mergeCell ref="A126:E126"/>
    <mergeCell ref="F126:H126"/>
    <mergeCell ref="A127:E127"/>
    <mergeCell ref="F127:H127"/>
    <mergeCell ref="A134:B134"/>
    <mergeCell ref="A160:B160"/>
    <mergeCell ref="A223:H223"/>
    <mergeCell ref="A132:H132"/>
    <mergeCell ref="A222:H222"/>
    <mergeCell ref="C149:C150"/>
    <mergeCell ref="D149:D150"/>
    <mergeCell ref="E149:E150"/>
    <mergeCell ref="G149:H150"/>
    <mergeCell ref="A154:H154"/>
    <mergeCell ref="A157:H157"/>
    <mergeCell ref="A159:B159"/>
    <mergeCell ref="A148:H148"/>
    <mergeCell ref="A200:B200"/>
    <mergeCell ref="G200:H204"/>
    <mergeCell ref="A46:B46"/>
    <mergeCell ref="C46:E46"/>
    <mergeCell ref="G46:H46"/>
    <mergeCell ref="D57:H57"/>
    <mergeCell ref="E40:H40"/>
    <mergeCell ref="A40:D40"/>
    <mergeCell ref="A57:C57"/>
    <mergeCell ref="L151:M151"/>
    <mergeCell ref="A151:H151"/>
    <mergeCell ref="L150:M150"/>
    <mergeCell ref="D63:H63"/>
    <mergeCell ref="C47:E47"/>
    <mergeCell ref="A52:B52"/>
    <mergeCell ref="C52:E52"/>
    <mergeCell ref="A47:B47"/>
    <mergeCell ref="A54:H54"/>
    <mergeCell ref="A55:C55"/>
    <mergeCell ref="A56:C56"/>
    <mergeCell ref="D56:H56"/>
    <mergeCell ref="G52:H52"/>
    <mergeCell ref="C51:H51"/>
    <mergeCell ref="A124:E124"/>
    <mergeCell ref="G47:H47"/>
    <mergeCell ref="A50:B51"/>
    <mergeCell ref="A225:H225"/>
    <mergeCell ref="A226:H226"/>
    <mergeCell ref="F116:H116"/>
    <mergeCell ref="A113:H113"/>
    <mergeCell ref="A114:B114"/>
    <mergeCell ref="C114:H114"/>
    <mergeCell ref="F117:H117"/>
    <mergeCell ref="A117:E117"/>
    <mergeCell ref="F118:H118"/>
    <mergeCell ref="A122:E122"/>
    <mergeCell ref="F122:H122"/>
    <mergeCell ref="A119:E119"/>
    <mergeCell ref="F119:H119"/>
    <mergeCell ref="A120:E120"/>
    <mergeCell ref="F120:H120"/>
    <mergeCell ref="A224:H224"/>
    <mergeCell ref="A205:H205"/>
    <mergeCell ref="A220:H220"/>
    <mergeCell ref="A221:H221"/>
    <mergeCell ref="A170:H170"/>
    <mergeCell ref="B212:H212"/>
    <mergeCell ref="B213:H213"/>
    <mergeCell ref="B206:H206"/>
    <mergeCell ref="B207:H207"/>
    <mergeCell ref="A163:H163"/>
    <mergeCell ref="A164:B164"/>
    <mergeCell ref="A165:B165"/>
    <mergeCell ref="A166:B166"/>
    <mergeCell ref="A167:B167"/>
    <mergeCell ref="A168:B168"/>
    <mergeCell ref="C165:F165"/>
    <mergeCell ref="A169:H169"/>
    <mergeCell ref="L152:M152"/>
    <mergeCell ref="L168:M168"/>
    <mergeCell ref="A195:B195"/>
    <mergeCell ref="A196:B196"/>
    <mergeCell ref="A197:B197"/>
    <mergeCell ref="A198:B198"/>
    <mergeCell ref="L186:M186"/>
    <mergeCell ref="A188:H188"/>
    <mergeCell ref="L187:M187"/>
    <mergeCell ref="A187:H187"/>
    <mergeCell ref="L169:M169"/>
    <mergeCell ref="C99:D99"/>
    <mergeCell ref="A100:B100"/>
    <mergeCell ref="C100:H100"/>
    <mergeCell ref="A101:B101"/>
    <mergeCell ref="E101:F101"/>
    <mergeCell ref="G101:H101"/>
    <mergeCell ref="E137:F137"/>
    <mergeCell ref="G137:H137"/>
    <mergeCell ref="A189:H189"/>
    <mergeCell ref="G155:H156"/>
    <mergeCell ref="G158:H162"/>
    <mergeCell ref="G164:H168"/>
    <mergeCell ref="A149:A150"/>
    <mergeCell ref="A155:B155"/>
    <mergeCell ref="A156:B156"/>
    <mergeCell ref="A139:H139"/>
    <mergeCell ref="A153:H153"/>
    <mergeCell ref="A177:B177"/>
    <mergeCell ref="A158:B158"/>
    <mergeCell ref="A183:B183"/>
    <mergeCell ref="C183:F183"/>
    <mergeCell ref="A184:B184"/>
    <mergeCell ref="A185:B185"/>
    <mergeCell ref="A186:B186"/>
    <mergeCell ref="B211:H211"/>
    <mergeCell ref="C201:F201"/>
    <mergeCell ref="A202:B202"/>
    <mergeCell ref="A203:B203"/>
    <mergeCell ref="A204:B204"/>
    <mergeCell ref="A135:B135"/>
    <mergeCell ref="C135:D135"/>
    <mergeCell ref="E135:F135"/>
    <mergeCell ref="G135:H135"/>
    <mergeCell ref="A136:B136"/>
    <mergeCell ref="C136:D136"/>
    <mergeCell ref="E136:F136"/>
    <mergeCell ref="G136:H136"/>
    <mergeCell ref="A137:B137"/>
    <mergeCell ref="C137:D137"/>
    <mergeCell ref="A178:B178"/>
    <mergeCell ref="A179:B179"/>
    <mergeCell ref="A180:B180"/>
    <mergeCell ref="A181:H181"/>
    <mergeCell ref="A182:B182"/>
    <mergeCell ref="G176:H180"/>
    <mergeCell ref="A193:H193"/>
    <mergeCell ref="A194:B194"/>
    <mergeCell ref="G194:H198"/>
    <mergeCell ref="A49:B49"/>
    <mergeCell ref="C49:E49"/>
    <mergeCell ref="G49:H49"/>
    <mergeCell ref="B217:H217"/>
    <mergeCell ref="A128:H128"/>
    <mergeCell ref="A129:B129"/>
    <mergeCell ref="C129:D129"/>
    <mergeCell ref="E129:F129"/>
    <mergeCell ref="G129:H129"/>
    <mergeCell ref="A130:B130"/>
    <mergeCell ref="C130:D130"/>
    <mergeCell ref="E130:F130"/>
    <mergeCell ref="G130:H130"/>
    <mergeCell ref="A140:H140"/>
    <mergeCell ref="A85:B86"/>
    <mergeCell ref="C85:D86"/>
    <mergeCell ref="E85:F86"/>
    <mergeCell ref="G85:H86"/>
    <mergeCell ref="B216:H216"/>
    <mergeCell ref="A102:B102"/>
    <mergeCell ref="E102:F111"/>
    <mergeCell ref="G102:H111"/>
    <mergeCell ref="A103:B103"/>
    <mergeCell ref="A104:B104"/>
    <mergeCell ref="B219:H219"/>
    <mergeCell ref="A275:B275"/>
    <mergeCell ref="A143:H143"/>
    <mergeCell ref="L140:M140"/>
    <mergeCell ref="A144:H144"/>
    <mergeCell ref="L143:M143"/>
    <mergeCell ref="A145:B145"/>
    <mergeCell ref="G145:H147"/>
    <mergeCell ref="A146:B146"/>
    <mergeCell ref="C146:F146"/>
    <mergeCell ref="A147:B147"/>
    <mergeCell ref="C147:F147"/>
    <mergeCell ref="A141:A142"/>
    <mergeCell ref="B141:B142"/>
    <mergeCell ref="C141:C142"/>
    <mergeCell ref="D141:D142"/>
    <mergeCell ref="E141:E142"/>
    <mergeCell ref="G141:H142"/>
    <mergeCell ref="B218:H218"/>
    <mergeCell ref="L188:M188"/>
    <mergeCell ref="A190:H190"/>
    <mergeCell ref="A191:B191"/>
    <mergeCell ref="G191:H192"/>
    <mergeCell ref="A192:B192"/>
    <mergeCell ref="I62:M62"/>
    <mergeCell ref="A174:B174"/>
    <mergeCell ref="C174:F174"/>
    <mergeCell ref="G172:H174"/>
    <mergeCell ref="A131:B131"/>
    <mergeCell ref="C131:D131"/>
    <mergeCell ref="E131:F131"/>
    <mergeCell ref="G131:H131"/>
    <mergeCell ref="A138:B138"/>
    <mergeCell ref="C138:D138"/>
    <mergeCell ref="E138:F138"/>
    <mergeCell ref="G138:H138"/>
    <mergeCell ref="A105:B105"/>
    <mergeCell ref="A106:B106"/>
    <mergeCell ref="A107:B107"/>
    <mergeCell ref="A108:B108"/>
    <mergeCell ref="A109:B109"/>
    <mergeCell ref="A110:B110"/>
    <mergeCell ref="A111:B111"/>
    <mergeCell ref="A123:E123"/>
    <mergeCell ref="A125:E125"/>
    <mergeCell ref="A98:B98"/>
    <mergeCell ref="C98:H98"/>
    <mergeCell ref="A99:B99"/>
  </mergeCells>
  <hyperlinks>
    <hyperlink ref="C37" r:id="rId1"/>
  </hyperlinks>
  <printOptions horizontalCentered="1"/>
  <pageMargins left="0.39370078740157483" right="0.39370078740157483" top="0.78740157480314965" bottom="0.78740157480314965" header="0.19685039370078741" footer="0.19685039370078741"/>
  <pageSetup scale="95" fitToHeight="0" orientation="portrait" r:id="rId2"/>
  <headerFooter>
    <oddHeader>&amp;C&amp;G</oddHeader>
    <oddFooter>&amp;L&amp;"Times New Roman,Bold"&amp;12Ref No: &amp;F&amp;C&amp;G&amp;R&amp;"Times New Roman,Bold"&amp;12                                                    &amp;P</oddFooter>
  </headerFooter>
  <rowBreaks count="6" manualBreakCount="6">
    <brk id="97" max="7" man="1"/>
    <brk id="138" max="7" man="1"/>
    <brk id="219" max="7" man="1"/>
    <brk id="231" max="7" man="1"/>
    <brk id="274" max="7" man="1"/>
    <brk id="317" max="7" man="1"/>
  </rowBreaks>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opLeftCell="A13" zoomScale="85" zoomScaleNormal="85" workbookViewId="0">
      <selection activeCell="A24" sqref="A24:A25"/>
    </sheetView>
  </sheetViews>
  <sheetFormatPr defaultRowHeight="15" x14ac:dyDescent="0.25"/>
  <cols>
    <col min="1" max="1" width="23.7109375" bestFit="1" customWidth="1"/>
    <col min="2" max="2" width="13.5703125" customWidth="1"/>
    <col min="3" max="3" width="14.28515625" bestFit="1" customWidth="1"/>
    <col min="4" max="4" width="16.7109375" customWidth="1"/>
    <col min="5" max="5" width="20.140625" customWidth="1"/>
    <col min="6" max="6" width="22" bestFit="1" customWidth="1"/>
    <col min="7" max="7" width="23.85546875" customWidth="1"/>
    <col min="8" max="8" width="15.140625" customWidth="1"/>
    <col min="9" max="9" width="20" customWidth="1"/>
  </cols>
  <sheetData>
    <row r="1" spans="1:9" ht="19.5" x14ac:dyDescent="0.3">
      <c r="A1" s="232" t="s">
        <v>184</v>
      </c>
      <c r="B1" s="232"/>
      <c r="C1" s="232"/>
      <c r="D1" s="232"/>
      <c r="E1" s="232"/>
      <c r="F1" s="232"/>
      <c r="G1" s="232"/>
      <c r="H1" s="232"/>
      <c r="I1" s="232"/>
    </row>
    <row r="2" spans="1:9" ht="15" customHeight="1" x14ac:dyDescent="0.25">
      <c r="A2" s="230" t="s">
        <v>161</v>
      </c>
      <c r="B2" s="230"/>
      <c r="C2" s="230"/>
      <c r="D2" s="230"/>
      <c r="E2" s="230"/>
      <c r="F2" s="230"/>
      <c r="G2" s="230"/>
      <c r="H2" s="230"/>
      <c r="I2" s="230"/>
    </row>
    <row r="3" spans="1:9" x14ac:dyDescent="0.25">
      <c r="A3" s="56"/>
      <c r="B3" s="57" t="s">
        <v>162</v>
      </c>
      <c r="C3" s="57" t="s">
        <v>163</v>
      </c>
      <c r="D3" s="57" t="s">
        <v>164</v>
      </c>
      <c r="E3" s="57" t="s">
        <v>165</v>
      </c>
      <c r="F3" s="58" t="s">
        <v>166</v>
      </c>
      <c r="G3" s="58" t="s">
        <v>167</v>
      </c>
      <c r="H3" s="57" t="s">
        <v>168</v>
      </c>
      <c r="I3" s="59" t="s">
        <v>169</v>
      </c>
    </row>
    <row r="4" spans="1:9" x14ac:dyDescent="0.25">
      <c r="A4" s="45" t="s">
        <v>170</v>
      </c>
      <c r="B4" s="46">
        <v>0</v>
      </c>
      <c r="C4" s="46">
        <v>0</v>
      </c>
      <c r="D4" s="46">
        <v>20</v>
      </c>
      <c r="E4" s="46">
        <v>20</v>
      </c>
      <c r="F4" s="49">
        <v>30</v>
      </c>
      <c r="G4" s="50">
        <v>30</v>
      </c>
      <c r="H4" s="48">
        <v>0</v>
      </c>
      <c r="I4" s="48">
        <f t="shared" ref="I4:I11" si="0">G4/F4*E4</f>
        <v>20</v>
      </c>
    </row>
    <row r="5" spans="1:9" x14ac:dyDescent="0.25">
      <c r="A5" s="45" t="s">
        <v>51</v>
      </c>
      <c r="B5" s="46">
        <v>10</v>
      </c>
      <c r="C5" s="46">
        <v>10</v>
      </c>
      <c r="D5" s="46">
        <v>45</v>
      </c>
      <c r="E5" s="46">
        <v>25</v>
      </c>
      <c r="F5" s="49">
        <f>F4</f>
        <v>30</v>
      </c>
      <c r="G5" s="50">
        <v>30</v>
      </c>
      <c r="H5" s="48">
        <f t="shared" ref="H5:H11" si="1">G5/F5*C5</f>
        <v>10</v>
      </c>
      <c r="I5" s="48">
        <f t="shared" si="0"/>
        <v>25</v>
      </c>
    </row>
    <row r="6" spans="1:9" ht="25.5" x14ac:dyDescent="0.25">
      <c r="A6" s="45" t="s">
        <v>171</v>
      </c>
      <c r="B6" s="46">
        <v>50</v>
      </c>
      <c r="C6" s="46">
        <v>40</v>
      </c>
      <c r="D6" s="46">
        <v>75</v>
      </c>
      <c r="E6" s="46">
        <v>30</v>
      </c>
      <c r="F6" s="49">
        <v>35</v>
      </c>
      <c r="G6" s="50">
        <v>35</v>
      </c>
      <c r="H6" s="48">
        <f t="shared" si="1"/>
        <v>40</v>
      </c>
      <c r="I6" s="48">
        <f t="shared" si="0"/>
        <v>30</v>
      </c>
    </row>
    <row r="7" spans="1:9" ht="25.5" x14ac:dyDescent="0.25">
      <c r="A7" s="60" t="s">
        <v>172</v>
      </c>
      <c r="B7" s="46">
        <v>65</v>
      </c>
      <c r="C7" s="46">
        <v>15</v>
      </c>
      <c r="D7" s="46">
        <v>85</v>
      </c>
      <c r="E7" s="46">
        <v>10</v>
      </c>
      <c r="F7" s="49">
        <f>F4</f>
        <v>30</v>
      </c>
      <c r="G7" s="50">
        <v>30</v>
      </c>
      <c r="H7" s="48">
        <f t="shared" si="1"/>
        <v>15</v>
      </c>
      <c r="I7" s="48">
        <f t="shared" si="0"/>
        <v>10</v>
      </c>
    </row>
    <row r="8" spans="1:9" x14ac:dyDescent="0.25">
      <c r="A8" s="45" t="s">
        <v>173</v>
      </c>
      <c r="B8" s="46">
        <v>75</v>
      </c>
      <c r="C8" s="46">
        <v>10</v>
      </c>
      <c r="D8" s="46">
        <v>90</v>
      </c>
      <c r="E8" s="46">
        <v>5</v>
      </c>
      <c r="F8" s="49">
        <f>F4</f>
        <v>30</v>
      </c>
      <c r="G8" s="50">
        <v>30</v>
      </c>
      <c r="H8" s="48">
        <f t="shared" si="1"/>
        <v>10</v>
      </c>
      <c r="I8" s="48">
        <f t="shared" si="0"/>
        <v>5</v>
      </c>
    </row>
    <row r="9" spans="1:9" ht="25.5" x14ac:dyDescent="0.25">
      <c r="A9" s="45" t="s">
        <v>182</v>
      </c>
      <c r="B9" s="46">
        <v>85</v>
      </c>
      <c r="C9" s="46">
        <v>10</v>
      </c>
      <c r="D9" s="46">
        <v>95</v>
      </c>
      <c r="E9" s="46">
        <v>5</v>
      </c>
      <c r="F9" s="49">
        <f>F5</f>
        <v>30</v>
      </c>
      <c r="G9" s="50">
        <v>30</v>
      </c>
      <c r="H9" s="48">
        <f t="shared" si="1"/>
        <v>10</v>
      </c>
      <c r="I9" s="48">
        <f t="shared" si="0"/>
        <v>5</v>
      </c>
    </row>
    <row r="10" spans="1:9" ht="25.5" x14ac:dyDescent="0.25">
      <c r="A10" s="60" t="s">
        <v>175</v>
      </c>
      <c r="B10" s="46">
        <v>95</v>
      </c>
      <c r="C10" s="46">
        <v>10</v>
      </c>
      <c r="D10" s="46">
        <v>95</v>
      </c>
      <c r="E10" s="46">
        <v>0</v>
      </c>
      <c r="F10" s="49">
        <f>F4</f>
        <v>30</v>
      </c>
      <c r="G10" s="50">
        <v>30</v>
      </c>
      <c r="H10" s="48">
        <f t="shared" si="1"/>
        <v>10</v>
      </c>
      <c r="I10" s="48">
        <f t="shared" si="0"/>
        <v>0</v>
      </c>
    </row>
    <row r="11" spans="1:9" x14ac:dyDescent="0.25">
      <c r="A11" s="45" t="s">
        <v>176</v>
      </c>
      <c r="B11" s="46">
        <v>100</v>
      </c>
      <c r="C11" s="46">
        <v>5</v>
      </c>
      <c r="D11" s="46">
        <v>100</v>
      </c>
      <c r="E11" s="46">
        <v>5</v>
      </c>
      <c r="F11" s="49">
        <f>F4</f>
        <v>30</v>
      </c>
      <c r="G11" s="50">
        <v>30</v>
      </c>
      <c r="H11" s="48">
        <f t="shared" si="1"/>
        <v>5</v>
      </c>
      <c r="I11" s="48">
        <f t="shared" si="0"/>
        <v>5</v>
      </c>
    </row>
    <row r="12" spans="1:9" x14ac:dyDescent="0.25">
      <c r="A12" s="51"/>
      <c r="B12" s="51"/>
      <c r="C12" s="51">
        <f>SUM(C4:C11)</f>
        <v>100</v>
      </c>
      <c r="D12" s="51"/>
      <c r="E12" s="51">
        <f>SUM(E4:E11)</f>
        <v>100</v>
      </c>
      <c r="F12" s="51"/>
      <c r="G12" s="52" t="s">
        <v>177</v>
      </c>
      <c r="H12" s="53">
        <f>SUM(H4:H11)</f>
        <v>100</v>
      </c>
      <c r="I12" s="53">
        <f>SUM(I4:I11)</f>
        <v>100</v>
      </c>
    </row>
    <row r="14" spans="1:9" ht="19.5" x14ac:dyDescent="0.3">
      <c r="A14" s="233" t="s">
        <v>185</v>
      </c>
      <c r="B14" s="234"/>
      <c r="C14" s="234"/>
      <c r="D14" s="234"/>
      <c r="E14" s="234"/>
      <c r="F14" s="234"/>
      <c r="G14" s="234"/>
      <c r="H14" s="234"/>
      <c r="I14" s="235"/>
    </row>
    <row r="15" spans="1:9" x14ac:dyDescent="0.25">
      <c r="A15" s="231" t="s">
        <v>161</v>
      </c>
      <c r="B15" s="231"/>
      <c r="C15" s="231"/>
      <c r="D15" s="231"/>
      <c r="E15" s="231"/>
      <c r="F15" s="231"/>
      <c r="G15" s="231"/>
      <c r="H15" s="231"/>
      <c r="I15" s="231"/>
    </row>
    <row r="16" spans="1:9" x14ac:dyDescent="0.25">
      <c r="A16" s="45"/>
      <c r="B16" s="46" t="s">
        <v>162</v>
      </c>
      <c r="C16" s="46" t="s">
        <v>163</v>
      </c>
      <c r="D16" s="46" t="s">
        <v>164</v>
      </c>
      <c r="E16" s="46" t="s">
        <v>165</v>
      </c>
      <c r="F16" s="47" t="s">
        <v>166</v>
      </c>
      <c r="G16" s="47" t="s">
        <v>167</v>
      </c>
      <c r="H16" s="46" t="s">
        <v>168</v>
      </c>
      <c r="I16" s="48" t="s">
        <v>169</v>
      </c>
    </row>
    <row r="17" spans="1:9" x14ac:dyDescent="0.25">
      <c r="A17" s="45" t="s">
        <v>170</v>
      </c>
      <c r="B17" s="46">
        <v>0</v>
      </c>
      <c r="C17" s="46">
        <v>0</v>
      </c>
      <c r="D17" s="46">
        <v>20</v>
      </c>
      <c r="E17" s="46">
        <v>20</v>
      </c>
      <c r="F17" s="49">
        <v>30</v>
      </c>
      <c r="G17" s="50">
        <v>30</v>
      </c>
      <c r="H17" s="48">
        <v>0</v>
      </c>
      <c r="I17" s="48">
        <f t="shared" ref="I17:I26" si="2">G17/F17*E17</f>
        <v>20</v>
      </c>
    </row>
    <row r="18" spans="1:9" x14ac:dyDescent="0.25">
      <c r="A18" s="45" t="s">
        <v>51</v>
      </c>
      <c r="B18" s="46">
        <v>10</v>
      </c>
      <c r="C18" s="46">
        <v>10</v>
      </c>
      <c r="D18" s="55">
        <f>D17+I18</f>
        <v>45</v>
      </c>
      <c r="E18" s="46">
        <v>25</v>
      </c>
      <c r="F18" s="49">
        <f>F17</f>
        <v>30</v>
      </c>
      <c r="G18" s="50">
        <v>30</v>
      </c>
      <c r="H18" s="48">
        <f>G18/F18*C18</f>
        <v>10</v>
      </c>
      <c r="I18" s="48">
        <f t="shared" si="2"/>
        <v>25</v>
      </c>
    </row>
    <row r="19" spans="1:9" ht="25.5" x14ac:dyDescent="0.25">
      <c r="A19" s="45" t="s">
        <v>171</v>
      </c>
      <c r="B19" s="55">
        <f>B18+H19</f>
        <v>50</v>
      </c>
      <c r="C19" s="46">
        <v>40</v>
      </c>
      <c r="D19" s="55">
        <f>D18+I19</f>
        <v>75</v>
      </c>
      <c r="E19" s="46">
        <v>30</v>
      </c>
      <c r="F19" s="49">
        <v>35</v>
      </c>
      <c r="G19" s="50">
        <v>35</v>
      </c>
      <c r="H19" s="48">
        <f>G19/F19*C19</f>
        <v>40</v>
      </c>
      <c r="I19" s="48">
        <f t="shared" si="2"/>
        <v>30</v>
      </c>
    </row>
    <row r="20" spans="1:9" x14ac:dyDescent="0.25">
      <c r="A20" s="60" t="s">
        <v>179</v>
      </c>
      <c r="B20" s="55">
        <f t="shared" ref="B20:B25" si="3">B19+H20</f>
        <v>57.5</v>
      </c>
      <c r="C20" s="46">
        <v>7.5</v>
      </c>
      <c r="D20" s="55">
        <f t="shared" ref="D20:D25" si="4">D19+I20</f>
        <v>80</v>
      </c>
      <c r="E20" s="46">
        <v>5</v>
      </c>
      <c r="F20" s="49">
        <f>F17</f>
        <v>30</v>
      </c>
      <c r="G20" s="50">
        <v>30</v>
      </c>
      <c r="H20" s="48">
        <f>G20/F20*7.5</f>
        <v>7.5</v>
      </c>
      <c r="I20" s="48">
        <f t="shared" si="2"/>
        <v>5</v>
      </c>
    </row>
    <row r="21" spans="1:9" x14ac:dyDescent="0.25">
      <c r="A21" s="60" t="s">
        <v>180</v>
      </c>
      <c r="B21" s="55">
        <f t="shared" si="3"/>
        <v>65</v>
      </c>
      <c r="C21" s="46">
        <v>7.5</v>
      </c>
      <c r="D21" s="55">
        <f t="shared" si="4"/>
        <v>85</v>
      </c>
      <c r="E21" s="46">
        <v>5</v>
      </c>
      <c r="F21" s="49">
        <f>F18</f>
        <v>30</v>
      </c>
      <c r="G21" s="50">
        <v>30</v>
      </c>
      <c r="H21" s="48">
        <f>G21/F21*C21</f>
        <v>7.5</v>
      </c>
      <c r="I21" s="48">
        <f>G21/F21*E21</f>
        <v>5</v>
      </c>
    </row>
    <row r="22" spans="1:9" ht="25.5" x14ac:dyDescent="0.25">
      <c r="A22" s="45" t="s">
        <v>174</v>
      </c>
      <c r="B22" s="55">
        <f t="shared" si="3"/>
        <v>75</v>
      </c>
      <c r="C22" s="46">
        <v>10</v>
      </c>
      <c r="D22" s="55">
        <f t="shared" si="4"/>
        <v>90</v>
      </c>
      <c r="E22" s="46">
        <v>5</v>
      </c>
      <c r="F22" s="49">
        <f>F17</f>
        <v>30</v>
      </c>
      <c r="G22" s="50">
        <v>30</v>
      </c>
      <c r="H22" s="48">
        <f>G22/F22*C22</f>
        <v>10</v>
      </c>
      <c r="I22" s="48">
        <f>G22/F22*E22</f>
        <v>5</v>
      </c>
    </row>
    <row r="23" spans="1:9" x14ac:dyDescent="0.25">
      <c r="A23" s="45" t="s">
        <v>173</v>
      </c>
      <c r="B23" s="55">
        <f t="shared" si="3"/>
        <v>85</v>
      </c>
      <c r="C23" s="46">
        <v>10</v>
      </c>
      <c r="D23" s="55">
        <f t="shared" si="4"/>
        <v>95</v>
      </c>
      <c r="E23" s="46">
        <v>5</v>
      </c>
      <c r="F23" s="49">
        <f>F17</f>
        <v>30</v>
      </c>
      <c r="G23" s="50">
        <v>30</v>
      </c>
      <c r="H23" s="48">
        <f>G23/F23*C23</f>
        <v>10</v>
      </c>
      <c r="I23" s="48">
        <f>G23/F23*E23</f>
        <v>5</v>
      </c>
    </row>
    <row r="24" spans="1:9" x14ac:dyDescent="0.25">
      <c r="A24" s="60" t="s">
        <v>181</v>
      </c>
      <c r="B24" s="55">
        <f t="shared" si="3"/>
        <v>90</v>
      </c>
      <c r="C24" s="46">
        <v>5</v>
      </c>
      <c r="D24" s="55">
        <f t="shared" si="4"/>
        <v>95</v>
      </c>
      <c r="E24" s="46">
        <v>0</v>
      </c>
      <c r="F24" s="49">
        <f>F18</f>
        <v>30</v>
      </c>
      <c r="G24" s="50">
        <v>30</v>
      </c>
      <c r="H24" s="48">
        <f t="shared" ref="H24:H26" si="5">G24/F24*C24</f>
        <v>5</v>
      </c>
      <c r="I24" s="48">
        <f t="shared" si="2"/>
        <v>0</v>
      </c>
    </row>
    <row r="25" spans="1:9" ht="25.5" x14ac:dyDescent="0.25">
      <c r="A25" s="60" t="s">
        <v>175</v>
      </c>
      <c r="B25" s="55">
        <f t="shared" si="3"/>
        <v>95</v>
      </c>
      <c r="C25" s="46">
        <v>5</v>
      </c>
      <c r="D25" s="55">
        <f t="shared" si="4"/>
        <v>95</v>
      </c>
      <c r="E25" s="46">
        <v>0</v>
      </c>
      <c r="F25" s="49">
        <f>F17</f>
        <v>30</v>
      </c>
      <c r="G25" s="50">
        <v>30</v>
      </c>
      <c r="H25" s="48">
        <f t="shared" si="5"/>
        <v>5</v>
      </c>
      <c r="I25" s="48">
        <f t="shared" si="2"/>
        <v>0</v>
      </c>
    </row>
    <row r="26" spans="1:9" x14ac:dyDescent="0.25">
      <c r="A26" s="45" t="s">
        <v>176</v>
      </c>
      <c r="B26" s="46">
        <v>100</v>
      </c>
      <c r="C26" s="46">
        <v>5</v>
      </c>
      <c r="D26" s="46">
        <v>100</v>
      </c>
      <c r="E26" s="46">
        <v>5</v>
      </c>
      <c r="F26" s="49">
        <f>F17</f>
        <v>30</v>
      </c>
      <c r="G26" s="50">
        <v>30</v>
      </c>
      <c r="H26" s="48">
        <f t="shared" si="5"/>
        <v>5</v>
      </c>
      <c r="I26" s="48">
        <f t="shared" si="2"/>
        <v>5</v>
      </c>
    </row>
    <row r="27" spans="1:9" x14ac:dyDescent="0.25">
      <c r="A27" s="51"/>
      <c r="B27" s="51"/>
      <c r="C27" s="51">
        <f>SUM(C17:C26)</f>
        <v>100</v>
      </c>
      <c r="D27" s="51"/>
      <c r="E27" s="51">
        <f>SUM(E17:E26)</f>
        <v>100</v>
      </c>
      <c r="F27" s="51"/>
      <c r="G27" s="52" t="s">
        <v>177</v>
      </c>
      <c r="H27" s="53">
        <f>SUM(H17:H26)</f>
        <v>100</v>
      </c>
      <c r="I27" s="53">
        <f>SUM(I17:I26)</f>
        <v>100</v>
      </c>
    </row>
    <row r="30" spans="1:9" hidden="1" x14ac:dyDescent="0.25">
      <c r="C30" s="63" t="s">
        <v>183</v>
      </c>
      <c r="D30" s="63"/>
    </row>
    <row r="31" spans="1:9" hidden="1" x14ac:dyDescent="0.25"/>
    <row r="32" spans="1:9" hidden="1" x14ac:dyDescent="0.25">
      <c r="A32" s="230" t="s">
        <v>161</v>
      </c>
      <c r="B32" s="230"/>
      <c r="C32" s="230"/>
      <c r="D32" s="230"/>
      <c r="E32" s="230"/>
      <c r="F32" s="230"/>
      <c r="G32" s="230"/>
      <c r="H32" s="230"/>
      <c r="I32" s="230"/>
    </row>
    <row r="33" spans="1:9" hidden="1" x14ac:dyDescent="0.25">
      <c r="A33" s="45"/>
      <c r="B33" s="46" t="s">
        <v>162</v>
      </c>
      <c r="C33" s="46" t="s">
        <v>163</v>
      </c>
      <c r="D33" s="46" t="s">
        <v>164</v>
      </c>
      <c r="E33" s="46" t="s">
        <v>165</v>
      </c>
      <c r="F33" s="47" t="s">
        <v>166</v>
      </c>
      <c r="G33" s="47" t="s">
        <v>167</v>
      </c>
      <c r="H33" s="46" t="s">
        <v>168</v>
      </c>
      <c r="I33" s="48" t="s">
        <v>169</v>
      </c>
    </row>
    <row r="34" spans="1:9" hidden="1" x14ac:dyDescent="0.25">
      <c r="A34" s="45" t="s">
        <v>170</v>
      </c>
      <c r="B34" s="46">
        <v>0</v>
      </c>
      <c r="C34" s="46">
        <v>0</v>
      </c>
      <c r="D34" s="46">
        <v>20</v>
      </c>
      <c r="E34" s="46">
        <v>20</v>
      </c>
      <c r="F34" s="49">
        <v>30</v>
      </c>
      <c r="G34" s="50">
        <v>30</v>
      </c>
      <c r="H34" s="48">
        <v>0</v>
      </c>
      <c r="I34" s="48">
        <f t="shared" ref="I34:I37" si="6">G34/F34*E34</f>
        <v>20</v>
      </c>
    </row>
    <row r="35" spans="1:9" hidden="1" x14ac:dyDescent="0.25">
      <c r="A35" s="45" t="s">
        <v>51</v>
      </c>
      <c r="B35" s="46">
        <v>10</v>
      </c>
      <c r="C35" s="46">
        <v>10</v>
      </c>
      <c r="D35" s="55">
        <f>D34+I35</f>
        <v>45</v>
      </c>
      <c r="E35" s="46">
        <v>25</v>
      </c>
      <c r="F35" s="49">
        <f>F34</f>
        <v>30</v>
      </c>
      <c r="G35" s="50">
        <v>30</v>
      </c>
      <c r="H35" s="48">
        <f>G35/F35*C35</f>
        <v>10</v>
      </c>
      <c r="I35" s="48">
        <f t="shared" si="6"/>
        <v>25</v>
      </c>
    </row>
    <row r="36" spans="1:9" ht="25.5" hidden="1" x14ac:dyDescent="0.25">
      <c r="A36" s="45" t="s">
        <v>171</v>
      </c>
      <c r="B36" s="55">
        <f>B35+H36</f>
        <v>50</v>
      </c>
      <c r="C36" s="46">
        <v>40</v>
      </c>
      <c r="D36" s="55">
        <f>D35+I36</f>
        <v>75</v>
      </c>
      <c r="E36" s="46">
        <v>30</v>
      </c>
      <c r="F36" s="49">
        <v>35</v>
      </c>
      <c r="G36" s="50">
        <v>35</v>
      </c>
      <c r="H36" s="48">
        <f>G36/F36*C36</f>
        <v>40</v>
      </c>
      <c r="I36" s="48">
        <f t="shared" si="6"/>
        <v>30</v>
      </c>
    </row>
    <row r="37" spans="1:9" hidden="1" x14ac:dyDescent="0.25">
      <c r="A37" s="45" t="s">
        <v>179</v>
      </c>
      <c r="B37" s="55">
        <f t="shared" ref="B37:B42" si="7">B36+H37</f>
        <v>57.5</v>
      </c>
      <c r="C37" s="46">
        <v>10</v>
      </c>
      <c r="D37" s="55">
        <f t="shared" ref="D37:D42" si="8">D36+I37</f>
        <v>82.5</v>
      </c>
      <c r="E37" s="46">
        <v>7.5</v>
      </c>
      <c r="F37" s="49">
        <f>F34</f>
        <v>30</v>
      </c>
      <c r="G37" s="50">
        <v>30</v>
      </c>
      <c r="H37" s="48">
        <f>G37/F37*7.5</f>
        <v>7.5</v>
      </c>
      <c r="I37" s="48">
        <f t="shared" si="6"/>
        <v>7.5</v>
      </c>
    </row>
    <row r="38" spans="1:9" ht="25.5" hidden="1" x14ac:dyDescent="0.25">
      <c r="A38" s="45" t="s">
        <v>174</v>
      </c>
      <c r="B38" s="55">
        <f t="shared" si="7"/>
        <v>62.5</v>
      </c>
      <c r="C38" s="46">
        <v>5</v>
      </c>
      <c r="D38" s="55">
        <f t="shared" si="8"/>
        <v>85</v>
      </c>
      <c r="E38" s="46">
        <v>2.5</v>
      </c>
      <c r="F38" s="49">
        <f>F34</f>
        <v>30</v>
      </c>
      <c r="G38" s="50">
        <v>30</v>
      </c>
      <c r="H38" s="48">
        <f>G38/F38*C38</f>
        <v>5</v>
      </c>
      <c r="I38" s="48">
        <f>G38/F38*E38</f>
        <v>2.5</v>
      </c>
    </row>
    <row r="39" spans="1:9" hidden="1" x14ac:dyDescent="0.25">
      <c r="A39" s="45" t="s">
        <v>180</v>
      </c>
      <c r="B39" s="55">
        <f t="shared" si="7"/>
        <v>67.5</v>
      </c>
      <c r="C39" s="46">
        <v>5</v>
      </c>
      <c r="D39" s="55">
        <f t="shared" si="8"/>
        <v>87.5</v>
      </c>
      <c r="E39" s="46">
        <v>2.5</v>
      </c>
      <c r="F39" s="49">
        <f>F35</f>
        <v>30</v>
      </c>
      <c r="G39" s="50">
        <v>30</v>
      </c>
      <c r="H39" s="48">
        <f t="shared" ref="H39" si="9">G39/F39*C39</f>
        <v>5</v>
      </c>
      <c r="I39" s="48">
        <f t="shared" ref="I39" si="10">G39/F39*E39</f>
        <v>2.5</v>
      </c>
    </row>
    <row r="40" spans="1:9" hidden="1" x14ac:dyDescent="0.25">
      <c r="A40" s="45" t="s">
        <v>173</v>
      </c>
      <c r="B40" s="55">
        <f t="shared" si="7"/>
        <v>77.5</v>
      </c>
      <c r="C40" s="46">
        <v>10</v>
      </c>
      <c r="D40" s="55">
        <f t="shared" si="8"/>
        <v>90</v>
      </c>
      <c r="E40" s="46">
        <v>2.5</v>
      </c>
      <c r="F40" s="49">
        <f>F34</f>
        <v>30</v>
      </c>
      <c r="G40" s="50">
        <v>30</v>
      </c>
      <c r="H40" s="48">
        <f>G40/F40*C40</f>
        <v>10</v>
      </c>
      <c r="I40" s="48">
        <f>G40/F40*E40</f>
        <v>2.5</v>
      </c>
    </row>
    <row r="41" spans="1:9" hidden="1" x14ac:dyDescent="0.25">
      <c r="A41" s="45" t="s">
        <v>181</v>
      </c>
      <c r="B41" s="55">
        <f t="shared" si="7"/>
        <v>87.5</v>
      </c>
      <c r="C41" s="46">
        <v>10</v>
      </c>
      <c r="D41" s="55">
        <f t="shared" si="8"/>
        <v>95</v>
      </c>
      <c r="E41" s="46">
        <v>5</v>
      </c>
      <c r="F41" s="49">
        <f>F35</f>
        <v>30</v>
      </c>
      <c r="G41" s="50">
        <v>30</v>
      </c>
      <c r="H41" s="48">
        <f t="shared" ref="H41:H43" si="11">G41/F41*C41</f>
        <v>10</v>
      </c>
      <c r="I41" s="48">
        <f t="shared" ref="I41:I43" si="12">G41/F41*E41</f>
        <v>5</v>
      </c>
    </row>
    <row r="42" spans="1:9" ht="25.5" hidden="1" x14ac:dyDescent="0.25">
      <c r="A42" s="45" t="s">
        <v>175</v>
      </c>
      <c r="B42" s="55">
        <f t="shared" si="7"/>
        <v>92.5</v>
      </c>
      <c r="C42" s="46">
        <v>5</v>
      </c>
      <c r="D42" s="55">
        <f t="shared" si="8"/>
        <v>97.5</v>
      </c>
      <c r="E42" s="46">
        <v>2.5</v>
      </c>
      <c r="F42" s="49">
        <f>F34</f>
        <v>30</v>
      </c>
      <c r="G42" s="50">
        <v>30</v>
      </c>
      <c r="H42" s="48">
        <f t="shared" si="11"/>
        <v>5</v>
      </c>
      <c r="I42" s="48">
        <f t="shared" si="12"/>
        <v>2.5</v>
      </c>
    </row>
    <row r="43" spans="1:9" hidden="1" x14ac:dyDescent="0.25">
      <c r="A43" s="45" t="s">
        <v>176</v>
      </c>
      <c r="B43" s="46">
        <v>100</v>
      </c>
      <c r="C43" s="46">
        <v>5</v>
      </c>
      <c r="D43" s="46">
        <v>100</v>
      </c>
      <c r="E43" s="46">
        <v>2.5</v>
      </c>
      <c r="F43" s="49">
        <f>F34</f>
        <v>30</v>
      </c>
      <c r="G43" s="50">
        <v>30</v>
      </c>
      <c r="H43" s="48">
        <f t="shared" si="11"/>
        <v>5</v>
      </c>
      <c r="I43" s="48">
        <f t="shared" si="12"/>
        <v>2.5</v>
      </c>
    </row>
    <row r="44" spans="1:9" hidden="1" x14ac:dyDescent="0.25">
      <c r="A44" s="51"/>
      <c r="B44" s="51"/>
      <c r="C44" s="51">
        <f>SUM(C34:C43)</f>
        <v>100</v>
      </c>
      <c r="D44" s="51"/>
      <c r="E44" s="51">
        <f>SUM(E34:E43)</f>
        <v>100</v>
      </c>
      <c r="F44" s="51"/>
      <c r="G44" s="52" t="s">
        <v>177</v>
      </c>
      <c r="H44" s="53">
        <f>SUM(H34:H43)</f>
        <v>97.5</v>
      </c>
      <c r="I44" s="53">
        <f>SUM(I34:I43)</f>
        <v>100</v>
      </c>
    </row>
  </sheetData>
  <mergeCells count="5">
    <mergeCell ref="A2:I2"/>
    <mergeCell ref="A15:I15"/>
    <mergeCell ref="A32:I32"/>
    <mergeCell ref="A1:I1"/>
    <mergeCell ref="A14:I14"/>
  </mergeCells>
  <pageMargins left="0.7" right="0.7" top="0.75" bottom="0.75" header="0.3" footer="0.3"/>
  <pageSetup paperSize="9" orientation="portrait" horizontalDpi="300" verticalDpi="0" copies="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7" workbookViewId="0">
      <selection activeCell="C21" sqref="C21:D25"/>
    </sheetView>
  </sheetViews>
  <sheetFormatPr defaultRowHeight="15" x14ac:dyDescent="0.25"/>
  <cols>
    <col min="2" max="2" width="12.28515625" customWidth="1"/>
  </cols>
  <sheetData>
    <row r="2" spans="1:12" x14ac:dyDescent="0.25">
      <c r="B2" s="3" t="s">
        <v>73</v>
      </c>
      <c r="C2" s="236"/>
      <c r="D2" s="236"/>
    </row>
    <row r="3" spans="1:12" x14ac:dyDescent="0.25">
      <c r="D3" s="4"/>
      <c r="E3" s="4"/>
      <c r="F3" s="4"/>
      <c r="G3" s="4"/>
      <c r="H3" s="4"/>
      <c r="I3" s="4"/>
    </row>
    <row r="4" spans="1:12" x14ac:dyDescent="0.25">
      <c r="A4" s="3" t="s">
        <v>74</v>
      </c>
      <c r="B4" s="5" t="s">
        <v>75</v>
      </c>
      <c r="C4" s="237" t="s">
        <v>76</v>
      </c>
      <c r="D4" s="237"/>
      <c r="E4" s="237"/>
      <c r="F4" s="6"/>
      <c r="G4" s="237" t="s">
        <v>77</v>
      </c>
      <c r="H4" s="237"/>
      <c r="I4" s="237"/>
      <c r="J4" s="237" t="s">
        <v>78</v>
      </c>
      <c r="K4" s="237"/>
      <c r="L4" s="237"/>
    </row>
    <row r="5" spans="1:12" x14ac:dyDescent="0.25">
      <c r="A5" s="3">
        <v>202</v>
      </c>
      <c r="B5" s="5"/>
      <c r="C5" s="5" t="s">
        <v>79</v>
      </c>
      <c r="D5" s="5" t="s">
        <v>80</v>
      </c>
      <c r="E5" s="5" t="s">
        <v>59</v>
      </c>
      <c r="F5" s="5"/>
      <c r="G5" s="5" t="s">
        <v>79</v>
      </c>
      <c r="H5" s="5" t="s">
        <v>80</v>
      </c>
      <c r="I5" s="5" t="s">
        <v>59</v>
      </c>
      <c r="J5" s="5" t="s">
        <v>79</v>
      </c>
      <c r="K5" s="5" t="s">
        <v>80</v>
      </c>
      <c r="L5" s="5" t="s">
        <v>59</v>
      </c>
    </row>
    <row r="6" spans="1:12" x14ac:dyDescent="0.25">
      <c r="B6" s="7" t="s">
        <v>81</v>
      </c>
      <c r="C6" s="7"/>
      <c r="D6" s="7"/>
      <c r="E6" s="7">
        <f>C6*D6</f>
        <v>0</v>
      </c>
      <c r="F6" s="7" t="s">
        <v>82</v>
      </c>
      <c r="G6" s="7"/>
      <c r="H6" s="7"/>
      <c r="I6" s="7">
        <f>G6*H6</f>
        <v>0</v>
      </c>
      <c r="J6" s="7"/>
      <c r="K6" s="7"/>
      <c r="L6" s="7">
        <f>J6*K6</f>
        <v>0</v>
      </c>
    </row>
    <row r="7" spans="1:12" x14ac:dyDescent="0.25">
      <c r="B7" s="7"/>
      <c r="C7" s="7"/>
      <c r="D7" s="7"/>
      <c r="E7" s="7">
        <f t="shared" ref="E7:E33" si="0">C7*D7</f>
        <v>0</v>
      </c>
      <c r="F7" s="7" t="s">
        <v>83</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84</v>
      </c>
      <c r="C9" s="7"/>
      <c r="D9" s="7"/>
      <c r="E9" s="7">
        <f t="shared" si="0"/>
        <v>0</v>
      </c>
      <c r="F9" s="7" t="s">
        <v>82</v>
      </c>
      <c r="G9" s="7"/>
      <c r="H9" s="7"/>
      <c r="I9" s="7">
        <f t="shared" si="1"/>
        <v>0</v>
      </c>
      <c r="J9" s="7"/>
      <c r="K9" s="7"/>
      <c r="L9" s="7">
        <f t="shared" si="2"/>
        <v>0</v>
      </c>
    </row>
    <row r="10" spans="1:12" x14ac:dyDescent="0.25">
      <c r="B10" s="7"/>
      <c r="C10" s="7"/>
      <c r="D10" s="7"/>
      <c r="E10" s="7">
        <f t="shared" si="0"/>
        <v>0</v>
      </c>
      <c r="F10" s="7" t="s">
        <v>83</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85</v>
      </c>
      <c r="C13" s="7"/>
      <c r="D13" s="7"/>
      <c r="E13" s="7">
        <f t="shared" si="0"/>
        <v>0</v>
      </c>
      <c r="F13" s="7" t="s">
        <v>82</v>
      </c>
      <c r="G13" s="7"/>
      <c r="H13" s="7"/>
      <c r="I13" s="7">
        <f t="shared" si="1"/>
        <v>0</v>
      </c>
      <c r="J13" s="7"/>
      <c r="K13" s="7"/>
      <c r="L13" s="7">
        <f t="shared" si="2"/>
        <v>0</v>
      </c>
    </row>
    <row r="14" spans="1:12" x14ac:dyDescent="0.25">
      <c r="B14" s="7"/>
      <c r="C14" s="7"/>
      <c r="D14" s="7"/>
      <c r="E14" s="7">
        <f t="shared" si="0"/>
        <v>0</v>
      </c>
      <c r="F14" s="7" t="s">
        <v>83</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86</v>
      </c>
      <c r="C17" s="7"/>
      <c r="D17" s="7"/>
      <c r="E17" s="7">
        <f t="shared" si="0"/>
        <v>0</v>
      </c>
      <c r="F17" s="7" t="s">
        <v>82</v>
      </c>
      <c r="G17" s="7"/>
      <c r="H17" s="7"/>
      <c r="I17" s="7">
        <f t="shared" si="1"/>
        <v>0</v>
      </c>
      <c r="J17" s="7"/>
      <c r="K17" s="7"/>
      <c r="L17" s="7">
        <f t="shared" si="2"/>
        <v>0</v>
      </c>
    </row>
    <row r="18" spans="2:12" x14ac:dyDescent="0.25">
      <c r="B18" s="7"/>
      <c r="C18" s="7"/>
      <c r="D18" s="7"/>
      <c r="E18" s="7">
        <f t="shared" si="0"/>
        <v>0</v>
      </c>
      <c r="F18" s="7" t="s">
        <v>83</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86</v>
      </c>
      <c r="C20" s="7"/>
      <c r="D20" s="7"/>
      <c r="E20" s="7">
        <f t="shared" si="0"/>
        <v>0</v>
      </c>
      <c r="F20" s="7" t="s">
        <v>82</v>
      </c>
      <c r="G20" s="7"/>
      <c r="H20" s="7"/>
      <c r="I20" s="7">
        <f t="shared" si="1"/>
        <v>0</v>
      </c>
      <c r="J20" s="7"/>
      <c r="K20" s="7"/>
      <c r="L20" s="7">
        <f t="shared" si="2"/>
        <v>0</v>
      </c>
    </row>
    <row r="21" spans="2:12" x14ac:dyDescent="0.25">
      <c r="B21" s="7"/>
      <c r="C21" s="7"/>
      <c r="D21" s="7"/>
      <c r="E21" s="7">
        <f t="shared" si="0"/>
        <v>0</v>
      </c>
      <c r="F21" s="7" t="s">
        <v>83</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87</v>
      </c>
      <c r="C23" s="7"/>
      <c r="D23" s="7"/>
      <c r="E23" s="7">
        <f t="shared" si="0"/>
        <v>0</v>
      </c>
      <c r="F23" s="7" t="s">
        <v>88</v>
      </c>
      <c r="G23" s="7"/>
      <c r="H23" s="7"/>
      <c r="I23" s="7">
        <f t="shared" si="1"/>
        <v>0</v>
      </c>
      <c r="J23" s="7"/>
      <c r="K23" s="7"/>
      <c r="L23" s="7">
        <f t="shared" si="2"/>
        <v>0</v>
      </c>
    </row>
    <row r="24" spans="2:12" x14ac:dyDescent="0.25">
      <c r="B24" s="7" t="s">
        <v>89</v>
      </c>
      <c r="C24" s="7"/>
      <c r="D24" s="7"/>
      <c r="E24" s="7">
        <f t="shared" si="0"/>
        <v>0</v>
      </c>
      <c r="F24" s="7" t="s">
        <v>88</v>
      </c>
      <c r="G24" s="7"/>
      <c r="H24" s="7"/>
      <c r="I24" s="7">
        <f t="shared" si="1"/>
        <v>0</v>
      </c>
      <c r="J24" s="7"/>
      <c r="K24" s="7"/>
      <c r="L24" s="7">
        <f t="shared" si="2"/>
        <v>0</v>
      </c>
    </row>
    <row r="25" spans="2:12" x14ac:dyDescent="0.25">
      <c r="B25" s="7" t="s">
        <v>90</v>
      </c>
      <c r="C25" s="7"/>
      <c r="D25" s="7"/>
      <c r="E25" s="7">
        <f t="shared" si="0"/>
        <v>0</v>
      </c>
      <c r="F25" s="7" t="s">
        <v>88</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91</v>
      </c>
      <c r="C27" s="7"/>
      <c r="D27" s="7"/>
      <c r="E27" s="7">
        <f t="shared" si="0"/>
        <v>0</v>
      </c>
      <c r="F27" s="7"/>
      <c r="G27" s="7"/>
      <c r="H27" s="7"/>
      <c r="I27" s="7">
        <f t="shared" si="1"/>
        <v>0</v>
      </c>
      <c r="J27" s="7"/>
      <c r="K27" s="7"/>
      <c r="L27" s="7">
        <f t="shared" si="2"/>
        <v>0</v>
      </c>
    </row>
    <row r="28" spans="2:12" x14ac:dyDescent="0.25">
      <c r="B28" s="7" t="s">
        <v>92</v>
      </c>
      <c r="C28" s="7"/>
      <c r="D28" s="7"/>
      <c r="E28" s="7">
        <f t="shared" si="0"/>
        <v>0</v>
      </c>
      <c r="F28" s="7"/>
      <c r="G28" s="7"/>
      <c r="H28" s="7"/>
      <c r="I28" s="7">
        <f t="shared" si="1"/>
        <v>0</v>
      </c>
      <c r="J28" s="7"/>
      <c r="K28" s="7"/>
      <c r="L28" s="7">
        <f t="shared" si="2"/>
        <v>0</v>
      </c>
    </row>
    <row r="29" spans="2:12" x14ac:dyDescent="0.25">
      <c r="B29" s="7" t="s">
        <v>93</v>
      </c>
      <c r="C29" s="7"/>
      <c r="D29" s="7"/>
      <c r="E29" s="7">
        <f t="shared" si="0"/>
        <v>0</v>
      </c>
      <c r="F29" s="7"/>
      <c r="G29" s="7"/>
      <c r="H29" s="7"/>
      <c r="I29" s="7">
        <f t="shared" si="1"/>
        <v>0</v>
      </c>
      <c r="J29" s="7"/>
      <c r="K29" s="7"/>
      <c r="L29" s="7">
        <f t="shared" si="2"/>
        <v>0</v>
      </c>
    </row>
    <row r="30" spans="2:12" x14ac:dyDescent="0.25">
      <c r="B30" s="7" t="s">
        <v>94</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60</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election activeCell="D13" sqref="D13"/>
    </sheetView>
  </sheetViews>
  <sheetFormatPr defaultColWidth="8.7109375" defaultRowHeight="15" x14ac:dyDescent="0.25"/>
  <cols>
    <col min="1" max="1" width="8.7109375" style="26"/>
    <col min="2" max="2" width="22.140625" style="26" customWidth="1"/>
    <col min="3" max="3" width="37" style="26" customWidth="1"/>
    <col min="4" max="5" width="11.42578125" style="26" customWidth="1"/>
    <col min="6" max="6" width="14" style="26" customWidth="1"/>
    <col min="7" max="7" width="20" style="26" customWidth="1"/>
    <col min="8" max="8" width="16.42578125" style="26" customWidth="1"/>
    <col min="9" max="16384" width="8.7109375" style="26"/>
  </cols>
  <sheetData>
    <row r="1" spans="1:9" ht="15" customHeight="1" x14ac:dyDescent="0.25"/>
    <row r="2" spans="1:9" ht="15" customHeight="1" x14ac:dyDescent="0.25">
      <c r="A2" s="27"/>
      <c r="B2" s="27"/>
      <c r="C2" s="27"/>
      <c r="D2" s="27"/>
      <c r="E2" s="27"/>
      <c r="F2" s="27"/>
      <c r="G2" s="27"/>
      <c r="H2" s="27"/>
    </row>
    <row r="3" spans="1:9" ht="15.75" customHeight="1" x14ac:dyDescent="0.25">
      <c r="A3" s="27"/>
      <c r="B3" s="238" t="s">
        <v>135</v>
      </c>
      <c r="C3" s="238"/>
      <c r="D3" s="238"/>
      <c r="E3" s="238"/>
      <c r="F3" s="238"/>
      <c r="G3" s="238"/>
      <c r="H3" s="238"/>
    </row>
    <row r="4" spans="1:9" x14ac:dyDescent="0.25">
      <c r="A4" s="27"/>
      <c r="B4" s="28" t="s">
        <v>136</v>
      </c>
      <c r="C4" s="28" t="s">
        <v>137</v>
      </c>
      <c r="D4" s="28" t="s">
        <v>74</v>
      </c>
      <c r="E4" s="28" t="s">
        <v>138</v>
      </c>
      <c r="F4" s="28" t="s">
        <v>145</v>
      </c>
      <c r="G4" s="28" t="s">
        <v>146</v>
      </c>
      <c r="H4" s="28" t="s">
        <v>139</v>
      </c>
    </row>
    <row r="5" spans="1:9" ht="15" customHeight="1" x14ac:dyDescent="0.25">
      <c r="A5" s="27"/>
      <c r="B5" s="30" t="s">
        <v>140</v>
      </c>
      <c r="C5" s="31"/>
      <c r="D5" s="30" t="s">
        <v>141</v>
      </c>
      <c r="E5" s="30">
        <v>1106</v>
      </c>
      <c r="F5" s="32">
        <f>E5*1.6</f>
        <v>1769.6000000000001</v>
      </c>
      <c r="G5" s="32">
        <f>H5/F5</f>
        <v>31532.549728752259</v>
      </c>
      <c r="H5" s="33">
        <v>55800000</v>
      </c>
    </row>
    <row r="6" spans="1:9" x14ac:dyDescent="0.25">
      <c r="A6" s="27"/>
      <c r="B6" s="30" t="s">
        <v>140</v>
      </c>
      <c r="C6" s="34"/>
      <c r="D6" s="30"/>
      <c r="E6" s="30"/>
      <c r="F6" s="32">
        <f t="shared" ref="F6:F11" si="0">E6*1.6</f>
        <v>0</v>
      </c>
      <c r="G6" s="32" t="e">
        <f t="shared" ref="G6:G11" si="1">H6/F6</f>
        <v>#DIV/0!</v>
      </c>
      <c r="H6" s="33"/>
    </row>
    <row r="7" spans="1:9" ht="15" customHeight="1" x14ac:dyDescent="0.25">
      <c r="A7" s="27"/>
      <c r="B7" s="30" t="s">
        <v>140</v>
      </c>
      <c r="C7" s="31"/>
      <c r="D7" s="30"/>
      <c r="E7" s="30"/>
      <c r="F7" s="32">
        <f t="shared" si="0"/>
        <v>0</v>
      </c>
      <c r="G7" s="32" t="e">
        <f t="shared" si="1"/>
        <v>#DIV/0!</v>
      </c>
      <c r="H7" s="33"/>
    </row>
    <row r="8" spans="1:9" x14ac:dyDescent="0.25">
      <c r="A8" s="27"/>
      <c r="B8" s="30" t="s">
        <v>140</v>
      </c>
      <c r="C8" s="34"/>
      <c r="D8" s="30"/>
      <c r="E8" s="30"/>
      <c r="F8" s="32">
        <f t="shared" si="0"/>
        <v>0</v>
      </c>
      <c r="G8" s="32" t="e">
        <f t="shared" si="1"/>
        <v>#DIV/0!</v>
      </c>
      <c r="H8" s="33"/>
    </row>
    <row r="9" spans="1:9" ht="15" customHeight="1" x14ac:dyDescent="0.25">
      <c r="A9" s="27"/>
      <c r="B9" s="30" t="s">
        <v>140</v>
      </c>
      <c r="C9" s="34"/>
      <c r="D9" s="30"/>
      <c r="E9" s="30"/>
      <c r="F9" s="32">
        <f t="shared" si="0"/>
        <v>0</v>
      </c>
      <c r="G9" s="32" t="e">
        <f t="shared" si="1"/>
        <v>#DIV/0!</v>
      </c>
      <c r="H9" s="33"/>
    </row>
    <row r="10" spans="1:9" ht="15" customHeight="1" x14ac:dyDescent="0.25">
      <c r="A10" s="27"/>
      <c r="B10" s="30" t="s">
        <v>142</v>
      </c>
      <c r="C10" s="31"/>
      <c r="D10" s="30"/>
      <c r="E10" s="30"/>
      <c r="F10" s="32">
        <f t="shared" si="0"/>
        <v>0</v>
      </c>
      <c r="G10" s="32" t="e">
        <f t="shared" si="1"/>
        <v>#DIV/0!</v>
      </c>
      <c r="H10" s="33"/>
    </row>
    <row r="11" spans="1:9" ht="15" customHeight="1" x14ac:dyDescent="0.25">
      <c r="A11" s="27"/>
      <c r="B11" s="30" t="s">
        <v>142</v>
      </c>
      <c r="C11" s="31"/>
      <c r="D11" s="30"/>
      <c r="E11" s="30"/>
      <c r="F11" s="32">
        <f t="shared" si="0"/>
        <v>0</v>
      </c>
      <c r="G11" s="32" t="e">
        <f t="shared" si="1"/>
        <v>#DIV/0!</v>
      </c>
      <c r="H11" s="33"/>
    </row>
    <row r="12" spans="1:9" ht="15" customHeight="1" x14ac:dyDescent="0.25">
      <c r="A12" s="27"/>
      <c r="B12" s="35" t="s">
        <v>143</v>
      </c>
      <c r="C12" s="30"/>
      <c r="D12" s="30"/>
      <c r="E12" s="30"/>
      <c r="F12" s="30"/>
      <c r="G12" s="36" t="e">
        <f>AVERAGE(G5:G11)</f>
        <v>#DIV/0!</v>
      </c>
      <c r="H12" s="30"/>
    </row>
    <row r="13" spans="1:9" ht="15" customHeight="1" x14ac:dyDescent="0.25">
      <c r="B13" s="35" t="s">
        <v>144</v>
      </c>
      <c r="C13" s="30"/>
      <c r="D13" s="30"/>
      <c r="E13" s="30"/>
      <c r="F13" s="37"/>
      <c r="G13" s="35"/>
      <c r="H13" s="35"/>
      <c r="I13" s="29"/>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AXIS</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2025-07-19T12:14:39Z</cp:lastPrinted>
  <dcterms:created xsi:type="dcterms:W3CDTF">2019-07-16T09:29:46Z</dcterms:created>
  <dcterms:modified xsi:type="dcterms:W3CDTF">2025-07-19T12:20:14Z</dcterms:modified>
</cp:coreProperties>
</file>